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5" yWindow="630" windowWidth="18870" windowHeight="6570"/>
  </bookViews>
  <sheets>
    <sheet name="2021 BUDGET " sheetId="1" r:id="rId1"/>
    <sheet name="2021 Notes" sheetId="8" state="hidden" r:id="rId2"/>
    <sheet name="2020 Notes" sheetId="9" state="hidden" r:id="rId3"/>
  </sheets>
  <definedNames>
    <definedName name="Z_D5D04930_913E_423A_808A_AC1482DD8C7D_.wvu.FilterData" localSheetId="0" hidden="1">'2021 BUDGET '!$B$19:$O$53</definedName>
  </definedNames>
  <calcPr calcId="144525"/>
  <customWorkbookViews>
    <customWorkbookView name="Filter 1" guid="{D5D04930-913E-423A-808A-AC1482DD8C7D}" maximized="1" windowWidth="0" windowHeight="0" activeSheetId="0"/>
  </customWorkbookViews>
</workbook>
</file>

<file path=xl/calcChain.xml><?xml version="1.0" encoding="utf-8"?>
<calcChain xmlns="http://schemas.openxmlformats.org/spreadsheetml/2006/main">
  <c r="Q2692" i="1" l="1"/>
  <c r="P2692" i="1"/>
  <c r="O2692" i="1"/>
  <c r="N2692" i="1"/>
  <c r="M2692" i="1"/>
  <c r="L2692" i="1"/>
  <c r="K2692" i="1"/>
  <c r="J2692" i="1"/>
  <c r="H2692" i="1"/>
  <c r="F2692" i="1"/>
  <c r="E2692" i="1"/>
  <c r="I2690" i="1"/>
  <c r="I2689" i="1"/>
  <c r="Q2687" i="1"/>
  <c r="P2687" i="1"/>
  <c r="O2687" i="1"/>
  <c r="N2687" i="1"/>
  <c r="M2687" i="1"/>
  <c r="L2687" i="1"/>
  <c r="K2687" i="1"/>
  <c r="J2687" i="1"/>
  <c r="H2687" i="1"/>
  <c r="F2687" i="1"/>
  <c r="E2687" i="1"/>
  <c r="I2684" i="1"/>
  <c r="Q2681" i="1"/>
  <c r="P2681" i="1"/>
  <c r="O2681" i="1"/>
  <c r="N2681" i="1"/>
  <c r="M2681" i="1"/>
  <c r="L2681" i="1"/>
  <c r="K2681" i="1"/>
  <c r="J2681" i="1"/>
  <c r="H2681" i="1"/>
  <c r="F2681" i="1"/>
  <c r="E2681" i="1"/>
  <c r="I2680" i="1"/>
  <c r="I2679" i="1"/>
  <c r="I2678" i="1"/>
  <c r="I2677" i="1"/>
  <c r="Q2675" i="1"/>
  <c r="P2675" i="1"/>
  <c r="O2675" i="1"/>
  <c r="O2693" i="1" s="1"/>
  <c r="N2675" i="1"/>
  <c r="N2693" i="1" s="1"/>
  <c r="M2675" i="1"/>
  <c r="L2675" i="1"/>
  <c r="K2675" i="1"/>
  <c r="K2693" i="1" s="1"/>
  <c r="J2675" i="1"/>
  <c r="J2693" i="1" s="1"/>
  <c r="H2675" i="1"/>
  <c r="F2675" i="1"/>
  <c r="E2675" i="1"/>
  <c r="E2693" i="1" s="1"/>
  <c r="I2674" i="1"/>
  <c r="Q2672" i="1"/>
  <c r="P2672" i="1"/>
  <c r="O2672" i="1"/>
  <c r="N2672" i="1"/>
  <c r="M2672" i="1"/>
  <c r="L2672" i="1"/>
  <c r="K2672" i="1"/>
  <c r="J2672" i="1"/>
  <c r="H2672" i="1"/>
  <c r="F2672" i="1"/>
  <c r="E2672" i="1"/>
  <c r="I2671" i="1"/>
  <c r="I2670" i="1"/>
  <c r="Q2664" i="1"/>
  <c r="P2664" i="1"/>
  <c r="O2664" i="1"/>
  <c r="N2664" i="1"/>
  <c r="M2664" i="1"/>
  <c r="L2664" i="1"/>
  <c r="K2664" i="1"/>
  <c r="J2664" i="1"/>
  <c r="H2664" i="1"/>
  <c r="F2664" i="1"/>
  <c r="E2664" i="1"/>
  <c r="I2663" i="1"/>
  <c r="I2661" i="1"/>
  <c r="Q2659" i="1"/>
  <c r="P2659" i="1"/>
  <c r="O2659" i="1"/>
  <c r="N2659" i="1"/>
  <c r="M2659" i="1"/>
  <c r="L2659" i="1"/>
  <c r="K2659" i="1"/>
  <c r="J2659" i="1"/>
  <c r="H2659" i="1"/>
  <c r="F2659" i="1"/>
  <c r="E2659" i="1"/>
  <c r="I2657" i="1"/>
  <c r="I2655" i="1"/>
  <c r="I2654" i="1"/>
  <c r="Q2652" i="1"/>
  <c r="P2652" i="1"/>
  <c r="O2652" i="1"/>
  <c r="O2665" i="1" s="1"/>
  <c r="N2652" i="1"/>
  <c r="M2652" i="1"/>
  <c r="L2652" i="1"/>
  <c r="K2652" i="1"/>
  <c r="K2665" i="1" s="1"/>
  <c r="J2652" i="1"/>
  <c r="H2652" i="1"/>
  <c r="F2652" i="1"/>
  <c r="E2652" i="1"/>
  <c r="E2665" i="1" s="1"/>
  <c r="I2650" i="1"/>
  <c r="Q2647" i="1"/>
  <c r="P2647" i="1"/>
  <c r="O2647" i="1"/>
  <c r="N2647" i="1"/>
  <c r="M2647" i="1"/>
  <c r="L2647" i="1"/>
  <c r="K2647" i="1"/>
  <c r="J2647" i="1"/>
  <c r="H2647" i="1"/>
  <c r="F2647" i="1"/>
  <c r="E2647" i="1"/>
  <c r="I2646" i="1"/>
  <c r="I2645" i="1"/>
  <c r="I2644" i="1"/>
  <c r="Q2638" i="1"/>
  <c r="P2638" i="1"/>
  <c r="O2638" i="1"/>
  <c r="N2638" i="1"/>
  <c r="M2638" i="1"/>
  <c r="L2638" i="1"/>
  <c r="K2638" i="1"/>
  <c r="J2638" i="1"/>
  <c r="H2638" i="1"/>
  <c r="F2638" i="1"/>
  <c r="I2637" i="1"/>
  <c r="I2636" i="1"/>
  <c r="I2635" i="1"/>
  <c r="I2633" i="1"/>
  <c r="I2632" i="1"/>
  <c r="E2632" i="1"/>
  <c r="E2638" i="1" s="1"/>
  <c r="I2631" i="1"/>
  <c r="I2630" i="1"/>
  <c r="I2629" i="1"/>
  <c r="I2628" i="1"/>
  <c r="I2627" i="1"/>
  <c r="I2626" i="1"/>
  <c r="I2625" i="1"/>
  <c r="I2624" i="1"/>
  <c r="Q2622" i="1"/>
  <c r="P2622" i="1"/>
  <c r="O2622" i="1"/>
  <c r="N2622" i="1"/>
  <c r="M2622" i="1"/>
  <c r="L2622" i="1"/>
  <c r="K2622" i="1"/>
  <c r="J2622" i="1"/>
  <c r="H2622" i="1"/>
  <c r="F2622" i="1"/>
  <c r="E2622" i="1"/>
  <c r="I2621" i="1"/>
  <c r="I2620" i="1"/>
  <c r="I2619" i="1"/>
  <c r="I2618" i="1"/>
  <c r="I2615" i="1"/>
  <c r="I2614" i="1"/>
  <c r="I2613" i="1"/>
  <c r="I2612" i="1"/>
  <c r="Q2610" i="1"/>
  <c r="P2610" i="1"/>
  <c r="O2610" i="1"/>
  <c r="N2610" i="1"/>
  <c r="M2610" i="1"/>
  <c r="L2610" i="1"/>
  <c r="K2610" i="1"/>
  <c r="J2610" i="1"/>
  <c r="H2610" i="1"/>
  <c r="F2610" i="1"/>
  <c r="E2610" i="1"/>
  <c r="I2609" i="1"/>
  <c r="I2608" i="1"/>
  <c r="I2607" i="1"/>
  <c r="I2606" i="1"/>
  <c r="I2605" i="1"/>
  <c r="I2604" i="1"/>
  <c r="I2603" i="1"/>
  <c r="I2602" i="1"/>
  <c r="Q2600" i="1"/>
  <c r="P2600" i="1"/>
  <c r="O2600" i="1"/>
  <c r="O2639" i="1" s="1"/>
  <c r="N2600" i="1"/>
  <c r="M2600" i="1"/>
  <c r="K2600" i="1"/>
  <c r="K2639" i="1" s="1"/>
  <c r="J2600" i="1"/>
  <c r="J2639" i="1" s="1"/>
  <c r="H2600" i="1"/>
  <c r="F2600" i="1"/>
  <c r="E2600" i="1"/>
  <c r="L2599" i="1"/>
  <c r="L2600" i="1" s="1"/>
  <c r="I2599" i="1"/>
  <c r="I2597" i="1"/>
  <c r="I2596" i="1"/>
  <c r="I2595" i="1"/>
  <c r="Q2592" i="1"/>
  <c r="P2592" i="1"/>
  <c r="O2592" i="1"/>
  <c r="N2592" i="1"/>
  <c r="M2592" i="1"/>
  <c r="L2592" i="1"/>
  <c r="K2592" i="1"/>
  <c r="J2592" i="1"/>
  <c r="H2592" i="1"/>
  <c r="F2592" i="1"/>
  <c r="E2592" i="1"/>
  <c r="I2591" i="1"/>
  <c r="I2590" i="1"/>
  <c r="I2589" i="1"/>
  <c r="I2588" i="1"/>
  <c r="I2587" i="1"/>
  <c r="I2585" i="1"/>
  <c r="I2584" i="1"/>
  <c r="I2582" i="1"/>
  <c r="I2581" i="1"/>
  <c r="I2580" i="1"/>
  <c r="Q2574" i="1"/>
  <c r="P2574" i="1"/>
  <c r="O2574" i="1"/>
  <c r="N2574" i="1"/>
  <c r="M2574" i="1"/>
  <c r="L2574" i="1"/>
  <c r="K2574" i="1"/>
  <c r="J2574" i="1"/>
  <c r="H2574" i="1"/>
  <c r="F2574" i="1"/>
  <c r="I2573" i="1"/>
  <c r="I2572" i="1"/>
  <c r="I2571" i="1"/>
  <c r="I2570" i="1"/>
  <c r="I2569" i="1"/>
  <c r="I2568" i="1"/>
  <c r="I2567" i="1"/>
  <c r="I2566" i="1"/>
  <c r="I2565" i="1"/>
  <c r="I2564" i="1"/>
  <c r="I2563" i="1"/>
  <c r="I2562" i="1"/>
  <c r="I2561" i="1"/>
  <c r="I2560" i="1"/>
  <c r="I2558" i="1"/>
  <c r="Q2556" i="1"/>
  <c r="P2556" i="1"/>
  <c r="O2556" i="1"/>
  <c r="N2556" i="1"/>
  <c r="M2556" i="1"/>
  <c r="L2556" i="1"/>
  <c r="K2556" i="1"/>
  <c r="J2556" i="1"/>
  <c r="H2556" i="1"/>
  <c r="F2556" i="1"/>
  <c r="I2555" i="1"/>
  <c r="I2554" i="1"/>
  <c r="I2553" i="1"/>
  <c r="I2552" i="1"/>
  <c r="I2551" i="1"/>
  <c r="I2550" i="1"/>
  <c r="I2549" i="1"/>
  <c r="I2548" i="1"/>
  <c r="I2547" i="1"/>
  <c r="I2546" i="1"/>
  <c r="I2545" i="1"/>
  <c r="I2544" i="1"/>
  <c r="Q2542" i="1"/>
  <c r="P2542" i="1"/>
  <c r="O2542" i="1"/>
  <c r="N2542" i="1"/>
  <c r="M2542" i="1"/>
  <c r="L2542" i="1"/>
  <c r="K2542" i="1"/>
  <c r="J2542" i="1"/>
  <c r="H2542" i="1"/>
  <c r="F2542" i="1"/>
  <c r="I2541" i="1"/>
  <c r="I2540" i="1"/>
  <c r="I2539" i="1"/>
  <c r="I2538" i="1"/>
  <c r="I2537" i="1"/>
  <c r="I2536" i="1"/>
  <c r="I2535" i="1"/>
  <c r="Q2533" i="1"/>
  <c r="P2533" i="1"/>
  <c r="O2533" i="1"/>
  <c r="N2533" i="1"/>
  <c r="M2533" i="1"/>
  <c r="K2533" i="1"/>
  <c r="F2533" i="1"/>
  <c r="L2532" i="1"/>
  <c r="L2533" i="1" s="1"/>
  <c r="J2532" i="1"/>
  <c r="J2533" i="1" s="1"/>
  <c r="H2532" i="1"/>
  <c r="I2530" i="1"/>
  <c r="I2529" i="1"/>
  <c r="I2528" i="1"/>
  <c r="Q2525" i="1"/>
  <c r="P2525" i="1"/>
  <c r="O2525" i="1"/>
  <c r="N2525" i="1"/>
  <c r="M2525" i="1"/>
  <c r="L2525" i="1"/>
  <c r="K2525" i="1"/>
  <c r="J2525" i="1"/>
  <c r="H2525" i="1"/>
  <c r="F2525" i="1"/>
  <c r="I2524" i="1"/>
  <c r="I2523" i="1"/>
  <c r="I2522" i="1"/>
  <c r="I2521" i="1"/>
  <c r="I2520" i="1"/>
  <c r="I2519" i="1"/>
  <c r="I2518" i="1"/>
  <c r="I2517" i="1"/>
  <c r="Q2512" i="1"/>
  <c r="P2512" i="1"/>
  <c r="O2512" i="1"/>
  <c r="N2512" i="1"/>
  <c r="M2512" i="1"/>
  <c r="L2512" i="1"/>
  <c r="K2512" i="1"/>
  <c r="J2512" i="1"/>
  <c r="H2512" i="1"/>
  <c r="F2512" i="1"/>
  <c r="E2512" i="1"/>
  <c r="I2511" i="1"/>
  <c r="Q2509" i="1"/>
  <c r="P2509" i="1"/>
  <c r="O2509" i="1"/>
  <c r="N2509" i="1"/>
  <c r="M2509" i="1"/>
  <c r="L2509" i="1"/>
  <c r="K2509" i="1"/>
  <c r="J2509" i="1"/>
  <c r="H2509" i="1"/>
  <c r="F2509" i="1"/>
  <c r="E2509" i="1"/>
  <c r="I2508" i="1"/>
  <c r="Q2503" i="1"/>
  <c r="P2503" i="1"/>
  <c r="O2503" i="1"/>
  <c r="N2503" i="1"/>
  <c r="M2503" i="1"/>
  <c r="L2503" i="1"/>
  <c r="K2503" i="1"/>
  <c r="J2503" i="1"/>
  <c r="H2503" i="1"/>
  <c r="F2503" i="1"/>
  <c r="E2503" i="1"/>
  <c r="I2502" i="1"/>
  <c r="I2501" i="1"/>
  <c r="I2499" i="1"/>
  <c r="Q2497" i="1"/>
  <c r="P2497" i="1"/>
  <c r="O2497" i="1"/>
  <c r="N2497" i="1"/>
  <c r="M2497" i="1"/>
  <c r="L2497" i="1"/>
  <c r="K2497" i="1"/>
  <c r="J2497" i="1"/>
  <c r="H2497" i="1"/>
  <c r="F2497" i="1"/>
  <c r="E2497" i="1"/>
  <c r="I2496" i="1"/>
  <c r="Q2489" i="1"/>
  <c r="P2489" i="1"/>
  <c r="O2489" i="1"/>
  <c r="N2489" i="1"/>
  <c r="M2489" i="1"/>
  <c r="L2489" i="1"/>
  <c r="K2489" i="1"/>
  <c r="J2489" i="1"/>
  <c r="H2489" i="1"/>
  <c r="F2489" i="1"/>
  <c r="E2489" i="1"/>
  <c r="Q2475" i="1"/>
  <c r="P2475" i="1"/>
  <c r="O2475" i="1"/>
  <c r="N2475" i="1"/>
  <c r="N2491" i="1" s="1"/>
  <c r="M2475" i="1"/>
  <c r="L2475" i="1"/>
  <c r="K2475" i="1"/>
  <c r="J2475" i="1"/>
  <c r="J2491" i="1" s="1"/>
  <c r="H2475" i="1"/>
  <c r="F2475" i="1"/>
  <c r="E2475" i="1"/>
  <c r="I2474" i="1"/>
  <c r="Q2470" i="1"/>
  <c r="P2470" i="1"/>
  <c r="O2470" i="1"/>
  <c r="N2470" i="1"/>
  <c r="M2470" i="1"/>
  <c r="L2470" i="1"/>
  <c r="K2470" i="1"/>
  <c r="J2470" i="1"/>
  <c r="H2470" i="1"/>
  <c r="F2470" i="1"/>
  <c r="E2470" i="1"/>
  <c r="Q2464" i="1"/>
  <c r="P2464" i="1"/>
  <c r="O2464" i="1"/>
  <c r="N2464" i="1"/>
  <c r="M2464" i="1"/>
  <c r="L2464" i="1"/>
  <c r="K2464" i="1"/>
  <c r="J2464" i="1"/>
  <c r="H2464" i="1"/>
  <c r="F2464" i="1"/>
  <c r="E2464" i="1"/>
  <c r="I2463" i="1"/>
  <c r="I2462" i="1"/>
  <c r="I2461" i="1"/>
  <c r="I2460" i="1"/>
  <c r="I2458" i="1"/>
  <c r="I2455" i="1"/>
  <c r="I2453" i="1"/>
  <c r="I2452" i="1"/>
  <c r="I2451" i="1"/>
  <c r="I2448" i="1"/>
  <c r="I2447" i="1"/>
  <c r="I2446" i="1"/>
  <c r="I2445" i="1"/>
  <c r="I2444" i="1"/>
  <c r="Q2441" i="1"/>
  <c r="P2441" i="1"/>
  <c r="O2441" i="1"/>
  <c r="N2441" i="1"/>
  <c r="M2441" i="1"/>
  <c r="L2441" i="1"/>
  <c r="K2441" i="1"/>
  <c r="J2441" i="1"/>
  <c r="H2441" i="1"/>
  <c r="F2441" i="1"/>
  <c r="E2441" i="1"/>
  <c r="I2439" i="1"/>
  <c r="I2438" i="1"/>
  <c r="Q2432" i="1"/>
  <c r="P2432" i="1"/>
  <c r="O2432" i="1"/>
  <c r="N2432" i="1"/>
  <c r="M2432" i="1"/>
  <c r="L2432" i="1"/>
  <c r="K2432" i="1"/>
  <c r="J2432" i="1"/>
  <c r="H2432" i="1"/>
  <c r="F2432" i="1"/>
  <c r="E2432" i="1"/>
  <c r="I2429" i="1"/>
  <c r="I2428" i="1"/>
  <c r="I2427" i="1"/>
  <c r="I2421" i="1"/>
  <c r="I2419" i="1"/>
  <c r="I2418" i="1"/>
  <c r="I2417" i="1"/>
  <c r="I2414" i="1"/>
  <c r="I2413" i="1"/>
  <c r="I2412" i="1"/>
  <c r="I2411" i="1"/>
  <c r="I2410" i="1"/>
  <c r="I2409" i="1"/>
  <c r="Q2406" i="1"/>
  <c r="P2406" i="1"/>
  <c r="O2406" i="1"/>
  <c r="N2406" i="1"/>
  <c r="M2406" i="1"/>
  <c r="L2406" i="1"/>
  <c r="K2406" i="1"/>
  <c r="J2406" i="1"/>
  <c r="H2406" i="1"/>
  <c r="F2406" i="1"/>
  <c r="E2406" i="1"/>
  <c r="I2404" i="1"/>
  <c r="Q2398" i="1"/>
  <c r="P2398" i="1"/>
  <c r="O2398" i="1"/>
  <c r="N2398" i="1"/>
  <c r="M2398" i="1"/>
  <c r="L2398" i="1"/>
  <c r="K2398" i="1"/>
  <c r="J2398" i="1"/>
  <c r="H2398" i="1"/>
  <c r="F2398" i="1"/>
  <c r="E2398" i="1"/>
  <c r="I2397" i="1"/>
  <c r="I2396" i="1"/>
  <c r="I2395" i="1"/>
  <c r="I2394" i="1"/>
  <c r="Q2391" i="1"/>
  <c r="P2391" i="1"/>
  <c r="O2391" i="1"/>
  <c r="N2391" i="1"/>
  <c r="M2391" i="1"/>
  <c r="L2391" i="1"/>
  <c r="K2391" i="1"/>
  <c r="J2391" i="1"/>
  <c r="H2391" i="1"/>
  <c r="F2391" i="1"/>
  <c r="E2391" i="1"/>
  <c r="I2390" i="1"/>
  <c r="I2388" i="1"/>
  <c r="I2387" i="1"/>
  <c r="Q2382" i="1"/>
  <c r="P2382" i="1"/>
  <c r="O2382" i="1"/>
  <c r="N2382" i="1"/>
  <c r="M2382" i="1"/>
  <c r="L2382" i="1"/>
  <c r="K2382" i="1"/>
  <c r="J2382" i="1"/>
  <c r="H2382" i="1"/>
  <c r="F2382" i="1"/>
  <c r="E2382" i="1"/>
  <c r="I2381" i="1"/>
  <c r="I2380" i="1"/>
  <c r="I2379" i="1"/>
  <c r="I2378" i="1"/>
  <c r="I2374" i="1"/>
  <c r="Q2371" i="1"/>
  <c r="P2371" i="1"/>
  <c r="O2371" i="1"/>
  <c r="N2371" i="1"/>
  <c r="M2371" i="1"/>
  <c r="L2371" i="1"/>
  <c r="K2371" i="1"/>
  <c r="J2371" i="1"/>
  <c r="H2371" i="1"/>
  <c r="F2371" i="1"/>
  <c r="E2371" i="1"/>
  <c r="I2370" i="1"/>
  <c r="I2369" i="1"/>
  <c r="Q2363" i="1"/>
  <c r="P2363" i="1"/>
  <c r="O2363" i="1"/>
  <c r="N2363" i="1"/>
  <c r="M2363" i="1"/>
  <c r="L2363" i="1"/>
  <c r="K2363" i="1"/>
  <c r="J2363" i="1"/>
  <c r="H2363" i="1"/>
  <c r="F2363" i="1"/>
  <c r="E2363" i="1"/>
  <c r="I2362" i="1"/>
  <c r="I2361" i="1"/>
  <c r="I2360" i="1"/>
  <c r="I2359" i="1"/>
  <c r="I2358" i="1"/>
  <c r="I2357" i="1"/>
  <c r="I2356" i="1"/>
  <c r="I2355" i="1"/>
  <c r="I2354" i="1"/>
  <c r="I2353" i="1"/>
  <c r="I2352" i="1"/>
  <c r="Q2349" i="1"/>
  <c r="P2349" i="1"/>
  <c r="O2349" i="1"/>
  <c r="N2349" i="1"/>
  <c r="M2349" i="1"/>
  <c r="L2349" i="1"/>
  <c r="K2349" i="1"/>
  <c r="J2349" i="1"/>
  <c r="H2349" i="1"/>
  <c r="F2349" i="1"/>
  <c r="E2349" i="1"/>
  <c r="I2348" i="1"/>
  <c r="I2347" i="1"/>
  <c r="I2346" i="1"/>
  <c r="Q2339" i="1"/>
  <c r="P2339" i="1"/>
  <c r="O2339" i="1"/>
  <c r="N2339" i="1"/>
  <c r="M2339" i="1"/>
  <c r="L2339" i="1"/>
  <c r="K2339" i="1"/>
  <c r="J2339" i="1"/>
  <c r="H2339" i="1"/>
  <c r="F2339" i="1"/>
  <c r="E2339" i="1"/>
  <c r="I2338" i="1"/>
  <c r="I2337" i="1"/>
  <c r="I2336" i="1"/>
  <c r="Q2333" i="1"/>
  <c r="P2333" i="1"/>
  <c r="O2333" i="1"/>
  <c r="N2333" i="1"/>
  <c r="M2333" i="1"/>
  <c r="L2333" i="1"/>
  <c r="K2333" i="1"/>
  <c r="J2333" i="1"/>
  <c r="H2333" i="1"/>
  <c r="F2333" i="1"/>
  <c r="E2333" i="1"/>
  <c r="I2332" i="1"/>
  <c r="I2331" i="1"/>
  <c r="I2329" i="1"/>
  <c r="I2328" i="1"/>
  <c r="I2327" i="1"/>
  <c r="I2326" i="1"/>
  <c r="Q2323" i="1"/>
  <c r="P2323" i="1"/>
  <c r="O2323" i="1"/>
  <c r="N2323" i="1"/>
  <c r="M2323" i="1"/>
  <c r="L2323" i="1"/>
  <c r="K2323" i="1"/>
  <c r="J2323" i="1"/>
  <c r="H2323" i="1"/>
  <c r="F2323" i="1"/>
  <c r="E2323" i="1"/>
  <c r="I2322" i="1"/>
  <c r="I2320" i="1"/>
  <c r="I2319" i="1"/>
  <c r="Q2311" i="1"/>
  <c r="P2311" i="1"/>
  <c r="O2311" i="1"/>
  <c r="N2311" i="1"/>
  <c r="M2311" i="1"/>
  <c r="L2311" i="1"/>
  <c r="K2311" i="1"/>
  <c r="J2311" i="1"/>
  <c r="H2311" i="1"/>
  <c r="F2311" i="1"/>
  <c r="E2311" i="1"/>
  <c r="I2309" i="1"/>
  <c r="I2308" i="1"/>
  <c r="I2307" i="1"/>
  <c r="I2306" i="1"/>
  <c r="Q2304" i="1"/>
  <c r="P2304" i="1"/>
  <c r="O2304" i="1"/>
  <c r="N2304" i="1"/>
  <c r="M2304" i="1"/>
  <c r="L2304" i="1"/>
  <c r="K2304" i="1"/>
  <c r="J2304" i="1"/>
  <c r="H2304" i="1"/>
  <c r="F2304" i="1"/>
  <c r="E2304" i="1"/>
  <c r="I2303" i="1"/>
  <c r="Q2301" i="1"/>
  <c r="P2301" i="1"/>
  <c r="O2301" i="1"/>
  <c r="N2301" i="1"/>
  <c r="M2301" i="1"/>
  <c r="L2301" i="1"/>
  <c r="K2301" i="1"/>
  <c r="J2301" i="1"/>
  <c r="H2301" i="1"/>
  <c r="F2301" i="1"/>
  <c r="E2301" i="1"/>
  <c r="I2300" i="1"/>
  <c r="I2299" i="1"/>
  <c r="I2298" i="1"/>
  <c r="I2297" i="1"/>
  <c r="I2296" i="1"/>
  <c r="Q2294" i="1"/>
  <c r="Q2312" i="1" s="1"/>
  <c r="P2294" i="1"/>
  <c r="P2312" i="1" s="1"/>
  <c r="O2294" i="1"/>
  <c r="N2294" i="1"/>
  <c r="M2294" i="1"/>
  <c r="M2312" i="1" s="1"/>
  <c r="L2294" i="1"/>
  <c r="L2312" i="1" s="1"/>
  <c r="K2294" i="1"/>
  <c r="J2294" i="1"/>
  <c r="H2294" i="1"/>
  <c r="H2312" i="1" s="1"/>
  <c r="F2294" i="1"/>
  <c r="F2312" i="1" s="1"/>
  <c r="E2294" i="1"/>
  <c r="I2293" i="1"/>
  <c r="Q2273" i="1"/>
  <c r="P2273" i="1"/>
  <c r="O2273" i="1"/>
  <c r="N2273" i="1"/>
  <c r="M2273" i="1"/>
  <c r="L2273" i="1"/>
  <c r="K2273" i="1"/>
  <c r="J2273" i="1"/>
  <c r="H2273" i="1"/>
  <c r="F2273" i="1"/>
  <c r="E2273" i="1"/>
  <c r="I2272" i="1"/>
  <c r="I2271" i="1"/>
  <c r="Q2267" i="1"/>
  <c r="P2267" i="1"/>
  <c r="O2267" i="1"/>
  <c r="N2267" i="1"/>
  <c r="M2267" i="1"/>
  <c r="L2267" i="1"/>
  <c r="K2267" i="1"/>
  <c r="J2267" i="1"/>
  <c r="H2267" i="1"/>
  <c r="F2267" i="1"/>
  <c r="E2267" i="1"/>
  <c r="I2266" i="1"/>
  <c r="I2265" i="1"/>
  <c r="I2263" i="1"/>
  <c r="I2262" i="1"/>
  <c r="I2261" i="1"/>
  <c r="I2260" i="1"/>
  <c r="I2259" i="1"/>
  <c r="I2258" i="1"/>
  <c r="I2257" i="1"/>
  <c r="I2256" i="1"/>
  <c r="I2255" i="1"/>
  <c r="I2254" i="1"/>
  <c r="I2253" i="1"/>
  <c r="I2252" i="1"/>
  <c r="I2250" i="1"/>
  <c r="Q2248" i="1"/>
  <c r="P2248" i="1"/>
  <c r="O2248" i="1"/>
  <c r="N2248" i="1"/>
  <c r="M2248" i="1"/>
  <c r="L2248" i="1"/>
  <c r="K2248" i="1"/>
  <c r="J2248" i="1"/>
  <c r="H2248" i="1"/>
  <c r="F2248" i="1"/>
  <c r="E2248" i="1"/>
  <c r="I2247" i="1"/>
  <c r="I2246" i="1"/>
  <c r="I2245" i="1"/>
  <c r="I2244" i="1"/>
  <c r="I2243" i="1"/>
  <c r="I2242" i="1"/>
  <c r="I2241" i="1"/>
  <c r="I2240" i="1"/>
  <c r="I2239" i="1"/>
  <c r="I2238" i="1"/>
  <c r="I2237" i="1"/>
  <c r="I2236" i="1"/>
  <c r="Q2234" i="1"/>
  <c r="P2234" i="1"/>
  <c r="O2234" i="1"/>
  <c r="N2234" i="1"/>
  <c r="M2234" i="1"/>
  <c r="L2234" i="1"/>
  <c r="K2234" i="1"/>
  <c r="J2234" i="1"/>
  <c r="H2234" i="1"/>
  <c r="F2234" i="1"/>
  <c r="E2234" i="1"/>
  <c r="I2233" i="1"/>
  <c r="I2232" i="1"/>
  <c r="I2231" i="1"/>
  <c r="I2230" i="1"/>
  <c r="I2229" i="1"/>
  <c r="I2228" i="1"/>
  <c r="I2227" i="1"/>
  <c r="I2226" i="1"/>
  <c r="I2225" i="1"/>
  <c r="Q2223" i="1"/>
  <c r="P2223" i="1"/>
  <c r="O2223" i="1"/>
  <c r="N2223" i="1"/>
  <c r="K2223" i="1"/>
  <c r="J2223" i="1"/>
  <c r="H2223" i="1"/>
  <c r="F2223" i="1"/>
  <c r="E2223" i="1"/>
  <c r="M2222" i="1"/>
  <c r="M2223" i="1" s="1"/>
  <c r="L2222" i="1"/>
  <c r="L2223" i="1" s="1"/>
  <c r="I2222" i="1"/>
  <c r="I2220" i="1"/>
  <c r="I2219" i="1"/>
  <c r="I2218" i="1"/>
  <c r="I2217" i="1"/>
  <c r="Q2212" i="1"/>
  <c r="P2212" i="1"/>
  <c r="O2212" i="1"/>
  <c r="N2212" i="1"/>
  <c r="M2212" i="1"/>
  <c r="L2212" i="1"/>
  <c r="K2212" i="1"/>
  <c r="J2212" i="1"/>
  <c r="H2212" i="1"/>
  <c r="F2212" i="1"/>
  <c r="E2212" i="1"/>
  <c r="I2210" i="1"/>
  <c r="I2209" i="1"/>
  <c r="I2207" i="1"/>
  <c r="Q2205" i="1"/>
  <c r="P2205" i="1"/>
  <c r="O2205" i="1"/>
  <c r="N2205" i="1"/>
  <c r="M2205" i="1"/>
  <c r="L2205" i="1"/>
  <c r="K2205" i="1"/>
  <c r="J2205" i="1"/>
  <c r="H2205" i="1"/>
  <c r="F2205" i="1"/>
  <c r="I2203" i="1"/>
  <c r="I2202" i="1"/>
  <c r="I2201" i="1"/>
  <c r="I2200" i="1"/>
  <c r="I2199" i="1"/>
  <c r="I2198" i="1"/>
  <c r="I2197" i="1"/>
  <c r="E2197" i="1"/>
  <c r="I2196" i="1"/>
  <c r="I2195" i="1"/>
  <c r="I2194" i="1"/>
  <c r="I2193" i="1"/>
  <c r="I2191" i="1"/>
  <c r="Q2189" i="1"/>
  <c r="P2189" i="1"/>
  <c r="O2189" i="1"/>
  <c r="N2189" i="1"/>
  <c r="M2189" i="1"/>
  <c r="L2189" i="1"/>
  <c r="K2189" i="1"/>
  <c r="J2189" i="1"/>
  <c r="H2189" i="1"/>
  <c r="F2189" i="1"/>
  <c r="E2189" i="1"/>
  <c r="I2188" i="1"/>
  <c r="I2187" i="1"/>
  <c r="I2186" i="1"/>
  <c r="I2185" i="1"/>
  <c r="I2184" i="1"/>
  <c r="I2183" i="1"/>
  <c r="I2182" i="1"/>
  <c r="I2181" i="1"/>
  <c r="I2180" i="1"/>
  <c r="I2179" i="1"/>
  <c r="I2178" i="1"/>
  <c r="Q2176" i="1"/>
  <c r="P2176" i="1"/>
  <c r="O2176" i="1"/>
  <c r="N2176" i="1"/>
  <c r="M2176" i="1"/>
  <c r="L2176" i="1"/>
  <c r="K2176" i="1"/>
  <c r="J2176" i="1"/>
  <c r="H2176" i="1"/>
  <c r="F2176" i="1"/>
  <c r="E2176" i="1"/>
  <c r="I2175" i="1"/>
  <c r="I2174" i="1"/>
  <c r="I2173" i="1"/>
  <c r="I2172" i="1"/>
  <c r="I2171" i="1"/>
  <c r="I2170" i="1"/>
  <c r="I2169" i="1"/>
  <c r="I2168" i="1"/>
  <c r="I2167" i="1"/>
  <c r="Q2165" i="1"/>
  <c r="P2165" i="1"/>
  <c r="O2165" i="1"/>
  <c r="N2165" i="1"/>
  <c r="M2165" i="1"/>
  <c r="L2165" i="1"/>
  <c r="K2165" i="1"/>
  <c r="J2165" i="1"/>
  <c r="H2165" i="1"/>
  <c r="F2165" i="1"/>
  <c r="E2165" i="1"/>
  <c r="I2163" i="1"/>
  <c r="I2162" i="1"/>
  <c r="I2161" i="1"/>
  <c r="I2160" i="1"/>
  <c r="Q2155" i="1"/>
  <c r="P2155" i="1"/>
  <c r="O2155" i="1"/>
  <c r="N2155" i="1"/>
  <c r="M2155" i="1"/>
  <c r="L2155" i="1"/>
  <c r="K2155" i="1"/>
  <c r="J2155" i="1"/>
  <c r="H2155" i="1"/>
  <c r="E2155" i="1"/>
  <c r="I2153" i="1"/>
  <c r="I2152" i="1"/>
  <c r="I2151" i="1"/>
  <c r="I2150" i="1"/>
  <c r="F2150" i="1"/>
  <c r="F2155" i="1" s="1"/>
  <c r="I2149" i="1"/>
  <c r="Q2147" i="1"/>
  <c r="P2147" i="1"/>
  <c r="O2147" i="1"/>
  <c r="N2147" i="1"/>
  <c r="M2147" i="1"/>
  <c r="L2147" i="1"/>
  <c r="K2147" i="1"/>
  <c r="J2147" i="1"/>
  <c r="H2147" i="1"/>
  <c r="F2147" i="1"/>
  <c r="E2147" i="1"/>
  <c r="I2145" i="1"/>
  <c r="I2142" i="1"/>
  <c r="I2141" i="1"/>
  <c r="I2140" i="1"/>
  <c r="I2139" i="1"/>
  <c r="I2138" i="1"/>
  <c r="I2137" i="1"/>
  <c r="I2136" i="1"/>
  <c r="I2135" i="1"/>
  <c r="I2133" i="1"/>
  <c r="Q2130" i="1"/>
  <c r="P2130" i="1"/>
  <c r="O2130" i="1"/>
  <c r="N2130" i="1"/>
  <c r="M2130" i="1"/>
  <c r="L2130" i="1"/>
  <c r="K2130" i="1"/>
  <c r="J2130" i="1"/>
  <c r="H2130" i="1"/>
  <c r="E2130" i="1"/>
  <c r="I2129" i="1"/>
  <c r="I2128" i="1"/>
  <c r="I2127" i="1"/>
  <c r="I2126" i="1"/>
  <c r="I2125" i="1"/>
  <c r="I2124" i="1"/>
  <c r="I2123" i="1"/>
  <c r="I2122" i="1"/>
  <c r="F2122" i="1"/>
  <c r="F2130" i="1" s="1"/>
  <c r="I2121" i="1"/>
  <c r="I2120" i="1"/>
  <c r="I2119" i="1"/>
  <c r="Q2117" i="1"/>
  <c r="P2117" i="1"/>
  <c r="O2117" i="1"/>
  <c r="N2117" i="1"/>
  <c r="M2117" i="1"/>
  <c r="L2117" i="1"/>
  <c r="K2117" i="1"/>
  <c r="J2117" i="1"/>
  <c r="H2117" i="1"/>
  <c r="F2117" i="1"/>
  <c r="E2117" i="1"/>
  <c r="I2116" i="1"/>
  <c r="I2115" i="1"/>
  <c r="I2114" i="1"/>
  <c r="I2113" i="1"/>
  <c r="I2112" i="1"/>
  <c r="I2111" i="1"/>
  <c r="I2110" i="1"/>
  <c r="I2109" i="1"/>
  <c r="I2108" i="1"/>
  <c r="Q2106" i="1"/>
  <c r="P2106" i="1"/>
  <c r="P2156" i="1" s="1"/>
  <c r="O2106" i="1"/>
  <c r="N2106" i="1"/>
  <c r="K2106" i="1"/>
  <c r="J2106" i="1"/>
  <c r="H2106" i="1"/>
  <c r="F2106" i="1"/>
  <c r="E2106" i="1"/>
  <c r="M2105" i="1"/>
  <c r="M2106" i="1" s="1"/>
  <c r="L2105" i="1"/>
  <c r="L2106" i="1" s="1"/>
  <c r="I2105" i="1"/>
  <c r="I2103" i="1"/>
  <c r="I2102" i="1"/>
  <c r="I2101" i="1"/>
  <c r="I2100" i="1"/>
  <c r="Q2095" i="1"/>
  <c r="P2095" i="1"/>
  <c r="O2095" i="1"/>
  <c r="N2095" i="1"/>
  <c r="M2095" i="1"/>
  <c r="L2095" i="1"/>
  <c r="K2095" i="1"/>
  <c r="J2095" i="1"/>
  <c r="H2095" i="1"/>
  <c r="E2095" i="1"/>
  <c r="I2094" i="1"/>
  <c r="F2094" i="1"/>
  <c r="I2093" i="1"/>
  <c r="F2093" i="1"/>
  <c r="I2092" i="1"/>
  <c r="F2092" i="1"/>
  <c r="I2091" i="1"/>
  <c r="Q2089" i="1"/>
  <c r="P2089" i="1"/>
  <c r="O2089" i="1"/>
  <c r="N2089" i="1"/>
  <c r="M2089" i="1"/>
  <c r="L2089" i="1"/>
  <c r="K2089" i="1"/>
  <c r="J2089" i="1"/>
  <c r="H2089" i="1"/>
  <c r="F2089" i="1"/>
  <c r="E2089" i="1"/>
  <c r="I2088" i="1"/>
  <c r="I2087" i="1"/>
  <c r="I2086" i="1"/>
  <c r="I2084" i="1"/>
  <c r="I2083" i="1"/>
  <c r="I2082" i="1"/>
  <c r="I2081" i="1"/>
  <c r="I2080" i="1"/>
  <c r="I2079" i="1"/>
  <c r="I2078" i="1"/>
  <c r="I2077" i="1"/>
  <c r="I2076" i="1"/>
  <c r="I2075" i="1"/>
  <c r="I2074" i="1"/>
  <c r="I2073" i="1"/>
  <c r="Q2071" i="1"/>
  <c r="P2071" i="1"/>
  <c r="O2071" i="1"/>
  <c r="N2071" i="1"/>
  <c r="M2071" i="1"/>
  <c r="L2071" i="1"/>
  <c r="K2071" i="1"/>
  <c r="J2071" i="1"/>
  <c r="H2071" i="1"/>
  <c r="E2071" i="1"/>
  <c r="I2070" i="1"/>
  <c r="I2069" i="1"/>
  <c r="I2068" i="1"/>
  <c r="I2067" i="1"/>
  <c r="I2066" i="1"/>
  <c r="I2065" i="1"/>
  <c r="I2064" i="1"/>
  <c r="I2063" i="1"/>
  <c r="F2063" i="1"/>
  <c r="F2071" i="1" s="1"/>
  <c r="I2062" i="1"/>
  <c r="I2061" i="1"/>
  <c r="I2060" i="1"/>
  <c r="I2059" i="1"/>
  <c r="Q2057" i="1"/>
  <c r="P2057" i="1"/>
  <c r="O2057" i="1"/>
  <c r="N2057" i="1"/>
  <c r="M2057" i="1"/>
  <c r="L2057" i="1"/>
  <c r="K2057" i="1"/>
  <c r="J2057" i="1"/>
  <c r="H2057" i="1"/>
  <c r="F2057" i="1"/>
  <c r="I2056" i="1"/>
  <c r="I2055" i="1"/>
  <c r="I2054" i="1"/>
  <c r="I2053" i="1"/>
  <c r="I2052" i="1"/>
  <c r="I2051" i="1"/>
  <c r="I2050" i="1"/>
  <c r="I2049" i="1"/>
  <c r="I2048" i="1"/>
  <c r="Q2046" i="1"/>
  <c r="P2046" i="1"/>
  <c r="O2046" i="1"/>
  <c r="N2046" i="1"/>
  <c r="M2046" i="1"/>
  <c r="L2046" i="1"/>
  <c r="K2046" i="1"/>
  <c r="J2046" i="1"/>
  <c r="H2046" i="1"/>
  <c r="F2046" i="1"/>
  <c r="E2046" i="1"/>
  <c r="I2045" i="1"/>
  <c r="I2044" i="1"/>
  <c r="I2043" i="1"/>
  <c r="I2042" i="1"/>
  <c r="Q2037" i="1"/>
  <c r="P2037" i="1"/>
  <c r="O2037" i="1"/>
  <c r="N2037" i="1"/>
  <c r="M2037" i="1"/>
  <c r="L2037" i="1"/>
  <c r="K2037" i="1"/>
  <c r="J2037" i="1"/>
  <c r="H2037" i="1"/>
  <c r="F2037" i="1"/>
  <c r="E2037" i="1"/>
  <c r="I2035" i="1"/>
  <c r="Q2033" i="1"/>
  <c r="P2033" i="1"/>
  <c r="O2033" i="1"/>
  <c r="N2033" i="1"/>
  <c r="M2033" i="1"/>
  <c r="L2033" i="1"/>
  <c r="K2033" i="1"/>
  <c r="J2033" i="1"/>
  <c r="H2033" i="1"/>
  <c r="F2033" i="1"/>
  <c r="E2033" i="1"/>
  <c r="I2030" i="1"/>
  <c r="I2029" i="1"/>
  <c r="I2028" i="1"/>
  <c r="Q2026" i="1"/>
  <c r="P2026" i="1"/>
  <c r="O2026" i="1"/>
  <c r="N2026" i="1"/>
  <c r="M2026" i="1"/>
  <c r="L2026" i="1"/>
  <c r="K2026" i="1"/>
  <c r="J2026" i="1"/>
  <c r="H2026" i="1"/>
  <c r="F2026" i="1"/>
  <c r="E2026" i="1"/>
  <c r="I2024" i="1"/>
  <c r="Q2018" i="1"/>
  <c r="P2018" i="1"/>
  <c r="O2018" i="1"/>
  <c r="N2018" i="1"/>
  <c r="M2018" i="1"/>
  <c r="L2018" i="1"/>
  <c r="K2018" i="1"/>
  <c r="J2018" i="1"/>
  <c r="H2018" i="1"/>
  <c r="F2018" i="1"/>
  <c r="E2018" i="1"/>
  <c r="I2017" i="1"/>
  <c r="I2014" i="1"/>
  <c r="Q2012" i="1"/>
  <c r="P2012" i="1"/>
  <c r="O2012" i="1"/>
  <c r="N2012" i="1"/>
  <c r="M2012" i="1"/>
  <c r="L2012" i="1"/>
  <c r="K2012" i="1"/>
  <c r="J2012" i="1"/>
  <c r="H2012" i="1"/>
  <c r="F2012" i="1"/>
  <c r="E2012" i="1"/>
  <c r="I2011" i="1"/>
  <c r="I2010" i="1"/>
  <c r="I2009" i="1"/>
  <c r="I2008" i="1"/>
  <c r="Q2006" i="1"/>
  <c r="P2006" i="1"/>
  <c r="O2006" i="1"/>
  <c r="N2006" i="1"/>
  <c r="M2006" i="1"/>
  <c r="L2006" i="1"/>
  <c r="K2006" i="1"/>
  <c r="J2006" i="1"/>
  <c r="H2006" i="1"/>
  <c r="F2006" i="1"/>
  <c r="E2006" i="1"/>
  <c r="I2005" i="1"/>
  <c r="I2003" i="1"/>
  <c r="I2002" i="1"/>
  <c r="I2000" i="1"/>
  <c r="Q1998" i="1"/>
  <c r="P1998" i="1"/>
  <c r="O1998" i="1"/>
  <c r="N1998" i="1"/>
  <c r="M1998" i="1"/>
  <c r="L1998" i="1"/>
  <c r="K1998" i="1"/>
  <c r="J1998" i="1"/>
  <c r="H1998" i="1"/>
  <c r="F1998" i="1"/>
  <c r="E1998" i="1"/>
  <c r="I1997" i="1"/>
  <c r="I1996" i="1"/>
  <c r="I1995" i="1"/>
  <c r="I1994" i="1"/>
  <c r="Q1987" i="1"/>
  <c r="P1987" i="1"/>
  <c r="O1987" i="1"/>
  <c r="N1987" i="1"/>
  <c r="M1987" i="1"/>
  <c r="L1987" i="1"/>
  <c r="K1987" i="1"/>
  <c r="J1987" i="1"/>
  <c r="H1987" i="1"/>
  <c r="F1987" i="1"/>
  <c r="E1987" i="1"/>
  <c r="I1986" i="1"/>
  <c r="I1985" i="1"/>
  <c r="I1984" i="1"/>
  <c r="I1983" i="1"/>
  <c r="I1982" i="1"/>
  <c r="I1981" i="1"/>
  <c r="Q1978" i="1"/>
  <c r="P1978" i="1"/>
  <c r="O1978" i="1"/>
  <c r="N1978" i="1"/>
  <c r="M1978" i="1"/>
  <c r="L1978" i="1"/>
  <c r="K1978" i="1"/>
  <c r="J1978" i="1"/>
  <c r="H1978" i="1"/>
  <c r="F1978" i="1"/>
  <c r="E1978" i="1"/>
  <c r="I1977" i="1"/>
  <c r="I1973" i="1"/>
  <c r="Q1969" i="1"/>
  <c r="P1969" i="1"/>
  <c r="O1969" i="1"/>
  <c r="N1969" i="1"/>
  <c r="M1969" i="1"/>
  <c r="L1969" i="1"/>
  <c r="K1969" i="1"/>
  <c r="J1969" i="1"/>
  <c r="H1969" i="1"/>
  <c r="F1969" i="1"/>
  <c r="E1969" i="1"/>
  <c r="I1968" i="1"/>
  <c r="Q1961" i="1"/>
  <c r="P1961" i="1"/>
  <c r="O1961" i="1"/>
  <c r="N1961" i="1"/>
  <c r="M1961" i="1"/>
  <c r="L1961" i="1"/>
  <c r="K1961" i="1"/>
  <c r="J1961" i="1"/>
  <c r="H1961" i="1"/>
  <c r="F1961" i="1"/>
  <c r="E1961" i="1"/>
  <c r="I1960" i="1"/>
  <c r="I1959" i="1"/>
  <c r="I1958" i="1"/>
  <c r="I1957" i="1"/>
  <c r="Q1950" i="1"/>
  <c r="P1950" i="1"/>
  <c r="O1950" i="1"/>
  <c r="N1950" i="1"/>
  <c r="M1950" i="1"/>
  <c r="L1950" i="1"/>
  <c r="K1950" i="1"/>
  <c r="J1950" i="1"/>
  <c r="H1950" i="1"/>
  <c r="F1950" i="1"/>
  <c r="E1950" i="1"/>
  <c r="I1949" i="1"/>
  <c r="I1948" i="1"/>
  <c r="I1946" i="1"/>
  <c r="Q1942" i="1"/>
  <c r="P1942" i="1"/>
  <c r="O1942" i="1"/>
  <c r="N1942" i="1"/>
  <c r="M1942" i="1"/>
  <c r="L1942" i="1"/>
  <c r="K1942" i="1"/>
  <c r="J1942" i="1"/>
  <c r="H1942" i="1"/>
  <c r="F1942" i="1"/>
  <c r="E1942" i="1"/>
  <c r="I1941" i="1"/>
  <c r="I1940" i="1"/>
  <c r="I1939" i="1"/>
  <c r="I1938" i="1"/>
  <c r="Q1936" i="1"/>
  <c r="P1936" i="1"/>
  <c r="O1936" i="1"/>
  <c r="N1936" i="1"/>
  <c r="M1936" i="1"/>
  <c r="L1936" i="1"/>
  <c r="K1936" i="1"/>
  <c r="J1936" i="1"/>
  <c r="H1936" i="1"/>
  <c r="F1936" i="1"/>
  <c r="I1934" i="1"/>
  <c r="I1933" i="1"/>
  <c r="I1931" i="1"/>
  <c r="I1930" i="1"/>
  <c r="I1929" i="1"/>
  <c r="E1929" i="1"/>
  <c r="Q1927" i="1"/>
  <c r="P1927" i="1"/>
  <c r="O1927" i="1"/>
  <c r="N1927" i="1"/>
  <c r="M1927" i="1"/>
  <c r="L1927" i="1"/>
  <c r="K1927" i="1"/>
  <c r="J1927" i="1"/>
  <c r="H1927" i="1"/>
  <c r="F1927" i="1"/>
  <c r="E1927" i="1"/>
  <c r="I1926" i="1"/>
  <c r="I1925" i="1"/>
  <c r="I1924" i="1"/>
  <c r="I1923" i="1"/>
  <c r="I1922" i="1"/>
  <c r="I1921" i="1"/>
  <c r="Q1919" i="1"/>
  <c r="Q1943" i="1" s="1"/>
  <c r="P1919" i="1"/>
  <c r="O1919" i="1"/>
  <c r="N1919" i="1"/>
  <c r="M1919" i="1"/>
  <c r="M1943" i="1" s="1"/>
  <c r="L1919" i="1"/>
  <c r="K1919" i="1"/>
  <c r="J1919" i="1"/>
  <c r="H1919" i="1"/>
  <c r="H1943" i="1" s="1"/>
  <c r="F1919" i="1"/>
  <c r="E1919" i="1"/>
  <c r="I1918" i="1"/>
  <c r="I1917" i="1"/>
  <c r="Q1913" i="1"/>
  <c r="P1913" i="1"/>
  <c r="O1913" i="1"/>
  <c r="N1913" i="1"/>
  <c r="M1913" i="1"/>
  <c r="L1913" i="1"/>
  <c r="K1913" i="1"/>
  <c r="J1913" i="1"/>
  <c r="H1913" i="1"/>
  <c r="F1913" i="1"/>
  <c r="E1913" i="1"/>
  <c r="I1912" i="1"/>
  <c r="I1910" i="1"/>
  <c r="I1909" i="1"/>
  <c r="Q1907" i="1"/>
  <c r="P1907" i="1"/>
  <c r="O1907" i="1"/>
  <c r="N1907" i="1"/>
  <c r="M1907" i="1"/>
  <c r="L1907" i="1"/>
  <c r="K1907" i="1"/>
  <c r="J1907" i="1"/>
  <c r="H1907" i="1"/>
  <c r="F1907" i="1"/>
  <c r="E1907" i="1"/>
  <c r="I1904" i="1"/>
  <c r="I1903" i="1"/>
  <c r="I1902" i="1"/>
  <c r="Q1900" i="1"/>
  <c r="P1900" i="1"/>
  <c r="O1900" i="1"/>
  <c r="N1900" i="1"/>
  <c r="M1900" i="1"/>
  <c r="L1900" i="1"/>
  <c r="K1900" i="1"/>
  <c r="J1900" i="1"/>
  <c r="H1900" i="1"/>
  <c r="F1900" i="1"/>
  <c r="E1900" i="1"/>
  <c r="I1899" i="1"/>
  <c r="I1898" i="1"/>
  <c r="I1897" i="1"/>
  <c r="Q1895" i="1"/>
  <c r="P1895" i="1"/>
  <c r="O1895" i="1"/>
  <c r="N1895" i="1"/>
  <c r="M1895" i="1"/>
  <c r="L1895" i="1"/>
  <c r="K1895" i="1"/>
  <c r="J1895" i="1"/>
  <c r="H1895" i="1"/>
  <c r="F1895" i="1"/>
  <c r="E1895" i="1"/>
  <c r="I1894" i="1"/>
  <c r="Q1891" i="1"/>
  <c r="P1891" i="1"/>
  <c r="O1891" i="1"/>
  <c r="N1891" i="1"/>
  <c r="M1891" i="1"/>
  <c r="L1891" i="1"/>
  <c r="K1891" i="1"/>
  <c r="J1891" i="1"/>
  <c r="H1891" i="1"/>
  <c r="F1891" i="1"/>
  <c r="E1891" i="1"/>
  <c r="I1890" i="1"/>
  <c r="Q1886" i="1"/>
  <c r="P1886" i="1"/>
  <c r="O1886" i="1"/>
  <c r="N1886" i="1"/>
  <c r="M1886" i="1"/>
  <c r="L1886" i="1"/>
  <c r="K1886" i="1"/>
  <c r="J1886" i="1"/>
  <c r="H1886" i="1"/>
  <c r="F1886" i="1"/>
  <c r="E1886" i="1"/>
  <c r="I1885" i="1"/>
  <c r="I1884" i="1"/>
  <c r="Q1882" i="1"/>
  <c r="P1882" i="1"/>
  <c r="O1882" i="1"/>
  <c r="N1882" i="1"/>
  <c r="M1882" i="1"/>
  <c r="L1882" i="1"/>
  <c r="K1882" i="1"/>
  <c r="H1882" i="1"/>
  <c r="F1882" i="1"/>
  <c r="E1882" i="1"/>
  <c r="I1881" i="1"/>
  <c r="I1880" i="1"/>
  <c r="J1879" i="1"/>
  <c r="J1882" i="1" s="1"/>
  <c r="Q1877" i="1"/>
  <c r="P1877" i="1"/>
  <c r="O1877" i="1"/>
  <c r="N1877" i="1"/>
  <c r="M1877" i="1"/>
  <c r="L1877" i="1"/>
  <c r="K1877" i="1"/>
  <c r="J1877" i="1"/>
  <c r="H1877" i="1"/>
  <c r="F1877" i="1"/>
  <c r="E1877" i="1"/>
  <c r="I1876" i="1"/>
  <c r="I1875" i="1"/>
  <c r="I1874" i="1"/>
  <c r="I1873" i="1"/>
  <c r="I1872" i="1"/>
  <c r="Q1870" i="1"/>
  <c r="Q1887" i="1" s="1"/>
  <c r="P1870" i="1"/>
  <c r="O1870" i="1"/>
  <c r="N1870" i="1"/>
  <c r="M1870" i="1"/>
  <c r="M1887" i="1" s="1"/>
  <c r="L1870" i="1"/>
  <c r="K1870" i="1"/>
  <c r="J1870" i="1"/>
  <c r="H1870" i="1"/>
  <c r="H1887" i="1" s="1"/>
  <c r="F1870" i="1"/>
  <c r="E1870" i="1"/>
  <c r="I1869" i="1"/>
  <c r="I1867" i="1"/>
  <c r="I1866" i="1"/>
  <c r="I1865" i="1"/>
  <c r="Q1861" i="1"/>
  <c r="P1861" i="1"/>
  <c r="O1861" i="1"/>
  <c r="N1861" i="1"/>
  <c r="M1861" i="1"/>
  <c r="L1861" i="1"/>
  <c r="K1861" i="1"/>
  <c r="J1861" i="1"/>
  <c r="H1861" i="1"/>
  <c r="F1861" i="1"/>
  <c r="E1861" i="1"/>
  <c r="I1860" i="1"/>
  <c r="I1859" i="1"/>
  <c r="I1858" i="1"/>
  <c r="I1857" i="1"/>
  <c r="Q1855" i="1"/>
  <c r="P1855" i="1"/>
  <c r="O1855" i="1"/>
  <c r="N1855" i="1"/>
  <c r="M1855" i="1"/>
  <c r="L1855" i="1"/>
  <c r="K1855" i="1"/>
  <c r="J1855" i="1"/>
  <c r="H1855" i="1"/>
  <c r="F1855" i="1"/>
  <c r="E1855" i="1"/>
  <c r="I1853" i="1"/>
  <c r="I1852" i="1"/>
  <c r="I1851" i="1"/>
  <c r="Q1849" i="1"/>
  <c r="P1849" i="1"/>
  <c r="O1849" i="1"/>
  <c r="N1849" i="1"/>
  <c r="M1849" i="1"/>
  <c r="L1849" i="1"/>
  <c r="K1849" i="1"/>
  <c r="J1849" i="1"/>
  <c r="H1849" i="1"/>
  <c r="F1849" i="1"/>
  <c r="I1848" i="1"/>
  <c r="I1847" i="1"/>
  <c r="I1846" i="1"/>
  <c r="I1845" i="1"/>
  <c r="I1844" i="1"/>
  <c r="Q1842" i="1"/>
  <c r="P1842" i="1"/>
  <c r="O1842" i="1"/>
  <c r="N1842" i="1"/>
  <c r="M1842" i="1"/>
  <c r="L1842" i="1"/>
  <c r="K1842" i="1"/>
  <c r="J1842" i="1"/>
  <c r="H1842" i="1"/>
  <c r="F1842" i="1"/>
  <c r="I1841" i="1"/>
  <c r="I1840" i="1"/>
  <c r="Q1836" i="1"/>
  <c r="P1836" i="1"/>
  <c r="O1836" i="1"/>
  <c r="N1836" i="1"/>
  <c r="M1836" i="1"/>
  <c r="L1836" i="1"/>
  <c r="K1836" i="1"/>
  <c r="J1836" i="1"/>
  <c r="H1836" i="1"/>
  <c r="F1836" i="1"/>
  <c r="E1836" i="1"/>
  <c r="Q1833" i="1"/>
  <c r="P1833" i="1"/>
  <c r="O1833" i="1"/>
  <c r="N1833" i="1"/>
  <c r="M1833" i="1"/>
  <c r="L1833" i="1"/>
  <c r="K1833" i="1"/>
  <c r="J1833" i="1"/>
  <c r="H1833" i="1"/>
  <c r="F1833" i="1"/>
  <c r="E1833" i="1"/>
  <c r="I1832" i="1"/>
  <c r="I1828" i="1"/>
  <c r="I1827" i="1"/>
  <c r="Q1825" i="1"/>
  <c r="P1825" i="1"/>
  <c r="O1825" i="1"/>
  <c r="N1825" i="1"/>
  <c r="M1825" i="1"/>
  <c r="L1825" i="1"/>
  <c r="K1825" i="1"/>
  <c r="J1825" i="1"/>
  <c r="H1825" i="1"/>
  <c r="F1825" i="1"/>
  <c r="E1825" i="1"/>
  <c r="I1824" i="1"/>
  <c r="I1823" i="1"/>
  <c r="I1822" i="1"/>
  <c r="I1821" i="1"/>
  <c r="I1820" i="1"/>
  <c r="Q1818" i="1"/>
  <c r="P1818" i="1"/>
  <c r="P1837" i="1" s="1"/>
  <c r="O1818" i="1"/>
  <c r="N1818" i="1"/>
  <c r="M1818" i="1"/>
  <c r="L1818" i="1"/>
  <c r="L1837" i="1" s="1"/>
  <c r="K1818" i="1"/>
  <c r="J1818" i="1"/>
  <c r="H1818" i="1"/>
  <c r="F1818" i="1"/>
  <c r="F1837" i="1" s="1"/>
  <c r="E1818" i="1"/>
  <c r="I1817" i="1"/>
  <c r="I1816" i="1"/>
  <c r="Q1812" i="1"/>
  <c r="P1812" i="1"/>
  <c r="O1812" i="1"/>
  <c r="N1812" i="1"/>
  <c r="M1812" i="1"/>
  <c r="L1812" i="1"/>
  <c r="K1812" i="1"/>
  <c r="J1812" i="1"/>
  <c r="H1812" i="1"/>
  <c r="F1812" i="1"/>
  <c r="Q1809" i="1"/>
  <c r="P1809" i="1"/>
  <c r="O1809" i="1"/>
  <c r="N1809" i="1"/>
  <c r="M1809" i="1"/>
  <c r="L1809" i="1"/>
  <c r="K1809" i="1"/>
  <c r="J1809" i="1"/>
  <c r="H1809" i="1"/>
  <c r="F1809" i="1"/>
  <c r="E1809" i="1"/>
  <c r="I1808" i="1"/>
  <c r="I1807" i="1"/>
  <c r="I1806" i="1"/>
  <c r="I1805" i="1"/>
  <c r="I1803" i="1"/>
  <c r="I1802" i="1"/>
  <c r="I1800" i="1"/>
  <c r="Q1798" i="1"/>
  <c r="P1798" i="1"/>
  <c r="O1798" i="1"/>
  <c r="N1798" i="1"/>
  <c r="M1798" i="1"/>
  <c r="L1798" i="1"/>
  <c r="K1798" i="1"/>
  <c r="J1798" i="1"/>
  <c r="H1798" i="1"/>
  <c r="F1798" i="1"/>
  <c r="E1798" i="1"/>
  <c r="I1797" i="1"/>
  <c r="I1795" i="1"/>
  <c r="I1794" i="1"/>
  <c r="I1793" i="1"/>
  <c r="I1792" i="1"/>
  <c r="I1790" i="1"/>
  <c r="I1789" i="1"/>
  <c r="Q1787" i="1"/>
  <c r="P1787" i="1"/>
  <c r="O1787" i="1"/>
  <c r="N1787" i="1"/>
  <c r="M1787" i="1"/>
  <c r="L1787" i="1"/>
  <c r="K1787" i="1"/>
  <c r="J1787" i="1"/>
  <c r="H1787" i="1"/>
  <c r="F1787" i="1"/>
  <c r="E1787" i="1"/>
  <c r="I1786" i="1"/>
  <c r="I1785" i="1"/>
  <c r="I1784" i="1"/>
  <c r="I1783" i="1"/>
  <c r="I1782" i="1"/>
  <c r="I1781" i="1"/>
  <c r="Q1779" i="1"/>
  <c r="P1779" i="1"/>
  <c r="L1779" i="1"/>
  <c r="K1779" i="1"/>
  <c r="J1779" i="1"/>
  <c r="H1779" i="1"/>
  <c r="F1779" i="1"/>
  <c r="E1779" i="1"/>
  <c r="O1778" i="1"/>
  <c r="O1779" i="1" s="1"/>
  <c r="N1778" i="1"/>
  <c r="N1779" i="1" s="1"/>
  <c r="M1778" i="1"/>
  <c r="M1779" i="1" s="1"/>
  <c r="I1778" i="1"/>
  <c r="I1776" i="1"/>
  <c r="I1775" i="1"/>
  <c r="I1774" i="1"/>
  <c r="Q1770" i="1"/>
  <c r="P1770" i="1"/>
  <c r="O1770" i="1"/>
  <c r="N1770" i="1"/>
  <c r="M1770" i="1"/>
  <c r="L1770" i="1"/>
  <c r="K1770" i="1"/>
  <c r="J1770" i="1"/>
  <c r="H1770" i="1"/>
  <c r="F1770" i="1"/>
  <c r="E1770" i="1"/>
  <c r="I1769" i="1"/>
  <c r="I1768" i="1"/>
  <c r="I1767" i="1"/>
  <c r="I1766" i="1"/>
  <c r="I1765" i="1"/>
  <c r="I1764" i="1"/>
  <c r="I1763" i="1"/>
  <c r="I1762" i="1"/>
  <c r="Q1760" i="1"/>
  <c r="P1760" i="1"/>
  <c r="O1760" i="1"/>
  <c r="N1760" i="1"/>
  <c r="M1760" i="1"/>
  <c r="L1760" i="1"/>
  <c r="K1760" i="1"/>
  <c r="J1760" i="1"/>
  <c r="H1760" i="1"/>
  <c r="F1760" i="1"/>
  <c r="E1760" i="1"/>
  <c r="I1759" i="1"/>
  <c r="I1757" i="1"/>
  <c r="I1756" i="1"/>
  <c r="I1755" i="1"/>
  <c r="Q1753" i="1"/>
  <c r="P1753" i="1"/>
  <c r="O1753" i="1"/>
  <c r="N1753" i="1"/>
  <c r="M1753" i="1"/>
  <c r="L1753" i="1"/>
  <c r="K1753" i="1"/>
  <c r="J1753" i="1"/>
  <c r="H1753" i="1"/>
  <c r="F1753" i="1"/>
  <c r="E1753" i="1"/>
  <c r="I1752" i="1"/>
  <c r="I1751" i="1"/>
  <c r="I1750" i="1"/>
  <c r="I1749" i="1"/>
  <c r="I1748" i="1"/>
  <c r="Q1746" i="1"/>
  <c r="P1746" i="1"/>
  <c r="O1746" i="1"/>
  <c r="N1746" i="1"/>
  <c r="M1746" i="1"/>
  <c r="L1746" i="1"/>
  <c r="K1746" i="1"/>
  <c r="J1746" i="1"/>
  <c r="H1746" i="1"/>
  <c r="F1746" i="1"/>
  <c r="E1746" i="1"/>
  <c r="I1745" i="1"/>
  <c r="I1744" i="1"/>
  <c r="E1716" i="1"/>
  <c r="Q1710" i="1"/>
  <c r="P1710" i="1"/>
  <c r="O1710" i="1"/>
  <c r="N1710" i="1"/>
  <c r="M1710" i="1"/>
  <c r="L1710" i="1"/>
  <c r="K1710" i="1"/>
  <c r="J1710" i="1"/>
  <c r="H1710" i="1"/>
  <c r="F1710" i="1"/>
  <c r="I1709" i="1"/>
  <c r="I1708" i="1"/>
  <c r="E1708" i="1"/>
  <c r="I1707" i="1"/>
  <c r="Q1705" i="1"/>
  <c r="P1705" i="1"/>
  <c r="O1705" i="1"/>
  <c r="N1705" i="1"/>
  <c r="M1705" i="1"/>
  <c r="L1705" i="1"/>
  <c r="K1705" i="1"/>
  <c r="J1705" i="1"/>
  <c r="H1705" i="1"/>
  <c r="F1705" i="1"/>
  <c r="E1705" i="1"/>
  <c r="I1704" i="1"/>
  <c r="I1703" i="1"/>
  <c r="I1702" i="1"/>
  <c r="I1701" i="1"/>
  <c r="I1700" i="1"/>
  <c r="I1699" i="1"/>
  <c r="I1698" i="1"/>
  <c r="Q1696" i="1"/>
  <c r="P1696" i="1"/>
  <c r="O1696" i="1"/>
  <c r="N1696" i="1"/>
  <c r="M1696" i="1"/>
  <c r="L1696" i="1"/>
  <c r="K1696" i="1"/>
  <c r="J1696" i="1"/>
  <c r="H1696" i="1"/>
  <c r="F1696" i="1"/>
  <c r="E1696" i="1"/>
  <c r="I1694" i="1"/>
  <c r="I1693" i="1"/>
  <c r="I1692" i="1"/>
  <c r="I1691" i="1"/>
  <c r="I1690" i="1"/>
  <c r="I1689" i="1"/>
  <c r="I1687" i="1"/>
  <c r="I1686" i="1"/>
  <c r="Q1684" i="1"/>
  <c r="P1684" i="1"/>
  <c r="O1684" i="1"/>
  <c r="N1684" i="1"/>
  <c r="M1684" i="1"/>
  <c r="L1684" i="1"/>
  <c r="K1684" i="1"/>
  <c r="J1684" i="1"/>
  <c r="H1684" i="1"/>
  <c r="F1684" i="1"/>
  <c r="E1684" i="1"/>
  <c r="I1683" i="1"/>
  <c r="I1682" i="1"/>
  <c r="I1681" i="1"/>
  <c r="I1680" i="1"/>
  <c r="I1679" i="1"/>
  <c r="Q1677" i="1"/>
  <c r="P1677" i="1"/>
  <c r="O1677" i="1"/>
  <c r="N1677" i="1"/>
  <c r="M1677" i="1"/>
  <c r="L1677" i="1"/>
  <c r="K1677" i="1"/>
  <c r="J1677" i="1"/>
  <c r="H1677" i="1"/>
  <c r="F1677" i="1"/>
  <c r="E1677" i="1"/>
  <c r="I1675" i="1"/>
  <c r="I1674" i="1"/>
  <c r="Q1670" i="1"/>
  <c r="P1670" i="1"/>
  <c r="O1670" i="1"/>
  <c r="N1670" i="1"/>
  <c r="M1670" i="1"/>
  <c r="L1670" i="1"/>
  <c r="K1670" i="1"/>
  <c r="J1670" i="1"/>
  <c r="H1670" i="1"/>
  <c r="F1670" i="1"/>
  <c r="E1670" i="1"/>
  <c r="I1669" i="1"/>
  <c r="I1668" i="1"/>
  <c r="I1667" i="1"/>
  <c r="I1666" i="1"/>
  <c r="I1665" i="1"/>
  <c r="I1664" i="1"/>
  <c r="Q1662" i="1"/>
  <c r="P1662" i="1"/>
  <c r="O1662" i="1"/>
  <c r="N1662" i="1"/>
  <c r="M1662" i="1"/>
  <c r="L1662" i="1"/>
  <c r="K1662" i="1"/>
  <c r="J1662" i="1"/>
  <c r="H1662" i="1"/>
  <c r="F1662" i="1"/>
  <c r="E1662" i="1"/>
  <c r="I1659" i="1"/>
  <c r="Q1654" i="1"/>
  <c r="P1654" i="1"/>
  <c r="O1654" i="1"/>
  <c r="N1654" i="1"/>
  <c r="M1654" i="1"/>
  <c r="L1654" i="1"/>
  <c r="K1654" i="1"/>
  <c r="J1654" i="1"/>
  <c r="H1654" i="1"/>
  <c r="F1654" i="1"/>
  <c r="E1654" i="1"/>
  <c r="I1653" i="1"/>
  <c r="I1652" i="1"/>
  <c r="Q1650" i="1"/>
  <c r="P1650" i="1"/>
  <c r="O1650" i="1"/>
  <c r="N1650" i="1"/>
  <c r="M1650" i="1"/>
  <c r="L1650" i="1"/>
  <c r="K1650" i="1"/>
  <c r="J1650" i="1"/>
  <c r="H1650" i="1"/>
  <c r="F1650" i="1"/>
  <c r="E1650" i="1"/>
  <c r="I1649" i="1"/>
  <c r="I1648" i="1"/>
  <c r="I1647" i="1"/>
  <c r="I1646" i="1"/>
  <c r="I1645" i="1"/>
  <c r="I1644" i="1"/>
  <c r="I1643" i="1"/>
  <c r="Q1641" i="1"/>
  <c r="P1641" i="1"/>
  <c r="O1641" i="1"/>
  <c r="N1641" i="1"/>
  <c r="M1641" i="1"/>
  <c r="L1641" i="1"/>
  <c r="K1641" i="1"/>
  <c r="J1641" i="1"/>
  <c r="H1641" i="1"/>
  <c r="F1641" i="1"/>
  <c r="E1641" i="1"/>
  <c r="I1640" i="1"/>
  <c r="I1639" i="1"/>
  <c r="I1638" i="1"/>
  <c r="I1637" i="1"/>
  <c r="I1636" i="1"/>
  <c r="I1635" i="1"/>
  <c r="I1634" i="1"/>
  <c r="I1633" i="1"/>
  <c r="Q1631" i="1"/>
  <c r="P1631" i="1"/>
  <c r="O1631" i="1"/>
  <c r="N1631" i="1"/>
  <c r="M1631" i="1"/>
  <c r="L1631" i="1"/>
  <c r="K1631" i="1"/>
  <c r="J1631" i="1"/>
  <c r="H1631" i="1"/>
  <c r="F1631" i="1"/>
  <c r="E1631" i="1"/>
  <c r="I1630" i="1"/>
  <c r="I1629" i="1"/>
  <c r="I1628" i="1"/>
  <c r="I1627" i="1"/>
  <c r="I1626" i="1"/>
  <c r="I1625" i="1"/>
  <c r="Q1623" i="1"/>
  <c r="P1623" i="1"/>
  <c r="O1623" i="1"/>
  <c r="N1623" i="1"/>
  <c r="M1623" i="1"/>
  <c r="L1623" i="1"/>
  <c r="K1623" i="1"/>
  <c r="J1623" i="1"/>
  <c r="H1623" i="1"/>
  <c r="F1623" i="1"/>
  <c r="E1623" i="1"/>
  <c r="I1622" i="1"/>
  <c r="I1621" i="1"/>
  <c r="I1620" i="1"/>
  <c r="I1619" i="1"/>
  <c r="I1618" i="1"/>
  <c r="M1614" i="1"/>
  <c r="L1614" i="1"/>
  <c r="K1614" i="1"/>
  <c r="J1614" i="1"/>
  <c r="H1614" i="1"/>
  <c r="F1614" i="1"/>
  <c r="E1614" i="1"/>
  <c r="Q1610" i="1"/>
  <c r="P1610" i="1"/>
  <c r="O1610" i="1"/>
  <c r="N1610" i="1"/>
  <c r="M1610" i="1"/>
  <c r="L1610" i="1"/>
  <c r="K1610" i="1"/>
  <c r="J1610" i="1"/>
  <c r="H1610" i="1"/>
  <c r="F1610" i="1"/>
  <c r="E1610" i="1"/>
  <c r="Q1603" i="1"/>
  <c r="P1603" i="1"/>
  <c r="O1603" i="1"/>
  <c r="N1603" i="1"/>
  <c r="M1603" i="1"/>
  <c r="L1603" i="1"/>
  <c r="K1603" i="1"/>
  <c r="J1603" i="1"/>
  <c r="H1603" i="1"/>
  <c r="F1603" i="1"/>
  <c r="I1602" i="1"/>
  <c r="E1602" i="1"/>
  <c r="E1603" i="1" s="1"/>
  <c r="Q1597" i="1"/>
  <c r="P1597" i="1"/>
  <c r="O1597" i="1"/>
  <c r="N1597" i="1"/>
  <c r="M1597" i="1"/>
  <c r="L1597" i="1"/>
  <c r="K1597" i="1"/>
  <c r="J1597" i="1"/>
  <c r="H1597" i="1"/>
  <c r="F1597" i="1"/>
  <c r="E1597" i="1"/>
  <c r="I1596" i="1"/>
  <c r="Q1594" i="1"/>
  <c r="P1594" i="1"/>
  <c r="O1594" i="1"/>
  <c r="N1594" i="1"/>
  <c r="M1594" i="1"/>
  <c r="L1594" i="1"/>
  <c r="K1594" i="1"/>
  <c r="J1594" i="1"/>
  <c r="H1594" i="1"/>
  <c r="F1594" i="1"/>
  <c r="I1593" i="1"/>
  <c r="I1592" i="1"/>
  <c r="E1592" i="1"/>
  <c r="E1594" i="1" s="1"/>
  <c r="Q1590" i="1"/>
  <c r="P1590" i="1"/>
  <c r="O1590" i="1"/>
  <c r="N1590" i="1"/>
  <c r="M1590" i="1"/>
  <c r="L1590" i="1"/>
  <c r="K1590" i="1"/>
  <c r="J1590" i="1"/>
  <c r="H1590" i="1"/>
  <c r="F1590" i="1"/>
  <c r="I1589" i="1"/>
  <c r="I1588" i="1"/>
  <c r="I1587" i="1"/>
  <c r="I1586" i="1"/>
  <c r="I1585" i="1"/>
  <c r="I1584" i="1"/>
  <c r="I1582" i="1"/>
  <c r="I1581" i="1"/>
  <c r="I1580" i="1"/>
  <c r="I1579" i="1"/>
  <c r="I1578" i="1"/>
  <c r="I1577" i="1"/>
  <c r="I1576" i="1"/>
  <c r="E1576" i="1"/>
  <c r="E1590" i="1" s="1"/>
  <c r="I1575" i="1"/>
  <c r="I1574" i="1"/>
  <c r="I1573" i="1"/>
  <c r="I1572" i="1"/>
  <c r="I1570" i="1"/>
  <c r="I1569" i="1"/>
  <c r="I1568" i="1"/>
  <c r="Q1566" i="1"/>
  <c r="P1566" i="1"/>
  <c r="O1566" i="1"/>
  <c r="N1566" i="1"/>
  <c r="M1566" i="1"/>
  <c r="L1566" i="1"/>
  <c r="K1566" i="1"/>
  <c r="J1566" i="1"/>
  <c r="H1566" i="1"/>
  <c r="F1566" i="1"/>
  <c r="I1565" i="1"/>
  <c r="I1564" i="1"/>
  <c r="I1563" i="1"/>
  <c r="I1562" i="1"/>
  <c r="I1560" i="1"/>
  <c r="E1560" i="1"/>
  <c r="E1566" i="1" s="1"/>
  <c r="I1559" i="1"/>
  <c r="I1558" i="1"/>
  <c r="I1557" i="1"/>
  <c r="I1555" i="1"/>
  <c r="I1554" i="1"/>
  <c r="I1553" i="1"/>
  <c r="Q1551" i="1"/>
  <c r="P1551" i="1"/>
  <c r="O1551" i="1"/>
  <c r="N1551" i="1"/>
  <c r="M1551" i="1"/>
  <c r="L1551" i="1"/>
  <c r="K1551" i="1"/>
  <c r="J1551" i="1"/>
  <c r="H1551" i="1"/>
  <c r="F1551" i="1"/>
  <c r="E1551" i="1"/>
  <c r="I1550" i="1"/>
  <c r="I1549" i="1"/>
  <c r="I1548" i="1"/>
  <c r="I1547" i="1"/>
  <c r="I1546" i="1"/>
  <c r="I1545" i="1"/>
  <c r="I1544" i="1"/>
  <c r="Q1542" i="1"/>
  <c r="Q1598" i="1" s="1"/>
  <c r="P1542" i="1"/>
  <c r="O1542" i="1"/>
  <c r="N1542" i="1"/>
  <c r="M1542" i="1"/>
  <c r="M1598" i="1" s="1"/>
  <c r="L1542" i="1"/>
  <c r="K1542" i="1"/>
  <c r="J1542" i="1"/>
  <c r="H1542" i="1"/>
  <c r="H1598" i="1" s="1"/>
  <c r="F1542" i="1"/>
  <c r="E1542" i="1"/>
  <c r="I1541" i="1"/>
  <c r="I1540" i="1"/>
  <c r="I1539" i="1"/>
  <c r="I1538" i="1"/>
  <c r="I1537" i="1"/>
  <c r="I1536" i="1"/>
  <c r="Q1532" i="1"/>
  <c r="P1532" i="1"/>
  <c r="O1532" i="1"/>
  <c r="N1532" i="1"/>
  <c r="M1532" i="1"/>
  <c r="L1532" i="1"/>
  <c r="K1532" i="1"/>
  <c r="J1532" i="1"/>
  <c r="H1532" i="1"/>
  <c r="F1532" i="1"/>
  <c r="E1532" i="1"/>
  <c r="I1531" i="1"/>
  <c r="Q1528" i="1"/>
  <c r="P1528" i="1"/>
  <c r="O1528" i="1"/>
  <c r="N1528" i="1"/>
  <c r="M1528" i="1"/>
  <c r="L1528" i="1"/>
  <c r="K1528" i="1"/>
  <c r="J1528" i="1"/>
  <c r="H1528" i="1"/>
  <c r="F1528" i="1"/>
  <c r="E1528" i="1"/>
  <c r="I1527" i="1"/>
  <c r="Q1524" i="1"/>
  <c r="P1524" i="1"/>
  <c r="O1524" i="1"/>
  <c r="N1524" i="1"/>
  <c r="M1524" i="1"/>
  <c r="L1524" i="1"/>
  <c r="K1524" i="1"/>
  <c r="J1524" i="1"/>
  <c r="H1524" i="1"/>
  <c r="F1524" i="1"/>
  <c r="I1523" i="1"/>
  <c r="E1523" i="1"/>
  <c r="E1524" i="1" s="1"/>
  <c r="I1522" i="1"/>
  <c r="Q1519" i="1"/>
  <c r="P1519" i="1"/>
  <c r="O1519" i="1"/>
  <c r="N1519" i="1"/>
  <c r="M1519" i="1"/>
  <c r="L1519" i="1"/>
  <c r="K1519" i="1"/>
  <c r="J1519" i="1"/>
  <c r="H1519" i="1"/>
  <c r="F1519" i="1"/>
  <c r="E1519" i="1"/>
  <c r="I1518" i="1"/>
  <c r="Q1515" i="1"/>
  <c r="P1515" i="1"/>
  <c r="O1515" i="1"/>
  <c r="N1515" i="1"/>
  <c r="M1515" i="1"/>
  <c r="L1515" i="1"/>
  <c r="K1515" i="1"/>
  <c r="J1515" i="1"/>
  <c r="H1515" i="1"/>
  <c r="F1515" i="1"/>
  <c r="E1515" i="1"/>
  <c r="I1514" i="1"/>
  <c r="Q1511" i="1"/>
  <c r="P1511" i="1"/>
  <c r="O1511" i="1"/>
  <c r="N1511" i="1"/>
  <c r="M1511" i="1"/>
  <c r="L1511" i="1"/>
  <c r="K1511" i="1"/>
  <c r="J1511" i="1"/>
  <c r="H1511" i="1"/>
  <c r="F1511" i="1"/>
  <c r="E1511" i="1"/>
  <c r="I1510" i="1"/>
  <c r="Q1506" i="1"/>
  <c r="P1506" i="1"/>
  <c r="O1506" i="1"/>
  <c r="N1506" i="1"/>
  <c r="M1506" i="1"/>
  <c r="L1506" i="1"/>
  <c r="K1506" i="1"/>
  <c r="J1506" i="1"/>
  <c r="H1506" i="1"/>
  <c r="F1506" i="1"/>
  <c r="E1506" i="1"/>
  <c r="Q1503" i="1"/>
  <c r="P1503" i="1"/>
  <c r="O1503" i="1"/>
  <c r="N1503" i="1"/>
  <c r="M1503" i="1"/>
  <c r="L1503" i="1"/>
  <c r="K1503" i="1"/>
  <c r="J1503" i="1"/>
  <c r="H1503" i="1"/>
  <c r="F1503" i="1"/>
  <c r="E1503" i="1"/>
  <c r="I1501" i="1"/>
  <c r="I1499" i="1"/>
  <c r="Q1497" i="1"/>
  <c r="P1497" i="1"/>
  <c r="O1497" i="1"/>
  <c r="N1497" i="1"/>
  <c r="M1497" i="1"/>
  <c r="L1497" i="1"/>
  <c r="K1497" i="1"/>
  <c r="J1497" i="1"/>
  <c r="H1497" i="1"/>
  <c r="F1497" i="1"/>
  <c r="E1497" i="1"/>
  <c r="I1494" i="1"/>
  <c r="I1493" i="1"/>
  <c r="I1492" i="1"/>
  <c r="I1491" i="1"/>
  <c r="Q1489" i="1"/>
  <c r="P1489" i="1"/>
  <c r="O1489" i="1"/>
  <c r="N1489" i="1"/>
  <c r="M1489" i="1"/>
  <c r="L1489" i="1"/>
  <c r="K1489" i="1"/>
  <c r="J1489" i="1"/>
  <c r="H1489" i="1"/>
  <c r="F1489" i="1"/>
  <c r="E1489" i="1"/>
  <c r="I1488" i="1"/>
  <c r="I1487" i="1"/>
  <c r="I1486" i="1"/>
  <c r="I1485" i="1"/>
  <c r="I1484" i="1"/>
  <c r="I1483" i="1"/>
  <c r="I1482" i="1"/>
  <c r="Q1480" i="1"/>
  <c r="P1480" i="1"/>
  <c r="O1480" i="1"/>
  <c r="N1480" i="1"/>
  <c r="M1480" i="1"/>
  <c r="L1480" i="1"/>
  <c r="K1480" i="1"/>
  <c r="J1480" i="1"/>
  <c r="H1480" i="1"/>
  <c r="F1480" i="1"/>
  <c r="E1480" i="1"/>
  <c r="I1479" i="1"/>
  <c r="I1478" i="1"/>
  <c r="Q1474" i="1"/>
  <c r="P1474" i="1"/>
  <c r="O1474" i="1"/>
  <c r="N1474" i="1"/>
  <c r="M1474" i="1"/>
  <c r="L1474" i="1"/>
  <c r="K1474" i="1"/>
  <c r="J1474" i="1"/>
  <c r="H1474" i="1"/>
  <c r="F1474" i="1"/>
  <c r="I1472" i="1"/>
  <c r="E1472" i="1"/>
  <c r="E1474" i="1" s="1"/>
  <c r="I1471" i="1"/>
  <c r="Q1469" i="1"/>
  <c r="P1469" i="1"/>
  <c r="O1469" i="1"/>
  <c r="N1469" i="1"/>
  <c r="M1469" i="1"/>
  <c r="L1469" i="1"/>
  <c r="K1469" i="1"/>
  <c r="J1469" i="1"/>
  <c r="H1469" i="1"/>
  <c r="F1469" i="1"/>
  <c r="E1469" i="1"/>
  <c r="I1467" i="1"/>
  <c r="I1466" i="1"/>
  <c r="I1465" i="1"/>
  <c r="I1464" i="1"/>
  <c r="Q1462" i="1"/>
  <c r="P1462" i="1"/>
  <c r="O1462" i="1"/>
  <c r="N1462" i="1"/>
  <c r="M1462" i="1"/>
  <c r="L1462" i="1"/>
  <c r="K1462" i="1"/>
  <c r="J1462" i="1"/>
  <c r="H1462" i="1"/>
  <c r="F1462" i="1"/>
  <c r="E1462" i="1"/>
  <c r="I1461" i="1"/>
  <c r="I1460" i="1"/>
  <c r="I1459" i="1"/>
  <c r="I1458" i="1"/>
  <c r="I1457" i="1"/>
  <c r="I1456" i="1"/>
  <c r="I1455" i="1"/>
  <c r="Q1453" i="1"/>
  <c r="P1453" i="1"/>
  <c r="O1453" i="1"/>
  <c r="N1453" i="1"/>
  <c r="M1453" i="1"/>
  <c r="L1453" i="1"/>
  <c r="K1453" i="1"/>
  <c r="J1453" i="1"/>
  <c r="H1453" i="1"/>
  <c r="F1453" i="1"/>
  <c r="E1453" i="1"/>
  <c r="I1451" i="1"/>
  <c r="Q1447" i="1"/>
  <c r="P1447" i="1"/>
  <c r="O1447" i="1"/>
  <c r="N1447" i="1"/>
  <c r="M1447" i="1"/>
  <c r="L1447" i="1"/>
  <c r="K1447" i="1"/>
  <c r="J1447" i="1"/>
  <c r="H1447" i="1"/>
  <c r="F1447" i="1"/>
  <c r="E1447" i="1"/>
  <c r="I1445" i="1"/>
  <c r="I1444" i="1"/>
  <c r="I1443" i="1"/>
  <c r="I1442" i="1"/>
  <c r="Q1440" i="1"/>
  <c r="P1440" i="1"/>
  <c r="O1440" i="1"/>
  <c r="N1440" i="1"/>
  <c r="M1440" i="1"/>
  <c r="L1440" i="1"/>
  <c r="K1440" i="1"/>
  <c r="J1440" i="1"/>
  <c r="H1440" i="1"/>
  <c r="F1440" i="1"/>
  <c r="E1440" i="1"/>
  <c r="I1439" i="1"/>
  <c r="I1438" i="1"/>
  <c r="I1437" i="1"/>
  <c r="I1436" i="1"/>
  <c r="I1435" i="1"/>
  <c r="Q1433" i="1"/>
  <c r="P1433" i="1"/>
  <c r="O1433" i="1"/>
  <c r="N1433" i="1"/>
  <c r="M1433" i="1"/>
  <c r="L1433" i="1"/>
  <c r="K1433" i="1"/>
  <c r="J1433" i="1"/>
  <c r="H1433" i="1"/>
  <c r="F1433" i="1"/>
  <c r="E1433" i="1"/>
  <c r="I1432" i="1"/>
  <c r="I1431" i="1"/>
  <c r="I1430" i="1"/>
  <c r="I1429" i="1"/>
  <c r="I1428" i="1"/>
  <c r="I1427" i="1"/>
  <c r="I1426" i="1"/>
  <c r="Q1424" i="1"/>
  <c r="P1424" i="1"/>
  <c r="O1424" i="1"/>
  <c r="N1424" i="1"/>
  <c r="M1424" i="1"/>
  <c r="L1424" i="1"/>
  <c r="K1424" i="1"/>
  <c r="J1424" i="1"/>
  <c r="H1424" i="1"/>
  <c r="F1424" i="1"/>
  <c r="E1424" i="1"/>
  <c r="I1423" i="1"/>
  <c r="I1422" i="1"/>
  <c r="Q1418" i="1"/>
  <c r="P1418" i="1"/>
  <c r="O1418" i="1"/>
  <c r="N1418" i="1"/>
  <c r="M1418" i="1"/>
  <c r="L1418" i="1"/>
  <c r="K1418" i="1"/>
  <c r="J1418" i="1"/>
  <c r="H1418" i="1"/>
  <c r="F1418" i="1"/>
  <c r="E1418" i="1"/>
  <c r="Q1415" i="1"/>
  <c r="P1415" i="1"/>
  <c r="O1415" i="1"/>
  <c r="N1415" i="1"/>
  <c r="M1415" i="1"/>
  <c r="L1415" i="1"/>
  <c r="K1415" i="1"/>
  <c r="J1415" i="1"/>
  <c r="H1415" i="1"/>
  <c r="F1415" i="1"/>
  <c r="E1415" i="1"/>
  <c r="I1413" i="1"/>
  <c r="I1412" i="1"/>
  <c r="I1411" i="1"/>
  <c r="Q1409" i="1"/>
  <c r="P1409" i="1"/>
  <c r="O1409" i="1"/>
  <c r="N1409" i="1"/>
  <c r="M1409" i="1"/>
  <c r="L1409" i="1"/>
  <c r="K1409" i="1"/>
  <c r="J1409" i="1"/>
  <c r="H1409" i="1"/>
  <c r="F1409" i="1"/>
  <c r="E1409" i="1"/>
  <c r="I1408" i="1"/>
  <c r="I1407" i="1"/>
  <c r="I1406" i="1"/>
  <c r="I1405" i="1"/>
  <c r="Q1403" i="1"/>
  <c r="P1403" i="1"/>
  <c r="O1403" i="1"/>
  <c r="N1403" i="1"/>
  <c r="M1403" i="1"/>
  <c r="L1403" i="1"/>
  <c r="K1403" i="1"/>
  <c r="J1403" i="1"/>
  <c r="H1403" i="1"/>
  <c r="F1403" i="1"/>
  <c r="E1403" i="1"/>
  <c r="I1402" i="1"/>
  <c r="I1401" i="1"/>
  <c r="I1400" i="1"/>
  <c r="I1399" i="1"/>
  <c r="I1398" i="1"/>
  <c r="I1397" i="1"/>
  <c r="I1396" i="1"/>
  <c r="Q1394" i="1"/>
  <c r="P1394" i="1"/>
  <c r="O1394" i="1"/>
  <c r="N1394" i="1"/>
  <c r="M1394" i="1"/>
  <c r="L1394" i="1"/>
  <c r="K1394" i="1"/>
  <c r="J1394" i="1"/>
  <c r="H1394" i="1"/>
  <c r="F1394" i="1"/>
  <c r="E1394" i="1"/>
  <c r="I1393" i="1"/>
  <c r="I1392" i="1"/>
  <c r="Q1388" i="1"/>
  <c r="P1388" i="1"/>
  <c r="O1388" i="1"/>
  <c r="N1388" i="1"/>
  <c r="M1388" i="1"/>
  <c r="L1388" i="1"/>
  <c r="K1388" i="1"/>
  <c r="J1388" i="1"/>
  <c r="H1388" i="1"/>
  <c r="F1388" i="1"/>
  <c r="Q1385" i="1"/>
  <c r="P1385" i="1"/>
  <c r="O1385" i="1"/>
  <c r="N1385" i="1"/>
  <c r="M1385" i="1"/>
  <c r="L1385" i="1"/>
  <c r="K1385" i="1"/>
  <c r="J1385" i="1"/>
  <c r="H1385" i="1"/>
  <c r="F1385" i="1"/>
  <c r="E1385" i="1"/>
  <c r="I1383" i="1"/>
  <c r="I1381" i="1"/>
  <c r="Q1379" i="1"/>
  <c r="P1379" i="1"/>
  <c r="O1379" i="1"/>
  <c r="N1379" i="1"/>
  <c r="M1379" i="1"/>
  <c r="L1379" i="1"/>
  <c r="K1379" i="1"/>
  <c r="J1379" i="1"/>
  <c r="H1379" i="1"/>
  <c r="F1379" i="1"/>
  <c r="E1379" i="1"/>
  <c r="I1378" i="1"/>
  <c r="I1376" i="1"/>
  <c r="I1375" i="1"/>
  <c r="I1374" i="1"/>
  <c r="I1373" i="1"/>
  <c r="I1372" i="1"/>
  <c r="Q1370" i="1"/>
  <c r="P1370" i="1"/>
  <c r="O1370" i="1"/>
  <c r="N1370" i="1"/>
  <c r="M1370" i="1"/>
  <c r="L1370" i="1"/>
  <c r="K1370" i="1"/>
  <c r="J1370" i="1"/>
  <c r="H1370" i="1"/>
  <c r="F1370" i="1"/>
  <c r="E1370" i="1"/>
  <c r="I1369" i="1"/>
  <c r="I1368" i="1"/>
  <c r="I1367" i="1"/>
  <c r="I1366" i="1"/>
  <c r="I1365" i="1"/>
  <c r="I1364" i="1"/>
  <c r="I1363" i="1"/>
  <c r="Q1361" i="1"/>
  <c r="P1361" i="1"/>
  <c r="O1361" i="1"/>
  <c r="N1361" i="1"/>
  <c r="M1361" i="1"/>
  <c r="L1361" i="1"/>
  <c r="K1361" i="1"/>
  <c r="J1361" i="1"/>
  <c r="H1361" i="1"/>
  <c r="F1361" i="1"/>
  <c r="E1361" i="1"/>
  <c r="I1360" i="1"/>
  <c r="I1359" i="1"/>
  <c r="Q1355" i="1"/>
  <c r="P1355" i="1"/>
  <c r="O1355" i="1"/>
  <c r="N1355" i="1"/>
  <c r="M1355" i="1"/>
  <c r="L1355" i="1"/>
  <c r="K1355" i="1"/>
  <c r="J1355" i="1"/>
  <c r="H1355" i="1"/>
  <c r="F1355" i="1"/>
  <c r="E1355" i="1"/>
  <c r="I1354" i="1"/>
  <c r="I1353" i="1"/>
  <c r="I1352" i="1"/>
  <c r="Q1349" i="1"/>
  <c r="P1349" i="1"/>
  <c r="O1349" i="1"/>
  <c r="N1349" i="1"/>
  <c r="M1349" i="1"/>
  <c r="L1349" i="1"/>
  <c r="K1349" i="1"/>
  <c r="J1349" i="1"/>
  <c r="H1349" i="1"/>
  <c r="G1349" i="1"/>
  <c r="F1349" i="1"/>
  <c r="E1349" i="1"/>
  <c r="Q1340" i="1"/>
  <c r="P1340" i="1"/>
  <c r="O1340" i="1"/>
  <c r="N1340" i="1"/>
  <c r="M1340" i="1"/>
  <c r="L1340" i="1"/>
  <c r="K1340" i="1"/>
  <c r="J1340" i="1"/>
  <c r="H1340" i="1"/>
  <c r="F1340" i="1"/>
  <c r="E1340" i="1"/>
  <c r="I1339" i="1"/>
  <c r="I1338" i="1"/>
  <c r="I1337" i="1"/>
  <c r="I1336" i="1"/>
  <c r="I1335" i="1"/>
  <c r="Q1331" i="1"/>
  <c r="P1331" i="1"/>
  <c r="O1331" i="1"/>
  <c r="N1331" i="1"/>
  <c r="M1331" i="1"/>
  <c r="L1331" i="1"/>
  <c r="K1331" i="1"/>
  <c r="J1331" i="1"/>
  <c r="H1331" i="1"/>
  <c r="G1331" i="1"/>
  <c r="E1331" i="1"/>
  <c r="I1330" i="1"/>
  <c r="I1328" i="1"/>
  <c r="I1327" i="1"/>
  <c r="F1327" i="1"/>
  <c r="F1331" i="1" s="1"/>
  <c r="I1326" i="1"/>
  <c r="I1325" i="1"/>
  <c r="I1324" i="1"/>
  <c r="I1323" i="1"/>
  <c r="Q1317" i="1"/>
  <c r="P1317" i="1"/>
  <c r="O1317" i="1"/>
  <c r="N1317" i="1"/>
  <c r="M1317" i="1"/>
  <c r="L1317" i="1"/>
  <c r="K1317" i="1"/>
  <c r="J1317" i="1"/>
  <c r="H1317" i="1"/>
  <c r="F1317" i="1"/>
  <c r="E1317" i="1"/>
  <c r="I1316" i="1"/>
  <c r="I1315" i="1"/>
  <c r="I1314" i="1"/>
  <c r="Q1310" i="1"/>
  <c r="P1310" i="1"/>
  <c r="O1310" i="1"/>
  <c r="N1310" i="1"/>
  <c r="M1310" i="1"/>
  <c r="L1310" i="1"/>
  <c r="K1310" i="1"/>
  <c r="J1310" i="1"/>
  <c r="E1310" i="1"/>
  <c r="M1309" i="1"/>
  <c r="L1309" i="1"/>
  <c r="K1309" i="1"/>
  <c r="J1309" i="1"/>
  <c r="H1309" i="1"/>
  <c r="G1309" i="1"/>
  <c r="G1310" i="1" s="1"/>
  <c r="F1309" i="1"/>
  <c r="E1309" i="1"/>
  <c r="I1308" i="1"/>
  <c r="M1305" i="1"/>
  <c r="L1305" i="1"/>
  <c r="K1305" i="1"/>
  <c r="J1305" i="1"/>
  <c r="H1305" i="1"/>
  <c r="H1310" i="1" s="1"/>
  <c r="F1305" i="1"/>
  <c r="E1305" i="1"/>
  <c r="I1304" i="1"/>
  <c r="I1303" i="1"/>
  <c r="I1302" i="1"/>
  <c r="I1301" i="1"/>
  <c r="Q1297" i="1"/>
  <c r="P1297" i="1"/>
  <c r="O1297" i="1"/>
  <c r="N1297" i="1"/>
  <c r="M1297" i="1"/>
  <c r="L1297" i="1"/>
  <c r="K1297" i="1"/>
  <c r="J1297" i="1"/>
  <c r="H1297" i="1"/>
  <c r="F1297" i="1"/>
  <c r="E1297" i="1"/>
  <c r="I1296" i="1"/>
  <c r="I1295" i="1"/>
  <c r="I1294" i="1"/>
  <c r="I1293" i="1"/>
  <c r="Q1289" i="1"/>
  <c r="P1289" i="1"/>
  <c r="O1289" i="1"/>
  <c r="N1289" i="1"/>
  <c r="M1289" i="1"/>
  <c r="L1289" i="1"/>
  <c r="K1289" i="1"/>
  <c r="J1289" i="1"/>
  <c r="H1289" i="1"/>
  <c r="F1289" i="1"/>
  <c r="E1289" i="1"/>
  <c r="I1288" i="1"/>
  <c r="I1287" i="1"/>
  <c r="I1286" i="1"/>
  <c r="I1285" i="1"/>
  <c r="I1284" i="1"/>
  <c r="I1283" i="1"/>
  <c r="I1282" i="1"/>
  <c r="Q1277" i="1"/>
  <c r="P1277" i="1"/>
  <c r="O1277" i="1"/>
  <c r="N1277" i="1"/>
  <c r="M1277" i="1"/>
  <c r="L1277" i="1"/>
  <c r="K1277" i="1"/>
  <c r="J1277" i="1"/>
  <c r="H1277" i="1"/>
  <c r="F1277" i="1"/>
  <c r="I1276" i="1"/>
  <c r="E1276" i="1"/>
  <c r="E1277" i="1" s="1"/>
  <c r="I1275" i="1"/>
  <c r="I1274" i="1"/>
  <c r="I1273" i="1"/>
  <c r="I1272" i="1"/>
  <c r="I1271" i="1"/>
  <c r="Q1267" i="1"/>
  <c r="P1267" i="1"/>
  <c r="O1267" i="1"/>
  <c r="N1267" i="1"/>
  <c r="M1267" i="1"/>
  <c r="L1267" i="1"/>
  <c r="K1267" i="1"/>
  <c r="J1267" i="1"/>
  <c r="M1266" i="1"/>
  <c r="L1266" i="1"/>
  <c r="K1266" i="1"/>
  <c r="J1266" i="1"/>
  <c r="H1266" i="1"/>
  <c r="G1266" i="1"/>
  <c r="F1266" i="1"/>
  <c r="E1266" i="1"/>
  <c r="I1265" i="1"/>
  <c r="M1262" i="1"/>
  <c r="L1262" i="1"/>
  <c r="K1262" i="1"/>
  <c r="J1262" i="1"/>
  <c r="H1262" i="1"/>
  <c r="G1262" i="1"/>
  <c r="G1267" i="1" s="1"/>
  <c r="F1262" i="1"/>
  <c r="E1262" i="1"/>
  <c r="I1261" i="1"/>
  <c r="I1260" i="1"/>
  <c r="I1259" i="1"/>
  <c r="I1258" i="1"/>
  <c r="I1257" i="1"/>
  <c r="Q1252" i="1"/>
  <c r="P1252" i="1"/>
  <c r="O1252" i="1"/>
  <c r="N1252" i="1"/>
  <c r="M1252" i="1"/>
  <c r="L1252" i="1"/>
  <c r="K1252" i="1"/>
  <c r="J1252" i="1"/>
  <c r="H1252" i="1"/>
  <c r="F1252" i="1"/>
  <c r="E1252" i="1"/>
  <c r="I1251" i="1"/>
  <c r="Q1248" i="1"/>
  <c r="P1248" i="1"/>
  <c r="O1248" i="1"/>
  <c r="N1248" i="1"/>
  <c r="M1248" i="1"/>
  <c r="L1248" i="1"/>
  <c r="K1248" i="1"/>
  <c r="J1248" i="1"/>
  <c r="H1248" i="1"/>
  <c r="F1248" i="1"/>
  <c r="E1248" i="1"/>
  <c r="I1247" i="1"/>
  <c r="I1246" i="1"/>
  <c r="I1245" i="1"/>
  <c r="I1244" i="1"/>
  <c r="I1243" i="1"/>
  <c r="I1242" i="1"/>
  <c r="Q1240" i="1"/>
  <c r="P1240" i="1"/>
  <c r="O1240" i="1"/>
  <c r="N1240" i="1"/>
  <c r="M1240" i="1"/>
  <c r="L1240" i="1"/>
  <c r="K1240" i="1"/>
  <c r="J1240" i="1"/>
  <c r="H1240" i="1"/>
  <c r="F1240" i="1"/>
  <c r="E1240" i="1"/>
  <c r="I1238" i="1"/>
  <c r="Q1234" i="1"/>
  <c r="P1234" i="1"/>
  <c r="O1234" i="1"/>
  <c r="N1234" i="1"/>
  <c r="M1234" i="1"/>
  <c r="L1234" i="1"/>
  <c r="K1234" i="1"/>
  <c r="J1234" i="1"/>
  <c r="H1234" i="1"/>
  <c r="F1234" i="1"/>
  <c r="E1234" i="1"/>
  <c r="I1233" i="1"/>
  <c r="Q1231" i="1"/>
  <c r="P1231" i="1"/>
  <c r="O1231" i="1"/>
  <c r="N1231" i="1"/>
  <c r="M1231" i="1"/>
  <c r="L1231" i="1"/>
  <c r="K1231" i="1"/>
  <c r="J1231" i="1"/>
  <c r="H1231" i="1"/>
  <c r="F1231" i="1"/>
  <c r="E1231" i="1"/>
  <c r="I1230" i="1"/>
  <c r="I1229" i="1"/>
  <c r="I1228" i="1"/>
  <c r="I1227" i="1"/>
  <c r="I1226" i="1"/>
  <c r="Q1224" i="1"/>
  <c r="P1224" i="1"/>
  <c r="O1224" i="1"/>
  <c r="N1224" i="1"/>
  <c r="M1224" i="1"/>
  <c r="L1224" i="1"/>
  <c r="K1224" i="1"/>
  <c r="J1224" i="1"/>
  <c r="H1224" i="1"/>
  <c r="G1224" i="1"/>
  <c r="F1224" i="1"/>
  <c r="E1224" i="1"/>
  <c r="Q1218" i="1"/>
  <c r="P1218" i="1"/>
  <c r="O1218" i="1"/>
  <c r="N1218" i="1"/>
  <c r="M1218" i="1"/>
  <c r="L1218" i="1"/>
  <c r="K1218" i="1"/>
  <c r="J1218" i="1"/>
  <c r="H1218" i="1"/>
  <c r="F1218" i="1"/>
  <c r="E1218" i="1"/>
  <c r="I1217" i="1"/>
  <c r="Q1215" i="1"/>
  <c r="P1215" i="1"/>
  <c r="O1215" i="1"/>
  <c r="N1215" i="1"/>
  <c r="M1215" i="1"/>
  <c r="L1215" i="1"/>
  <c r="K1215" i="1"/>
  <c r="J1215" i="1"/>
  <c r="H1215" i="1"/>
  <c r="F1215" i="1"/>
  <c r="E1215" i="1"/>
  <c r="I1214" i="1"/>
  <c r="I1213" i="1"/>
  <c r="I1212" i="1"/>
  <c r="I1211" i="1"/>
  <c r="I1210" i="1"/>
  <c r="I1209" i="1"/>
  <c r="Q1207" i="1"/>
  <c r="P1207" i="1"/>
  <c r="O1207" i="1"/>
  <c r="N1207" i="1"/>
  <c r="N1219" i="1" s="1"/>
  <c r="M1207" i="1"/>
  <c r="L1207" i="1"/>
  <c r="K1207" i="1"/>
  <c r="J1207" i="1"/>
  <c r="J1219" i="1" s="1"/>
  <c r="H1207" i="1"/>
  <c r="F1207" i="1"/>
  <c r="I1206" i="1"/>
  <c r="I1204" i="1"/>
  <c r="I1203" i="1"/>
  <c r="E1203" i="1"/>
  <c r="M1200" i="1"/>
  <c r="L1200" i="1"/>
  <c r="H1200" i="1"/>
  <c r="G1200" i="1"/>
  <c r="F1200" i="1"/>
  <c r="Q1195" i="1"/>
  <c r="P1195" i="1"/>
  <c r="O1195" i="1"/>
  <c r="N1195" i="1"/>
  <c r="M1195" i="1"/>
  <c r="L1195" i="1"/>
  <c r="K1195" i="1"/>
  <c r="J1195" i="1"/>
  <c r="H1195" i="1"/>
  <c r="G1195" i="1"/>
  <c r="F1195" i="1"/>
  <c r="E1195" i="1"/>
  <c r="I1194" i="1"/>
  <c r="Q1192" i="1"/>
  <c r="P1192" i="1"/>
  <c r="O1192" i="1"/>
  <c r="N1192" i="1"/>
  <c r="M1192" i="1"/>
  <c r="L1192" i="1"/>
  <c r="K1192" i="1"/>
  <c r="J1192" i="1"/>
  <c r="H1192" i="1"/>
  <c r="F1192" i="1"/>
  <c r="I1191" i="1"/>
  <c r="I1190" i="1"/>
  <c r="E1190" i="1"/>
  <c r="I1189" i="1"/>
  <c r="I1188" i="1"/>
  <c r="E1188" i="1"/>
  <c r="Q1185" i="1"/>
  <c r="P1185" i="1"/>
  <c r="O1185" i="1"/>
  <c r="N1185" i="1"/>
  <c r="M1185" i="1"/>
  <c r="L1185" i="1"/>
  <c r="K1185" i="1"/>
  <c r="J1185" i="1"/>
  <c r="H1185" i="1"/>
  <c r="F1185" i="1"/>
  <c r="I1184" i="1"/>
  <c r="E1184" i="1"/>
  <c r="I1183" i="1"/>
  <c r="I1182" i="1"/>
  <c r="E1182" i="1"/>
  <c r="I1181" i="1"/>
  <c r="I1180" i="1"/>
  <c r="I1179" i="1"/>
  <c r="I1178" i="1"/>
  <c r="E1178" i="1"/>
  <c r="Q1176" i="1"/>
  <c r="P1176" i="1"/>
  <c r="O1176" i="1"/>
  <c r="N1176" i="1"/>
  <c r="M1176" i="1"/>
  <c r="L1176" i="1"/>
  <c r="K1176" i="1"/>
  <c r="J1176" i="1"/>
  <c r="H1176" i="1"/>
  <c r="F1176" i="1"/>
  <c r="E1176" i="1"/>
  <c r="I1175" i="1"/>
  <c r="I1174" i="1"/>
  <c r="I1173" i="1"/>
  <c r="I1172" i="1"/>
  <c r="I1171" i="1"/>
  <c r="Q1169" i="1"/>
  <c r="P1169" i="1"/>
  <c r="O1169" i="1"/>
  <c r="N1169" i="1"/>
  <c r="K1169" i="1"/>
  <c r="H1169" i="1"/>
  <c r="F1169" i="1"/>
  <c r="M1168" i="1"/>
  <c r="M1169" i="1" s="1"/>
  <c r="L1168" i="1"/>
  <c r="L1169" i="1" s="1"/>
  <c r="L1196" i="1" s="1"/>
  <c r="J1168" i="1"/>
  <c r="J1169" i="1" s="1"/>
  <c r="E1168" i="1"/>
  <c r="E1169" i="1" s="1"/>
  <c r="I1167" i="1"/>
  <c r="I1166" i="1"/>
  <c r="I1165" i="1"/>
  <c r="I1164" i="1"/>
  <c r="Q1160" i="1"/>
  <c r="P1160" i="1"/>
  <c r="O1160" i="1"/>
  <c r="N1160" i="1"/>
  <c r="M1160" i="1"/>
  <c r="L1160" i="1"/>
  <c r="K1160" i="1"/>
  <c r="J1160" i="1"/>
  <c r="H1160" i="1"/>
  <c r="F1160" i="1"/>
  <c r="I1159" i="1"/>
  <c r="I1158" i="1"/>
  <c r="I1157" i="1"/>
  <c r="I1156" i="1"/>
  <c r="E1156" i="1"/>
  <c r="E1160" i="1" s="1"/>
  <c r="I1155" i="1"/>
  <c r="I1154" i="1"/>
  <c r="I1153" i="1"/>
  <c r="Q1151" i="1"/>
  <c r="P1151" i="1"/>
  <c r="O1151" i="1"/>
  <c r="N1151" i="1"/>
  <c r="M1151" i="1"/>
  <c r="L1151" i="1"/>
  <c r="K1151" i="1"/>
  <c r="J1151" i="1"/>
  <c r="H1151" i="1"/>
  <c r="F1151" i="1"/>
  <c r="I1150" i="1"/>
  <c r="E1150" i="1"/>
  <c r="E1151" i="1" s="1"/>
  <c r="I1149" i="1"/>
  <c r="I1147" i="1"/>
  <c r="I1146" i="1"/>
  <c r="Q1144" i="1"/>
  <c r="P1144" i="1"/>
  <c r="O1144" i="1"/>
  <c r="N1144" i="1"/>
  <c r="M1144" i="1"/>
  <c r="L1144" i="1"/>
  <c r="K1144" i="1"/>
  <c r="J1144" i="1"/>
  <c r="H1144" i="1"/>
  <c r="F1144" i="1"/>
  <c r="E1144" i="1"/>
  <c r="I1143" i="1"/>
  <c r="I1142" i="1"/>
  <c r="I1141" i="1"/>
  <c r="I1140" i="1"/>
  <c r="I1139" i="1"/>
  <c r="Q1137" i="1"/>
  <c r="P1137" i="1"/>
  <c r="O1137" i="1"/>
  <c r="N1137" i="1"/>
  <c r="L1137" i="1"/>
  <c r="K1137" i="1"/>
  <c r="J1137" i="1"/>
  <c r="H1137" i="1"/>
  <c r="F1137" i="1"/>
  <c r="E1137" i="1"/>
  <c r="M1136" i="1"/>
  <c r="M1137" i="1" s="1"/>
  <c r="I1136" i="1"/>
  <c r="I1134" i="1"/>
  <c r="I1133" i="1"/>
  <c r="I1132" i="1"/>
  <c r="I1131" i="1"/>
  <c r="Q1127" i="1"/>
  <c r="P1127" i="1"/>
  <c r="O1127" i="1"/>
  <c r="N1127" i="1"/>
  <c r="M1127" i="1"/>
  <c r="L1127" i="1"/>
  <c r="K1127" i="1"/>
  <c r="J1127" i="1"/>
  <c r="H1127" i="1"/>
  <c r="F1127" i="1"/>
  <c r="E1127" i="1"/>
  <c r="I1126" i="1"/>
  <c r="I1124" i="1"/>
  <c r="I1123" i="1"/>
  <c r="Q1121" i="1"/>
  <c r="P1121" i="1"/>
  <c r="O1121" i="1"/>
  <c r="N1121" i="1"/>
  <c r="M1121" i="1"/>
  <c r="L1121" i="1"/>
  <c r="K1121" i="1"/>
  <c r="J1121" i="1"/>
  <c r="H1121" i="1"/>
  <c r="F1121" i="1"/>
  <c r="E1120" i="1"/>
  <c r="I1117" i="1"/>
  <c r="I1116" i="1"/>
  <c r="Q1114" i="1"/>
  <c r="P1114" i="1"/>
  <c r="O1114" i="1"/>
  <c r="N1114" i="1"/>
  <c r="M1114" i="1"/>
  <c r="L1114" i="1"/>
  <c r="K1114" i="1"/>
  <c r="J1114" i="1"/>
  <c r="H1114" i="1"/>
  <c r="F1114" i="1"/>
  <c r="E1114" i="1"/>
  <c r="I1113" i="1"/>
  <c r="I1112" i="1"/>
  <c r="I1111" i="1"/>
  <c r="I1110" i="1"/>
  <c r="I1109" i="1"/>
  <c r="Q1107" i="1"/>
  <c r="P1107" i="1"/>
  <c r="O1107" i="1"/>
  <c r="N1107" i="1"/>
  <c r="M1107" i="1"/>
  <c r="L1107" i="1"/>
  <c r="K1107" i="1"/>
  <c r="J1107" i="1"/>
  <c r="H1107" i="1"/>
  <c r="G1107" i="1"/>
  <c r="F1107" i="1"/>
  <c r="E1107" i="1"/>
  <c r="I1106" i="1"/>
  <c r="I1105" i="1"/>
  <c r="Q1101" i="1"/>
  <c r="P1101" i="1"/>
  <c r="O1101" i="1"/>
  <c r="N1101" i="1"/>
  <c r="M1101" i="1"/>
  <c r="L1101" i="1"/>
  <c r="K1101" i="1"/>
  <c r="J1101" i="1"/>
  <c r="H1101" i="1"/>
  <c r="F1101" i="1"/>
  <c r="I1100" i="1"/>
  <c r="I1099" i="1"/>
  <c r="I1098" i="1"/>
  <c r="I1097" i="1"/>
  <c r="E1097" i="1"/>
  <c r="E1101" i="1" s="1"/>
  <c r="Q1095" i="1"/>
  <c r="P1095" i="1"/>
  <c r="O1095" i="1"/>
  <c r="N1095" i="1"/>
  <c r="M1095" i="1"/>
  <c r="L1095" i="1"/>
  <c r="K1095" i="1"/>
  <c r="J1095" i="1"/>
  <c r="H1095" i="1"/>
  <c r="F1095" i="1"/>
  <c r="E1095" i="1"/>
  <c r="I1094" i="1"/>
  <c r="I1092" i="1"/>
  <c r="I1090" i="1"/>
  <c r="I1089" i="1"/>
  <c r="Q1087" i="1"/>
  <c r="P1087" i="1"/>
  <c r="O1087" i="1"/>
  <c r="N1087" i="1"/>
  <c r="M1087" i="1"/>
  <c r="L1087" i="1"/>
  <c r="K1087" i="1"/>
  <c r="J1087" i="1"/>
  <c r="H1087" i="1"/>
  <c r="F1087" i="1"/>
  <c r="E1087" i="1"/>
  <c r="I1086" i="1"/>
  <c r="I1085" i="1"/>
  <c r="I1084" i="1"/>
  <c r="I1083" i="1"/>
  <c r="I1082" i="1"/>
  <c r="Q1080" i="1"/>
  <c r="P1080" i="1"/>
  <c r="O1080" i="1"/>
  <c r="N1080" i="1"/>
  <c r="K1080" i="1"/>
  <c r="H1080" i="1"/>
  <c r="F1080" i="1"/>
  <c r="M1079" i="1"/>
  <c r="M1080" i="1" s="1"/>
  <c r="L1079" i="1"/>
  <c r="L1080" i="1" s="1"/>
  <c r="J1079" i="1"/>
  <c r="J1080" i="1" s="1"/>
  <c r="E1079" i="1"/>
  <c r="E1080" i="1" s="1"/>
  <c r="I1077" i="1"/>
  <c r="I1076" i="1"/>
  <c r="I1075" i="1"/>
  <c r="Q1071" i="1"/>
  <c r="P1071" i="1"/>
  <c r="O1071" i="1"/>
  <c r="N1071" i="1"/>
  <c r="M1071" i="1"/>
  <c r="L1071" i="1"/>
  <c r="K1071" i="1"/>
  <c r="J1071" i="1"/>
  <c r="H1071" i="1"/>
  <c r="F1071" i="1"/>
  <c r="E1071" i="1"/>
  <c r="I1070" i="1"/>
  <c r="Q1068" i="1"/>
  <c r="P1068" i="1"/>
  <c r="O1068" i="1"/>
  <c r="N1068" i="1"/>
  <c r="M1068" i="1"/>
  <c r="L1068" i="1"/>
  <c r="K1068" i="1"/>
  <c r="J1068" i="1"/>
  <c r="H1068" i="1"/>
  <c r="F1068" i="1"/>
  <c r="E1068" i="1"/>
  <c r="I1066" i="1"/>
  <c r="Q1064" i="1"/>
  <c r="P1064" i="1"/>
  <c r="O1064" i="1"/>
  <c r="N1064" i="1"/>
  <c r="M1064" i="1"/>
  <c r="L1064" i="1"/>
  <c r="K1064" i="1"/>
  <c r="J1064" i="1"/>
  <c r="H1064" i="1"/>
  <c r="F1064" i="1"/>
  <c r="E1064" i="1"/>
  <c r="I1062" i="1"/>
  <c r="I1061" i="1"/>
  <c r="Q1059" i="1"/>
  <c r="P1059" i="1"/>
  <c r="O1059" i="1"/>
  <c r="N1059" i="1"/>
  <c r="M1059" i="1"/>
  <c r="L1059" i="1"/>
  <c r="K1059" i="1"/>
  <c r="J1059" i="1"/>
  <c r="H1059" i="1"/>
  <c r="F1059" i="1"/>
  <c r="E1059" i="1"/>
  <c r="I1058" i="1"/>
  <c r="I1057" i="1"/>
  <c r="I1056" i="1"/>
  <c r="I1055" i="1"/>
  <c r="I1054" i="1"/>
  <c r="Q1052" i="1"/>
  <c r="P1052" i="1"/>
  <c r="O1052" i="1"/>
  <c r="N1052" i="1"/>
  <c r="M1052" i="1"/>
  <c r="L1052" i="1"/>
  <c r="K1052" i="1"/>
  <c r="J1052" i="1"/>
  <c r="H1052" i="1"/>
  <c r="F1052" i="1"/>
  <c r="E1052" i="1"/>
  <c r="I1051" i="1"/>
  <c r="I1049" i="1"/>
  <c r="I1047" i="1"/>
  <c r="Q1043" i="1"/>
  <c r="P1043" i="1"/>
  <c r="O1043" i="1"/>
  <c r="N1043" i="1"/>
  <c r="M1043" i="1"/>
  <c r="L1043" i="1"/>
  <c r="K1043" i="1"/>
  <c r="J1043" i="1"/>
  <c r="H1043" i="1"/>
  <c r="E1043" i="1"/>
  <c r="Q1040" i="1"/>
  <c r="P1040" i="1"/>
  <c r="O1040" i="1"/>
  <c r="N1040" i="1"/>
  <c r="M1040" i="1"/>
  <c r="L1040" i="1"/>
  <c r="K1040" i="1"/>
  <c r="J1040" i="1"/>
  <c r="H1040" i="1"/>
  <c r="F1040" i="1"/>
  <c r="I1039" i="1"/>
  <c r="I1038" i="1"/>
  <c r="I1037" i="1"/>
  <c r="E1037" i="1"/>
  <c r="I1036" i="1"/>
  <c r="E1036" i="1"/>
  <c r="I1035" i="1"/>
  <c r="I1034" i="1"/>
  <c r="Q1032" i="1"/>
  <c r="P1032" i="1"/>
  <c r="O1032" i="1"/>
  <c r="N1032" i="1"/>
  <c r="M1032" i="1"/>
  <c r="L1032" i="1"/>
  <c r="K1032" i="1"/>
  <c r="J1032" i="1"/>
  <c r="H1032" i="1"/>
  <c r="F1032" i="1"/>
  <c r="E1032" i="1"/>
  <c r="I1031" i="1"/>
  <c r="I1030" i="1"/>
  <c r="I1028" i="1"/>
  <c r="I1027" i="1"/>
  <c r="Q1025" i="1"/>
  <c r="P1025" i="1"/>
  <c r="O1025" i="1"/>
  <c r="N1025" i="1"/>
  <c r="M1025" i="1"/>
  <c r="L1025" i="1"/>
  <c r="K1025" i="1"/>
  <c r="J1025" i="1"/>
  <c r="H1025" i="1"/>
  <c r="F1025" i="1"/>
  <c r="E1025" i="1"/>
  <c r="I1024" i="1"/>
  <c r="I1023" i="1"/>
  <c r="I1022" i="1"/>
  <c r="I1021" i="1"/>
  <c r="I1020" i="1"/>
  <c r="Q1018" i="1"/>
  <c r="P1018" i="1"/>
  <c r="O1018" i="1"/>
  <c r="N1018" i="1"/>
  <c r="M1018" i="1"/>
  <c r="L1018" i="1"/>
  <c r="K1018" i="1"/>
  <c r="J1018" i="1"/>
  <c r="H1018" i="1"/>
  <c r="F1018" i="1"/>
  <c r="E1018" i="1"/>
  <c r="I1017" i="1"/>
  <c r="I1015" i="1"/>
  <c r="I1013" i="1"/>
  <c r="Q1008" i="1"/>
  <c r="P1008" i="1"/>
  <c r="O1008" i="1"/>
  <c r="N1008" i="1"/>
  <c r="M1008" i="1"/>
  <c r="L1008" i="1"/>
  <c r="K1008" i="1"/>
  <c r="J1008" i="1"/>
  <c r="H1008" i="1"/>
  <c r="F1008" i="1"/>
  <c r="E1008" i="1"/>
  <c r="I1007" i="1"/>
  <c r="I1006" i="1"/>
  <c r="I1005" i="1"/>
  <c r="Q1003" i="1"/>
  <c r="P1003" i="1"/>
  <c r="O1003" i="1"/>
  <c r="N1003" i="1"/>
  <c r="M1003" i="1"/>
  <c r="L1003" i="1"/>
  <c r="K1003" i="1"/>
  <c r="J1003" i="1"/>
  <c r="H1003" i="1"/>
  <c r="E1003" i="1"/>
  <c r="I1002" i="1"/>
  <c r="I1001" i="1"/>
  <c r="Q999" i="1"/>
  <c r="P999" i="1"/>
  <c r="O999" i="1"/>
  <c r="N999" i="1"/>
  <c r="M999" i="1"/>
  <c r="L999" i="1"/>
  <c r="K999" i="1"/>
  <c r="J999" i="1"/>
  <c r="H999" i="1"/>
  <c r="F999" i="1"/>
  <c r="E999" i="1"/>
  <c r="I998" i="1"/>
  <c r="I997" i="1"/>
  <c r="I993" i="1"/>
  <c r="I992" i="1"/>
  <c r="I991" i="1"/>
  <c r="I989" i="1"/>
  <c r="I988" i="1"/>
  <c r="I987" i="1"/>
  <c r="Q985" i="1"/>
  <c r="P985" i="1"/>
  <c r="O985" i="1"/>
  <c r="N985" i="1"/>
  <c r="M985" i="1"/>
  <c r="L985" i="1"/>
  <c r="K985" i="1"/>
  <c r="J985" i="1"/>
  <c r="H985" i="1"/>
  <c r="F985" i="1"/>
  <c r="E985" i="1"/>
  <c r="I984" i="1"/>
  <c r="I983" i="1"/>
  <c r="I982" i="1"/>
  <c r="I981" i="1"/>
  <c r="I980" i="1"/>
  <c r="Q976" i="1"/>
  <c r="P976" i="1"/>
  <c r="O976" i="1"/>
  <c r="N976" i="1"/>
  <c r="M976" i="1"/>
  <c r="L976" i="1"/>
  <c r="K976" i="1"/>
  <c r="J976" i="1"/>
  <c r="H976" i="1"/>
  <c r="F976" i="1"/>
  <c r="I975" i="1"/>
  <c r="I974" i="1"/>
  <c r="I973" i="1"/>
  <c r="I972" i="1"/>
  <c r="I971" i="1"/>
  <c r="I970" i="1"/>
  <c r="E970" i="1"/>
  <c r="I969" i="1"/>
  <c r="I968" i="1"/>
  <c r="E968" i="1"/>
  <c r="I967" i="1"/>
  <c r="E967" i="1"/>
  <c r="Q965" i="1"/>
  <c r="P965" i="1"/>
  <c r="O965" i="1"/>
  <c r="N965" i="1"/>
  <c r="M965" i="1"/>
  <c r="L965" i="1"/>
  <c r="K965" i="1"/>
  <c r="J965" i="1"/>
  <c r="H965" i="1"/>
  <c r="F965" i="1"/>
  <c r="E965" i="1"/>
  <c r="I964" i="1"/>
  <c r="I961" i="1"/>
  <c r="I960" i="1"/>
  <c r="I959" i="1"/>
  <c r="I958" i="1"/>
  <c r="I957" i="1"/>
  <c r="Q955" i="1"/>
  <c r="P955" i="1"/>
  <c r="O955" i="1"/>
  <c r="N955" i="1"/>
  <c r="M955" i="1"/>
  <c r="L955" i="1"/>
  <c r="K955" i="1"/>
  <c r="J955" i="1"/>
  <c r="H955" i="1"/>
  <c r="F955" i="1"/>
  <c r="E955" i="1"/>
  <c r="I954" i="1"/>
  <c r="I953" i="1"/>
  <c r="I952" i="1"/>
  <c r="I951" i="1"/>
  <c r="I950" i="1"/>
  <c r="I949" i="1"/>
  <c r="Q947" i="1"/>
  <c r="P947" i="1"/>
  <c r="O947" i="1"/>
  <c r="N947" i="1"/>
  <c r="M947" i="1"/>
  <c r="K947" i="1"/>
  <c r="K977" i="1" s="1"/>
  <c r="J947" i="1"/>
  <c r="H947" i="1"/>
  <c r="F947" i="1"/>
  <c r="E947" i="1"/>
  <c r="I946" i="1"/>
  <c r="I945" i="1"/>
  <c r="L944" i="1"/>
  <c r="L947" i="1" s="1"/>
  <c r="I944" i="1"/>
  <c r="I942" i="1"/>
  <c r="I941" i="1"/>
  <c r="I940" i="1"/>
  <c r="I939" i="1"/>
  <c r="Q935" i="1"/>
  <c r="P935" i="1"/>
  <c r="O935" i="1"/>
  <c r="N935" i="1"/>
  <c r="M935" i="1"/>
  <c r="L935" i="1"/>
  <c r="K935" i="1"/>
  <c r="J935" i="1"/>
  <c r="H935" i="1"/>
  <c r="F935" i="1"/>
  <c r="E935" i="1"/>
  <c r="I934" i="1"/>
  <c r="I933" i="1"/>
  <c r="Q931" i="1"/>
  <c r="P931" i="1"/>
  <c r="O931" i="1"/>
  <c r="N931" i="1"/>
  <c r="M931" i="1"/>
  <c r="L931" i="1"/>
  <c r="K931" i="1"/>
  <c r="H931" i="1"/>
  <c r="F931" i="1"/>
  <c r="I930" i="1"/>
  <c r="I929" i="1"/>
  <c r="I928" i="1"/>
  <c r="I927" i="1"/>
  <c r="I926" i="1"/>
  <c r="E926" i="1"/>
  <c r="E931" i="1" s="1"/>
  <c r="I925" i="1"/>
  <c r="J924" i="1"/>
  <c r="J931" i="1" s="1"/>
  <c r="Q922" i="1"/>
  <c r="P922" i="1"/>
  <c r="O922" i="1"/>
  <c r="N922" i="1"/>
  <c r="M922" i="1"/>
  <c r="L922" i="1"/>
  <c r="K922" i="1"/>
  <c r="J922" i="1"/>
  <c r="H922" i="1"/>
  <c r="F922" i="1"/>
  <c r="E921" i="1"/>
  <c r="E922" i="1" s="1"/>
  <c r="I920" i="1"/>
  <c r="I918" i="1"/>
  <c r="I917" i="1"/>
  <c r="I916" i="1"/>
  <c r="Q914" i="1"/>
  <c r="P914" i="1"/>
  <c r="O914" i="1"/>
  <c r="N914" i="1"/>
  <c r="M914" i="1"/>
  <c r="L914" i="1"/>
  <c r="K914" i="1"/>
  <c r="J914" i="1"/>
  <c r="H914" i="1"/>
  <c r="F914" i="1"/>
  <c r="E914" i="1"/>
  <c r="I913" i="1"/>
  <c r="I912" i="1"/>
  <c r="I911" i="1"/>
  <c r="I910" i="1"/>
  <c r="I909" i="1"/>
  <c r="Q907" i="1"/>
  <c r="P907" i="1"/>
  <c r="O907" i="1"/>
  <c r="N907" i="1"/>
  <c r="M907" i="1"/>
  <c r="L907" i="1"/>
  <c r="K907" i="1"/>
  <c r="J907" i="1"/>
  <c r="H907" i="1"/>
  <c r="F907" i="1"/>
  <c r="E907" i="1"/>
  <c r="I906" i="1"/>
  <c r="I905" i="1"/>
  <c r="I904" i="1"/>
  <c r="I903" i="1"/>
  <c r="Q898" i="1"/>
  <c r="P898" i="1"/>
  <c r="O898" i="1"/>
  <c r="N898" i="1"/>
  <c r="M898" i="1"/>
  <c r="L898" i="1"/>
  <c r="K898" i="1"/>
  <c r="J898" i="1"/>
  <c r="H898" i="1"/>
  <c r="F898" i="1"/>
  <c r="E898" i="1"/>
  <c r="I897" i="1"/>
  <c r="I895" i="1"/>
  <c r="I893" i="1"/>
  <c r="I892" i="1"/>
  <c r="I891" i="1"/>
  <c r="I890" i="1"/>
  <c r="I889" i="1"/>
  <c r="Q887" i="1"/>
  <c r="P887" i="1"/>
  <c r="O887" i="1"/>
  <c r="N887" i="1"/>
  <c r="M887" i="1"/>
  <c r="L887" i="1"/>
  <c r="K887" i="1"/>
  <c r="J887" i="1"/>
  <c r="H887" i="1"/>
  <c r="F887" i="1"/>
  <c r="E887" i="1"/>
  <c r="I886" i="1"/>
  <c r="I883" i="1"/>
  <c r="I882" i="1"/>
  <c r="I881" i="1"/>
  <c r="Q879" i="1"/>
  <c r="P879" i="1"/>
  <c r="O879" i="1"/>
  <c r="N879" i="1"/>
  <c r="M879" i="1"/>
  <c r="L879" i="1"/>
  <c r="K879" i="1"/>
  <c r="J879" i="1"/>
  <c r="H879" i="1"/>
  <c r="F879" i="1"/>
  <c r="E879" i="1"/>
  <c r="I878" i="1"/>
  <c r="I877" i="1"/>
  <c r="I876" i="1"/>
  <c r="I875" i="1"/>
  <c r="I874" i="1"/>
  <c r="I873" i="1"/>
  <c r="Q871" i="1"/>
  <c r="P871" i="1"/>
  <c r="O871" i="1"/>
  <c r="N871" i="1"/>
  <c r="M871" i="1"/>
  <c r="L871" i="1"/>
  <c r="K871" i="1"/>
  <c r="J871" i="1"/>
  <c r="H871" i="1"/>
  <c r="F871" i="1"/>
  <c r="E871" i="1"/>
  <c r="I870" i="1"/>
  <c r="I869" i="1"/>
  <c r="I867" i="1"/>
  <c r="I866" i="1"/>
  <c r="I865" i="1"/>
  <c r="Q860" i="1"/>
  <c r="P860" i="1"/>
  <c r="O860" i="1"/>
  <c r="N860" i="1"/>
  <c r="M860" i="1"/>
  <c r="L860" i="1"/>
  <c r="K860" i="1"/>
  <c r="J860" i="1"/>
  <c r="H860" i="1"/>
  <c r="F860" i="1"/>
  <c r="E860" i="1"/>
  <c r="I859" i="1"/>
  <c r="Q857" i="1"/>
  <c r="P857" i="1"/>
  <c r="O857" i="1"/>
  <c r="N857" i="1"/>
  <c r="M857" i="1"/>
  <c r="L857" i="1"/>
  <c r="K857" i="1"/>
  <c r="J857" i="1"/>
  <c r="H857" i="1"/>
  <c r="F857" i="1"/>
  <c r="E857" i="1"/>
  <c r="I856" i="1"/>
  <c r="I855" i="1"/>
  <c r="I854" i="1"/>
  <c r="Q852" i="1"/>
  <c r="P852" i="1"/>
  <c r="O852" i="1"/>
  <c r="O861" i="1" s="1"/>
  <c r="N852" i="1"/>
  <c r="M852" i="1"/>
  <c r="L852" i="1"/>
  <c r="K852" i="1"/>
  <c r="K861" i="1" s="1"/>
  <c r="J852" i="1"/>
  <c r="H852" i="1"/>
  <c r="F852" i="1"/>
  <c r="E852" i="1"/>
  <c r="E861" i="1" s="1"/>
  <c r="I851" i="1"/>
  <c r="Q846" i="1"/>
  <c r="P846" i="1"/>
  <c r="O846" i="1"/>
  <c r="N846" i="1"/>
  <c r="M846" i="1"/>
  <c r="L846" i="1"/>
  <c r="K846" i="1"/>
  <c r="J846" i="1"/>
  <c r="H846" i="1"/>
  <c r="E846" i="1"/>
  <c r="Q843" i="1"/>
  <c r="P843" i="1"/>
  <c r="O843" i="1"/>
  <c r="N843" i="1"/>
  <c r="M843" i="1"/>
  <c r="L843" i="1"/>
  <c r="K843" i="1"/>
  <c r="J843" i="1"/>
  <c r="H843" i="1"/>
  <c r="F843" i="1"/>
  <c r="E843" i="1"/>
  <c r="I842" i="1"/>
  <c r="I841" i="1"/>
  <c r="Q838" i="1"/>
  <c r="P838" i="1"/>
  <c r="O838" i="1"/>
  <c r="O847" i="1" s="1"/>
  <c r="N838" i="1"/>
  <c r="M838" i="1"/>
  <c r="L838" i="1"/>
  <c r="K838" i="1"/>
  <c r="K847" i="1" s="1"/>
  <c r="J838" i="1"/>
  <c r="H838" i="1"/>
  <c r="F838" i="1"/>
  <c r="E838" i="1"/>
  <c r="I837" i="1"/>
  <c r="I835" i="1"/>
  <c r="Q831" i="1"/>
  <c r="P831" i="1"/>
  <c r="O831" i="1"/>
  <c r="N831" i="1"/>
  <c r="M831" i="1"/>
  <c r="L831" i="1"/>
  <c r="K831" i="1"/>
  <c r="J831" i="1"/>
  <c r="H831" i="1"/>
  <c r="Q828" i="1"/>
  <c r="P828" i="1"/>
  <c r="O828" i="1"/>
  <c r="N828" i="1"/>
  <c r="M828" i="1"/>
  <c r="L828" i="1"/>
  <c r="K828" i="1"/>
  <c r="J828" i="1"/>
  <c r="H828" i="1"/>
  <c r="F828" i="1"/>
  <c r="E828" i="1"/>
  <c r="I827" i="1"/>
  <c r="I826" i="1"/>
  <c r="Q824" i="1"/>
  <c r="P824" i="1"/>
  <c r="P832" i="1" s="1"/>
  <c r="O824" i="1"/>
  <c r="N824" i="1"/>
  <c r="M824" i="1"/>
  <c r="L824" i="1"/>
  <c r="L832" i="1" s="1"/>
  <c r="K824" i="1"/>
  <c r="J824" i="1"/>
  <c r="H824" i="1"/>
  <c r="F824" i="1"/>
  <c r="F832" i="1" s="1"/>
  <c r="E824" i="1"/>
  <c r="Q817" i="1"/>
  <c r="P817" i="1"/>
  <c r="O817" i="1"/>
  <c r="N817" i="1"/>
  <c r="M817" i="1"/>
  <c r="L817" i="1"/>
  <c r="K817" i="1"/>
  <c r="J817" i="1"/>
  <c r="H817" i="1"/>
  <c r="E817" i="1"/>
  <c r="Q814" i="1"/>
  <c r="P814" i="1"/>
  <c r="O814" i="1"/>
  <c r="N814" i="1"/>
  <c r="M814" i="1"/>
  <c r="L814" i="1"/>
  <c r="K814" i="1"/>
  <c r="J814" i="1"/>
  <c r="H814" i="1"/>
  <c r="F814" i="1"/>
  <c r="E814" i="1"/>
  <c r="I813" i="1"/>
  <c r="I812" i="1"/>
  <c r="Q810" i="1"/>
  <c r="P810" i="1"/>
  <c r="O810" i="1"/>
  <c r="N810" i="1"/>
  <c r="M810" i="1"/>
  <c r="L810" i="1"/>
  <c r="K810" i="1"/>
  <c r="J810" i="1"/>
  <c r="H810" i="1"/>
  <c r="F810" i="1"/>
  <c r="E810" i="1"/>
  <c r="I809" i="1"/>
  <c r="Q804" i="1"/>
  <c r="P804" i="1"/>
  <c r="O804" i="1"/>
  <c r="N804" i="1"/>
  <c r="M804" i="1"/>
  <c r="L804" i="1"/>
  <c r="K804" i="1"/>
  <c r="J804" i="1"/>
  <c r="H804" i="1"/>
  <c r="E804" i="1"/>
  <c r="I803" i="1"/>
  <c r="I802" i="1"/>
  <c r="Q800" i="1"/>
  <c r="P800" i="1"/>
  <c r="O800" i="1"/>
  <c r="N800" i="1"/>
  <c r="M800" i="1"/>
  <c r="L800" i="1"/>
  <c r="K800" i="1"/>
  <c r="J800" i="1"/>
  <c r="H800" i="1"/>
  <c r="F800" i="1"/>
  <c r="E800" i="1"/>
  <c r="I799" i="1"/>
  <c r="I796" i="1"/>
  <c r="I793" i="1"/>
  <c r="Q791" i="1"/>
  <c r="P791" i="1"/>
  <c r="O791" i="1"/>
  <c r="N791" i="1"/>
  <c r="M791" i="1"/>
  <c r="L791" i="1"/>
  <c r="K791" i="1"/>
  <c r="J791" i="1"/>
  <c r="H791" i="1"/>
  <c r="F791" i="1"/>
  <c r="E791" i="1"/>
  <c r="I790" i="1"/>
  <c r="Q784" i="1"/>
  <c r="P784" i="1"/>
  <c r="O784" i="1"/>
  <c r="N784" i="1"/>
  <c r="M784" i="1"/>
  <c r="L784" i="1"/>
  <c r="K784" i="1"/>
  <c r="J784" i="1"/>
  <c r="H784" i="1"/>
  <c r="E784" i="1"/>
  <c r="Q781" i="1"/>
  <c r="P781" i="1"/>
  <c r="O781" i="1"/>
  <c r="N781" i="1"/>
  <c r="M781" i="1"/>
  <c r="L781" i="1"/>
  <c r="K781" i="1"/>
  <c r="J781" i="1"/>
  <c r="H781" i="1"/>
  <c r="F781" i="1"/>
  <c r="E781" i="1"/>
  <c r="I780" i="1"/>
  <c r="I779" i="1"/>
  <c r="I778" i="1"/>
  <c r="I777" i="1"/>
  <c r="Q775" i="1"/>
  <c r="P775" i="1"/>
  <c r="O775" i="1"/>
  <c r="O785" i="1" s="1"/>
  <c r="N775" i="1"/>
  <c r="M775" i="1"/>
  <c r="L775" i="1"/>
  <c r="K775" i="1"/>
  <c r="K785" i="1" s="1"/>
  <c r="J775" i="1"/>
  <c r="H775" i="1"/>
  <c r="F775" i="1"/>
  <c r="E775" i="1"/>
  <c r="Q770" i="1"/>
  <c r="P770" i="1"/>
  <c r="O770" i="1"/>
  <c r="N770" i="1"/>
  <c r="M770" i="1"/>
  <c r="L770" i="1"/>
  <c r="K770" i="1"/>
  <c r="J770" i="1"/>
  <c r="H770" i="1"/>
  <c r="F770" i="1"/>
  <c r="E770" i="1"/>
  <c r="Q764" i="1"/>
  <c r="P764" i="1"/>
  <c r="O764" i="1"/>
  <c r="N764" i="1"/>
  <c r="M764" i="1"/>
  <c r="L764" i="1"/>
  <c r="K764" i="1"/>
  <c r="J764" i="1"/>
  <c r="H764" i="1"/>
  <c r="F764" i="1"/>
  <c r="E764" i="1"/>
  <c r="I763" i="1"/>
  <c r="I762" i="1"/>
  <c r="I761" i="1"/>
  <c r="I760" i="1"/>
  <c r="I759" i="1"/>
  <c r="I758" i="1"/>
  <c r="Q756" i="1"/>
  <c r="P756" i="1"/>
  <c r="O756" i="1"/>
  <c r="N756" i="1"/>
  <c r="M756" i="1"/>
  <c r="L756" i="1"/>
  <c r="K756" i="1"/>
  <c r="J756" i="1"/>
  <c r="H756" i="1"/>
  <c r="F756" i="1"/>
  <c r="E756" i="1"/>
  <c r="I755" i="1"/>
  <c r="I753" i="1"/>
  <c r="I752" i="1"/>
  <c r="Q750" i="1"/>
  <c r="P750" i="1"/>
  <c r="O750" i="1"/>
  <c r="N750" i="1"/>
  <c r="M750" i="1"/>
  <c r="L750" i="1"/>
  <c r="K750" i="1"/>
  <c r="J750" i="1"/>
  <c r="H750" i="1"/>
  <c r="F750" i="1"/>
  <c r="E750" i="1"/>
  <c r="I749" i="1"/>
  <c r="I748" i="1"/>
  <c r="I747" i="1"/>
  <c r="I746" i="1"/>
  <c r="I745" i="1"/>
  <c r="I744" i="1"/>
  <c r="Q742" i="1"/>
  <c r="P742" i="1"/>
  <c r="O742" i="1"/>
  <c r="N742" i="1"/>
  <c r="M742" i="1"/>
  <c r="L742" i="1"/>
  <c r="K742" i="1"/>
  <c r="J742" i="1"/>
  <c r="H742" i="1"/>
  <c r="F742" i="1"/>
  <c r="E742" i="1"/>
  <c r="I741" i="1"/>
  <c r="I740" i="1"/>
  <c r="I739" i="1"/>
  <c r="Q735" i="1"/>
  <c r="P735" i="1"/>
  <c r="O735" i="1"/>
  <c r="N735" i="1"/>
  <c r="M735" i="1"/>
  <c r="L735" i="1"/>
  <c r="K735" i="1"/>
  <c r="J735" i="1"/>
  <c r="H735" i="1"/>
  <c r="F735" i="1"/>
  <c r="E735" i="1"/>
  <c r="I734" i="1"/>
  <c r="I733" i="1"/>
  <c r="I732" i="1"/>
  <c r="I731" i="1"/>
  <c r="I730" i="1"/>
  <c r="I729" i="1"/>
  <c r="Q727" i="1"/>
  <c r="P727" i="1"/>
  <c r="O727" i="1"/>
  <c r="N727" i="1"/>
  <c r="M727" i="1"/>
  <c r="L727" i="1"/>
  <c r="K727" i="1"/>
  <c r="J727" i="1"/>
  <c r="H727" i="1"/>
  <c r="F727" i="1"/>
  <c r="E727" i="1"/>
  <c r="I726" i="1"/>
  <c r="I725" i="1"/>
  <c r="I724" i="1"/>
  <c r="Q722" i="1"/>
  <c r="P722" i="1"/>
  <c r="O722" i="1"/>
  <c r="N722" i="1"/>
  <c r="M722" i="1"/>
  <c r="L722" i="1"/>
  <c r="K722" i="1"/>
  <c r="J722" i="1"/>
  <c r="H722" i="1"/>
  <c r="F722" i="1"/>
  <c r="E722" i="1"/>
  <c r="I721" i="1"/>
  <c r="I720" i="1"/>
  <c r="I719" i="1"/>
  <c r="I718" i="1"/>
  <c r="I717" i="1"/>
  <c r="I716" i="1"/>
  <c r="Q714" i="1"/>
  <c r="P714" i="1"/>
  <c r="O714" i="1"/>
  <c r="N714" i="1"/>
  <c r="M714" i="1"/>
  <c r="L714" i="1"/>
  <c r="K714" i="1"/>
  <c r="J714" i="1"/>
  <c r="H714" i="1"/>
  <c r="F714" i="1"/>
  <c r="E714" i="1"/>
  <c r="I713" i="1"/>
  <c r="I712" i="1"/>
  <c r="I711" i="1"/>
  <c r="Q707" i="1"/>
  <c r="P707" i="1"/>
  <c r="O707" i="1"/>
  <c r="N707" i="1"/>
  <c r="M707" i="1"/>
  <c r="L707" i="1"/>
  <c r="K707" i="1"/>
  <c r="J707" i="1"/>
  <c r="H707" i="1"/>
  <c r="F707" i="1"/>
  <c r="I706" i="1"/>
  <c r="I705" i="1"/>
  <c r="I704" i="1"/>
  <c r="I703" i="1"/>
  <c r="E703" i="1"/>
  <c r="E707" i="1" s="1"/>
  <c r="I702" i="1"/>
  <c r="I701" i="1"/>
  <c r="Q699" i="1"/>
  <c r="P699" i="1"/>
  <c r="O699" i="1"/>
  <c r="N699" i="1"/>
  <c r="M699" i="1"/>
  <c r="L699" i="1"/>
  <c r="K699" i="1"/>
  <c r="J699" i="1"/>
  <c r="H699" i="1"/>
  <c r="F699" i="1"/>
  <c r="E699" i="1"/>
  <c r="I698" i="1"/>
  <c r="I697" i="1"/>
  <c r="I696" i="1"/>
  <c r="I695" i="1"/>
  <c r="Q693" i="1"/>
  <c r="P693" i="1"/>
  <c r="O693" i="1"/>
  <c r="N693" i="1"/>
  <c r="M693" i="1"/>
  <c r="L693" i="1"/>
  <c r="K693" i="1"/>
  <c r="J693" i="1"/>
  <c r="H693" i="1"/>
  <c r="F693" i="1"/>
  <c r="E693" i="1"/>
  <c r="I692" i="1"/>
  <c r="I691" i="1"/>
  <c r="I690" i="1"/>
  <c r="I689" i="1"/>
  <c r="I688" i="1"/>
  <c r="I687" i="1"/>
  <c r="Q685" i="1"/>
  <c r="P685" i="1"/>
  <c r="O685" i="1"/>
  <c r="N685" i="1"/>
  <c r="N708" i="1" s="1"/>
  <c r="M685" i="1"/>
  <c r="L685" i="1"/>
  <c r="K685" i="1"/>
  <c r="J685" i="1"/>
  <c r="J708" i="1" s="1"/>
  <c r="H685" i="1"/>
  <c r="H708" i="1" s="1"/>
  <c r="F685" i="1"/>
  <c r="E685" i="1"/>
  <c r="I684" i="1"/>
  <c r="I683" i="1"/>
  <c r="I682" i="1"/>
  <c r="Q678" i="1"/>
  <c r="P678" i="1"/>
  <c r="O678" i="1"/>
  <c r="N678" i="1"/>
  <c r="M678" i="1"/>
  <c r="L678" i="1"/>
  <c r="K678" i="1"/>
  <c r="J678" i="1"/>
  <c r="H678" i="1"/>
  <c r="F678" i="1"/>
  <c r="E678" i="1"/>
  <c r="I677" i="1"/>
  <c r="I676" i="1"/>
  <c r="I675" i="1"/>
  <c r="I674" i="1"/>
  <c r="I673" i="1"/>
  <c r="I672" i="1"/>
  <c r="Q670" i="1"/>
  <c r="P670" i="1"/>
  <c r="O670" i="1"/>
  <c r="N670" i="1"/>
  <c r="M670" i="1"/>
  <c r="L670" i="1"/>
  <c r="K670" i="1"/>
  <c r="J670" i="1"/>
  <c r="H670" i="1"/>
  <c r="F670" i="1"/>
  <c r="E670" i="1"/>
  <c r="I669" i="1"/>
  <c r="I668" i="1"/>
  <c r="I667" i="1"/>
  <c r="Q665" i="1"/>
  <c r="P665" i="1"/>
  <c r="O665" i="1"/>
  <c r="N665" i="1"/>
  <c r="M665" i="1"/>
  <c r="L665" i="1"/>
  <c r="K665" i="1"/>
  <c r="J665" i="1"/>
  <c r="H665" i="1"/>
  <c r="F665" i="1"/>
  <c r="E665" i="1"/>
  <c r="I664" i="1"/>
  <c r="I663" i="1"/>
  <c r="I662" i="1"/>
  <c r="I661" i="1"/>
  <c r="I660" i="1"/>
  <c r="Q658" i="1"/>
  <c r="P658" i="1"/>
  <c r="O658" i="1"/>
  <c r="N658" i="1"/>
  <c r="M658" i="1"/>
  <c r="L658" i="1"/>
  <c r="K658" i="1"/>
  <c r="J658" i="1"/>
  <c r="H658" i="1"/>
  <c r="F658" i="1"/>
  <c r="E658" i="1"/>
  <c r="I657" i="1"/>
  <c r="I656" i="1"/>
  <c r="I655" i="1"/>
  <c r="Q651" i="1"/>
  <c r="P651" i="1"/>
  <c r="O651" i="1"/>
  <c r="N651" i="1"/>
  <c r="M651" i="1"/>
  <c r="L651" i="1"/>
  <c r="K651" i="1"/>
  <c r="J651" i="1"/>
  <c r="H651" i="1"/>
  <c r="F651" i="1"/>
  <c r="E651" i="1"/>
  <c r="I650" i="1"/>
  <c r="I649" i="1"/>
  <c r="I648" i="1"/>
  <c r="I647" i="1"/>
  <c r="I646" i="1"/>
  <c r="Q644" i="1"/>
  <c r="P644" i="1"/>
  <c r="O644" i="1"/>
  <c r="N644" i="1"/>
  <c r="M644" i="1"/>
  <c r="L644" i="1"/>
  <c r="K644" i="1"/>
  <c r="J644" i="1"/>
  <c r="H644" i="1"/>
  <c r="F644" i="1"/>
  <c r="E644" i="1"/>
  <c r="I643" i="1"/>
  <c r="I641" i="1"/>
  <c r="I640" i="1"/>
  <c r="I639" i="1"/>
  <c r="Q637" i="1"/>
  <c r="P637" i="1"/>
  <c r="O637" i="1"/>
  <c r="N637" i="1"/>
  <c r="M637" i="1"/>
  <c r="L637" i="1"/>
  <c r="K637" i="1"/>
  <c r="J637" i="1"/>
  <c r="H637" i="1"/>
  <c r="F637" i="1"/>
  <c r="E637" i="1"/>
  <c r="I636" i="1"/>
  <c r="I635" i="1"/>
  <c r="I634" i="1"/>
  <c r="I633" i="1"/>
  <c r="I632" i="1"/>
  <c r="I631" i="1"/>
  <c r="Q629" i="1"/>
  <c r="P629" i="1"/>
  <c r="O629" i="1"/>
  <c r="N629" i="1"/>
  <c r="M629" i="1"/>
  <c r="L629" i="1"/>
  <c r="K629" i="1"/>
  <c r="J629" i="1"/>
  <c r="H629" i="1"/>
  <c r="F629" i="1"/>
  <c r="E629" i="1"/>
  <c r="I627" i="1"/>
  <c r="I625" i="1"/>
  <c r="I624" i="1"/>
  <c r="Q621" i="1"/>
  <c r="P621" i="1"/>
  <c r="O621" i="1"/>
  <c r="N621" i="1"/>
  <c r="M621" i="1"/>
  <c r="L621" i="1"/>
  <c r="K621" i="1"/>
  <c r="J621" i="1"/>
  <c r="H621" i="1"/>
  <c r="F621" i="1"/>
  <c r="E621" i="1"/>
  <c r="I620" i="1"/>
  <c r="I619" i="1"/>
  <c r="Q615" i="1"/>
  <c r="P615" i="1"/>
  <c r="O615" i="1"/>
  <c r="N615" i="1"/>
  <c r="M615" i="1"/>
  <c r="L615" i="1"/>
  <c r="K615" i="1"/>
  <c r="J615" i="1"/>
  <c r="H615" i="1"/>
  <c r="F615" i="1"/>
  <c r="E615" i="1"/>
  <c r="I614" i="1"/>
  <c r="Q612" i="1"/>
  <c r="P612" i="1"/>
  <c r="O612" i="1"/>
  <c r="N612" i="1"/>
  <c r="M612" i="1"/>
  <c r="L612" i="1"/>
  <c r="K612" i="1"/>
  <c r="J612" i="1"/>
  <c r="H612" i="1"/>
  <c r="F612" i="1"/>
  <c r="E612" i="1"/>
  <c r="I611" i="1"/>
  <c r="I610" i="1"/>
  <c r="I609" i="1"/>
  <c r="I608" i="1"/>
  <c r="Q605" i="1"/>
  <c r="P605" i="1"/>
  <c r="O605" i="1"/>
  <c r="N605" i="1"/>
  <c r="M605" i="1"/>
  <c r="L605" i="1"/>
  <c r="K605" i="1"/>
  <c r="J605" i="1"/>
  <c r="H605" i="1"/>
  <c r="F605" i="1"/>
  <c r="E605" i="1"/>
  <c r="I604" i="1"/>
  <c r="I603" i="1"/>
  <c r="I602" i="1"/>
  <c r="Q600" i="1"/>
  <c r="P600" i="1"/>
  <c r="O600" i="1"/>
  <c r="N600" i="1"/>
  <c r="M600" i="1"/>
  <c r="L600" i="1"/>
  <c r="K600" i="1"/>
  <c r="J600" i="1"/>
  <c r="H600" i="1"/>
  <c r="F600" i="1"/>
  <c r="E600" i="1"/>
  <c r="I599" i="1"/>
  <c r="I598" i="1"/>
  <c r="I597" i="1"/>
  <c r="I596" i="1"/>
  <c r="I595" i="1"/>
  <c r="Q593" i="1"/>
  <c r="P593" i="1"/>
  <c r="O593" i="1"/>
  <c r="N593" i="1"/>
  <c r="M593" i="1"/>
  <c r="L593" i="1"/>
  <c r="K593" i="1"/>
  <c r="J593" i="1"/>
  <c r="H593" i="1"/>
  <c r="F593" i="1"/>
  <c r="E593" i="1"/>
  <c r="I592" i="1"/>
  <c r="I591" i="1"/>
  <c r="I590" i="1"/>
  <c r="I589" i="1"/>
  <c r="I588" i="1"/>
  <c r="Q584" i="1"/>
  <c r="P584" i="1"/>
  <c r="O584" i="1"/>
  <c r="N584" i="1"/>
  <c r="M584" i="1"/>
  <c r="L584" i="1"/>
  <c r="K584" i="1"/>
  <c r="J584" i="1"/>
  <c r="H584" i="1"/>
  <c r="F584" i="1"/>
  <c r="E584" i="1"/>
  <c r="I583" i="1"/>
  <c r="Q577" i="1"/>
  <c r="P577" i="1"/>
  <c r="O577" i="1"/>
  <c r="N577" i="1"/>
  <c r="M577" i="1"/>
  <c r="L577" i="1"/>
  <c r="K577" i="1"/>
  <c r="J577" i="1"/>
  <c r="H577" i="1"/>
  <c r="F577" i="1"/>
  <c r="E577" i="1"/>
  <c r="I576" i="1"/>
  <c r="I575" i="1"/>
  <c r="I574" i="1"/>
  <c r="I573" i="1"/>
  <c r="Q571" i="1"/>
  <c r="P571" i="1"/>
  <c r="O571" i="1"/>
  <c r="N571" i="1"/>
  <c r="M571" i="1"/>
  <c r="L571" i="1"/>
  <c r="K571" i="1"/>
  <c r="J571" i="1"/>
  <c r="H571" i="1"/>
  <c r="F571" i="1"/>
  <c r="E571" i="1"/>
  <c r="I570" i="1"/>
  <c r="I569" i="1"/>
  <c r="I568" i="1"/>
  <c r="I567" i="1"/>
  <c r="I566" i="1"/>
  <c r="Q564" i="1"/>
  <c r="P564" i="1"/>
  <c r="O564" i="1"/>
  <c r="N564" i="1"/>
  <c r="M564" i="1"/>
  <c r="L564" i="1"/>
  <c r="K564" i="1"/>
  <c r="J564" i="1"/>
  <c r="H564" i="1"/>
  <c r="F564" i="1"/>
  <c r="E564" i="1"/>
  <c r="I563" i="1"/>
  <c r="I562" i="1"/>
  <c r="I561" i="1"/>
  <c r="I560" i="1"/>
  <c r="I559" i="1"/>
  <c r="Q557" i="1"/>
  <c r="P557" i="1"/>
  <c r="O557" i="1"/>
  <c r="N557" i="1"/>
  <c r="M557" i="1"/>
  <c r="L557" i="1"/>
  <c r="K557" i="1"/>
  <c r="J557" i="1"/>
  <c r="H557" i="1"/>
  <c r="F557" i="1"/>
  <c r="E557" i="1"/>
  <c r="I556" i="1"/>
  <c r="I555" i="1"/>
  <c r="I552" i="1"/>
  <c r="I551" i="1"/>
  <c r="I550" i="1"/>
  <c r="Q545" i="1"/>
  <c r="P545" i="1"/>
  <c r="O545" i="1"/>
  <c r="N545" i="1"/>
  <c r="M545" i="1"/>
  <c r="L545" i="1"/>
  <c r="K545" i="1"/>
  <c r="J545" i="1"/>
  <c r="H545" i="1"/>
  <c r="F545" i="1"/>
  <c r="E545" i="1"/>
  <c r="I544" i="1"/>
  <c r="I543" i="1"/>
  <c r="I542" i="1"/>
  <c r="I541" i="1"/>
  <c r="Q538" i="1"/>
  <c r="P538" i="1"/>
  <c r="O538" i="1"/>
  <c r="N538" i="1"/>
  <c r="M538" i="1"/>
  <c r="L538" i="1"/>
  <c r="K538" i="1"/>
  <c r="J538" i="1"/>
  <c r="H538" i="1"/>
  <c r="F538" i="1"/>
  <c r="E538" i="1"/>
  <c r="I536" i="1"/>
  <c r="I535" i="1"/>
  <c r="I534" i="1"/>
  <c r="Q532" i="1"/>
  <c r="P532" i="1"/>
  <c r="O532" i="1"/>
  <c r="N532" i="1"/>
  <c r="M532" i="1"/>
  <c r="L532" i="1"/>
  <c r="K532" i="1"/>
  <c r="J532" i="1"/>
  <c r="H532" i="1"/>
  <c r="F532" i="1"/>
  <c r="E532" i="1"/>
  <c r="I531" i="1"/>
  <c r="I530" i="1"/>
  <c r="I529" i="1"/>
  <c r="I528" i="1"/>
  <c r="I527" i="1"/>
  <c r="Q525" i="1"/>
  <c r="P525" i="1"/>
  <c r="O525" i="1"/>
  <c r="N525" i="1"/>
  <c r="M525" i="1"/>
  <c r="L525" i="1"/>
  <c r="K525" i="1"/>
  <c r="J525" i="1"/>
  <c r="H525" i="1"/>
  <c r="F525" i="1"/>
  <c r="E525" i="1"/>
  <c r="I524" i="1"/>
  <c r="I523" i="1"/>
  <c r="I522" i="1"/>
  <c r="I521" i="1"/>
  <c r="Q516" i="1"/>
  <c r="P516" i="1"/>
  <c r="O516" i="1"/>
  <c r="N516" i="1"/>
  <c r="M516" i="1"/>
  <c r="L516" i="1"/>
  <c r="K516" i="1"/>
  <c r="J516" i="1"/>
  <c r="H516" i="1"/>
  <c r="F516" i="1"/>
  <c r="E516" i="1"/>
  <c r="I515" i="1"/>
  <c r="I514" i="1"/>
  <c r="I513" i="1"/>
  <c r="I512" i="1"/>
  <c r="Q509" i="1"/>
  <c r="P509" i="1"/>
  <c r="O509" i="1"/>
  <c r="N509" i="1"/>
  <c r="M509" i="1"/>
  <c r="L509" i="1"/>
  <c r="K509" i="1"/>
  <c r="J509" i="1"/>
  <c r="H509" i="1"/>
  <c r="F509" i="1"/>
  <c r="E509" i="1"/>
  <c r="I508" i="1"/>
  <c r="I507" i="1"/>
  <c r="I506" i="1"/>
  <c r="Q504" i="1"/>
  <c r="P504" i="1"/>
  <c r="O504" i="1"/>
  <c r="N504" i="1"/>
  <c r="M504" i="1"/>
  <c r="L504" i="1"/>
  <c r="K504" i="1"/>
  <c r="J504" i="1"/>
  <c r="H504" i="1"/>
  <c r="F504" i="1"/>
  <c r="E504" i="1"/>
  <c r="I503" i="1"/>
  <c r="I502" i="1"/>
  <c r="I501" i="1"/>
  <c r="I500" i="1"/>
  <c r="I499" i="1"/>
  <c r="Q497" i="1"/>
  <c r="P497" i="1"/>
  <c r="P517" i="1" s="1"/>
  <c r="O497" i="1"/>
  <c r="N497" i="1"/>
  <c r="M497" i="1"/>
  <c r="L497" i="1"/>
  <c r="L517" i="1" s="1"/>
  <c r="K497" i="1"/>
  <c r="J497" i="1"/>
  <c r="H497" i="1"/>
  <c r="F497" i="1"/>
  <c r="F517" i="1" s="1"/>
  <c r="E497" i="1"/>
  <c r="I496" i="1"/>
  <c r="I495" i="1"/>
  <c r="I494" i="1"/>
  <c r="I493" i="1"/>
  <c r="I492" i="1"/>
  <c r="Q487" i="1"/>
  <c r="P487" i="1"/>
  <c r="O487" i="1"/>
  <c r="N487" i="1"/>
  <c r="M487" i="1"/>
  <c r="L487" i="1"/>
  <c r="K487" i="1"/>
  <c r="J487" i="1"/>
  <c r="H487" i="1"/>
  <c r="F487" i="1"/>
  <c r="E487" i="1"/>
  <c r="I486" i="1"/>
  <c r="I485" i="1"/>
  <c r="I484" i="1"/>
  <c r="I483" i="1"/>
  <c r="I482" i="1"/>
  <c r="Q480" i="1"/>
  <c r="P480" i="1"/>
  <c r="O480" i="1"/>
  <c r="N480" i="1"/>
  <c r="M480" i="1"/>
  <c r="L480" i="1"/>
  <c r="K480" i="1"/>
  <c r="J480" i="1"/>
  <c r="H480" i="1"/>
  <c r="F480" i="1"/>
  <c r="E480" i="1"/>
  <c r="I479" i="1"/>
  <c r="I478" i="1"/>
  <c r="Q476" i="1"/>
  <c r="P476" i="1"/>
  <c r="O476" i="1"/>
  <c r="N476" i="1"/>
  <c r="M476" i="1"/>
  <c r="L476" i="1"/>
  <c r="K476" i="1"/>
  <c r="J476" i="1"/>
  <c r="H476" i="1"/>
  <c r="F476" i="1"/>
  <c r="E476" i="1"/>
  <c r="I475" i="1"/>
  <c r="I474" i="1"/>
  <c r="I473" i="1"/>
  <c r="I472" i="1"/>
  <c r="I471" i="1"/>
  <c r="Q469" i="1"/>
  <c r="P469" i="1"/>
  <c r="O469" i="1"/>
  <c r="N469" i="1"/>
  <c r="M469" i="1"/>
  <c r="L469" i="1"/>
  <c r="K469" i="1"/>
  <c r="J469" i="1"/>
  <c r="H469" i="1"/>
  <c r="E469" i="1"/>
  <c r="I468" i="1"/>
  <c r="I466" i="1"/>
  <c r="F466" i="1"/>
  <c r="F469" i="1" s="1"/>
  <c r="Q462" i="1"/>
  <c r="P462" i="1"/>
  <c r="O462" i="1"/>
  <c r="N462" i="1"/>
  <c r="M462" i="1"/>
  <c r="L462" i="1"/>
  <c r="K462" i="1"/>
  <c r="J462" i="1"/>
  <c r="H462" i="1"/>
  <c r="F462" i="1"/>
  <c r="E462" i="1"/>
  <c r="I461" i="1"/>
  <c r="I460" i="1"/>
  <c r="I459" i="1"/>
  <c r="I458" i="1"/>
  <c r="Q453" i="1"/>
  <c r="P453" i="1"/>
  <c r="O453" i="1"/>
  <c r="N453" i="1"/>
  <c r="M453" i="1"/>
  <c r="L453" i="1"/>
  <c r="K453" i="1"/>
  <c r="J453" i="1"/>
  <c r="H453" i="1"/>
  <c r="F453" i="1"/>
  <c r="E453" i="1"/>
  <c r="I452" i="1"/>
  <c r="I451" i="1"/>
  <c r="I450" i="1"/>
  <c r="I449" i="1"/>
  <c r="I448" i="1"/>
  <c r="Q445" i="1"/>
  <c r="P445" i="1"/>
  <c r="O445" i="1"/>
  <c r="N445" i="1"/>
  <c r="M445" i="1"/>
  <c r="L445" i="1"/>
  <c r="K445" i="1"/>
  <c r="J445" i="1"/>
  <c r="H445" i="1"/>
  <c r="F445" i="1"/>
  <c r="E445" i="1"/>
  <c r="I443" i="1"/>
  <c r="I442" i="1"/>
  <c r="I441" i="1"/>
  <c r="Q439" i="1"/>
  <c r="P439" i="1"/>
  <c r="O439" i="1"/>
  <c r="N439" i="1"/>
  <c r="M439" i="1"/>
  <c r="L439" i="1"/>
  <c r="K439" i="1"/>
  <c r="J439" i="1"/>
  <c r="H439" i="1"/>
  <c r="F439" i="1"/>
  <c r="E439" i="1"/>
  <c r="I438" i="1"/>
  <c r="I437" i="1"/>
  <c r="I436" i="1"/>
  <c r="I435" i="1"/>
  <c r="I434" i="1"/>
  <c r="I433" i="1"/>
  <c r="Q431" i="1"/>
  <c r="P431" i="1"/>
  <c r="O431" i="1"/>
  <c r="N431" i="1"/>
  <c r="M431" i="1"/>
  <c r="L431" i="1"/>
  <c r="K431" i="1"/>
  <c r="J431" i="1"/>
  <c r="H431" i="1"/>
  <c r="F431" i="1"/>
  <c r="E431" i="1"/>
  <c r="I430" i="1"/>
  <c r="I429" i="1"/>
  <c r="I427" i="1"/>
  <c r="I426" i="1"/>
  <c r="I425" i="1"/>
  <c r="I424" i="1"/>
  <c r="Q417" i="1"/>
  <c r="P417" i="1"/>
  <c r="O417" i="1"/>
  <c r="N417" i="1"/>
  <c r="M417" i="1"/>
  <c r="L417" i="1"/>
  <c r="K417" i="1"/>
  <c r="J417" i="1"/>
  <c r="H417" i="1"/>
  <c r="F417" i="1"/>
  <c r="E417" i="1"/>
  <c r="I416" i="1"/>
  <c r="I415" i="1"/>
  <c r="I414" i="1"/>
  <c r="I413" i="1"/>
  <c r="I412" i="1"/>
  <c r="Q410" i="1"/>
  <c r="P410" i="1"/>
  <c r="O410" i="1"/>
  <c r="N410" i="1"/>
  <c r="M410" i="1"/>
  <c r="L410" i="1"/>
  <c r="K410" i="1"/>
  <c r="J410" i="1"/>
  <c r="H410" i="1"/>
  <c r="F410" i="1"/>
  <c r="E410" i="1"/>
  <c r="I409" i="1"/>
  <c r="I408" i="1"/>
  <c r="I407" i="1"/>
  <c r="I406" i="1"/>
  <c r="I405" i="1"/>
  <c r="Q403" i="1"/>
  <c r="P403" i="1"/>
  <c r="O403" i="1"/>
  <c r="N403" i="1"/>
  <c r="M403" i="1"/>
  <c r="L403" i="1"/>
  <c r="K403" i="1"/>
  <c r="J403" i="1"/>
  <c r="H403" i="1"/>
  <c r="F403" i="1"/>
  <c r="E403" i="1"/>
  <c r="I402" i="1"/>
  <c r="I401" i="1"/>
  <c r="I400" i="1"/>
  <c r="I399" i="1"/>
  <c r="I398" i="1"/>
  <c r="Q396" i="1"/>
  <c r="P396" i="1"/>
  <c r="O396" i="1"/>
  <c r="N396" i="1"/>
  <c r="M396" i="1"/>
  <c r="L396" i="1"/>
  <c r="K396" i="1"/>
  <c r="J396" i="1"/>
  <c r="H396" i="1"/>
  <c r="F396" i="1"/>
  <c r="E396" i="1"/>
  <c r="I395" i="1"/>
  <c r="I394" i="1"/>
  <c r="I393" i="1"/>
  <c r="I391" i="1"/>
  <c r="I390" i="1"/>
  <c r="Q383" i="1"/>
  <c r="P383" i="1"/>
  <c r="O383" i="1"/>
  <c r="N383" i="1"/>
  <c r="M383" i="1"/>
  <c r="L383" i="1"/>
  <c r="K383" i="1"/>
  <c r="J383" i="1"/>
  <c r="H383" i="1"/>
  <c r="E383" i="1"/>
  <c r="Q380" i="1"/>
  <c r="P380" i="1"/>
  <c r="O380" i="1"/>
  <c r="N380" i="1"/>
  <c r="M380" i="1"/>
  <c r="L380" i="1"/>
  <c r="K380" i="1"/>
  <c r="J380" i="1"/>
  <c r="H380" i="1"/>
  <c r="F380" i="1"/>
  <c r="E380" i="1"/>
  <c r="Q371" i="1"/>
  <c r="P371" i="1"/>
  <c r="O371" i="1"/>
  <c r="N371" i="1"/>
  <c r="M371" i="1"/>
  <c r="L371" i="1"/>
  <c r="K371" i="1"/>
  <c r="J371" i="1"/>
  <c r="H371" i="1"/>
  <c r="F371" i="1"/>
  <c r="E371" i="1"/>
  <c r="Q363" i="1"/>
  <c r="P363" i="1"/>
  <c r="O363" i="1"/>
  <c r="N363" i="1"/>
  <c r="M363" i="1"/>
  <c r="L363" i="1"/>
  <c r="K363" i="1"/>
  <c r="J363" i="1"/>
  <c r="H363" i="1"/>
  <c r="F363" i="1"/>
  <c r="E363" i="1"/>
  <c r="Q358" i="1"/>
  <c r="P358" i="1"/>
  <c r="O358" i="1"/>
  <c r="N358" i="1"/>
  <c r="M358" i="1"/>
  <c r="L358" i="1"/>
  <c r="K358" i="1"/>
  <c r="J358" i="1"/>
  <c r="H358" i="1"/>
  <c r="F358" i="1"/>
  <c r="E358" i="1"/>
  <c r="Q352" i="1"/>
  <c r="P352" i="1"/>
  <c r="O352" i="1"/>
  <c r="N352" i="1"/>
  <c r="M352" i="1"/>
  <c r="L352" i="1"/>
  <c r="K352" i="1"/>
  <c r="J352" i="1"/>
  <c r="H352" i="1"/>
  <c r="E352" i="1"/>
  <c r="F351" i="1"/>
  <c r="F352" i="1" s="1"/>
  <c r="Q349" i="1"/>
  <c r="P349" i="1"/>
  <c r="O349" i="1"/>
  <c r="N349" i="1"/>
  <c r="M349" i="1"/>
  <c r="L349" i="1"/>
  <c r="K349" i="1"/>
  <c r="J349" i="1"/>
  <c r="H349" i="1"/>
  <c r="F349" i="1"/>
  <c r="I348" i="1"/>
  <c r="I347" i="1"/>
  <c r="I346" i="1"/>
  <c r="E346" i="1"/>
  <c r="I344" i="1"/>
  <c r="I343" i="1"/>
  <c r="I342" i="1"/>
  <c r="I341" i="1"/>
  <c r="I340" i="1"/>
  <c r="I339" i="1"/>
  <c r="I338" i="1"/>
  <c r="I337" i="1"/>
  <c r="I336" i="1"/>
  <c r="Q334" i="1"/>
  <c r="P334" i="1"/>
  <c r="O334" i="1"/>
  <c r="N334" i="1"/>
  <c r="M334" i="1"/>
  <c r="L334" i="1"/>
  <c r="K334" i="1"/>
  <c r="J334" i="1"/>
  <c r="H334" i="1"/>
  <c r="F334" i="1"/>
  <c r="E334" i="1"/>
  <c r="I331" i="1"/>
  <c r="I328" i="1"/>
  <c r="I327" i="1"/>
  <c r="I326" i="1"/>
  <c r="Q324" i="1"/>
  <c r="P324" i="1"/>
  <c r="O324" i="1"/>
  <c r="N324" i="1"/>
  <c r="M324" i="1"/>
  <c r="L324" i="1"/>
  <c r="K324" i="1"/>
  <c r="J324" i="1"/>
  <c r="H324" i="1"/>
  <c r="F324" i="1"/>
  <c r="E324" i="1"/>
  <c r="I323" i="1"/>
  <c r="I322" i="1"/>
  <c r="I321" i="1"/>
  <c r="I320" i="1"/>
  <c r="I319" i="1"/>
  <c r="Q317" i="1"/>
  <c r="P317" i="1"/>
  <c r="O317" i="1"/>
  <c r="N317" i="1"/>
  <c r="M317" i="1"/>
  <c r="L317" i="1"/>
  <c r="K317" i="1"/>
  <c r="J317" i="1"/>
  <c r="H317" i="1"/>
  <c r="F317" i="1"/>
  <c r="I316" i="1"/>
  <c r="E316" i="1"/>
  <c r="E317" i="1" s="1"/>
  <c r="I314" i="1"/>
  <c r="I313" i="1"/>
  <c r="I312" i="1"/>
  <c r="Q308" i="1"/>
  <c r="P308" i="1"/>
  <c r="O308" i="1"/>
  <c r="N308" i="1"/>
  <c r="M308" i="1"/>
  <c r="L308" i="1"/>
  <c r="K308" i="1"/>
  <c r="J308" i="1"/>
  <c r="H308" i="1"/>
  <c r="F308" i="1"/>
  <c r="E308" i="1"/>
  <c r="I307" i="1"/>
  <c r="I306" i="1"/>
  <c r="I305" i="1"/>
  <c r="I304" i="1"/>
  <c r="Q300" i="1"/>
  <c r="P300" i="1"/>
  <c r="O300" i="1"/>
  <c r="N300" i="1"/>
  <c r="M300" i="1"/>
  <c r="L300" i="1"/>
  <c r="K300" i="1"/>
  <c r="J300" i="1"/>
  <c r="H300" i="1"/>
  <c r="F300" i="1"/>
  <c r="E300" i="1"/>
  <c r="I299" i="1"/>
  <c r="I298" i="1"/>
  <c r="I296" i="1"/>
  <c r="I295" i="1"/>
  <c r="I294" i="1"/>
  <c r="I293" i="1"/>
  <c r="Q291" i="1"/>
  <c r="P291" i="1"/>
  <c r="O291" i="1"/>
  <c r="N291" i="1"/>
  <c r="M291" i="1"/>
  <c r="L291" i="1"/>
  <c r="K291" i="1"/>
  <c r="J291" i="1"/>
  <c r="H291" i="1"/>
  <c r="F291" i="1"/>
  <c r="E291" i="1"/>
  <c r="I290" i="1"/>
  <c r="I289" i="1"/>
  <c r="I286" i="1"/>
  <c r="I285" i="1"/>
  <c r="Q283" i="1"/>
  <c r="P283" i="1"/>
  <c r="O283" i="1"/>
  <c r="N283" i="1"/>
  <c r="M283" i="1"/>
  <c r="L283" i="1"/>
  <c r="K283" i="1"/>
  <c r="J283" i="1"/>
  <c r="H283" i="1"/>
  <c r="F283" i="1"/>
  <c r="E283" i="1"/>
  <c r="I282" i="1"/>
  <c r="I281" i="1"/>
  <c r="I280" i="1"/>
  <c r="I279" i="1"/>
  <c r="I278" i="1"/>
  <c r="Q276" i="1"/>
  <c r="P276" i="1"/>
  <c r="O276" i="1"/>
  <c r="N276" i="1"/>
  <c r="M276" i="1"/>
  <c r="K276" i="1"/>
  <c r="J276" i="1"/>
  <c r="F276" i="1"/>
  <c r="E276" i="1"/>
  <c r="L275" i="1"/>
  <c r="L276" i="1" s="1"/>
  <c r="H275" i="1"/>
  <c r="I275" i="1" s="1"/>
  <c r="I274" i="1"/>
  <c r="I273" i="1"/>
  <c r="I272" i="1"/>
  <c r="I271" i="1"/>
  <c r="I270" i="1"/>
  <c r="Q265" i="1"/>
  <c r="P265" i="1"/>
  <c r="O265" i="1"/>
  <c r="N265" i="1"/>
  <c r="M265" i="1"/>
  <c r="L265" i="1"/>
  <c r="K265" i="1"/>
  <c r="J265" i="1"/>
  <c r="H265" i="1"/>
  <c r="E265" i="1"/>
  <c r="Q261" i="1"/>
  <c r="P261" i="1"/>
  <c r="O261" i="1"/>
  <c r="N261" i="1"/>
  <c r="M261" i="1"/>
  <c r="L261" i="1"/>
  <c r="K261" i="1"/>
  <c r="J261" i="1"/>
  <c r="H261" i="1"/>
  <c r="F261" i="1"/>
  <c r="E261" i="1"/>
  <c r="I260" i="1"/>
  <c r="I259" i="1"/>
  <c r="I258" i="1"/>
  <c r="I257" i="1"/>
  <c r="I255" i="1"/>
  <c r="Q253" i="1"/>
  <c r="P253" i="1"/>
  <c r="P266" i="1" s="1"/>
  <c r="O253" i="1"/>
  <c r="N253" i="1"/>
  <c r="M253" i="1"/>
  <c r="L253" i="1"/>
  <c r="L266" i="1" s="1"/>
  <c r="K253" i="1"/>
  <c r="J253" i="1"/>
  <c r="H253" i="1"/>
  <c r="F253" i="1"/>
  <c r="F266" i="1" s="1"/>
  <c r="E253" i="1"/>
  <c r="I252" i="1"/>
  <c r="I251" i="1"/>
  <c r="Q247" i="1"/>
  <c r="P247" i="1"/>
  <c r="O247" i="1"/>
  <c r="N247" i="1"/>
  <c r="M247" i="1"/>
  <c r="L247" i="1"/>
  <c r="K247" i="1"/>
  <c r="J247" i="1"/>
  <c r="H247" i="1"/>
  <c r="F247" i="1"/>
  <c r="E247" i="1"/>
  <c r="I246" i="1"/>
  <c r="I245" i="1"/>
  <c r="Q240" i="1"/>
  <c r="P240" i="1"/>
  <c r="O240" i="1"/>
  <c r="N240" i="1"/>
  <c r="M240" i="1"/>
  <c r="L240" i="1"/>
  <c r="K240" i="1"/>
  <c r="J240" i="1"/>
  <c r="H240" i="1"/>
  <c r="E240" i="1"/>
  <c r="I239" i="1"/>
  <c r="F239" i="1"/>
  <c r="F240" i="1" s="1"/>
  <c r="Q236" i="1"/>
  <c r="P236" i="1"/>
  <c r="O236" i="1"/>
  <c r="N236" i="1"/>
  <c r="M236" i="1"/>
  <c r="L236" i="1"/>
  <c r="K236" i="1"/>
  <c r="J236" i="1"/>
  <c r="H236" i="1"/>
  <c r="F236" i="1"/>
  <c r="E236" i="1"/>
  <c r="I235" i="1"/>
  <c r="I234" i="1"/>
  <c r="I233" i="1"/>
  <c r="I232" i="1"/>
  <c r="I231" i="1"/>
  <c r="I230" i="1"/>
  <c r="I229" i="1"/>
  <c r="I228" i="1"/>
  <c r="I227" i="1"/>
  <c r="I226" i="1"/>
  <c r="I225" i="1"/>
  <c r="I224" i="1"/>
  <c r="I223" i="1"/>
  <c r="I222" i="1"/>
  <c r="I221" i="1"/>
  <c r="I220" i="1"/>
  <c r="I219" i="1"/>
  <c r="I218" i="1"/>
  <c r="I217" i="1"/>
  <c r="I216" i="1"/>
  <c r="I215" i="1"/>
  <c r="I214" i="1"/>
  <c r="I213" i="1"/>
  <c r="I211" i="1"/>
  <c r="I210" i="1"/>
  <c r="Q208" i="1"/>
  <c r="P208" i="1"/>
  <c r="O208" i="1"/>
  <c r="N208" i="1"/>
  <c r="M208" i="1"/>
  <c r="L208" i="1"/>
  <c r="K208" i="1"/>
  <c r="J208" i="1"/>
  <c r="H208" i="1"/>
  <c r="F208" i="1"/>
  <c r="E208" i="1"/>
  <c r="I207" i="1"/>
  <c r="Q205" i="1"/>
  <c r="P205" i="1"/>
  <c r="O205" i="1"/>
  <c r="N205" i="1"/>
  <c r="M205" i="1"/>
  <c r="L205" i="1"/>
  <c r="K205" i="1"/>
  <c r="J205" i="1"/>
  <c r="H205" i="1"/>
  <c r="F205" i="1"/>
  <c r="E205" i="1"/>
  <c r="I204" i="1"/>
  <c r="I203" i="1"/>
  <c r="I202" i="1"/>
  <c r="I201" i="1"/>
  <c r="I200" i="1"/>
  <c r="I199" i="1"/>
  <c r="I198" i="1"/>
  <c r="I196" i="1"/>
  <c r="I195" i="1"/>
  <c r="I193" i="1"/>
  <c r="I192" i="1"/>
  <c r="I191" i="1"/>
  <c r="I190" i="1"/>
  <c r="I189" i="1"/>
  <c r="I188" i="1"/>
  <c r="I187" i="1"/>
  <c r="I186" i="1"/>
  <c r="I185" i="1"/>
  <c r="I184" i="1"/>
  <c r="Q182" i="1"/>
  <c r="P182" i="1"/>
  <c r="O182" i="1"/>
  <c r="N182" i="1"/>
  <c r="M182" i="1"/>
  <c r="L182" i="1"/>
  <c r="K182" i="1"/>
  <c r="J182" i="1"/>
  <c r="H182" i="1"/>
  <c r="F182" i="1"/>
  <c r="E182" i="1"/>
  <c r="I179" i="1"/>
  <c r="I178" i="1"/>
  <c r="Q176" i="1"/>
  <c r="P176" i="1"/>
  <c r="O176" i="1"/>
  <c r="N176" i="1"/>
  <c r="M176" i="1"/>
  <c r="L176" i="1"/>
  <c r="K176" i="1"/>
  <c r="J176" i="1"/>
  <c r="H176" i="1"/>
  <c r="F176" i="1"/>
  <c r="E176" i="1"/>
  <c r="I175" i="1"/>
  <c r="I174" i="1"/>
  <c r="I173" i="1"/>
  <c r="Q169" i="1"/>
  <c r="P169" i="1"/>
  <c r="O169" i="1"/>
  <c r="N169" i="1"/>
  <c r="M169" i="1"/>
  <c r="L169" i="1"/>
  <c r="K169" i="1"/>
  <c r="J169" i="1"/>
  <c r="H169" i="1"/>
  <c r="F169" i="1"/>
  <c r="E169" i="1"/>
  <c r="I168" i="1"/>
  <c r="I167" i="1"/>
  <c r="I166" i="1"/>
  <c r="I165" i="1"/>
  <c r="I163" i="1"/>
  <c r="I162" i="1"/>
  <c r="Q160" i="1"/>
  <c r="P160" i="1"/>
  <c r="O160" i="1"/>
  <c r="N160" i="1"/>
  <c r="M160" i="1"/>
  <c r="L160" i="1"/>
  <c r="K160" i="1"/>
  <c r="J160" i="1"/>
  <c r="H160" i="1"/>
  <c r="F160" i="1"/>
  <c r="E160" i="1"/>
  <c r="I158" i="1"/>
  <c r="I157" i="1"/>
  <c r="I156" i="1"/>
  <c r="I155" i="1"/>
  <c r="Q153" i="1"/>
  <c r="P153" i="1"/>
  <c r="O153" i="1"/>
  <c r="N153" i="1"/>
  <c r="M153" i="1"/>
  <c r="L153" i="1"/>
  <c r="K153" i="1"/>
  <c r="J153" i="1"/>
  <c r="H153" i="1"/>
  <c r="F153" i="1"/>
  <c r="E153" i="1"/>
  <c r="I152" i="1"/>
  <c r="I151" i="1"/>
  <c r="I150" i="1"/>
  <c r="I149" i="1"/>
  <c r="I148" i="1"/>
  <c r="I147" i="1"/>
  <c r="Q145" i="1"/>
  <c r="P145" i="1"/>
  <c r="P170" i="1" s="1"/>
  <c r="O145" i="1"/>
  <c r="N145" i="1"/>
  <c r="M145" i="1"/>
  <c r="L145" i="1"/>
  <c r="L170" i="1" s="1"/>
  <c r="K145" i="1"/>
  <c r="J145" i="1"/>
  <c r="H145" i="1"/>
  <c r="E145" i="1"/>
  <c r="I144" i="1"/>
  <c r="I143" i="1"/>
  <c r="I142" i="1"/>
  <c r="I141" i="1"/>
  <c r="I140" i="1"/>
  <c r="I139" i="1"/>
  <c r="I138" i="1"/>
  <c r="F138" i="1"/>
  <c r="F145" i="1" s="1"/>
  <c r="Q131" i="1"/>
  <c r="P131" i="1"/>
  <c r="O131" i="1"/>
  <c r="N131" i="1"/>
  <c r="M131" i="1"/>
  <c r="L131" i="1"/>
  <c r="K131" i="1"/>
  <c r="J131" i="1"/>
  <c r="H131" i="1"/>
  <c r="G131" i="1"/>
  <c r="G133" i="1" s="1"/>
  <c r="G2696" i="1" s="1"/>
  <c r="F131" i="1"/>
  <c r="E131" i="1"/>
  <c r="I130" i="1"/>
  <c r="Q128" i="1"/>
  <c r="P128" i="1"/>
  <c r="O128" i="1"/>
  <c r="N128" i="1"/>
  <c r="M128" i="1"/>
  <c r="L128" i="1"/>
  <c r="K128" i="1"/>
  <c r="J128" i="1"/>
  <c r="H128" i="1"/>
  <c r="F128" i="1"/>
  <c r="E128" i="1"/>
  <c r="I126" i="1"/>
  <c r="I125" i="1"/>
  <c r="I124" i="1"/>
  <c r="I123" i="1"/>
  <c r="I122" i="1"/>
  <c r="I121" i="1"/>
  <c r="I120" i="1"/>
  <c r="I119" i="1"/>
  <c r="I117" i="1"/>
  <c r="I114" i="1"/>
  <c r="Q112" i="1"/>
  <c r="P112" i="1"/>
  <c r="O112" i="1"/>
  <c r="N112" i="1"/>
  <c r="M112" i="1"/>
  <c r="L112" i="1"/>
  <c r="K112" i="1"/>
  <c r="J112" i="1"/>
  <c r="H112" i="1"/>
  <c r="F112" i="1"/>
  <c r="E112" i="1"/>
  <c r="I111" i="1"/>
  <c r="I110" i="1"/>
  <c r="Q108" i="1"/>
  <c r="P108" i="1"/>
  <c r="O108" i="1"/>
  <c r="N108" i="1"/>
  <c r="M108" i="1"/>
  <c r="L108" i="1"/>
  <c r="K108" i="1"/>
  <c r="J108" i="1"/>
  <c r="H108" i="1"/>
  <c r="F108" i="1"/>
  <c r="E108" i="1"/>
  <c r="I107" i="1"/>
  <c r="I106" i="1"/>
  <c r="I105" i="1"/>
  <c r="I104" i="1"/>
  <c r="I103" i="1"/>
  <c r="I102" i="1"/>
  <c r="I101" i="1"/>
  <c r="I98" i="1"/>
  <c r="Q95" i="1"/>
  <c r="P95" i="1"/>
  <c r="O95" i="1"/>
  <c r="N95" i="1"/>
  <c r="M95" i="1"/>
  <c r="L95" i="1"/>
  <c r="K95" i="1"/>
  <c r="J95" i="1"/>
  <c r="H95" i="1"/>
  <c r="F95" i="1"/>
  <c r="E95" i="1"/>
  <c r="I94" i="1"/>
  <c r="I93" i="1"/>
  <c r="I92" i="1"/>
  <c r="I91" i="1"/>
  <c r="I90" i="1"/>
  <c r="I89" i="1"/>
  <c r="I88" i="1"/>
  <c r="I87" i="1"/>
  <c r="I86" i="1"/>
  <c r="I85" i="1"/>
  <c r="I84" i="1"/>
  <c r="I83" i="1"/>
  <c r="I82" i="1"/>
  <c r="I81" i="1"/>
  <c r="I78" i="1"/>
  <c r="I77" i="1"/>
  <c r="I76" i="1"/>
  <c r="I75" i="1"/>
  <c r="I74" i="1"/>
  <c r="I73" i="1"/>
  <c r="I72" i="1"/>
  <c r="I71" i="1"/>
  <c r="I70" i="1"/>
  <c r="I69" i="1"/>
  <c r="I68" i="1"/>
  <c r="I67" i="1"/>
  <c r="I66" i="1"/>
  <c r="I65" i="1"/>
  <c r="I64" i="1"/>
  <c r="I63" i="1"/>
  <c r="I62" i="1"/>
  <c r="I61" i="1"/>
  <c r="I60" i="1"/>
  <c r="I59" i="1"/>
  <c r="I58" i="1"/>
  <c r="I57" i="1"/>
  <c r="I55" i="1"/>
  <c r="Q52" i="1"/>
  <c r="P52" i="1"/>
  <c r="O52" i="1"/>
  <c r="N52" i="1"/>
  <c r="L52" i="1"/>
  <c r="K52" i="1"/>
  <c r="J52" i="1"/>
  <c r="H52" i="1"/>
  <c r="F52" i="1"/>
  <c r="E52" i="1"/>
  <c r="I50" i="1"/>
  <c r="M49" i="1"/>
  <c r="M52" i="1" s="1"/>
  <c r="I49" i="1"/>
  <c r="I48" i="1"/>
  <c r="I47" i="1"/>
  <c r="I45" i="1"/>
  <c r="I43" i="1"/>
  <c r="I41" i="1"/>
  <c r="I40" i="1"/>
  <c r="I37" i="1"/>
  <c r="I34" i="1"/>
  <c r="I32" i="1"/>
  <c r="I31" i="1"/>
  <c r="I30" i="1"/>
  <c r="I29" i="1"/>
  <c r="I27" i="1"/>
  <c r="I26" i="1"/>
  <c r="I25" i="1"/>
  <c r="I24" i="1"/>
  <c r="I23" i="1"/>
  <c r="I22" i="1"/>
  <c r="I21" i="1"/>
  <c r="I20" i="1"/>
  <c r="I19" i="1"/>
  <c r="Q16" i="1"/>
  <c r="P16" i="1"/>
  <c r="O16" i="1"/>
  <c r="N16" i="1"/>
  <c r="M16" i="1"/>
  <c r="L16" i="1"/>
  <c r="K16" i="1"/>
  <c r="J16" i="1"/>
  <c r="H16" i="1"/>
  <c r="F16" i="1"/>
  <c r="E16" i="1"/>
  <c r="I15" i="1"/>
  <c r="I14" i="1"/>
  <c r="Q12" i="1"/>
  <c r="P12" i="1"/>
  <c r="O12" i="1"/>
  <c r="N12" i="1"/>
  <c r="M12" i="1"/>
  <c r="L12" i="1"/>
  <c r="K12" i="1"/>
  <c r="J12" i="1"/>
  <c r="H12" i="1"/>
  <c r="F12" i="1"/>
  <c r="E12" i="1"/>
  <c r="I11" i="1"/>
  <c r="I10" i="1"/>
  <c r="I9" i="1"/>
  <c r="L2274" i="1" l="1"/>
  <c r="K818" i="1"/>
  <c r="O818" i="1"/>
  <c r="H861" i="1"/>
  <c r="L977" i="1"/>
  <c r="E1862" i="1"/>
  <c r="P2274" i="1"/>
  <c r="F2491" i="1"/>
  <c r="L2491" i="1"/>
  <c r="P2491" i="1"/>
  <c r="F2665" i="1"/>
  <c r="L2665" i="1"/>
  <c r="P2665" i="1"/>
  <c r="F2693" i="1"/>
  <c r="L2693" i="1"/>
  <c r="P2693" i="1"/>
  <c r="L133" i="1"/>
  <c r="P133" i="1"/>
  <c r="I1168" i="1"/>
  <c r="K2019" i="1"/>
  <c r="O2019" i="1"/>
  <c r="F2038" i="1"/>
  <c r="L2038" i="1"/>
  <c r="P2038" i="1"/>
  <c r="E2096" i="1"/>
  <c r="F2156" i="1"/>
  <c r="E2274" i="1"/>
  <c r="K2274" i="1"/>
  <c r="F2340" i="1"/>
  <c r="L2340" i="1"/>
  <c r="P2340" i="1"/>
  <c r="H2665" i="1"/>
  <c r="M2665" i="1"/>
  <c r="F133" i="1"/>
  <c r="J454" i="1"/>
  <c r="J765" i="1"/>
  <c r="N765" i="1"/>
  <c r="F847" i="1"/>
  <c r="L847" i="1"/>
  <c r="P847" i="1"/>
  <c r="O977" i="1"/>
  <c r="F1044" i="1"/>
  <c r="L1044" i="1"/>
  <c r="P1044" i="1"/>
  <c r="J1943" i="1"/>
  <c r="N1943" i="1"/>
  <c r="H2038" i="1"/>
  <c r="M2038" i="1"/>
  <c r="Q2038" i="1"/>
  <c r="L2156" i="1"/>
  <c r="H2156" i="1"/>
  <c r="O2156" i="1"/>
  <c r="H2213" i="1"/>
  <c r="M2213" i="1"/>
  <c r="Q2213" i="1"/>
  <c r="H2639" i="1"/>
  <c r="N2639" i="1"/>
  <c r="J2665" i="1"/>
  <c r="N2665" i="1"/>
  <c r="F170" i="1"/>
  <c r="H266" i="1"/>
  <c r="M266" i="1"/>
  <c r="Q266" i="1"/>
  <c r="F301" i="1"/>
  <c r="F384" i="1"/>
  <c r="L384" i="1"/>
  <c r="P384" i="1"/>
  <c r="H418" i="1"/>
  <c r="M418" i="1"/>
  <c r="Q418" i="1"/>
  <c r="F488" i="1"/>
  <c r="E546" i="1"/>
  <c r="K546" i="1"/>
  <c r="O546" i="1"/>
  <c r="J578" i="1"/>
  <c r="N578" i="1"/>
  <c r="K652" i="1"/>
  <c r="F708" i="1"/>
  <c r="L708" i="1"/>
  <c r="P708" i="1"/>
  <c r="J785" i="1"/>
  <c r="N785" i="1"/>
  <c r="F1102" i="1"/>
  <c r="H1102" i="1"/>
  <c r="H1196" i="1"/>
  <c r="F1598" i="1"/>
  <c r="P1598" i="1"/>
  <c r="J1771" i="1"/>
  <c r="N1771" i="1"/>
  <c r="H276" i="1"/>
  <c r="F616" i="1"/>
  <c r="L616" i="1"/>
  <c r="P616" i="1"/>
  <c r="J1448" i="1"/>
  <c r="K418" i="1"/>
  <c r="O418" i="1"/>
  <c r="P861" i="1"/>
  <c r="F1128" i="1"/>
  <c r="M1196" i="1"/>
  <c r="N1196" i="1"/>
  <c r="K1219" i="1"/>
  <c r="O1219" i="1"/>
  <c r="F1235" i="1"/>
  <c r="H1267" i="1"/>
  <c r="K1837" i="1"/>
  <c r="O1837" i="1"/>
  <c r="K1862" i="1"/>
  <c r="O1862" i="1"/>
  <c r="J170" i="1"/>
  <c r="N170" i="1"/>
  <c r="H241" i="1"/>
  <c r="M241" i="1"/>
  <c r="Q241" i="1"/>
  <c r="H353" i="1"/>
  <c r="M353" i="1"/>
  <c r="Q353" i="1"/>
  <c r="K384" i="1"/>
  <c r="O384" i="1"/>
  <c r="H736" i="1"/>
  <c r="M736" i="1"/>
  <c r="Q736" i="1"/>
  <c r="K765" i="1"/>
  <c r="O765" i="1"/>
  <c r="F805" i="1"/>
  <c r="F818" i="1"/>
  <c r="L818" i="1"/>
  <c r="P818" i="1"/>
  <c r="H832" i="1"/>
  <c r="M832" i="1"/>
  <c r="Q832" i="1"/>
  <c r="F861" i="1"/>
  <c r="Q861" i="1"/>
  <c r="L899" i="1"/>
  <c r="P1072" i="1"/>
  <c r="F1196" i="1"/>
  <c r="K1196" i="1"/>
  <c r="O1196" i="1"/>
  <c r="P1235" i="1"/>
  <c r="E1267" i="1"/>
  <c r="F1419" i="1"/>
  <c r="L1419" i="1"/>
  <c r="F1887" i="1"/>
  <c r="L301" i="1"/>
  <c r="P301" i="1"/>
  <c r="O301" i="1"/>
  <c r="E349" i="1"/>
  <c r="E266" i="1"/>
  <c r="M301" i="1"/>
  <c r="Q301" i="1"/>
  <c r="L353" i="1"/>
  <c r="P353" i="1"/>
  <c r="F454" i="1"/>
  <c r="L454" i="1"/>
  <c r="P454" i="1"/>
  <c r="J616" i="1"/>
  <c r="H546" i="1"/>
  <c r="M546" i="1"/>
  <c r="Q546" i="1"/>
  <c r="K578" i="1"/>
  <c r="O578" i="1"/>
  <c r="M616" i="1"/>
  <c r="H652" i="1"/>
  <c r="M652" i="1"/>
  <c r="Q652" i="1"/>
  <c r="H679" i="1"/>
  <c r="M679" i="1"/>
  <c r="Q679" i="1"/>
  <c r="F736" i="1"/>
  <c r="L736" i="1"/>
  <c r="P736" i="1"/>
  <c r="H765" i="1"/>
  <c r="Q765" i="1"/>
  <c r="H785" i="1"/>
  <c r="M785" i="1"/>
  <c r="Q785" i="1"/>
  <c r="J847" i="1"/>
  <c r="N847" i="1"/>
  <c r="H899" i="1"/>
  <c r="M899" i="1"/>
  <c r="Q899" i="1"/>
  <c r="I924" i="1"/>
  <c r="J977" i="1"/>
  <c r="P977" i="1"/>
  <c r="J1009" i="1"/>
  <c r="N1009" i="1"/>
  <c r="F1072" i="1"/>
  <c r="L1072" i="1"/>
  <c r="L1102" i="1"/>
  <c r="Q1196" i="1"/>
  <c r="E1235" i="1"/>
  <c r="J1235" i="1"/>
  <c r="N1235" i="1"/>
  <c r="P1419" i="1"/>
  <c r="F1448" i="1"/>
  <c r="L1448" i="1"/>
  <c r="P1448" i="1"/>
  <c r="J1475" i="1"/>
  <c r="N1475" i="1"/>
  <c r="K1598" i="1"/>
  <c r="O1598" i="1"/>
  <c r="J1671" i="1"/>
  <c r="N1671" i="1"/>
  <c r="F1813" i="1"/>
  <c r="L1813" i="1"/>
  <c r="J1914" i="1"/>
  <c r="N1914" i="1"/>
  <c r="F1943" i="1"/>
  <c r="L1943" i="1"/>
  <c r="P1943" i="1"/>
  <c r="F1989" i="1"/>
  <c r="L1989" i="1"/>
  <c r="P1989" i="1"/>
  <c r="J679" i="1"/>
  <c r="J805" i="1"/>
  <c r="N805" i="1"/>
  <c r="F1267" i="1"/>
  <c r="L861" i="1"/>
  <c r="F936" i="1"/>
  <c r="L936" i="1"/>
  <c r="P936" i="1"/>
  <c r="F977" i="1"/>
  <c r="J1044" i="1"/>
  <c r="P1102" i="1"/>
  <c r="K1128" i="1"/>
  <c r="O1128" i="1"/>
  <c r="O1161" i="1"/>
  <c r="L1235" i="1"/>
  <c r="J1253" i="1"/>
  <c r="N1253" i="1"/>
  <c r="J1389" i="1"/>
  <c r="N1389" i="1"/>
  <c r="N1448" i="1"/>
  <c r="F1711" i="1"/>
  <c r="L1711" i="1"/>
  <c r="P1711" i="1"/>
  <c r="H1837" i="1"/>
  <c r="M1837" i="1"/>
  <c r="Q1837" i="1"/>
  <c r="J1887" i="1"/>
  <c r="N1887" i="1"/>
  <c r="F2095" i="1"/>
  <c r="J2156" i="1"/>
  <c r="J2213" i="1"/>
  <c r="N2213" i="1"/>
  <c r="J2312" i="1"/>
  <c r="N2312" i="1"/>
  <c r="K488" i="1"/>
  <c r="O488" i="1"/>
  <c r="F546" i="1"/>
  <c r="L546" i="1"/>
  <c r="P546" i="1"/>
  <c r="K736" i="1"/>
  <c r="O736" i="1"/>
  <c r="F765" i="1"/>
  <c r="L765" i="1"/>
  <c r="P765" i="1"/>
  <c r="F785" i="1"/>
  <c r="L785" i="1"/>
  <c r="P785" i="1"/>
  <c r="L805" i="1"/>
  <c r="P805" i="1"/>
  <c r="E832" i="1"/>
  <c r="K832" i="1"/>
  <c r="O832" i="1"/>
  <c r="H847" i="1"/>
  <c r="M847" i="1"/>
  <c r="Q847" i="1"/>
  <c r="M861" i="1"/>
  <c r="F899" i="1"/>
  <c r="N977" i="1"/>
  <c r="N1044" i="1"/>
  <c r="Q1102" i="1"/>
  <c r="N1102" i="1"/>
  <c r="M1161" i="1"/>
  <c r="K1161" i="1"/>
  <c r="P1196" i="1"/>
  <c r="H1235" i="1"/>
  <c r="Q1235" i="1"/>
  <c r="M1235" i="1"/>
  <c r="F1310" i="1"/>
  <c r="E1389" i="1"/>
  <c r="F1507" i="1"/>
  <c r="L1507" i="1"/>
  <c r="P1507" i="1"/>
  <c r="H1507" i="1"/>
  <c r="M1507" i="1"/>
  <c r="Q1507" i="1"/>
  <c r="L1598" i="1"/>
  <c r="H1671" i="1"/>
  <c r="M1671" i="1"/>
  <c r="Q1671" i="1"/>
  <c r="H1771" i="1"/>
  <c r="M1771" i="1"/>
  <c r="Q1771" i="1"/>
  <c r="J1813" i="1"/>
  <c r="K1943" i="1"/>
  <c r="O1943" i="1"/>
  <c r="J1989" i="1"/>
  <c r="N1989" i="1"/>
  <c r="H2019" i="1"/>
  <c r="M2019" i="1"/>
  <c r="Q2019" i="1"/>
  <c r="M2156" i="1"/>
  <c r="E2156" i="1"/>
  <c r="K2156" i="1"/>
  <c r="Q2156" i="1"/>
  <c r="K2213" i="1"/>
  <c r="O2213" i="1"/>
  <c r="O2274" i="1"/>
  <c r="J2340" i="1"/>
  <c r="N2340" i="1"/>
  <c r="F2639" i="1"/>
  <c r="M2639" i="1"/>
  <c r="Q2639" i="1"/>
  <c r="Q2665" i="1"/>
  <c r="E765" i="1"/>
  <c r="E785" i="1"/>
  <c r="E384" i="1"/>
  <c r="E578" i="1"/>
  <c r="E818" i="1"/>
  <c r="H133" i="1"/>
  <c r="E133" i="1"/>
  <c r="K133" i="1"/>
  <c r="K2696" i="1" s="1"/>
  <c r="O133" i="1"/>
  <c r="O2696" i="1" s="1"/>
  <c r="H170" i="1"/>
  <c r="M170" i="1"/>
  <c r="Q170" i="1"/>
  <c r="L241" i="1"/>
  <c r="P241" i="1"/>
  <c r="J266" i="1"/>
  <c r="N266" i="1"/>
  <c r="J301" i="1"/>
  <c r="K353" i="1"/>
  <c r="O353" i="1"/>
  <c r="J384" i="1"/>
  <c r="N384" i="1"/>
  <c r="J418" i="1"/>
  <c r="N418" i="1"/>
  <c r="N454" i="1"/>
  <c r="K454" i="1"/>
  <c r="O454" i="1"/>
  <c r="H488" i="1"/>
  <c r="M488" i="1"/>
  <c r="Q488" i="1"/>
  <c r="H517" i="1"/>
  <c r="M517" i="1"/>
  <c r="Q517" i="1"/>
  <c r="H578" i="1"/>
  <c r="M578" i="1"/>
  <c r="Q578" i="1"/>
  <c r="N616" i="1"/>
  <c r="J652" i="1"/>
  <c r="O652" i="1"/>
  <c r="H805" i="1"/>
  <c r="M805" i="1"/>
  <c r="Q805" i="1"/>
  <c r="J818" i="1"/>
  <c r="N818" i="1"/>
  <c r="J832" i="1"/>
  <c r="N832" i="1"/>
  <c r="K241" i="1"/>
  <c r="O241" i="1"/>
  <c r="K266" i="1"/>
  <c r="O266" i="1"/>
  <c r="K301" i="1"/>
  <c r="N679" i="1"/>
  <c r="M765" i="1"/>
  <c r="H818" i="1"/>
  <c r="M818" i="1"/>
  <c r="Q818" i="1"/>
  <c r="M133" i="1"/>
  <c r="M2696" i="1" s="1"/>
  <c r="J241" i="1"/>
  <c r="N241" i="1"/>
  <c r="J488" i="1"/>
  <c r="N488" i="1"/>
  <c r="J517" i="1"/>
  <c r="N517" i="1"/>
  <c r="M708" i="1"/>
  <c r="Q708" i="1"/>
  <c r="J861" i="1"/>
  <c r="N861" i="1"/>
  <c r="Q133" i="1"/>
  <c r="J133" i="1"/>
  <c r="N133" i="1"/>
  <c r="E170" i="1"/>
  <c r="K170" i="1"/>
  <c r="O170" i="1"/>
  <c r="H301" i="1"/>
  <c r="N301" i="1"/>
  <c r="J353" i="1"/>
  <c r="N353" i="1"/>
  <c r="H384" i="1"/>
  <c r="M384" i="1"/>
  <c r="Q384" i="1"/>
  <c r="F418" i="1"/>
  <c r="L418" i="1"/>
  <c r="P418" i="1"/>
  <c r="H454" i="1"/>
  <c r="M454" i="1"/>
  <c r="Q454" i="1"/>
  <c r="L488" i="1"/>
  <c r="P488" i="1"/>
  <c r="K517" i="1"/>
  <c r="O517" i="1"/>
  <c r="J546" i="1"/>
  <c r="N546" i="1"/>
  <c r="H616" i="1"/>
  <c r="Q616" i="1"/>
  <c r="N652" i="1"/>
  <c r="K679" i="1"/>
  <c r="O679" i="1"/>
  <c r="K708" i="1"/>
  <c r="O708" i="1"/>
  <c r="P899" i="1"/>
  <c r="K1044" i="1"/>
  <c r="O1044" i="1"/>
  <c r="H1072" i="1"/>
  <c r="M1072" i="1"/>
  <c r="Q1072" i="1"/>
  <c r="J1102" i="1"/>
  <c r="K1102" i="1"/>
  <c r="J1161" i="1"/>
  <c r="N1161" i="1"/>
  <c r="G1952" i="1"/>
  <c r="H1219" i="1"/>
  <c r="M1219" i="1"/>
  <c r="Q1219" i="1"/>
  <c r="H1389" i="1"/>
  <c r="M1389" i="1"/>
  <c r="Q1389" i="1"/>
  <c r="J1419" i="1"/>
  <c r="N1419" i="1"/>
  <c r="K1419" i="1"/>
  <c r="O1419" i="1"/>
  <c r="H1448" i="1"/>
  <c r="M1448" i="1"/>
  <c r="Q1448" i="1"/>
  <c r="E1507" i="1"/>
  <c r="K1507" i="1"/>
  <c r="O1507" i="1"/>
  <c r="J1507" i="1"/>
  <c r="N1507" i="1"/>
  <c r="J1598" i="1"/>
  <c r="N1598" i="1"/>
  <c r="K1655" i="1"/>
  <c r="O1655" i="1"/>
  <c r="F1671" i="1"/>
  <c r="L1671" i="1"/>
  <c r="P1671" i="1"/>
  <c r="H977" i="1"/>
  <c r="M977" i="1"/>
  <c r="Q977" i="1"/>
  <c r="H936" i="1"/>
  <c r="M936" i="1"/>
  <c r="Q936" i="1"/>
  <c r="J1072" i="1"/>
  <c r="N1072" i="1"/>
  <c r="M1102" i="1"/>
  <c r="L1128" i="1"/>
  <c r="P1128" i="1"/>
  <c r="H1128" i="1"/>
  <c r="M1128" i="1"/>
  <c r="Q1128" i="1"/>
  <c r="F1161" i="1"/>
  <c r="L1161" i="1"/>
  <c r="P1161" i="1"/>
  <c r="K1235" i="1"/>
  <c r="O1235" i="1"/>
  <c r="K1253" i="1"/>
  <c r="O1253" i="1"/>
  <c r="H1253" i="1"/>
  <c r="M1253" i="1"/>
  <c r="Q1253" i="1"/>
  <c r="K1389" i="1"/>
  <c r="O1389" i="1"/>
  <c r="K1475" i="1"/>
  <c r="O1475" i="1"/>
  <c r="F1475" i="1"/>
  <c r="L1475" i="1"/>
  <c r="P1475" i="1"/>
  <c r="F1655" i="1"/>
  <c r="L1655" i="1"/>
  <c r="P1655" i="1"/>
  <c r="J1655" i="1"/>
  <c r="N1655" i="1"/>
  <c r="J1711" i="1"/>
  <c r="N1711" i="1"/>
  <c r="J899" i="1"/>
  <c r="N899" i="1"/>
  <c r="K899" i="1"/>
  <c r="O899" i="1"/>
  <c r="J936" i="1"/>
  <c r="N936" i="1"/>
  <c r="E976" i="1"/>
  <c r="E977" i="1" s="1"/>
  <c r="F1009" i="1"/>
  <c r="L1009" i="1"/>
  <c r="P1009" i="1"/>
  <c r="H1044" i="1"/>
  <c r="M1044" i="1"/>
  <c r="Q1044" i="1"/>
  <c r="E1040" i="1"/>
  <c r="E1044" i="1" s="1"/>
  <c r="E1072" i="1"/>
  <c r="K1072" i="1"/>
  <c r="O1072" i="1"/>
  <c r="I1079" i="1"/>
  <c r="O1102" i="1"/>
  <c r="J1128" i="1"/>
  <c r="N1128" i="1"/>
  <c r="H1161" i="1"/>
  <c r="Q1161" i="1"/>
  <c r="J1196" i="1"/>
  <c r="F1219" i="1"/>
  <c r="L1219" i="1"/>
  <c r="P1219" i="1"/>
  <c r="F1253" i="1"/>
  <c r="L1253" i="1"/>
  <c r="P1253" i="1"/>
  <c r="F1389" i="1"/>
  <c r="L1389" i="1"/>
  <c r="P1389" i="1"/>
  <c r="H1419" i="1"/>
  <c r="M1419" i="1"/>
  <c r="Q1419" i="1"/>
  <c r="E1448" i="1"/>
  <c r="K1448" i="1"/>
  <c r="O1448" i="1"/>
  <c r="H1475" i="1"/>
  <c r="M1475" i="1"/>
  <c r="Q1475" i="1"/>
  <c r="H1655" i="1"/>
  <c r="M1655" i="1"/>
  <c r="Q1655" i="1"/>
  <c r="K1671" i="1"/>
  <c r="O1671" i="1"/>
  <c r="O1813" i="1"/>
  <c r="E1813" i="1"/>
  <c r="K1813" i="1"/>
  <c r="H1813" i="1"/>
  <c r="M1813" i="1"/>
  <c r="Q1813" i="1"/>
  <c r="J1837" i="1"/>
  <c r="N1837" i="1"/>
  <c r="J1862" i="1"/>
  <c r="N1862" i="1"/>
  <c r="H1862" i="1"/>
  <c r="M1862" i="1"/>
  <c r="Q1862" i="1"/>
  <c r="K1887" i="1"/>
  <c r="O1887" i="1"/>
  <c r="H1914" i="1"/>
  <c r="M1914" i="1"/>
  <c r="Q1914" i="1"/>
  <c r="E1989" i="1"/>
  <c r="K1989" i="1"/>
  <c r="O1989" i="1"/>
  <c r="H1989" i="1"/>
  <c r="M1989" i="1"/>
  <c r="Q1989" i="1"/>
  <c r="J2019" i="1"/>
  <c r="N2019" i="1"/>
  <c r="F2019" i="1"/>
  <c r="F2696" i="1" s="1"/>
  <c r="L2019" i="1"/>
  <c r="L2696" i="1" s="1"/>
  <c r="P2019" i="1"/>
  <c r="P2696" i="1" s="1"/>
  <c r="K2096" i="1"/>
  <c r="O2096" i="1"/>
  <c r="H2096" i="1"/>
  <c r="M2096" i="1"/>
  <c r="Q2096" i="1"/>
  <c r="H2491" i="1"/>
  <c r="M2491" i="1"/>
  <c r="Q2491" i="1"/>
  <c r="I2532" i="1"/>
  <c r="H2533" i="1"/>
  <c r="H2575" i="1" s="1"/>
  <c r="J2575" i="1"/>
  <c r="N2575" i="1"/>
  <c r="H2693" i="1"/>
  <c r="M2693" i="1"/>
  <c r="Q2693" i="1"/>
  <c r="F2213" i="1"/>
  <c r="L2213" i="1"/>
  <c r="P2213" i="1"/>
  <c r="P2314" i="1" s="1"/>
  <c r="J2274" i="1"/>
  <c r="H2274" i="1"/>
  <c r="Q2274" i="1"/>
  <c r="K2575" i="1"/>
  <c r="O2575" i="1"/>
  <c r="E1771" i="1"/>
  <c r="K1771" i="1"/>
  <c r="O1771" i="1"/>
  <c r="L1887" i="1"/>
  <c r="P1887" i="1"/>
  <c r="J2038" i="1"/>
  <c r="N2038" i="1"/>
  <c r="M2274" i="1"/>
  <c r="M2314" i="1" s="1"/>
  <c r="K2312" i="1"/>
  <c r="O2312" i="1"/>
  <c r="K2340" i="1"/>
  <c r="O2340" i="1"/>
  <c r="L2575" i="1"/>
  <c r="P2575" i="1"/>
  <c r="K1711" i="1"/>
  <c r="O1711" i="1"/>
  <c r="H1711" i="1"/>
  <c r="M1711" i="1"/>
  <c r="Q1711" i="1"/>
  <c r="F1771" i="1"/>
  <c r="L1771" i="1"/>
  <c r="P1771" i="1"/>
  <c r="N1813" i="1"/>
  <c r="P1813" i="1"/>
  <c r="F1862" i="1"/>
  <c r="L1862" i="1"/>
  <c r="P1862" i="1"/>
  <c r="F1914" i="1"/>
  <c r="L1914" i="1"/>
  <c r="P1914" i="1"/>
  <c r="K1914" i="1"/>
  <c r="O1914" i="1"/>
  <c r="K2038" i="1"/>
  <c r="O2038" i="1"/>
  <c r="J2096" i="1"/>
  <c r="N2096" i="1"/>
  <c r="L2096" i="1"/>
  <c r="L2314" i="1" s="1"/>
  <c r="P2096" i="1"/>
  <c r="N2156" i="1"/>
  <c r="F2274" i="1"/>
  <c r="N2274" i="1"/>
  <c r="H2340" i="1"/>
  <c r="M2340" i="1"/>
  <c r="Q2340" i="1"/>
  <c r="K2491" i="1"/>
  <c r="O2491" i="1"/>
  <c r="F2575" i="1"/>
  <c r="M2575" i="1"/>
  <c r="Q2575" i="1"/>
  <c r="L2639" i="1"/>
  <c r="E2639" i="1"/>
  <c r="P2639" i="1"/>
  <c r="E301" i="1"/>
  <c r="E353" i="1"/>
  <c r="E241" i="1"/>
  <c r="E517" i="1"/>
  <c r="E652" i="1"/>
  <c r="E418" i="1"/>
  <c r="E454" i="1"/>
  <c r="E488" i="1"/>
  <c r="E679" i="1"/>
  <c r="E1419" i="1"/>
  <c r="E2019" i="1"/>
  <c r="E2696" i="1" s="1"/>
  <c r="E2491" i="1"/>
  <c r="E1887" i="1"/>
  <c r="E2312" i="1"/>
  <c r="E1253" i="1"/>
  <c r="E1837" i="1"/>
  <c r="E2340" i="1"/>
  <c r="E736" i="1"/>
  <c r="E847" i="1"/>
  <c r="E899" i="1"/>
  <c r="E1655" i="1"/>
  <c r="E1671" i="1"/>
  <c r="E1914" i="1"/>
  <c r="E2038" i="1"/>
  <c r="F135" i="1"/>
  <c r="F241" i="1"/>
  <c r="F353" i="1"/>
  <c r="E616" i="1"/>
  <c r="K616" i="1"/>
  <c r="O616" i="1"/>
  <c r="F652" i="1"/>
  <c r="L652" i="1"/>
  <c r="P652" i="1"/>
  <c r="F679" i="1"/>
  <c r="L679" i="1"/>
  <c r="P679" i="1"/>
  <c r="E936" i="1"/>
  <c r="K936" i="1"/>
  <c r="O936" i="1"/>
  <c r="E1009" i="1"/>
  <c r="K1009" i="1"/>
  <c r="O1009" i="1"/>
  <c r="H1009" i="1"/>
  <c r="H1952" i="1" s="1"/>
  <c r="M1009" i="1"/>
  <c r="Q1009" i="1"/>
  <c r="E1161" i="1"/>
  <c r="F2096" i="1"/>
  <c r="F2314" i="1" s="1"/>
  <c r="G2698" i="1"/>
  <c r="G2700" i="1"/>
  <c r="E708" i="1"/>
  <c r="J736" i="1"/>
  <c r="J1952" i="1" s="1"/>
  <c r="N736" i="1"/>
  <c r="N1952" i="1" s="1"/>
  <c r="E805" i="1"/>
  <c r="K805" i="1"/>
  <c r="O805" i="1"/>
  <c r="H2314" i="1"/>
  <c r="Q2314" i="1"/>
  <c r="K2314" i="1"/>
  <c r="O2314" i="1"/>
  <c r="F578" i="1"/>
  <c r="F1952" i="1" s="1"/>
  <c r="F1953" i="1" s="1"/>
  <c r="L578" i="1"/>
  <c r="P578" i="1"/>
  <c r="E1102" i="1"/>
  <c r="E1475" i="1"/>
  <c r="E1598" i="1"/>
  <c r="E1936" i="1"/>
  <c r="E1943" i="1" s="1"/>
  <c r="E1185" i="1"/>
  <c r="E1192" i="1"/>
  <c r="E2205" i="1"/>
  <c r="E2213" i="1" s="1"/>
  <c r="E1121" i="1"/>
  <c r="E1128" i="1" s="1"/>
  <c r="E1207" i="1"/>
  <c r="E1219" i="1" s="1"/>
  <c r="E1710" i="1"/>
  <c r="E1711" i="1" s="1"/>
  <c r="J2314" i="1" l="1"/>
  <c r="N2314" i="1"/>
  <c r="L1952" i="1"/>
  <c r="L2697" i="1" s="1"/>
  <c r="L2698" i="1" s="1"/>
  <c r="Q1952" i="1"/>
  <c r="H2696" i="1"/>
  <c r="P1952" i="1"/>
  <c r="P2697" i="1" s="1"/>
  <c r="P2698" i="1" s="1"/>
  <c r="M1952" i="1"/>
  <c r="M2697" i="1" s="1"/>
  <c r="M2698" i="1" s="1"/>
  <c r="Q2696" i="1"/>
  <c r="K1952" i="1"/>
  <c r="K2697" i="1" s="1"/>
  <c r="K2698" i="1" s="1"/>
  <c r="E2314" i="1"/>
  <c r="E1196" i="1"/>
  <c r="E1952" i="1" s="1"/>
  <c r="J2697" i="1"/>
  <c r="N2696" i="1"/>
  <c r="J2696" i="1"/>
  <c r="H2697" i="1"/>
  <c r="O1952" i="1"/>
  <c r="O2697" i="1" s="1"/>
  <c r="O2698" i="1" s="1"/>
  <c r="I2697" i="1"/>
  <c r="F2697" i="1"/>
  <c r="F2700" i="1" s="1"/>
  <c r="Q2697" i="1"/>
  <c r="Q2698" i="1" s="1"/>
  <c r="N2697" i="1"/>
  <c r="N2698" i="1" s="1"/>
  <c r="I2696" i="1" l="1"/>
  <c r="H2698" i="1"/>
  <c r="J2698" i="1"/>
  <c r="F2698" i="1"/>
  <c r="E2697" i="1"/>
  <c r="E2698" i="1" l="1"/>
  <c r="E2700" i="1"/>
  <c r="C1" i="1" l="1"/>
  <c r="C2214" i="1"/>
  <c r="F134" i="1"/>
  <c r="D2700" i="1" l="1"/>
  <c r="C2275" i="1"/>
  <c r="D2705" i="1" l="1"/>
  <c r="D2704" i="1"/>
  <c r="D2702" i="1"/>
  <c r="D2703" i="1"/>
  <c r="D2698" i="1"/>
  <c r="C2097" i="1"/>
  <c r="C2157" i="1" l="1"/>
  <c r="D2701" i="1" l="1"/>
  <c r="C2" i="1"/>
  <c r="C3" i="1" s="1"/>
  <c r="E1953" i="1"/>
</calcChain>
</file>

<file path=xl/comments1.xml><?xml version="1.0" encoding="utf-8"?>
<comments xmlns="http://schemas.openxmlformats.org/spreadsheetml/2006/main">
  <authors>
    <author/>
  </authors>
  <commentList>
    <comment ref="A1" authorId="0">
      <text>
        <r>
          <rPr>
            <sz val="11"/>
            <color rgb="FF000000"/>
            <rFont val="Calibri"/>
          </rPr>
          <t>Fill in +nharris@henderson-county.com
_Assigned to Nikki Harris_
	-Lynn McCawley</t>
        </r>
      </text>
    </comment>
    <comment ref="J25" authorId="0">
      <text>
        <r>
          <rPr>
            <sz val="11"/>
            <color rgb="FF000000"/>
            <rFont val="Calibri"/>
          </rPr>
          <t>We will receive $33,680 in 2019.
	-Lynn McCawley</t>
        </r>
      </text>
    </comment>
    <comment ref="E57" authorId="0">
      <text>
        <r>
          <rPr>
            <sz val="11"/>
            <color rgb="FF000000"/>
            <rFont val="Calibri"/>
          </rPr>
          <t>Through July 27
	-Lynn McCawley</t>
        </r>
      </text>
    </comment>
    <comment ref="H173" authorId="0">
      <text>
        <r>
          <rPr>
            <sz val="11"/>
            <color rgb="FF000000"/>
            <rFont val="Calibri"/>
          </rPr>
          <t>Jane will notify when she receives new figures
	-Lynn McCawley</t>
        </r>
      </text>
    </comment>
    <comment ref="H175" authorId="0">
      <text>
        <r>
          <rPr>
            <sz val="11"/>
            <color rgb="FF000000"/>
            <rFont val="Calibri"/>
          </rPr>
          <t>Added 1 additional retiree for 2020.  4 will be retiring but 3 will drop off in 2020.
	-Lynn McCawley</t>
        </r>
      </text>
    </comment>
    <comment ref="D181" authorId="0">
      <text>
        <r>
          <rPr>
            <sz val="11"/>
            <color rgb="FF000000"/>
            <rFont val="Calibri"/>
          </rPr>
          <t>Parks and Wildlife Funding from 2020 can be removed.
	-Wade McKinney</t>
        </r>
      </text>
    </comment>
    <comment ref="H181" authorId="0">
      <text>
        <r>
          <rPr>
            <sz val="11"/>
            <color rgb="FF000000"/>
            <rFont val="Calibri"/>
          </rPr>
          <t>Flir thermoscopes for Tx P&amp;W
	-Lynn McCawley</t>
        </r>
      </text>
    </comment>
    <comment ref="H196" authorId="0">
      <text>
        <r>
          <rPr>
            <sz val="11"/>
            <color rgb="FF000000"/>
            <rFont val="Calibri"/>
          </rPr>
          <t>Increase for new smart phones
	-Lynn McCawley</t>
        </r>
      </text>
    </comment>
    <comment ref="H904" authorId="0">
      <text>
        <r>
          <rPr>
            <sz val="11"/>
            <color rgb="FF000000"/>
            <rFont val="Calibri"/>
          </rPr>
          <t>Clint requested to move $2,500 to Other Professional Services to cover a phlebotomist to assist Tx Parks and Wildlife on holiday weekends.
	-Lynn McCawley</t>
        </r>
      </text>
    </comment>
    <comment ref="G1230" authorId="0">
      <text>
        <r>
          <rPr>
            <sz val="11"/>
            <color rgb="FF000000"/>
            <rFont val="Calibri"/>
          </rPr>
          <t>Replacing 2 A/C Units
	-Wade McKinney</t>
        </r>
      </text>
    </comment>
    <comment ref="D1679" authorId="0">
      <text>
        <r>
          <rPr>
            <sz val="11"/>
            <color rgb="FF000000"/>
            <rFont val="Calibri"/>
          </rPr>
          <t>Why is this up so much? +lmccawley@henderson-county.com
_Assigned to Lynn McCawley_
	-Wade McKinney
I fixed it.  The total did include the State's portion of FICA. $13,572
	-Lynn McCawley</t>
        </r>
      </text>
    </comment>
    <comment ref="H1800" authorId="0">
      <text>
        <r>
          <rPr>
            <sz val="11"/>
            <color rgb="FF000000"/>
            <rFont val="Calibri"/>
          </rPr>
          <t>Reduce to $1,000 not needed per SHane
	-Lynn McCawley</t>
        </r>
      </text>
    </comment>
    <comment ref="G1811" authorId="0">
      <text>
        <r>
          <rPr>
            <sz val="11"/>
            <color rgb="FF000000"/>
            <rFont val="Calibri"/>
          </rPr>
          <t>FM requested $40,000 for vehicle in original bdgt to replace used Const5.  Removed from bdgt. Will purchase in 2019 out of contingency where it is bdgted
	-Lynn McCawley</t>
        </r>
      </text>
    </comment>
    <comment ref="H2474" authorId="0">
      <text>
        <r>
          <rPr>
            <sz val="11"/>
            <color rgb="FF000000"/>
            <rFont val="Calibri"/>
          </rPr>
          <t>$600 in reserve
	-Lynn McCawley</t>
        </r>
      </text>
    </comment>
    <comment ref="H2517" authorId="0">
      <text>
        <r>
          <rPr>
            <sz val="11"/>
            <color rgb="FF000000"/>
            <rFont val="Calibri"/>
          </rPr>
          <t>Athens $65,000 yr; Chandler      : Malakoff              : Berryville
	-Lynn McCawley
Added $5,000 for GunBarrel and $5,000 for Mabank as possible contracting entities for 2020.
	-Lynn McCawley</t>
        </r>
      </text>
    </comment>
    <comment ref="H2519" authorId="0">
      <text>
        <r>
          <rPr>
            <sz val="11"/>
            <color rgb="FF000000"/>
            <rFont val="Calibri"/>
          </rPr>
          <t>$500 is 2018 paid in 2019
	-Lynn McCawley</t>
        </r>
      </text>
    </comment>
    <comment ref="C2529" authorId="0">
      <text>
        <r>
          <rPr>
            <sz val="11"/>
            <color rgb="FF000000"/>
            <rFont val="Calibri"/>
          </rPr>
          <t>We will need this to be discussed extensively.
	-Wade McKinney</t>
        </r>
      </text>
    </comment>
    <comment ref="H2529" authorId="0">
      <text>
        <r>
          <rPr>
            <sz val="11"/>
            <color rgb="FF000000"/>
            <rFont val="Calibri"/>
          </rPr>
          <t>Exp through 6/30/19; Corr made for FT employee coded to PT.
	-Lynn McCawley
New figure through BW16; 8/2019
	-Lynn McCawley</t>
        </r>
      </text>
    </comment>
    <comment ref="H2544" authorId="0">
      <text>
        <r>
          <rPr>
            <sz val="11"/>
            <color rgb="FF000000"/>
            <rFont val="Calibri"/>
          </rPr>
          <t>$1300 a yr just for Copier
	-Lynn McCawley</t>
        </r>
      </text>
    </comment>
    <comment ref="C2547" authorId="0">
      <text>
        <r>
          <rPr>
            <sz val="11"/>
            <color rgb="FF000000"/>
            <rFont val="Calibri"/>
          </rPr>
          <t>Vaccinations
Wormer
	-Wade McKinney</t>
        </r>
      </text>
    </comment>
    <comment ref="C2550" authorId="0">
      <text>
        <r>
          <rPr>
            <sz val="11"/>
            <color rgb="FF000000"/>
            <rFont val="Calibri"/>
          </rPr>
          <t>Wal-Mart Palestine is no long providing food donation to Animal Shelters.
	-Wade McKinney</t>
        </r>
      </text>
    </comment>
    <comment ref="H2558" authorId="0">
      <text>
        <r>
          <rPr>
            <sz val="11"/>
            <color rgb="FF000000"/>
            <rFont val="Calibri"/>
          </rPr>
          <t>$150 per person vs $15 at Sher Dept
	-Lynn McCawley</t>
        </r>
      </text>
    </comment>
    <comment ref="H2560" authorId="0">
      <text>
        <r>
          <rPr>
            <sz val="11"/>
            <color rgb="FF000000"/>
            <rFont val="Calibri"/>
          </rPr>
          <t>Total for year will be $1,677
	-Lynn McCawley</t>
        </r>
      </text>
    </comment>
    <comment ref="H2564" authorId="0">
      <text>
        <r>
          <rPr>
            <sz val="11"/>
            <color rgb="FF000000"/>
            <rFont val="Calibri"/>
          </rPr>
          <t>Only 5 mos.  $500-$600 a month
	-Lynn McCawley</t>
        </r>
      </text>
    </comment>
    <comment ref="H2565" authorId="0">
      <text>
        <r>
          <rPr>
            <sz val="11"/>
            <color rgb="FF000000"/>
            <rFont val="Calibri"/>
          </rPr>
          <t>6 mos of bills.  $115 in summer ;$350 mo in winter
	-Lynn McCawley</t>
        </r>
      </text>
    </comment>
    <comment ref="C2568" authorId="0">
      <text>
        <r>
          <rPr>
            <sz val="11"/>
            <color rgb="FF000000"/>
            <rFont val="Calibri"/>
          </rPr>
          <t>Need A/C fixed on car
	-Lynn McCawley</t>
        </r>
      </text>
    </comment>
  </commentList>
</comments>
</file>

<file path=xl/sharedStrings.xml><?xml version="1.0" encoding="utf-8"?>
<sst xmlns="http://schemas.openxmlformats.org/spreadsheetml/2006/main" count="4406" uniqueCount="2413">
  <si>
    <t>General Revenue</t>
  </si>
  <si>
    <t>General Expenses</t>
  </si>
  <si>
    <t>Difference</t>
  </si>
  <si>
    <t xml:space="preserve"> </t>
  </si>
  <si>
    <t xml:space="preserve">2020 YTD </t>
  </si>
  <si>
    <t>% of</t>
  </si>
  <si>
    <t>Account</t>
  </si>
  <si>
    <t>Description</t>
  </si>
  <si>
    <t>Proposed</t>
  </si>
  <si>
    <t>as of</t>
  </si>
  <si>
    <t>Revised</t>
  </si>
  <si>
    <t xml:space="preserve">Adopted </t>
  </si>
  <si>
    <t xml:space="preserve"> Actuals</t>
  </si>
  <si>
    <t>Budget</t>
  </si>
  <si>
    <t>Adopted</t>
  </si>
  <si>
    <t>Actuals</t>
  </si>
  <si>
    <t/>
  </si>
  <si>
    <t>REVENUES</t>
  </si>
  <si>
    <t>GENERAL FUND REVENUES</t>
  </si>
  <si>
    <t>100-10000-310</t>
  </si>
  <si>
    <t>CURRENT TAXES</t>
  </si>
  <si>
    <t>100-20000-310</t>
  </si>
  <si>
    <t>DELINQUENT TAXES</t>
  </si>
  <si>
    <t>100-30000-319</t>
  </si>
  <si>
    <t>PENALTY &amp; INTEREST</t>
  </si>
  <si>
    <t>100-10000-320</t>
  </si>
  <si>
    <t>LIQUOR LICENSE</t>
  </si>
  <si>
    <t>100-40000-320</t>
  </si>
  <si>
    <t>ALCOHOL BEVERAGE TAX</t>
  </si>
  <si>
    <t>100-30200-330</t>
  </si>
  <si>
    <t>TITLE IVE - CWB</t>
  </si>
  <si>
    <t>100-30300-330</t>
  </si>
  <si>
    <t>TITLE IV-E LEGAL</t>
  </si>
  <si>
    <t>100-30500-330</t>
  </si>
  <si>
    <t>GRANT: DA/CA ASST PROS LONGEVITY</t>
  </si>
  <si>
    <t>100-31000-330</t>
  </si>
  <si>
    <t>CCL STATE SUPPLEMENT</t>
  </si>
  <si>
    <t>100-31500-330</t>
  </si>
  <si>
    <t>CO JDG STATE SUPPLEMENT</t>
  </si>
  <si>
    <t>100-31700-330</t>
  </si>
  <si>
    <t>DA STATE SUPPLEMENT</t>
  </si>
  <si>
    <t>100-32000-330</t>
  </si>
  <si>
    <t>EMERGENCY MANAGEMENT</t>
  </si>
  <si>
    <t>100-32100-330</t>
  </si>
  <si>
    <t>CORONAVIRUS RELIEF FUND</t>
  </si>
  <si>
    <t>100-32500-330</t>
  </si>
  <si>
    <t>COMPTROLLER - CAC</t>
  </si>
  <si>
    <t>100-34500-330</t>
  </si>
  <si>
    <t>SOLID WASTE GRANT</t>
  </si>
  <si>
    <t>100-35000-330</t>
  </si>
  <si>
    <t>LEOSE - SHERIFF</t>
  </si>
  <si>
    <t>100-35300-330</t>
  </si>
  <si>
    <t>LEOSE - CONSTABLES</t>
  </si>
  <si>
    <t>100-35500-330</t>
  </si>
  <si>
    <t>LEOSE - FIRE MARSHAL</t>
  </si>
  <si>
    <t>100-36000-330</t>
  </si>
  <si>
    <t>SHERIFF'S SRD PROGRAM</t>
  </si>
  <si>
    <t>100-37600-330</t>
  </si>
  <si>
    <t>SHERIFF'S SAVNS GRANT</t>
  </si>
  <si>
    <t>100-37700-330</t>
  </si>
  <si>
    <t>AUTO THEFT TASK FORCE</t>
  </si>
  <si>
    <t>100-38000-330</t>
  </si>
  <si>
    <t>ALIEN ASSISTANCE PROG (SCAAP)</t>
  </si>
  <si>
    <t>100-38500-330</t>
  </si>
  <si>
    <t>BULLET PROOF VEST</t>
  </si>
  <si>
    <t>100-39000-330</t>
  </si>
  <si>
    <t>CO ATTY STATE SUPPLEMENT</t>
  </si>
  <si>
    <t>100-39400-330</t>
  </si>
  <si>
    <t>CHAPTER 19 FUNDS</t>
  </si>
  <si>
    <t>100-39700-330</t>
  </si>
  <si>
    <t>GRANT: HAVA CARES</t>
  </si>
  <si>
    <t>100-40000-330</t>
  </si>
  <si>
    <t>PRISONER CARE</t>
  </si>
  <si>
    <t>100-40300-330</t>
  </si>
  <si>
    <t>OUT-OF-COUNTY INMATE HOUSING</t>
  </si>
  <si>
    <t>100-40400-330</t>
  </si>
  <si>
    <t>ICE INMATE HOUSING</t>
  </si>
  <si>
    <t>100-40500-330</t>
  </si>
  <si>
    <t>CRIME VICTIM'S REIMBURSEMENT</t>
  </si>
  <si>
    <t>100-42000-330</t>
  </si>
  <si>
    <t>INDIGENT HEALTH CARE REIMB.</t>
  </si>
  <si>
    <t>100-44000-330</t>
  </si>
  <si>
    <t>INDIGENT DEF. FORMULA</t>
  </si>
  <si>
    <t>100-44500-330</t>
  </si>
  <si>
    <t>IND. DEF. DISCRETIONARY GRANT</t>
  </si>
  <si>
    <t>100-45000-330</t>
  </si>
  <si>
    <t>INMATE TRANSPORTATION</t>
  </si>
  <si>
    <t>100-45500-330</t>
  </si>
  <si>
    <t>VOTING MACHINE LEASE FEES</t>
  </si>
  <si>
    <t>100-46000-330</t>
  </si>
  <si>
    <t>TOBACCO SETTLEMENT</t>
  </si>
  <si>
    <t>100-51000-330</t>
  </si>
  <si>
    <t>FIRST RESPONDER</t>
  </si>
  <si>
    <t>100-60300-330</t>
  </si>
  <si>
    <t>ANIMAL SHELTER SUPPORT</t>
  </si>
  <si>
    <t>100-20000-340</t>
  </si>
  <si>
    <t>COUNTY SHERIFF</t>
  </si>
  <si>
    <t>100-20500-340</t>
  </si>
  <si>
    <t>SHERIFF COURT COSTS</t>
  </si>
  <si>
    <t>100-25000-340</t>
  </si>
  <si>
    <t>COUNTY FIRE MARSHAL</t>
  </si>
  <si>
    <t>100-30000-340</t>
  </si>
  <si>
    <t>COUNTY ATTORNEY</t>
  </si>
  <si>
    <t>100-35000-340</t>
  </si>
  <si>
    <t>COURT APPT ATTORNEY FEES</t>
  </si>
  <si>
    <t>100-40000-340</t>
  </si>
  <si>
    <t>COUNTY CLERK FEES</t>
  </si>
  <si>
    <t>100-40200-340</t>
  </si>
  <si>
    <t>COUNTY COURT COSTS</t>
  </si>
  <si>
    <t>100-40500-340</t>
  </si>
  <si>
    <t>CO CLERK RECORDS ARCHIVE FEES</t>
  </si>
  <si>
    <t>100-41500-340</t>
  </si>
  <si>
    <t>COUNTY TRANSACTION FEES</t>
  </si>
  <si>
    <t>100-50000-340</t>
  </si>
  <si>
    <t>TAX COLL. PROP COMMISSIONS</t>
  </si>
  <si>
    <t>100-52000-340</t>
  </si>
  <si>
    <t>TAX COLLECTOR SVC. AGREE.</t>
  </si>
  <si>
    <t>100-53000-340</t>
  </si>
  <si>
    <t>AUTO TITLE FEES &amp; COMMISSIONS</t>
  </si>
  <si>
    <t>100-54500-340</t>
  </si>
  <si>
    <t>AUTO TAX COMMISSION (152.123B)</t>
  </si>
  <si>
    <t>100-55000-340</t>
  </si>
  <si>
    <t>TAX CERTIFICATE FEES</t>
  </si>
  <si>
    <t>100-70000-340</t>
  </si>
  <si>
    <t>DISTRICT CLERK FEES</t>
  </si>
  <si>
    <t>100-70100-340</t>
  </si>
  <si>
    <t>DISTICT COURT COSTS</t>
  </si>
  <si>
    <t>100-70500-340</t>
  </si>
  <si>
    <t>PASSPORT PHOTOS</t>
  </si>
  <si>
    <t>100-70600-340</t>
  </si>
  <si>
    <t>DISTRICT CLK ARCHIVE FEES</t>
  </si>
  <si>
    <t>100-80000-340</t>
  </si>
  <si>
    <t>TRUANCY COURT</t>
  </si>
  <si>
    <t>100-80100-340</t>
  </si>
  <si>
    <t>JP-PRECINCT #1</t>
  </si>
  <si>
    <t>100-80200-340</t>
  </si>
  <si>
    <t>JP-PRECINCT #2</t>
  </si>
  <si>
    <t>100-80300-340</t>
  </si>
  <si>
    <t>JP-PRECINCT #3</t>
  </si>
  <si>
    <t>100-80400-340</t>
  </si>
  <si>
    <t>JP-PRECINCT #4</t>
  </si>
  <si>
    <t>100-80500-340</t>
  </si>
  <si>
    <t>JP-PRECINCT #5</t>
  </si>
  <si>
    <t>100-80700-340</t>
  </si>
  <si>
    <t>TIME PAYMENT FEE $15</t>
  </si>
  <si>
    <t>100-80900-340</t>
  </si>
  <si>
    <t>JUVENILE COURT COSTS</t>
  </si>
  <si>
    <t>100-81100-340</t>
  </si>
  <si>
    <t>JP#1 TECHNOLOGY FEE</t>
  </si>
  <si>
    <t>100-81200-340</t>
  </si>
  <si>
    <t>JP#2 TECHNOLOGY FEE</t>
  </si>
  <si>
    <t>100-81300-340</t>
  </si>
  <si>
    <t>JP#3 TECHNOLOGY FEE</t>
  </si>
  <si>
    <t>100-81400-340</t>
  </si>
  <si>
    <t>JP#4 TECHNOLOGY FEE</t>
  </si>
  <si>
    <t>100-81500-340</t>
  </si>
  <si>
    <t>JP#5 TECHNOLOGY FEE</t>
  </si>
  <si>
    <t>100-81800-340</t>
  </si>
  <si>
    <t>CNTY / DST COURT TECH FEE</t>
  </si>
  <si>
    <t>100-82000-340</t>
  </si>
  <si>
    <t>JP COURT COSTS</t>
  </si>
  <si>
    <t>100-10000-341</t>
  </si>
  <si>
    <t>COURTHOUSE SECURITY FEES</t>
  </si>
  <si>
    <t>100-20000-341</t>
  </si>
  <si>
    <t>JUSTICE COURT SECURITY FEES</t>
  </si>
  <si>
    <t>100-10000-342</t>
  </si>
  <si>
    <t>CONSTABLE PCT #1</t>
  </si>
  <si>
    <t>100-20000-342</t>
  </si>
  <si>
    <t>CONSTABLE PCT #2</t>
  </si>
  <si>
    <t>100-30000-342</t>
  </si>
  <si>
    <t>CONSTABLE PCT #3</t>
  </si>
  <si>
    <t>100-40000-342</t>
  </si>
  <si>
    <t>CONSTABLE PCT #4</t>
  </si>
  <si>
    <t>100-50000-342</t>
  </si>
  <si>
    <t>CONSTABLE PCT #5</t>
  </si>
  <si>
    <t>100-15000-350</t>
  </si>
  <si>
    <t>COUNTY COURT FINES</t>
  </si>
  <si>
    <t>100-15100-350</t>
  </si>
  <si>
    <t>COUNTY COURT AT LAW FINES</t>
  </si>
  <si>
    <t>100-15200-350</t>
  </si>
  <si>
    <t>COUNTY COURT AT LAW 2 FINES</t>
  </si>
  <si>
    <t>100-31000-350</t>
  </si>
  <si>
    <t>DISTRICT COURT FINES</t>
  </si>
  <si>
    <t>100-50100-350</t>
  </si>
  <si>
    <t>JP 1 COURT FINES</t>
  </si>
  <si>
    <t>100-50200-350</t>
  </si>
  <si>
    <t>JP 2 COURT FINES</t>
  </si>
  <si>
    <t>100-50300-350</t>
  </si>
  <si>
    <t>JP 3 COURT FINES</t>
  </si>
  <si>
    <t>100-50400-350</t>
  </si>
  <si>
    <t>JP 4 COURT FINES</t>
  </si>
  <si>
    <t>100-50500-350</t>
  </si>
  <si>
    <t>JP 5 COURT FINES</t>
  </si>
  <si>
    <t>100-40000-352</t>
  </si>
  <si>
    <t>BOND FORFEITURE</t>
  </si>
  <si>
    <t>100-10000-360</t>
  </si>
  <si>
    <t>INTEREST INCOME</t>
  </si>
  <si>
    <t>100-20200-360</t>
  </si>
  <si>
    <t>HEALTH INSURANCE REFUNDS</t>
  </si>
  <si>
    <t>100-20000-364</t>
  </si>
  <si>
    <t>SALE OF ASSETS</t>
  </si>
  <si>
    <t>100-21000-364</t>
  </si>
  <si>
    <t>INSURANCE SETTLEMENT</t>
  </si>
  <si>
    <t>100-30000-364</t>
  </si>
  <si>
    <t>SALE OF BOOKS</t>
  </si>
  <si>
    <t>100-40000-364</t>
  </si>
  <si>
    <t>TELEPHONE-INMATE PHONE SYS.</t>
  </si>
  <si>
    <t>100-50000-364</t>
  </si>
  <si>
    <t>REBATES AND REFUNDS</t>
  </si>
  <si>
    <t>100-60000-364</t>
  </si>
  <si>
    <t>INMATE MEDICAL REIMB.</t>
  </si>
  <si>
    <t>100-10000-370</t>
  </si>
  <si>
    <t>SR CITIZENS BUILDING RENTAL</t>
  </si>
  <si>
    <t>100-20000-370</t>
  </si>
  <si>
    <t>OTHER RENTALS &amp; LEASES</t>
  </si>
  <si>
    <t>100-30000-370</t>
  </si>
  <si>
    <t>ROYALTY</t>
  </si>
  <si>
    <t>100-35000-370</t>
  </si>
  <si>
    <t>HISTORICAL COMMISSION REVENUE</t>
  </si>
  <si>
    <t>100-40000-370</t>
  </si>
  <si>
    <t>CSCD IT MANAGEMENT</t>
  </si>
  <si>
    <t>100-80000-381</t>
  </si>
  <si>
    <t>HEALTHY CNTY &amp; VENDING</t>
  </si>
  <si>
    <t>100-90000-381</t>
  </si>
  <si>
    <t>MISCELLANEOUS INCOME</t>
  </si>
  <si>
    <t>100-91000-381</t>
  </si>
  <si>
    <t>MISC REFUNDS &amp; REIMBURSEMENTS</t>
  </si>
  <si>
    <t>100-00000-390</t>
  </si>
  <si>
    <t>TRANSFERS</t>
  </si>
  <si>
    <t>TOTAL GENERAL FUND REVENUE</t>
  </si>
  <si>
    <t>EXPENSES</t>
  </si>
  <si>
    <t>COUNTY JUDGE</t>
  </si>
  <si>
    <t>100-10100-401</t>
  </si>
  <si>
    <t xml:space="preserve">SALARIES-ELECTED OFFICIALS </t>
  </si>
  <si>
    <t>100-10200-401</t>
  </si>
  <si>
    <t xml:space="preserve">SALARIES-FT                                 </t>
  </si>
  <si>
    <t>100-10800-401</t>
  </si>
  <si>
    <t>SALARIES-PT</t>
  </si>
  <si>
    <t>100-11200-401</t>
  </si>
  <si>
    <t xml:space="preserve">LONGEVITY                               </t>
  </si>
  <si>
    <t>100-15200-401</t>
  </si>
  <si>
    <t>TIME &amp; A HALF</t>
  </si>
  <si>
    <t>100-15700-401</t>
  </si>
  <si>
    <t>JUVENILE BOARD PAY</t>
  </si>
  <si>
    <t>100-16000-401</t>
  </si>
  <si>
    <t>STATE SUPPLEMENT</t>
  </si>
  <si>
    <t>100-20100-401</t>
  </si>
  <si>
    <t>FICA</t>
  </si>
  <si>
    <t>100-20200-401</t>
  </si>
  <si>
    <t>HEALTH INSURANCE</t>
  </si>
  <si>
    <t>100-20300-401</t>
  </si>
  <si>
    <t>RETIREMENT</t>
  </si>
  <si>
    <t>100-20500-401</t>
  </si>
  <si>
    <t>SUPPLEMENTAL RETIREMENT</t>
  </si>
  <si>
    <t>100-20700-401</t>
  </si>
  <si>
    <t>DENTAL INSURANCE</t>
  </si>
  <si>
    <t>100-20900-401</t>
  </si>
  <si>
    <t>PHONE ALLOWANCE</t>
  </si>
  <si>
    <t>100-31000-401</t>
  </si>
  <si>
    <t>OFFICE SUPPLIES</t>
  </si>
  <si>
    <t>100-31100-401</t>
  </si>
  <si>
    <t>POSTAGE</t>
  </si>
  <si>
    <t>100-34600-401</t>
  </si>
  <si>
    <t>BOOK AND BOOK UPDATES</t>
  </si>
  <si>
    <t>100-35000-401</t>
  </si>
  <si>
    <t>NON-CAPITAL EQUIPMENT $500 - $4,999</t>
  </si>
  <si>
    <t>100-39100-401</t>
  </si>
  <si>
    <t>MINOR EQUIPMENT</t>
  </si>
  <si>
    <t>100-41300-401</t>
  </si>
  <si>
    <t>SPECIAL COURT REPORTER</t>
  </si>
  <si>
    <t>100-41900-401</t>
  </si>
  <si>
    <t>OTHER PROFESSIONAL SERVICES</t>
  </si>
  <si>
    <t>100-42600-401</t>
  </si>
  <si>
    <t>BUSINESS AND TRAVEL</t>
  </si>
  <si>
    <t>100-42700-401</t>
  </si>
  <si>
    <t>CONFERENCE &amp; EDUCATION</t>
  </si>
  <si>
    <t>100-42800-401</t>
  </si>
  <si>
    <t>DUES AND SUBSCRIPTIONS</t>
  </si>
  <si>
    <t>100-49100-401</t>
  </si>
  <si>
    <t>FIDELITY BONDS</t>
  </si>
  <si>
    <t>100-49300-401</t>
  </si>
  <si>
    <t>COPIER EXPENSE</t>
  </si>
  <si>
    <t>TOTAL COUNTY JUDGE</t>
  </si>
  <si>
    <t>GENERAL OPERATIONS</t>
  </si>
  <si>
    <t>100-20400-402</t>
  </si>
  <si>
    <t>WORKER'S COMPENSATION</t>
  </si>
  <si>
    <t>100-20600-402</t>
  </si>
  <si>
    <t>UNEMPLOYMENT COMPENSATION</t>
  </si>
  <si>
    <t>100-20800-402</t>
  </si>
  <si>
    <t>RETIREE HEALTH INSURANCE</t>
  </si>
  <si>
    <t>100-31000-402</t>
  </si>
  <si>
    <t>100-31100-402</t>
  </si>
  <si>
    <t>100-35000-402</t>
  </si>
  <si>
    <t>100-39100-402</t>
  </si>
  <si>
    <t xml:space="preserve">MINOR EQUIPMENT </t>
  </si>
  <si>
    <t>100-40000-402</t>
  </si>
  <si>
    <t>LEGAL</t>
  </si>
  <si>
    <t>100-40100-402</t>
  </si>
  <si>
    <t>AUDIT</t>
  </si>
  <si>
    <t>100-40200-402</t>
  </si>
  <si>
    <t>INDIGENT - COURT RELATED</t>
  </si>
  <si>
    <t>100-40300-402</t>
  </si>
  <si>
    <t>COURT APPOINTED ATTORNEYS - CIVIL</t>
  </si>
  <si>
    <t>100-40400-402</t>
  </si>
  <si>
    <t>COURT APPOINTED ATTORNEYS</t>
  </si>
  <si>
    <t>100-40500-402</t>
  </si>
  <si>
    <t>EMPLOYMENT EXAMS &amp; IMMUN.</t>
  </si>
  <si>
    <t>100-40600-402</t>
  </si>
  <si>
    <t>APPRAISAL DISTRICT</t>
  </si>
  <si>
    <t>100-40900-402</t>
  </si>
  <si>
    <t>CPS COURT APPOINTED ATTORNEYS</t>
  </si>
  <si>
    <t>100-41300-402</t>
  </si>
  <si>
    <t>100-41400-402</t>
  </si>
  <si>
    <t>SPECIAL JUDGE</t>
  </si>
  <si>
    <t>100-41500-402</t>
  </si>
  <si>
    <t>CPS COURT RELATED EXPENSE</t>
  </si>
  <si>
    <t>100-41900-402</t>
  </si>
  <si>
    <t>100-42000-402</t>
  </si>
  <si>
    <t>TELEPHONE</t>
  </si>
  <si>
    <t>100-42500-402</t>
  </si>
  <si>
    <t>COMPLIANCE WITH HB 1495</t>
  </si>
  <si>
    <t>100-42600-402</t>
  </si>
  <si>
    <t>BUSINESS AND TRAVEL EXPENSE</t>
  </si>
  <si>
    <t>100-42800-402</t>
  </si>
  <si>
    <t>DUES AND SUBCRIPTIONS</t>
  </si>
  <si>
    <t>100-43000-402</t>
  </si>
  <si>
    <t>ADVERTISING &amp; PUBLICATION</t>
  </si>
  <si>
    <t>100-48200-402</t>
  </si>
  <si>
    <t>LIABILITY/PROPERTY INSURANCE</t>
  </si>
  <si>
    <t>100-49000-402</t>
  </si>
  <si>
    <t>LIABILITY CLAIMS</t>
  </si>
  <si>
    <t>100-49100-402</t>
  </si>
  <si>
    <t>100-49200-402</t>
  </si>
  <si>
    <t>BUILDING/OFFICE RENTAL</t>
  </si>
  <si>
    <t>100-57600-402</t>
  </si>
  <si>
    <t>EQUIPMENT</t>
  </si>
  <si>
    <t>100-70000-402</t>
  </si>
  <si>
    <t>AUTOPSY</t>
  </si>
  <si>
    <t>100-70400-402</t>
  </si>
  <si>
    <t>IHC EMERGENCY PHYSICIAN</t>
  </si>
  <si>
    <t>100-70500-402</t>
  </si>
  <si>
    <t>IHC HOSPITAL-INPATIENT</t>
  </si>
  <si>
    <t>100-70600-402</t>
  </si>
  <si>
    <t>IHC HOSPITAL-OUTPATIENT</t>
  </si>
  <si>
    <t>100-70700-402</t>
  </si>
  <si>
    <t>IHC LABORATORY/X-RAY</t>
  </si>
  <si>
    <t>100-70800-402</t>
  </si>
  <si>
    <t>IHC PHYSICIAN, NON-EMERGENCY</t>
  </si>
  <si>
    <t>100-70900-402</t>
  </si>
  <si>
    <t>IHC PRESCRIPTION DRUGS</t>
  </si>
  <si>
    <t>100-71200-402</t>
  </si>
  <si>
    <t>CRIME VICTIM RELATED EXPENSES</t>
  </si>
  <si>
    <t>100-71400-402</t>
  </si>
  <si>
    <t>MENTAL COMMITMENTS</t>
  </si>
  <si>
    <t>100-71700-402</t>
  </si>
  <si>
    <t>CHILD WELFARE BOARD</t>
  </si>
  <si>
    <t>100-71900-402</t>
  </si>
  <si>
    <t>BURIAL</t>
  </si>
  <si>
    <t>100-72000-402</t>
  </si>
  <si>
    <t>CHILD ADVOCACY CENTER</t>
  </si>
  <si>
    <t>100-72200-402</t>
  </si>
  <si>
    <t>FIRE DEPARTMENT SUPPORT</t>
  </si>
  <si>
    <t>100-72300-402</t>
  </si>
  <si>
    <t>FIRE DEPARTMENT 1ST RESPONDER</t>
  </si>
  <si>
    <t>100-72600-402</t>
  </si>
  <si>
    <t>LIBRARY DONATIONS</t>
  </si>
  <si>
    <t>100-72800-402</t>
  </si>
  <si>
    <t>MH/MR DONATION</t>
  </si>
  <si>
    <t>100-72900-402</t>
  </si>
  <si>
    <t>CITY OF ATHENS AIRPORT SUPPORT</t>
  </si>
  <si>
    <t>100-73000-402</t>
  </si>
  <si>
    <t>CONSERVATION DISTRICT</t>
  </si>
  <si>
    <t>100-73200-402</t>
  </si>
  <si>
    <t>RABIES EXPENSE/ANIMAL CONTROL</t>
  </si>
  <si>
    <t>100-73400-402</t>
  </si>
  <si>
    <t>EAST TX COUNCIL ON GOVERNMENT</t>
  </si>
  <si>
    <t>100-73500-402</t>
  </si>
  <si>
    <t>HUMANE SOCIETY DONATION</t>
  </si>
  <si>
    <t>100-74000-402</t>
  </si>
  <si>
    <t>EAST TX ECONOMIC DEVELOPEMENT</t>
  </si>
  <si>
    <t>100-74100-402</t>
  </si>
  <si>
    <t>CASA</t>
  </si>
  <si>
    <t>100-74200-402</t>
  </si>
  <si>
    <t>EXTRAORDINARY EXPENSES</t>
  </si>
  <si>
    <t>100-74300-402</t>
  </si>
  <si>
    <t>MEALS ON WHEELS DONATION</t>
  </si>
  <si>
    <t>100-74700-402</t>
  </si>
  <si>
    <t>FEMA EXPENSES</t>
  </si>
  <si>
    <t>100-81000-402</t>
  </si>
  <si>
    <t>JUDICIAL SOFTWARE UPGRADE</t>
  </si>
  <si>
    <t>100-81500-402</t>
  </si>
  <si>
    <t>CONTINGENCY FUND</t>
  </si>
  <si>
    <t>TOTAL GENERAL OPERATIONS</t>
  </si>
  <si>
    <t>JUVENILE - GENERAL OPERATIONS</t>
  </si>
  <si>
    <t>100-40400-404</t>
  </si>
  <si>
    <t>CT. APPOINTED ATTORNEYS</t>
  </si>
  <si>
    <t>100-40900-404</t>
  </si>
  <si>
    <t>TOTAL JUVENILE- GEN OP</t>
  </si>
  <si>
    <t>INFORMATION SYSTEMS</t>
  </si>
  <si>
    <t>100-35000-405</t>
  </si>
  <si>
    <t>100-39100-405</t>
  </si>
  <si>
    <t>100-41900-405</t>
  </si>
  <si>
    <t>100-42600-405</t>
  </si>
  <si>
    <t>100-42700-405</t>
  </si>
  <si>
    <t>CONFERENCE AND EDUCATION</t>
  </si>
  <si>
    <t>100-45500-405</t>
  </si>
  <si>
    <t>HARDWARE MAINTENANCE</t>
  </si>
  <si>
    <t>100-45800-405</t>
  </si>
  <si>
    <t>SOFTWARE MAINTENANCE</t>
  </si>
  <si>
    <t>100-45900-405</t>
  </si>
  <si>
    <t>NETWORK EXP. &amp; MAINTENANCE</t>
  </si>
  <si>
    <t>100-57300-405</t>
  </si>
  <si>
    <t>MIS HARDWARE</t>
  </si>
  <si>
    <t>100-57400-405</t>
  </si>
  <si>
    <t>MIS SOFTWARE</t>
  </si>
  <si>
    <t>TOTAL INFORMATION SYSTEMS</t>
  </si>
  <si>
    <t>COUNTY CLERK</t>
  </si>
  <si>
    <t>100-10100-410</t>
  </si>
  <si>
    <t>SALARIES-ELECTED OFFICIALS</t>
  </si>
  <si>
    <t>100-10200-410</t>
  </si>
  <si>
    <t>SALARIES-FT</t>
  </si>
  <si>
    <t>100-10800-410</t>
  </si>
  <si>
    <t>100-11200-410</t>
  </si>
  <si>
    <t>LONGEVITY</t>
  </si>
  <si>
    <t>100-15100-410</t>
  </si>
  <si>
    <t>STRAIGHT TIME</t>
  </si>
  <si>
    <t>100-15200-410</t>
  </si>
  <si>
    <t>100-20100-410</t>
  </si>
  <si>
    <t>100-20200-410</t>
  </si>
  <si>
    <t>100-20300-410</t>
  </si>
  <si>
    <t>100-20500-410</t>
  </si>
  <si>
    <t>100-20700-410</t>
  </si>
  <si>
    <t>100-31000-410</t>
  </si>
  <si>
    <t>100-31100-410</t>
  </si>
  <si>
    <t>100-34600-410</t>
  </si>
  <si>
    <t>BOOK &amp; BOOK UPDATES</t>
  </si>
  <si>
    <t>100-35000-410</t>
  </si>
  <si>
    <t>100-37200-410</t>
  </si>
  <si>
    <t>FURNITURE &amp; FIXTURES LESS $5K</t>
  </si>
  <si>
    <t>100-39100-410</t>
  </si>
  <si>
    <t>100-42600-410</t>
  </si>
  <si>
    <t>100-42700-410</t>
  </si>
  <si>
    <t>100-42800-410</t>
  </si>
  <si>
    <t>100-45200-410</t>
  </si>
  <si>
    <t>OFFICE EQUIPMENT MAINTENANCE</t>
  </si>
  <si>
    <t>100-45800-410</t>
  </si>
  <si>
    <t>100-49100-410</t>
  </si>
  <si>
    <t>100-49300-410</t>
  </si>
  <si>
    <t>TOTAL COUNTY CLERK</t>
  </si>
  <si>
    <t>CO CLERK ARCHIVE FEES</t>
  </si>
  <si>
    <t>100-37200-411</t>
  </si>
  <si>
    <t>100-39100-411</t>
  </si>
  <si>
    <t>100-41800-411</t>
  </si>
  <si>
    <t>ARCHIVING SOFTWARE SERVICE</t>
  </si>
  <si>
    <t>100-49300-411</t>
  </si>
  <si>
    <t>TOTAL CO CLERK ARCHIVE FEES</t>
  </si>
  <si>
    <t>ELECTIONS ADMINISTRATION</t>
  </si>
  <si>
    <t>100-10200-412</t>
  </si>
  <si>
    <t>100-10800-412</t>
  </si>
  <si>
    <t>100-11200-412</t>
  </si>
  <si>
    <t>100-15100-412</t>
  </si>
  <si>
    <t>100-15200-412</t>
  </si>
  <si>
    <t>OT - TIME &amp; A HALF</t>
  </si>
  <si>
    <t>100-20100-412</t>
  </si>
  <si>
    <t>100-20200-412</t>
  </si>
  <si>
    <t>100-20300-412</t>
  </si>
  <si>
    <t>100-20500-412</t>
  </si>
  <si>
    <t>100-20700-412</t>
  </si>
  <si>
    <t>100-31000-412</t>
  </si>
  <si>
    <t>100-31100-412</t>
  </si>
  <si>
    <t>100-33000-412</t>
  </si>
  <si>
    <t>FUEL</t>
  </si>
  <si>
    <t>100-34000-412</t>
  </si>
  <si>
    <t>TIRES</t>
  </si>
  <si>
    <t>100-34600-412</t>
  </si>
  <si>
    <t>100-35000-412</t>
  </si>
  <si>
    <t>100-37200-412</t>
  </si>
  <si>
    <t>100-39100-412</t>
  </si>
  <si>
    <t>100-42000-412</t>
  </si>
  <si>
    <t>100-42600-412</t>
  </si>
  <si>
    <t>100-42700-412</t>
  </si>
  <si>
    <t>100-42800-412</t>
  </si>
  <si>
    <t>DUES &amp; SUBSCRIPTIONS</t>
  </si>
  <si>
    <t>100-43000-412</t>
  </si>
  <si>
    <t>ADVERTISING AND PUBLICATION</t>
  </si>
  <si>
    <t>100-43600-412</t>
  </si>
  <si>
    <t>100-45300-412</t>
  </si>
  <si>
    <t>OTHER EQUIP REPAIRS</t>
  </si>
  <si>
    <t>100-45400-412</t>
  </si>
  <si>
    <t>VEHICLE MAINTENANCE</t>
  </si>
  <si>
    <t>100-45800-412</t>
  </si>
  <si>
    <t>100-47500-412</t>
  </si>
  <si>
    <t>ELECTION FEE RESERVE EXPENSE</t>
  </si>
  <si>
    <t>100-48400-412</t>
  </si>
  <si>
    <t>ELECTION EXPENSE</t>
  </si>
  <si>
    <t>100-49100-412</t>
  </si>
  <si>
    <t>100-49300-412</t>
  </si>
  <si>
    <t>100-57600-412</t>
  </si>
  <si>
    <t>TOTAL ELECTION ADMINISTRATION</t>
  </si>
  <si>
    <t>VETERANS SERVICES</t>
  </si>
  <si>
    <t>100-10800-413</t>
  </si>
  <si>
    <t>100-20100-413</t>
  </si>
  <si>
    <t>100-20300-413</t>
  </si>
  <si>
    <t>100-20500-413</t>
  </si>
  <si>
    <t>100-31000-413</t>
  </si>
  <si>
    <t>100-31100-413</t>
  </si>
  <si>
    <t>100-34600-413</t>
  </si>
  <si>
    <t>100-35000-413</t>
  </si>
  <si>
    <t>100-37200-413</t>
  </si>
  <si>
    <t>100-39100-413</t>
  </si>
  <si>
    <t>100-42600-413</t>
  </si>
  <si>
    <t>100-42700-413</t>
  </si>
  <si>
    <t>100-42800-413</t>
  </si>
  <si>
    <t>100-43000-413</t>
  </si>
  <si>
    <t>100-43600-413</t>
  </si>
  <si>
    <t>100-49100-413</t>
  </si>
  <si>
    <t>100-49300-413</t>
  </si>
  <si>
    <t>100-57600-413</t>
  </si>
  <si>
    <t>TOTAL VETERANS SERVICES</t>
  </si>
  <si>
    <t>COUNTY COURT-AT-LAW</t>
  </si>
  <si>
    <t>100-10100-425</t>
  </si>
  <si>
    <t>100-10200-425</t>
  </si>
  <si>
    <t>100-10800-425</t>
  </si>
  <si>
    <t>100-11200-425</t>
  </si>
  <si>
    <t>100-15700-425</t>
  </si>
  <si>
    <t>100-16000-425</t>
  </si>
  <si>
    <t>100-20100-425</t>
  </si>
  <si>
    <t>100-20200-425</t>
  </si>
  <si>
    <t>100-20300-425</t>
  </si>
  <si>
    <t>100-20500-425</t>
  </si>
  <si>
    <t>100-20700-425</t>
  </si>
  <si>
    <t>100-31000-425</t>
  </si>
  <si>
    <t>100-31100-425</t>
  </si>
  <si>
    <t>100-34600-425</t>
  </si>
  <si>
    <t>100-37200-425</t>
  </si>
  <si>
    <t>100-39100-425</t>
  </si>
  <si>
    <t>100-42700-425</t>
  </si>
  <si>
    <t>100-42800-425</t>
  </si>
  <si>
    <t>100-48200-425</t>
  </si>
  <si>
    <t>LIABLITY INSURANCE</t>
  </si>
  <si>
    <t>100-49100-425</t>
  </si>
  <si>
    <t>FIDELITY/NOTARY BONDS</t>
  </si>
  <si>
    <t>100-49300-425</t>
  </si>
  <si>
    <t>COPIER LEASE EXPENSE</t>
  </si>
  <si>
    <t>TOTAL COUNTY COURT-AT-LAW</t>
  </si>
  <si>
    <t>COUNTY COURT-AT-LAW 2</t>
  </si>
  <si>
    <t>100-10100-426</t>
  </si>
  <si>
    <t>100-10200-426</t>
  </si>
  <si>
    <t>100-10800-426</t>
  </si>
  <si>
    <t>100-11200-426</t>
  </si>
  <si>
    <t>100-15200-426</t>
  </si>
  <si>
    <t>100-15700-426</t>
  </si>
  <si>
    <t>100-16000-426</t>
  </si>
  <si>
    <t>100-20100-426</t>
  </si>
  <si>
    <t>100-20200-426</t>
  </si>
  <si>
    <t>100-20300-426</t>
  </si>
  <si>
    <t>100-20500-426</t>
  </si>
  <si>
    <t>100-20700-426</t>
  </si>
  <si>
    <t>100-21100-426</t>
  </si>
  <si>
    <t>UNIFORM ALLOWANCE</t>
  </si>
  <si>
    <t>100-31000-426</t>
  </si>
  <si>
    <t>100-31100-426</t>
  </si>
  <si>
    <t>100-34600-426</t>
  </si>
  <si>
    <t>100-37200-426</t>
  </si>
  <si>
    <t>100-41300-426</t>
  </si>
  <si>
    <t>100-42700-426</t>
  </si>
  <si>
    <t>100-42800-426</t>
  </si>
  <si>
    <t>100-48200-426</t>
  </si>
  <si>
    <t>LIABILTY INSURANCE</t>
  </si>
  <si>
    <t>100-49100-426</t>
  </si>
  <si>
    <t>100-49300-426</t>
  </si>
  <si>
    <t>TOTAL COUNTY COURT-AT-LAW 2</t>
  </si>
  <si>
    <t>DISTRICT COURT</t>
  </si>
  <si>
    <t>100-40700-430</t>
  </si>
  <si>
    <t>CT OF CIVIL APPEALS-SUPP PAY</t>
  </si>
  <si>
    <t>100-41100-430</t>
  </si>
  <si>
    <t>FIRST JUDICIAL REGION EXPENSE</t>
  </si>
  <si>
    <t>100-41300-430</t>
  </si>
  <si>
    <t>100-41900-430</t>
  </si>
  <si>
    <t>TOTAL DISTRICT COURT</t>
  </si>
  <si>
    <t>INDIGENT DEFENSE</t>
  </si>
  <si>
    <t>100-10200-431</t>
  </si>
  <si>
    <t>100-10800-431</t>
  </si>
  <si>
    <t>100-11200-431</t>
  </si>
  <si>
    <t>100-20100-431</t>
  </si>
  <si>
    <t>100-20200-431</t>
  </si>
  <si>
    <t>100-20300-431</t>
  </si>
  <si>
    <t>100-20500-431</t>
  </si>
  <si>
    <t>100-20700-431</t>
  </si>
  <si>
    <t>100-31000-431</t>
  </si>
  <si>
    <t>100-39100-431</t>
  </si>
  <si>
    <t>EQUIPMENT LESS $500</t>
  </si>
  <si>
    <t>N/A</t>
  </si>
  <si>
    <t>100-42700-431</t>
  </si>
  <si>
    <t>100-42800-431</t>
  </si>
  <si>
    <t>100-45800-431</t>
  </si>
  <si>
    <t>100-49100-431</t>
  </si>
  <si>
    <t>100-49300-431</t>
  </si>
  <si>
    <t>TOTAL INDIGENT DEFENSE</t>
  </si>
  <si>
    <t>3RD DISTRICT COURT</t>
  </si>
  <si>
    <t>100-10100-433</t>
  </si>
  <si>
    <t>100-10200-433</t>
  </si>
  <si>
    <t>100-10800-433</t>
  </si>
  <si>
    <t>100-11200-433</t>
  </si>
  <si>
    <t>100-15700-433</t>
  </si>
  <si>
    <t>100-20100-433</t>
  </si>
  <si>
    <t>100-20200-433</t>
  </si>
  <si>
    <t>100-20300-433</t>
  </si>
  <si>
    <t>100-20500-433</t>
  </si>
  <si>
    <t>100-20700-433</t>
  </si>
  <si>
    <t>100-31000-433</t>
  </si>
  <si>
    <t>100-31100-433</t>
  </si>
  <si>
    <t>100-34600-433</t>
  </si>
  <si>
    <t>100-42600-433</t>
  </si>
  <si>
    <t>BUSINESS &amp; TRAVEL EXPENSE</t>
  </si>
  <si>
    <t>100-42700-433</t>
  </si>
  <si>
    <t>100-42800-433</t>
  </si>
  <si>
    <t>100-48200-433</t>
  </si>
  <si>
    <t>LIABILITY INSURANCE</t>
  </si>
  <si>
    <t>100-49300-433</t>
  </si>
  <si>
    <t>TOTAL 3RD DISTRICT COURT</t>
  </si>
  <si>
    <t>173RD DISTRICT COURT</t>
  </si>
  <si>
    <t>100-10100-434</t>
  </si>
  <si>
    <t>SALARIES-ELECTED OFFICIAL</t>
  </si>
  <si>
    <t>100-10200-434</t>
  </si>
  <si>
    <t>100-11200-434</t>
  </si>
  <si>
    <t>100-15700-434</t>
  </si>
  <si>
    <t>100-20100-434</t>
  </si>
  <si>
    <t>100-20200-434</t>
  </si>
  <si>
    <t>100-20300-434</t>
  </si>
  <si>
    <t>100-20500-434</t>
  </si>
  <si>
    <t>100-20700-434</t>
  </si>
  <si>
    <t>100-31000-434</t>
  </si>
  <si>
    <t>100-31100-434</t>
  </si>
  <si>
    <t>100-34600-434</t>
  </si>
  <si>
    <t>100-37200-434</t>
  </si>
  <si>
    <t>FURNITURE &amp; FIXTURES LESS  $5K</t>
  </si>
  <si>
    <t>100-41300-434</t>
  </si>
  <si>
    <t>100-42700-434</t>
  </si>
  <si>
    <t>100-42800-434</t>
  </si>
  <si>
    <t>100-48200-434</t>
  </si>
  <si>
    <t>100-49300-434</t>
  </si>
  <si>
    <t>TOTAL 173RD DISTRICT COURT</t>
  </si>
  <si>
    <t>392ND DISTRICT COURT</t>
  </si>
  <si>
    <t>100-10100-435</t>
  </si>
  <si>
    <t>100-10200-435</t>
  </si>
  <si>
    <t>100-11200-435</t>
  </si>
  <si>
    <t>100-15100-435</t>
  </si>
  <si>
    <t>100-15200-435</t>
  </si>
  <si>
    <t>TIME AND HALF OVERTIME</t>
  </si>
  <si>
    <t>100-15500-435</t>
  </si>
  <si>
    <t>CERTIFICATE PAY</t>
  </si>
  <si>
    <t>100-15700-435</t>
  </si>
  <si>
    <t>100-20100-435</t>
  </si>
  <si>
    <t>100-20200-435</t>
  </si>
  <si>
    <t>100-20300-435</t>
  </si>
  <si>
    <t>100-20500-435</t>
  </si>
  <si>
    <t>100-20700-435</t>
  </si>
  <si>
    <t>100-31000-435</t>
  </si>
  <si>
    <t>100-31100-435</t>
  </si>
  <si>
    <t>100-34600-435</t>
  </si>
  <si>
    <t>100-37200-435</t>
  </si>
  <si>
    <t>100-39100-435</t>
  </si>
  <si>
    <t>100-42700-435</t>
  </si>
  <si>
    <t>100-42800-435</t>
  </si>
  <si>
    <t>100-48200-435</t>
  </si>
  <si>
    <t>100-49300-435</t>
  </si>
  <si>
    <t>TOTAL 392ND DISTRICT COURT</t>
  </si>
  <si>
    <t>COUNTY/DISTRICT TECH FUND</t>
  </si>
  <si>
    <t>100-39100-436</t>
  </si>
  <si>
    <t>100-45900-436</t>
  </si>
  <si>
    <t>NETWORK EXPENSE &amp; MAINTENANCE</t>
  </si>
  <si>
    <t>TOTAL CO/DIST TECH FUND</t>
  </si>
  <si>
    <t>DISTRICT CLERK</t>
  </si>
  <si>
    <t>100-10100-445</t>
  </si>
  <si>
    <t>100-10200-445</t>
  </si>
  <si>
    <t>100-10800-445</t>
  </si>
  <si>
    <t>100-11200-445</t>
  </si>
  <si>
    <t>100-15200-445</t>
  </si>
  <si>
    <t>100-20100-445</t>
  </si>
  <si>
    <t>100-20200-445</t>
  </si>
  <si>
    <t>100-20300-445</t>
  </si>
  <si>
    <t>100-20500-445</t>
  </si>
  <si>
    <t>100-20700-445</t>
  </si>
  <si>
    <t>100-31000-445</t>
  </si>
  <si>
    <t>100-31100-445</t>
  </si>
  <si>
    <t>100-39100-445</t>
  </si>
  <si>
    <t>100-42600-445</t>
  </si>
  <si>
    <t>100-42700-445</t>
  </si>
  <si>
    <t>100-42800-445</t>
  </si>
  <si>
    <t>100-49100-445</t>
  </si>
  <si>
    <t>100-49300-445</t>
  </si>
  <si>
    <t>100-57700-445</t>
  </si>
  <si>
    <t>NON CAPITAL EQUIPMENT</t>
  </si>
  <si>
    <t>TOTAL DISTRICT CLERK</t>
  </si>
  <si>
    <t>DISTRICT CLERK ARCHIVES</t>
  </si>
  <si>
    <t>100-45800-446</t>
  </si>
  <si>
    <t>100-57600-446</t>
  </si>
  <si>
    <t>TOTAL DIST CLERK ARCHIVES</t>
  </si>
  <si>
    <t>JUSTICE OF THE PEACE, PRECINCT 1</t>
  </si>
  <si>
    <t>100-10100-451</t>
  </si>
  <si>
    <t>100-10200-451</t>
  </si>
  <si>
    <t>100-10800-451</t>
  </si>
  <si>
    <t>100-11200-451</t>
  </si>
  <si>
    <t>100-15200-451</t>
  </si>
  <si>
    <t>OT- TIME&amp; HALF</t>
  </si>
  <si>
    <t>100-20100-451</t>
  </si>
  <si>
    <t>100-20200-451</t>
  </si>
  <si>
    <t>100-20300-451</t>
  </si>
  <si>
    <t>100-20500-451</t>
  </si>
  <si>
    <t>100-20700-451</t>
  </si>
  <si>
    <t>100-20900-451</t>
  </si>
  <si>
    <t>100-31000-451</t>
  </si>
  <si>
    <t>100-31100-451</t>
  </si>
  <si>
    <t>100-34600-451</t>
  </si>
  <si>
    <t>100-37200-451</t>
  </si>
  <si>
    <t>100-39100-451</t>
  </si>
  <si>
    <t>100-42600-451</t>
  </si>
  <si>
    <t>100-42700-451</t>
  </si>
  <si>
    <t>100-42800-451</t>
  </si>
  <si>
    <t>100-49100-451</t>
  </si>
  <si>
    <t>100-49300-451</t>
  </si>
  <si>
    <t>TOTAL JP1</t>
  </si>
  <si>
    <t>JUSTICE OF THE PEACE, PRECINCT 2</t>
  </si>
  <si>
    <t>100-10100-452</t>
  </si>
  <si>
    <t>100-10200-452</t>
  </si>
  <si>
    <t>100-15200-452</t>
  </si>
  <si>
    <t>100-20100-452</t>
  </si>
  <si>
    <t>100-20200-452</t>
  </si>
  <si>
    <t>100-20300-452</t>
  </si>
  <si>
    <t>100-20500-452</t>
  </si>
  <si>
    <t>100-20700-452</t>
  </si>
  <si>
    <t>100-31000-452</t>
  </si>
  <si>
    <t>100-31100-452</t>
  </si>
  <si>
    <t>100-34600-452</t>
  </si>
  <si>
    <t>100-42000-452</t>
  </si>
  <si>
    <t>100-42600-452</t>
  </si>
  <si>
    <t>100-42700-452</t>
  </si>
  <si>
    <t>100-42800-452</t>
  </si>
  <si>
    <t>100-49100-452</t>
  </si>
  <si>
    <t>100-49300-452</t>
  </si>
  <si>
    <t>TOTAL JP2</t>
  </si>
  <si>
    <t>JUSTICE OF THE PEACE, PRECINCT 3</t>
  </si>
  <si>
    <t>100-10100-453</t>
  </si>
  <si>
    <t>100-10200-453</t>
  </si>
  <si>
    <t>100-11200-453</t>
  </si>
  <si>
    <t>100-20100-453</t>
  </si>
  <si>
    <t>100-20200-453</t>
  </si>
  <si>
    <t>100-20300-453</t>
  </si>
  <si>
    <t>100-20500-453</t>
  </si>
  <si>
    <t>100-20700-453</t>
  </si>
  <si>
    <t>100-20900-453</t>
  </si>
  <si>
    <t>100-31000-453</t>
  </si>
  <si>
    <t>100-31100-453</t>
  </si>
  <si>
    <t>100-34600-453</t>
  </si>
  <si>
    <t>100-37200-453</t>
  </si>
  <si>
    <t>100-42000-453</t>
  </si>
  <si>
    <t>100-42600-453</t>
  </si>
  <si>
    <t>100-42700-453</t>
  </si>
  <si>
    <t>100-42800-453</t>
  </si>
  <si>
    <t>100-49100-453</t>
  </si>
  <si>
    <t>100-49300-453</t>
  </si>
  <si>
    <t>TOTAL JP3</t>
  </si>
  <si>
    <t>JUSTICE OF THE PEACE, PRECINCT 4</t>
  </si>
  <si>
    <t>100-10100-454</t>
  </si>
  <si>
    <t>100-10200-454</t>
  </si>
  <si>
    <t>100-11200-454</t>
  </si>
  <si>
    <t>100-20100-454</t>
  </si>
  <si>
    <t>100-20200-454</t>
  </si>
  <si>
    <t>100-20300-454</t>
  </si>
  <si>
    <t>100-20500-454</t>
  </si>
  <si>
    <t>100-20700-454</t>
  </si>
  <si>
    <t>100-20900-454</t>
  </si>
  <si>
    <t>100-31000-454</t>
  </si>
  <si>
    <t>100-31100-454</t>
  </si>
  <si>
    <t>100-34600-454</t>
  </si>
  <si>
    <t>100-42000-454</t>
  </si>
  <si>
    <t>100-42600-454</t>
  </si>
  <si>
    <t>100-42700-454</t>
  </si>
  <si>
    <t>100-42800-454</t>
  </si>
  <si>
    <t>100-49100-454</t>
  </si>
  <si>
    <t>100-49300-454</t>
  </si>
  <si>
    <t>TOTAL JP4</t>
  </si>
  <si>
    <t>JUSTICE OF THE PEACE, PRECINCT 5</t>
  </si>
  <si>
    <t>100-10100-455</t>
  </si>
  <si>
    <t>100-10200-455</t>
  </si>
  <si>
    <t>100-11200-455</t>
  </si>
  <si>
    <t>100-20100-455</t>
  </si>
  <si>
    <t>100-20200-455</t>
  </si>
  <si>
    <t>100-20300-455</t>
  </si>
  <si>
    <t>100-20500-455</t>
  </si>
  <si>
    <t>100-20700-455</t>
  </si>
  <si>
    <t>100-20900-455</t>
  </si>
  <si>
    <t>100-31000-455</t>
  </si>
  <si>
    <t>100-31100-455</t>
  </si>
  <si>
    <t>100-34600-455</t>
  </si>
  <si>
    <t>100-39100-455</t>
  </si>
  <si>
    <t>100-42000-455</t>
  </si>
  <si>
    <t>100-42600-455</t>
  </si>
  <si>
    <t>100-42700-455</t>
  </si>
  <si>
    <t>100-42800-455</t>
  </si>
  <si>
    <t>100-49100-455</t>
  </si>
  <si>
    <t>100-49300-455</t>
  </si>
  <si>
    <t>TOTAL JP5</t>
  </si>
  <si>
    <t>JP TRUANCY</t>
  </si>
  <si>
    <t>100-31000-460</t>
  </si>
  <si>
    <t>100-41900-460</t>
  </si>
  <si>
    <t>TOTAL JP TRUANCY</t>
  </si>
  <si>
    <t>JP#1 TECHNOLOGY FUND</t>
  </si>
  <si>
    <t>100-35000-461</t>
  </si>
  <si>
    <t>100-39100-461</t>
  </si>
  <si>
    <t>100-42700-461</t>
  </si>
  <si>
    <t>100-42800-461</t>
  </si>
  <si>
    <t>100-45900-461</t>
  </si>
  <si>
    <t>WIRELESS/INTERNET SERVICES</t>
  </si>
  <si>
    <t>100-49300-461</t>
  </si>
  <si>
    <t>100-57400-461</t>
  </si>
  <si>
    <t>TOTAL JP#1 TECH FUND</t>
  </si>
  <si>
    <t>JP#2 TECHNOLOGY FUND</t>
  </si>
  <si>
    <t>100-31000-462</t>
  </si>
  <si>
    <t>100-35000-462</t>
  </si>
  <si>
    <t>100-39100-462</t>
  </si>
  <si>
    <t>100-42000-462</t>
  </si>
  <si>
    <t>100-42600-462</t>
  </si>
  <si>
    <t>100-42700-462</t>
  </si>
  <si>
    <t>100-42800-462</t>
  </si>
  <si>
    <t>100-45500-462</t>
  </si>
  <si>
    <t>100-45800-462</t>
  </si>
  <si>
    <t>100-45900-462</t>
  </si>
  <si>
    <t>NETWORK EXP. &amp; MAINT.</t>
  </si>
  <si>
    <t>100-57300-462</t>
  </si>
  <si>
    <t>100-57400-462</t>
  </si>
  <si>
    <t>TOTAL JP#2 TECH FUND</t>
  </si>
  <si>
    <t>JP#3 TECHNOLOGY FUND</t>
  </si>
  <si>
    <t>100-35000-463</t>
  </si>
  <si>
    <t>100-39100-463</t>
  </si>
  <si>
    <t>100-42700-463</t>
  </si>
  <si>
    <t>100-45900-463</t>
  </si>
  <si>
    <t>100-57400-463</t>
  </si>
  <si>
    <t>TOTAL JP#3 TECH FUND</t>
  </si>
  <si>
    <t>JP#4 TECHNOLOGY FUND</t>
  </si>
  <si>
    <t>100-31000-464</t>
  </si>
  <si>
    <t>100-35000-464</t>
  </si>
  <si>
    <t>100-39100-464</t>
  </si>
  <si>
    <t>100-42700-464</t>
  </si>
  <si>
    <t>100-45900-464</t>
  </si>
  <si>
    <t>100-57400-464</t>
  </si>
  <si>
    <t>TOTAL JP#4 TECH FUND</t>
  </si>
  <si>
    <t>JP#5 TECHNOLOGY FUND</t>
  </si>
  <si>
    <t>100-31000-465</t>
  </si>
  <si>
    <t>100-35000-465</t>
  </si>
  <si>
    <t>100-39100-465</t>
  </si>
  <si>
    <t>100-42600-465</t>
  </si>
  <si>
    <t>100-42700-465</t>
  </si>
  <si>
    <t>100-45900-465</t>
  </si>
  <si>
    <t>100-57400-465</t>
  </si>
  <si>
    <t>TOTAL JP#5 TECH FUND</t>
  </si>
  <si>
    <t>ARRAIGNMENTS</t>
  </si>
  <si>
    <t>100-10200-470</t>
  </si>
  <si>
    <t>100-20100-470</t>
  </si>
  <si>
    <t>100-20300-470</t>
  </si>
  <si>
    <t>100-20500-470</t>
  </si>
  <si>
    <t>100-42600-470</t>
  </si>
  <si>
    <t>TOTAL ARRAIGNMENTS</t>
  </si>
  <si>
    <t>COUNTY ATTORNEY PROSECUTION</t>
  </si>
  <si>
    <t>100-10100-475</t>
  </si>
  <si>
    <t>100-10200-475</t>
  </si>
  <si>
    <t>100-11200-475</t>
  </si>
  <si>
    <t>STATE PROSECUTOR LONGEVITY</t>
  </si>
  <si>
    <t>100-15200-475</t>
  </si>
  <si>
    <t>OT - TIME AND A HALF</t>
  </si>
  <si>
    <t>100-15700-475</t>
  </si>
  <si>
    <t>100-16000-475</t>
  </si>
  <si>
    <t>100-20100-475</t>
  </si>
  <si>
    <t>100-20200-475</t>
  </si>
  <si>
    <t>100-20300-475</t>
  </si>
  <si>
    <t>100-20500-475</t>
  </si>
  <si>
    <t>100-20700-475</t>
  </si>
  <si>
    <t>100-20900-475</t>
  </si>
  <si>
    <t>100-31000-475</t>
  </si>
  <si>
    <t>100-31100-475</t>
  </si>
  <si>
    <t>100-34600-475</t>
  </si>
  <si>
    <t>100-35000-475</t>
  </si>
  <si>
    <t>100-37200-475</t>
  </si>
  <si>
    <t>100-39100-475</t>
  </si>
  <si>
    <t>100-41000-475</t>
  </si>
  <si>
    <t>COURT RELATED EXPENSE</t>
  </si>
  <si>
    <t>100-42600-475</t>
  </si>
  <si>
    <t>100-42700-475</t>
  </si>
  <si>
    <t>100-42800-475</t>
  </si>
  <si>
    <t>100-45400-475</t>
  </si>
  <si>
    <t>100-45800-476</t>
  </si>
  <si>
    <t>100-45900-475</t>
  </si>
  <si>
    <t>100-49100-475</t>
  </si>
  <si>
    <t>100-49300-475</t>
  </si>
  <si>
    <t>COUNTY ATTORNEY COLLECTIONS</t>
  </si>
  <si>
    <t>100-10200-476</t>
  </si>
  <si>
    <t>100-10800-476</t>
  </si>
  <si>
    <t>100-11200-476</t>
  </si>
  <si>
    <t>100-15500-476</t>
  </si>
  <si>
    <t>100-20100-476</t>
  </si>
  <si>
    <t>100-20200-476</t>
  </si>
  <si>
    <t>100-20300-476</t>
  </si>
  <si>
    <t>100-20500-476</t>
  </si>
  <si>
    <t>100-20700-476</t>
  </si>
  <si>
    <t>100-31000-476</t>
  </si>
  <si>
    <t>100-33000-476</t>
  </si>
  <si>
    <t>100-33700-476</t>
  </si>
  <si>
    <t>AMMUNITION</t>
  </si>
  <si>
    <t>100-34000-476</t>
  </si>
  <si>
    <t>100-37200-476</t>
  </si>
  <si>
    <t>100-39100-476</t>
  </si>
  <si>
    <t>100-41900-476</t>
  </si>
  <si>
    <t>100-42600-476</t>
  </si>
  <si>
    <t>100-42700-476</t>
  </si>
  <si>
    <t>100-42800-476</t>
  </si>
  <si>
    <t>100-45400-476</t>
  </si>
  <si>
    <t>100-49300-476</t>
  </si>
  <si>
    <t>100-57000-476</t>
  </si>
  <si>
    <t>VEHICLES</t>
  </si>
  <si>
    <t>100-57400-476</t>
  </si>
  <si>
    <t>TOTAL CO ATTY COLLECTIONS</t>
  </si>
  <si>
    <t>DISTRICT ATTORNEY</t>
  </si>
  <si>
    <t>100-10100-485</t>
  </si>
  <si>
    <t>SALARIES - ELECTED OFFICIALS</t>
  </si>
  <si>
    <t>100-10200-485</t>
  </si>
  <si>
    <t>SALARIES - FT</t>
  </si>
  <si>
    <t>100-10800-485</t>
  </si>
  <si>
    <t>SALARIES - PT</t>
  </si>
  <si>
    <t>100-11200-485</t>
  </si>
  <si>
    <t>100-15100-485</t>
  </si>
  <si>
    <t>OVERTME - STRAIGHT TIME</t>
  </si>
  <si>
    <t>100-15500-485</t>
  </si>
  <si>
    <t>100-15700-485</t>
  </si>
  <si>
    <t>100-16000-485</t>
  </si>
  <si>
    <t>100-20100-485</t>
  </si>
  <si>
    <t>100-20200-485</t>
  </si>
  <si>
    <t>100-20300-485</t>
  </si>
  <si>
    <t>100-20500-485</t>
  </si>
  <si>
    <t>100-20700-485</t>
  </si>
  <si>
    <t>100-20900-485</t>
  </si>
  <si>
    <t>100-31000-485</t>
  </si>
  <si>
    <t>100-31100-485</t>
  </si>
  <si>
    <t>100-33000-485</t>
  </si>
  <si>
    <t>100-34000-485</t>
  </si>
  <si>
    <t>100-34600-485</t>
  </si>
  <si>
    <t>100-35000-485</t>
  </si>
  <si>
    <t>100-37200-485</t>
  </si>
  <si>
    <t>100-39100-485</t>
  </si>
  <si>
    <t>100-41000-485</t>
  </si>
  <si>
    <t>100-41900-485</t>
  </si>
  <si>
    <t>100-42600-485</t>
  </si>
  <si>
    <t>100-42700-485</t>
  </si>
  <si>
    <t>100-42800-485</t>
  </si>
  <si>
    <t>100-45400-485</t>
  </si>
  <si>
    <t>100-45900-485</t>
  </si>
  <si>
    <t>100-49100-485</t>
  </si>
  <si>
    <t>100-49300-485</t>
  </si>
  <si>
    <t>TOTAL DISTRICT ATTORNEY</t>
  </si>
  <si>
    <t>CAPITAL CASES</t>
  </si>
  <si>
    <t>100-31000-486</t>
  </si>
  <si>
    <t>100-31100-486</t>
  </si>
  <si>
    <t>100-31200-486</t>
  </si>
  <si>
    <t>AUDIO &amp; VIDEO SUPPLIES</t>
  </si>
  <si>
    <t>100-31300-486</t>
  </si>
  <si>
    <t>COPIER/PRINTER SUPPLIES</t>
  </si>
  <si>
    <t>100-39100-486</t>
  </si>
  <si>
    <t>100-40400-486</t>
  </si>
  <si>
    <t>COURT-APPOINTED ATTORNEYS</t>
  </si>
  <si>
    <t>100-40800-486</t>
  </si>
  <si>
    <t>COMPETENCY EVALUATIONS</t>
  </si>
  <si>
    <t>100-41000-486</t>
  </si>
  <si>
    <t>100-41300-486</t>
  </si>
  <si>
    <t>100-41900-486</t>
  </si>
  <si>
    <t>100-42600-486</t>
  </si>
  <si>
    <t>100-42700-486</t>
  </si>
  <si>
    <t>100-45500-486</t>
  </si>
  <si>
    <t>100-45800-486</t>
  </si>
  <si>
    <t>100-48000-486</t>
  </si>
  <si>
    <t>ORIGINAL PUBLIC DEFENDER</t>
  </si>
  <si>
    <t>100-48800-486</t>
  </si>
  <si>
    <t>JURY EXPENSE</t>
  </si>
  <si>
    <t>100-49300-486</t>
  </si>
  <si>
    <t>100-57300-486</t>
  </si>
  <si>
    <t>MIS HARDWARE (see 45500)</t>
  </si>
  <si>
    <t>100-57400-486</t>
  </si>
  <si>
    <t>MIS SOFTWARE (See 45800)</t>
  </si>
  <si>
    <t>100-71100-486</t>
  </si>
  <si>
    <t>INMATE MEDICAL SERVICES</t>
  </si>
  <si>
    <t>100-71500-486</t>
  </si>
  <si>
    <t>PSYCHOLOGICAL TESTS &amp; TREAT</t>
  </si>
  <si>
    <t>100-71600-486</t>
  </si>
  <si>
    <t>TOTAL DA CAPITAL CASES</t>
  </si>
  <si>
    <t>COUNTY AUDITOR</t>
  </si>
  <si>
    <t>100-10200-495</t>
  </si>
  <si>
    <t>100-10800-495</t>
  </si>
  <si>
    <t>100-11200-495</t>
  </si>
  <si>
    <t>100-15100-495</t>
  </si>
  <si>
    <t>100-15200-495</t>
  </si>
  <si>
    <t>100-20100-495</t>
  </si>
  <si>
    <t>100-20200-495</t>
  </si>
  <si>
    <t>100-20300-495</t>
  </si>
  <si>
    <t>100-20500-495</t>
  </si>
  <si>
    <t>100-20700-495</t>
  </si>
  <si>
    <t>100-31000-495</t>
  </si>
  <si>
    <t>100-31100-495</t>
  </si>
  <si>
    <t>100-35000-495</t>
  </si>
  <si>
    <t>100-37200-495</t>
  </si>
  <si>
    <t>100-39100-495</t>
  </si>
  <si>
    <t>100-41900-495</t>
  </si>
  <si>
    <t>100-42600-495</t>
  </si>
  <si>
    <t>100-42700-495</t>
  </si>
  <si>
    <t>100-42800-495</t>
  </si>
  <si>
    <t>100-49100-495</t>
  </si>
  <si>
    <t>100-49300-495</t>
  </si>
  <si>
    <t>100-57300-495</t>
  </si>
  <si>
    <t>TOTAL AUDIT DEPT</t>
  </si>
  <si>
    <t>INFORMATION TECHNOLOGY</t>
  </si>
  <si>
    <t>100-10200-496</t>
  </si>
  <si>
    <t>100-10800-496</t>
  </si>
  <si>
    <t>100-11200-496</t>
  </si>
  <si>
    <t>100-15100-496</t>
  </si>
  <si>
    <t>OT - STRAIGHT TIME</t>
  </si>
  <si>
    <t>100-15200-496</t>
  </si>
  <si>
    <t>100-20100-496</t>
  </si>
  <si>
    <t>100-20200-496</t>
  </si>
  <si>
    <t>100-20300-496</t>
  </si>
  <si>
    <t>100-20500-496</t>
  </si>
  <si>
    <t>100-20700-496</t>
  </si>
  <si>
    <t>100-31000-496</t>
  </si>
  <si>
    <t>100-35000-496</t>
  </si>
  <si>
    <t>100-39100-496</t>
  </si>
  <si>
    <t>100-42600-496</t>
  </si>
  <si>
    <t>100-42700-496</t>
  </si>
  <si>
    <t>100-57600-496</t>
  </si>
  <si>
    <t>TOTAL IT DEPT</t>
  </si>
  <si>
    <t>COUNTY TREASURER</t>
  </si>
  <si>
    <t>100-10100-497</t>
  </si>
  <si>
    <t>100-10200-497</t>
  </si>
  <si>
    <t>100-11200-497</t>
  </si>
  <si>
    <t>100-15100-497</t>
  </si>
  <si>
    <t>100-15200-497</t>
  </si>
  <si>
    <t>TIME &amp; HALF</t>
  </si>
  <si>
    <t>100-20100-497</t>
  </si>
  <si>
    <t>100-20200-497</t>
  </si>
  <si>
    <t>100-20300-497</t>
  </si>
  <si>
    <t>100-20500-497</t>
  </si>
  <si>
    <t>100-20700-497</t>
  </si>
  <si>
    <t>100-31000-497</t>
  </si>
  <si>
    <t>100-31100-497</t>
  </si>
  <si>
    <t>100-34600-497</t>
  </si>
  <si>
    <t>100-35000-497</t>
  </si>
  <si>
    <t>100-37200-497</t>
  </si>
  <si>
    <t>100-39100-497</t>
  </si>
  <si>
    <t>100-42700-497</t>
  </si>
  <si>
    <t>100-42800-497</t>
  </si>
  <si>
    <t>100-49100-497</t>
  </si>
  <si>
    <t>100-49300-497</t>
  </si>
  <si>
    <t>TOTAL CO TREASURER</t>
  </si>
  <si>
    <t>HUMAN RESOURCES</t>
  </si>
  <si>
    <t>100-10200-498</t>
  </si>
  <si>
    <t>100-10800-498</t>
  </si>
  <si>
    <t>100-20100-498</t>
  </si>
  <si>
    <t>100-20200-498</t>
  </si>
  <si>
    <t>100-20300-498</t>
  </si>
  <si>
    <t>100-20500-498</t>
  </si>
  <si>
    <t>100-20700-498</t>
  </si>
  <si>
    <t>100-31000-498</t>
  </si>
  <si>
    <t>100-31100-498</t>
  </si>
  <si>
    <t>100-35000-498</t>
  </si>
  <si>
    <t>100-37200-498</t>
  </si>
  <si>
    <t>100-39100-498</t>
  </si>
  <si>
    <t>100-42600-498</t>
  </si>
  <si>
    <t>100-42700-498</t>
  </si>
  <si>
    <t>100-42800-498</t>
  </si>
  <si>
    <t>100-49300-498</t>
  </si>
  <si>
    <t>TAX ASSESSOR/COLLECTOR</t>
  </si>
  <si>
    <t>100-10100-499</t>
  </si>
  <si>
    <t>100-10200-499</t>
  </si>
  <si>
    <t>100-10800-499</t>
  </si>
  <si>
    <t>100-11200-499</t>
  </si>
  <si>
    <t>100-15100-499</t>
  </si>
  <si>
    <t>STRAIGHT OVERTIME</t>
  </si>
  <si>
    <t>100-15200-499</t>
  </si>
  <si>
    <t>100-20100-499</t>
  </si>
  <si>
    <t>100-20200-499</t>
  </si>
  <si>
    <t>100-20300-499</t>
  </si>
  <si>
    <t>RETIRMENT</t>
  </si>
  <si>
    <t>100-20500-499</t>
  </si>
  <si>
    <t>100-20700-499</t>
  </si>
  <si>
    <t>100-31000-499</t>
  </si>
  <si>
    <t>100-31100-499</t>
  </si>
  <si>
    <t>100-35000-499</t>
  </si>
  <si>
    <t>100-37200-499</t>
  </si>
  <si>
    <t>100-39100-499</t>
  </si>
  <si>
    <t>100-41900-499</t>
  </si>
  <si>
    <t>OTHER PROFESSIONAL SVCS</t>
  </si>
  <si>
    <t>100-42000-499</t>
  </si>
  <si>
    <t>100-42600-499</t>
  </si>
  <si>
    <t>100-42700-499</t>
  </si>
  <si>
    <t>100-42800-499</t>
  </si>
  <si>
    <t>100-49100-499</t>
  </si>
  <si>
    <t>100-49300-499</t>
  </si>
  <si>
    <t>TOTAL TAX ASSESSOR/COLLECTOR</t>
  </si>
  <si>
    <t>MAINTENANCE DEPARTMENT</t>
  </si>
  <si>
    <t>100-10200-510</t>
  </si>
  <si>
    <t>100-10800-510</t>
  </si>
  <si>
    <t>100-11200-510</t>
  </si>
  <si>
    <t>100-15100-510</t>
  </si>
  <si>
    <t>100-15200-510</t>
  </si>
  <si>
    <t>100-20100-510</t>
  </si>
  <si>
    <t>100-20200-510</t>
  </si>
  <si>
    <t>100-20300-510</t>
  </si>
  <si>
    <t>100-20500-510</t>
  </si>
  <si>
    <t>100-20700-510</t>
  </si>
  <si>
    <t>100-31000-510</t>
  </si>
  <si>
    <t>100-33000-510</t>
  </si>
  <si>
    <t>100-33600-510</t>
  </si>
  <si>
    <t>UNIFORMS</t>
  </si>
  <si>
    <t>100-34000-510</t>
  </si>
  <si>
    <t>100-34100-510</t>
  </si>
  <si>
    <t>SHOP SUPPLIES</t>
  </si>
  <si>
    <t>100-35000-510</t>
  </si>
  <si>
    <t>100-39100-510</t>
  </si>
  <si>
    <t>100-42600-510</t>
  </si>
  <si>
    <t>100-45000-510</t>
  </si>
  <si>
    <t>BUILDING &amp; GROUNDS MAINTENANCE</t>
  </si>
  <si>
    <t>100-45300-510</t>
  </si>
  <si>
    <t>OTHER EQUIPMENT REPAIRS</t>
  </si>
  <si>
    <t>100-45400-510</t>
  </si>
  <si>
    <t>100-45800-510</t>
  </si>
  <si>
    <t>100-57400-510</t>
  </si>
  <si>
    <t>TOTAL MAINTENANCE</t>
  </si>
  <si>
    <t>COUNTY SECURITY</t>
  </si>
  <si>
    <t>100-39100-511</t>
  </si>
  <si>
    <t>TOTAL COUNTY SECURITY</t>
  </si>
  <si>
    <t xml:space="preserve">COURTHOUSE </t>
  </si>
  <si>
    <t>100-33200-515</t>
  </si>
  <si>
    <t>JANITORIAL SUPPLIES</t>
  </si>
  <si>
    <t>100-35000-515</t>
  </si>
  <si>
    <t>100-37200-515</t>
  </si>
  <si>
    <t>100-39100-515</t>
  </si>
  <si>
    <t>100-44000-515</t>
  </si>
  <si>
    <t>ELECTRICITY</t>
  </si>
  <si>
    <t>100-44100-515</t>
  </si>
  <si>
    <t>NATURAL GAS</t>
  </si>
  <si>
    <t>100-44200-515</t>
  </si>
  <si>
    <t>WATER &amp; SEWAGE</t>
  </si>
  <si>
    <t>100-45000-515</t>
  </si>
  <si>
    <t>100-45600-515</t>
  </si>
  <si>
    <t>HEATING &amp; COOLING</t>
  </si>
  <si>
    <t>100-45700-515</t>
  </si>
  <si>
    <t>ELEVATOR MAINTENANCE</t>
  </si>
  <si>
    <t>100-55000-515</t>
  </si>
  <si>
    <t>IMPROVEMENTS</t>
  </si>
  <si>
    <t>TOTAL COURTHOUSE</t>
  </si>
  <si>
    <t>JUDICIAL COMPLEX</t>
  </si>
  <si>
    <t>100-35000-518</t>
  </si>
  <si>
    <t>100-39100-518</t>
  </si>
  <si>
    <t>100-44000-518</t>
  </si>
  <si>
    <t>100-44100-518</t>
  </si>
  <si>
    <t>100-44200-518</t>
  </si>
  <si>
    <t>100-45000-518</t>
  </si>
  <si>
    <t>100-45600-518</t>
  </si>
  <si>
    <t>100-55000-518</t>
  </si>
  <si>
    <t>TOTAL JUDICIAL COMPLEX</t>
  </si>
  <si>
    <t>JUSTICE CENTER</t>
  </si>
  <si>
    <t>100-33200-519</t>
  </si>
  <si>
    <t>100-39100-519</t>
  </si>
  <si>
    <t>100-44000-519</t>
  </si>
  <si>
    <t>100-44100-519</t>
  </si>
  <si>
    <t>100-44200-519</t>
  </si>
  <si>
    <t>100-45000-519</t>
  </si>
  <si>
    <t>100-45300-519</t>
  </si>
  <si>
    <t>100-45600-519</t>
  </si>
  <si>
    <t>100-55000-519</t>
  </si>
  <si>
    <t>100-57600-519</t>
  </si>
  <si>
    <t>TOTAL JUSTICE CENTER</t>
  </si>
  <si>
    <t>LARKIN STREET BUILDINGS</t>
  </si>
  <si>
    <t>100-44000-520</t>
  </si>
  <si>
    <t>100-44100-520</t>
  </si>
  <si>
    <t>100-44200-520</t>
  </si>
  <si>
    <t>100-45000-520</t>
  </si>
  <si>
    <t>100-45600-520</t>
  </si>
  <si>
    <t>100-55000-520</t>
  </si>
  <si>
    <t>100-57600-520</t>
  </si>
  <si>
    <t>TOTAL LARKIN STREET BUILDINGS</t>
  </si>
  <si>
    <t>LIBRARY BUILDING</t>
  </si>
  <si>
    <t>100-44000-523</t>
  </si>
  <si>
    <t>100-44100-523</t>
  </si>
  <si>
    <t>100-44200-523</t>
  </si>
  <si>
    <t>100-45000-523</t>
  </si>
  <si>
    <t>BUILIDNG &amp; GROUNDS MAINTENANCE</t>
  </si>
  <si>
    <t>100-45600-523</t>
  </si>
  <si>
    <t>100-45700-523</t>
  </si>
  <si>
    <t>TOTAL LIBRARY BUILDING</t>
  </si>
  <si>
    <t>SENIOR CITIZENS BUILDING</t>
  </si>
  <si>
    <t>100-44000-524</t>
  </si>
  <si>
    <t>100-44200-524</t>
  </si>
  <si>
    <t>100-45000-524</t>
  </si>
  <si>
    <t>100-45600-524</t>
  </si>
  <si>
    <t>COOLING</t>
  </si>
  <si>
    <t>100-45900-524</t>
  </si>
  <si>
    <t>INTERNET SERVICES</t>
  </si>
  <si>
    <t>100-46000-524</t>
  </si>
  <si>
    <t>SANITATION</t>
  </si>
  <si>
    <t>100-55000-524</t>
  </si>
  <si>
    <t>TOTAL SENIOR CITIZENS BUILDING</t>
  </si>
  <si>
    <t>CHANDLER SUB-STATION</t>
  </si>
  <si>
    <t>100-44000-525</t>
  </si>
  <si>
    <t>100-44200-525</t>
  </si>
  <si>
    <t>100-45000-525</t>
  </si>
  <si>
    <t>100-45600-525</t>
  </si>
  <si>
    <t>TOTAL CHANDLER SUB-STATION</t>
  </si>
  <si>
    <t>MALAKOFF SUB-STATION</t>
  </si>
  <si>
    <t>100-44000-528</t>
  </si>
  <si>
    <t>100-44200-528</t>
  </si>
  <si>
    <t>100-45000-528</t>
  </si>
  <si>
    <t>100-45600-528</t>
  </si>
  <si>
    <t>100-55000-528</t>
  </si>
  <si>
    <t>100-57600-528</t>
  </si>
  <si>
    <t>TOTAL MALAKOFF SUB-STATION</t>
  </si>
  <si>
    <t>MAINTENANCE SHOP (LUCAS ST)</t>
  </si>
  <si>
    <t>100-44000-529</t>
  </si>
  <si>
    <t>100-44200-529</t>
  </si>
  <si>
    <t>100-45000-529</t>
  </si>
  <si>
    <t>TOTAL MAINTENANCE SHOP</t>
  </si>
  <si>
    <t>HENDERSON COUNTY ANNEX</t>
  </si>
  <si>
    <t>100-37200-532</t>
  </si>
  <si>
    <t>100-41900-532</t>
  </si>
  <si>
    <t>100-44000-532</t>
  </si>
  <si>
    <t>100-44100-532</t>
  </si>
  <si>
    <t>100-44200-532</t>
  </si>
  <si>
    <t>100-45000-532</t>
  </si>
  <si>
    <t>BUILDING &amp; GROUNDS</t>
  </si>
  <si>
    <t>100-45600-532</t>
  </si>
  <si>
    <t>100-45700-532</t>
  </si>
  <si>
    <t>100-55000-532</t>
  </si>
  <si>
    <t>100-57600-532</t>
  </si>
  <si>
    <t>TOTAL HENDERSON COUNTY ANNEX</t>
  </si>
  <si>
    <t>POYNOR SUB-STATION</t>
  </si>
  <si>
    <t>100-44000-533</t>
  </si>
  <si>
    <t>100-44100-533</t>
  </si>
  <si>
    <t>100-44200-533</t>
  </si>
  <si>
    <t>100-45000-533</t>
  </si>
  <si>
    <t>100-46000-533</t>
  </si>
  <si>
    <t>TOTAL POYNOR SUB-STATION</t>
  </si>
  <si>
    <t>LARUE SUB-STATION</t>
  </si>
  <si>
    <t>100-44000-534</t>
  </si>
  <si>
    <t>100-44200-534</t>
  </si>
  <si>
    <t>100-45000-534</t>
  </si>
  <si>
    <t>100-46000-534</t>
  </si>
  <si>
    <t>100-53300-534</t>
  </si>
  <si>
    <t>CONSTRUCTION IN PROGRESS</t>
  </si>
  <si>
    <t>TOTAL LARUE SUB-STATION</t>
  </si>
  <si>
    <t>CONSTABLES</t>
  </si>
  <si>
    <t>100-33000-540</t>
  </si>
  <si>
    <t>100-34000-540</t>
  </si>
  <si>
    <t>100-45400-540</t>
  </si>
  <si>
    <t>TOTAL CONSTABLES</t>
  </si>
  <si>
    <t>CONSTABLE PCT 1</t>
  </si>
  <si>
    <t>100-10100-541</t>
  </si>
  <si>
    <t>100-11200-541</t>
  </si>
  <si>
    <t>100-20100-541</t>
  </si>
  <si>
    <t>100-20200-541</t>
  </si>
  <si>
    <t>100-20300-541</t>
  </si>
  <si>
    <t>100-20500-541</t>
  </si>
  <si>
    <t>100-20700-541</t>
  </si>
  <si>
    <t>100-20900-541</t>
  </si>
  <si>
    <t>100-21100-541</t>
  </si>
  <si>
    <t>100-31000-541</t>
  </si>
  <si>
    <t>100-31100-541</t>
  </si>
  <si>
    <t>100-33000-541</t>
  </si>
  <si>
    <t>100-34000-541</t>
  </si>
  <si>
    <t>100-34600-541</t>
  </si>
  <si>
    <t>BOOK &amp; BOOK UPDATE</t>
  </si>
  <si>
    <t>100-35000-541</t>
  </si>
  <si>
    <t>100-39100-541</t>
  </si>
  <si>
    <t>100-42800-541</t>
  </si>
  <si>
    <t>100-45300-541</t>
  </si>
  <si>
    <t>100-45400-541</t>
  </si>
  <si>
    <t>100-49100-541</t>
  </si>
  <si>
    <t>100-57000-541</t>
  </si>
  <si>
    <t>VEHICLE</t>
  </si>
  <si>
    <t>TOTAL CONSTABLE PCT 1</t>
  </si>
  <si>
    <t>CONSTABLE PRECINCT 2</t>
  </si>
  <si>
    <t>100-10100-542</t>
  </si>
  <si>
    <t>100-11200-542</t>
  </si>
  <si>
    <t>100-20100-542</t>
  </si>
  <si>
    <t>100-20200-542</t>
  </si>
  <si>
    <t>100-20300-542</t>
  </si>
  <si>
    <t>100-20500-542</t>
  </si>
  <si>
    <t>100-20700-542</t>
  </si>
  <si>
    <t>100-20900-542</t>
  </si>
  <si>
    <t>100-21100-542</t>
  </si>
  <si>
    <t>100-31000-542</t>
  </si>
  <si>
    <t>100-31100-542</t>
  </si>
  <si>
    <t>100-33000-542</t>
  </si>
  <si>
    <t>100-34000-542</t>
  </si>
  <si>
    <t>100-42700-542</t>
  </si>
  <si>
    <t>100-42800-542</t>
  </si>
  <si>
    <t>100-45400-542</t>
  </si>
  <si>
    <t>100-49100-542</t>
  </si>
  <si>
    <t>100-57000-542</t>
  </si>
  <si>
    <t>TOTAL CONSTABLE PCT 2</t>
  </si>
  <si>
    <t>CONSTABLE PRECINCT 3</t>
  </si>
  <si>
    <t>100-10100-543</t>
  </si>
  <si>
    <t>100-11200-543</t>
  </si>
  <si>
    <t>100-20100-543</t>
  </si>
  <si>
    <t>100-20200-543</t>
  </si>
  <si>
    <t>100-20300-543</t>
  </si>
  <si>
    <t>100-20500-543</t>
  </si>
  <si>
    <t>100-20700-543</t>
  </si>
  <si>
    <t>100-20900-543</t>
  </si>
  <si>
    <t>100-21100-543</t>
  </si>
  <si>
    <t>100-31000-543</t>
  </si>
  <si>
    <t>100-31100-543</t>
  </si>
  <si>
    <t>100-33000-543</t>
  </si>
  <si>
    <t>100-34000-543</t>
  </si>
  <si>
    <t>100-39100-543</t>
  </si>
  <si>
    <t>100-42700-543</t>
  </si>
  <si>
    <t>100-42800-543</t>
  </si>
  <si>
    <t>100-45300-543</t>
  </si>
  <si>
    <t>100-45400-543</t>
  </si>
  <si>
    <t>100-49100-543</t>
  </si>
  <si>
    <t>TOTAL CONSTABLE PCT 3</t>
  </si>
  <si>
    <t>CONSTABLE PRECINCT 4</t>
  </si>
  <si>
    <t>100-10100-544</t>
  </si>
  <si>
    <t>100-11200-544</t>
  </si>
  <si>
    <t>100-20100-544</t>
  </si>
  <si>
    <t>100-20200-544</t>
  </si>
  <si>
    <t>100-20300-544</t>
  </si>
  <si>
    <t>100-20500-544</t>
  </si>
  <si>
    <t>100-20700-544</t>
  </si>
  <si>
    <t>100-20900-544</t>
  </si>
  <si>
    <t>100-21100-544</t>
  </si>
  <si>
    <t>100-31000-544</t>
  </si>
  <si>
    <t>100-31100-544</t>
  </si>
  <si>
    <t>100-33000-544</t>
  </si>
  <si>
    <t>100-34000-544</t>
  </si>
  <si>
    <t>100-39100-544</t>
  </si>
  <si>
    <t>100-42700-544</t>
  </si>
  <si>
    <t>100-45400-544</t>
  </si>
  <si>
    <t>100-49100-544</t>
  </si>
  <si>
    <t>TOTAL CONSTABLE PCT 4</t>
  </si>
  <si>
    <t>CONSTABLE PRECINCT 5</t>
  </si>
  <si>
    <t>100-10100-545</t>
  </si>
  <si>
    <t>100-11200-545</t>
  </si>
  <si>
    <t>100-20100-545</t>
  </si>
  <si>
    <t>100-20200-545</t>
  </si>
  <si>
    <t>100-20300-545</t>
  </si>
  <si>
    <t>100-20500-545</t>
  </si>
  <si>
    <t>100-20700-545</t>
  </si>
  <si>
    <t>100-20900-545</t>
  </si>
  <si>
    <t>100-21100-545</t>
  </si>
  <si>
    <t>100-31000-545</t>
  </si>
  <si>
    <t>100-31100-545</t>
  </si>
  <si>
    <t>100-33000-545</t>
  </si>
  <si>
    <t>100-34000-545</t>
  </si>
  <si>
    <t>100-35000-545</t>
  </si>
  <si>
    <t>100-39100-545</t>
  </si>
  <si>
    <t>100-42700-545</t>
  </si>
  <si>
    <t>100-42800-545</t>
  </si>
  <si>
    <t>DUES &amp; SUBSCRIPITONS</t>
  </si>
  <si>
    <t>100-45400-545</t>
  </si>
  <si>
    <t>100-49100-545</t>
  </si>
  <si>
    <t>100-57000-545</t>
  </si>
  <si>
    <t>TOTAL CONSTABLE PCT 5</t>
  </si>
  <si>
    <t>CONSTABLE 1 LEOSE</t>
  </si>
  <si>
    <t>100-42700-551</t>
  </si>
  <si>
    <t>TOTAL CONST 1 LEOSE</t>
  </si>
  <si>
    <t>CONSTABLE 2 LEOSE</t>
  </si>
  <si>
    <t>100-42700-552</t>
  </si>
  <si>
    <t>TOTAL CONST 2 LEOSE</t>
  </si>
  <si>
    <t>CONSTABLE 3 LEOSE</t>
  </si>
  <si>
    <t>100-42700-553</t>
  </si>
  <si>
    <t>TOTAL CONST 3 LEOSE</t>
  </si>
  <si>
    <t>CONSTABLE 4 LEOSE</t>
  </si>
  <si>
    <t>100-33700-554</t>
  </si>
  <si>
    <t>100-42700-554</t>
  </si>
  <si>
    <t>TOTAL CONST 4 LEOSE</t>
  </si>
  <si>
    <t>CONSTABLE 5 LEOSE</t>
  </si>
  <si>
    <t>100-42700-555</t>
  </si>
  <si>
    <t>TOTAL CONST 5 LEOSE</t>
  </si>
  <si>
    <t>FIRST MARSHAL LEOSE</t>
  </si>
  <si>
    <t>100-42700-557</t>
  </si>
  <si>
    <t>TOTAL FIRE MARSHAL LEOSE</t>
  </si>
  <si>
    <t>SHERIFF DEPARTMENT FIELD OPERATIONS</t>
  </si>
  <si>
    <t>100-10100-560</t>
  </si>
  <si>
    <t>100-10200-560</t>
  </si>
  <si>
    <t>100-11200-560</t>
  </si>
  <si>
    <t>100-15100-560</t>
  </si>
  <si>
    <t>100-15200-560</t>
  </si>
  <si>
    <t>100-15500-560</t>
  </si>
  <si>
    <t>100-20100-560</t>
  </si>
  <si>
    <t>100-20200-560</t>
  </si>
  <si>
    <t>100-20300-560</t>
  </si>
  <si>
    <t>100-20500-560</t>
  </si>
  <si>
    <t>100-20700-560</t>
  </si>
  <si>
    <t>100-21100-560</t>
  </si>
  <si>
    <t>UNIFORM EXPENSE</t>
  </si>
  <si>
    <t>100-22500-560</t>
  </si>
  <si>
    <t>TRAVEL ALLOWANCE</t>
  </si>
  <si>
    <t>100-31000-560</t>
  </si>
  <si>
    <t>100-31100-560</t>
  </si>
  <si>
    <t>100-31200-560</t>
  </si>
  <si>
    <t>100-31400-560</t>
  </si>
  <si>
    <t>PROGRAM SUPLIES</t>
  </si>
  <si>
    <t>100-33000-560</t>
  </si>
  <si>
    <t>100-33600-560</t>
  </si>
  <si>
    <t>100-33700-560</t>
  </si>
  <si>
    <t>100-34000-560</t>
  </si>
  <si>
    <t>100-34300-560</t>
  </si>
  <si>
    <t>HEALTH AND SAFETY</t>
  </si>
  <si>
    <t>100-34600-560</t>
  </si>
  <si>
    <t>100-35000-560</t>
  </si>
  <si>
    <t>100-37200-560</t>
  </si>
  <si>
    <t>100-39100-560</t>
  </si>
  <si>
    <t>100-40500-560</t>
  </si>
  <si>
    <t>EMPLOYMENT EXAMS &amp; IMMUNIZATIONS</t>
  </si>
  <si>
    <t>100-41000-560</t>
  </si>
  <si>
    <t>100-41600-560</t>
  </si>
  <si>
    <t>CONTRACT SERVICES</t>
  </si>
  <si>
    <t>100-41800-560</t>
  </si>
  <si>
    <t>LAB FEES EXPENSES</t>
  </si>
  <si>
    <t>100-41900-560</t>
  </si>
  <si>
    <t>100-42000-560</t>
  </si>
  <si>
    <t>100-42100-560</t>
  </si>
  <si>
    <t>COMMUNICATIONS TOWER</t>
  </si>
  <si>
    <t>100-42600-560</t>
  </si>
  <si>
    <t>100-42700-560</t>
  </si>
  <si>
    <t>100-42800-560</t>
  </si>
  <si>
    <t>100-42900-560</t>
  </si>
  <si>
    <t>PRISONER EXTRADITION</t>
  </si>
  <si>
    <t>100-43000-560</t>
  </si>
  <si>
    <t>100-44400-560</t>
  </si>
  <si>
    <t>SATELLITE/CABLE SERVICES</t>
  </si>
  <si>
    <t>100-45300-560</t>
  </si>
  <si>
    <t>100-45400-560</t>
  </si>
  <si>
    <t>100-45800-560</t>
  </si>
  <si>
    <t>100-45900-560</t>
  </si>
  <si>
    <t>100-48900-560</t>
  </si>
  <si>
    <t>DAMAGES</t>
  </si>
  <si>
    <t>100-49100-560</t>
  </si>
  <si>
    <t>100-49200-560</t>
  </si>
  <si>
    <t>100-49300-560</t>
  </si>
  <si>
    <t>100-49400-560</t>
  </si>
  <si>
    <t>EQUIPMENT RENTAL</t>
  </si>
  <si>
    <t>100-57000-560</t>
  </si>
  <si>
    <t>100-57600-560</t>
  </si>
  <si>
    <t>100-70100-560</t>
  </si>
  <si>
    <t>DRUG SCREENING TESTS</t>
  </si>
  <si>
    <t>TOTAL SHERIFF'S DEPT FIELD OPS</t>
  </si>
  <si>
    <t>SHERIFF'S DEPARTMENT LEOSE</t>
  </si>
  <si>
    <t>100-33000-561</t>
  </si>
  <si>
    <t>100-42700-561</t>
  </si>
  <si>
    <t>SHERIFF DEPT LEOSE</t>
  </si>
  <si>
    <t>BULLET PROOF VEST GRANT</t>
  </si>
  <si>
    <t>100-33600-563</t>
  </si>
  <si>
    <t>100-35000-563</t>
  </si>
  <si>
    <t>100-39100-563</t>
  </si>
  <si>
    <t>TOTAL BULLET PROOF VEST GRANT</t>
  </si>
  <si>
    <t>S.O. VINE GRANT</t>
  </si>
  <si>
    <t>100-41900-567</t>
  </si>
  <si>
    <t>TOTAL VINE GRANT</t>
  </si>
  <si>
    <t>SHERIFF DEPARTMENT JAIL OPERATIONS</t>
  </si>
  <si>
    <t>100-10200-568</t>
  </si>
  <si>
    <t>100-11200-568</t>
  </si>
  <si>
    <t>100-15100-568</t>
  </si>
  <si>
    <t>OT-STRAIGHT TIME</t>
  </si>
  <si>
    <t>100-15200-568</t>
  </si>
  <si>
    <t>OT-TIME &amp; A HALF</t>
  </si>
  <si>
    <t>100-15500-568</t>
  </si>
  <si>
    <t>100-20100-568</t>
  </si>
  <si>
    <t>100-20200-568</t>
  </si>
  <si>
    <t>100-20300-568</t>
  </si>
  <si>
    <t>100-20500-568</t>
  </si>
  <si>
    <t>100-20700-568</t>
  </si>
  <si>
    <t>100-21100-568</t>
  </si>
  <si>
    <t>100-31000-568</t>
  </si>
  <si>
    <t>100-31200-568</t>
  </si>
  <si>
    <t>100-33300-568</t>
  </si>
  <si>
    <t>CAFETERIA SUPPLIES</t>
  </si>
  <si>
    <t>100-33500-568</t>
  </si>
  <si>
    <t>PRISONER HYGENIC SUPPLIES</t>
  </si>
  <si>
    <t>100-33600-568</t>
  </si>
  <si>
    <t>100-34000-568</t>
  </si>
  <si>
    <t>100-34600-568</t>
  </si>
  <si>
    <t>100-39100-568</t>
  </si>
  <si>
    <t>100-40800-568</t>
  </si>
  <si>
    <t>100-42600-568</t>
  </si>
  <si>
    <t>100-42700-568</t>
  </si>
  <si>
    <t>100-42800-568</t>
  </si>
  <si>
    <t>DUES &amp; SUBSCFRIPTIONS</t>
  </si>
  <si>
    <t>100-42900-568</t>
  </si>
  <si>
    <t>100-45400-568</t>
  </si>
  <si>
    <t>100-49300-568</t>
  </si>
  <si>
    <t>100-70100-568</t>
  </si>
  <si>
    <t>100-71100-568</t>
  </si>
  <si>
    <t>INMATE MEDICAL</t>
  </si>
  <si>
    <t>TOTAL SHER DEPT JAIL OPS</t>
  </si>
  <si>
    <t>SHERIFF SCHOOL RESOURCE DEPUTIES (SRD)</t>
  </si>
  <si>
    <t>100-10200-569</t>
  </si>
  <si>
    <t>100-11200-569</t>
  </si>
  <si>
    <t>100-15500-569</t>
  </si>
  <si>
    <t>100-20100-569</t>
  </si>
  <si>
    <t>100-20200-569</t>
  </si>
  <si>
    <t>100-20300-569</t>
  </si>
  <si>
    <t>100-20500-569</t>
  </si>
  <si>
    <t>100-20700-569</t>
  </si>
  <si>
    <t>100-21100-569</t>
  </si>
  <si>
    <t>TOTAL SHER SRD</t>
  </si>
  <si>
    <t>JUVENILE COUNTY FUNDED</t>
  </si>
  <si>
    <t>100-10200-570</t>
  </si>
  <si>
    <t>100-11200-570</t>
  </si>
  <si>
    <t>100-15100-570</t>
  </si>
  <si>
    <t>100-20100-570</t>
  </si>
  <si>
    <t>100-20200-570</t>
  </si>
  <si>
    <t>100-20300-570</t>
  </si>
  <si>
    <t>100-20500-570</t>
  </si>
  <si>
    <t>100-20700-570</t>
  </si>
  <si>
    <t>DENTAL &amp; VISION INSURANCE</t>
  </si>
  <si>
    <t>100-31000-570</t>
  </si>
  <si>
    <t>100-31100-570</t>
  </si>
  <si>
    <t>100-31400-570</t>
  </si>
  <si>
    <t>PROGRAM SUPPLIES</t>
  </si>
  <si>
    <t>100-31600-570</t>
  </si>
  <si>
    <t>U.A SUPPLIES</t>
  </si>
  <si>
    <t>100-33000-570</t>
  </si>
  <si>
    <t>100-33600-570</t>
  </si>
  <si>
    <t>100-34000-570</t>
  </si>
  <si>
    <t>100-34600-570</t>
  </si>
  <si>
    <t>100-37200-570</t>
  </si>
  <si>
    <t>100-39100-570</t>
  </si>
  <si>
    <t>100-41700-570</t>
  </si>
  <si>
    <t>ELECTRONIC MONITORING</t>
  </si>
  <si>
    <t>100-41900-570</t>
  </si>
  <si>
    <t>OTHER PROFFESSIONAL SVC</t>
  </si>
  <si>
    <t>100-42600-570</t>
  </si>
  <si>
    <t>100-42700-570</t>
  </si>
  <si>
    <t>STAFF TRAINING/CONFERENCE</t>
  </si>
  <si>
    <t>100-45400-570</t>
  </si>
  <si>
    <t>100-49100-570</t>
  </si>
  <si>
    <t>100-49300-570</t>
  </si>
  <si>
    <t>100-70100-570</t>
  </si>
  <si>
    <t>100-75000-570</t>
  </si>
  <si>
    <t>CONTRACT DETENTION</t>
  </si>
  <si>
    <t>100-75100-570</t>
  </si>
  <si>
    <t>JUVENILE MEDICAL &amp; DENTAL</t>
  </si>
  <si>
    <t>TOTAL JUVENILE CO FUNDED</t>
  </si>
  <si>
    <t>FLOODPLAINS MANAGEMENT</t>
  </si>
  <si>
    <t>100-10200-588</t>
  </si>
  <si>
    <t>100-11200-588</t>
  </si>
  <si>
    <t>100-20100-588</t>
  </si>
  <si>
    <t>100-20200-588</t>
  </si>
  <si>
    <t>100-20300-588</t>
  </si>
  <si>
    <t>100-20500-588</t>
  </si>
  <si>
    <t>100-20700-588</t>
  </si>
  <si>
    <t>100-31000-588</t>
  </si>
  <si>
    <t>100-33000-588</t>
  </si>
  <si>
    <t>100-34000-588</t>
  </si>
  <si>
    <t>100-35000-588</t>
  </si>
  <si>
    <t>100-39100-588</t>
  </si>
  <si>
    <t>100-42200-588</t>
  </si>
  <si>
    <t>COMMAND TRAILER</t>
  </si>
  <si>
    <t>100-42700-588</t>
  </si>
  <si>
    <t>100-42800-588</t>
  </si>
  <si>
    <t>100-43000-588</t>
  </si>
  <si>
    <t>100-44400-588</t>
  </si>
  <si>
    <t>100-45400-588</t>
  </si>
  <si>
    <t>100-45900-588</t>
  </si>
  <si>
    <t>100-49300-588</t>
  </si>
  <si>
    <t>TOTAL FLOODPLAINS MANAGEMENT</t>
  </si>
  <si>
    <t>EMPG - GRANT</t>
  </si>
  <si>
    <t>100-10200-590</t>
  </si>
  <si>
    <t>100-11200-590</t>
  </si>
  <si>
    <t>100-20100-590</t>
  </si>
  <si>
    <t>100-20200-590</t>
  </si>
  <si>
    <t>100-20300-590</t>
  </si>
  <si>
    <t>100-20500-590</t>
  </si>
  <si>
    <t>100-20700-590</t>
  </si>
  <si>
    <t>100-31000-590</t>
  </si>
  <si>
    <t>100-33000-590</t>
  </si>
  <si>
    <t>100-34000-590</t>
  </si>
  <si>
    <t>100-35000-590</t>
  </si>
  <si>
    <t>100-39100-590</t>
  </si>
  <si>
    <t>100-42200-590</t>
  </si>
  <si>
    <t>100-42700-590</t>
  </si>
  <si>
    <t>100-42800-590</t>
  </si>
  <si>
    <t>100-43000-590</t>
  </si>
  <si>
    <t>100-44400-590</t>
  </si>
  <si>
    <t>100-45400-590</t>
  </si>
  <si>
    <t>100-45900-590</t>
  </si>
  <si>
    <t>100-49300-590</t>
  </si>
  <si>
    <t>TOTAL EMERGENCY MGMT</t>
  </si>
  <si>
    <t>FIRE MARSHAL/EMC</t>
  </si>
  <si>
    <t>100-10200-591</t>
  </si>
  <si>
    <t>100-10800-591</t>
  </si>
  <si>
    <t>PART TIME</t>
  </si>
  <si>
    <t>100-11200-591</t>
  </si>
  <si>
    <t>100-15100-591</t>
  </si>
  <si>
    <t>100-15200-591</t>
  </si>
  <si>
    <t>100-20100-591</t>
  </si>
  <si>
    <t>100-20200-591</t>
  </si>
  <si>
    <t>100-20300-591</t>
  </si>
  <si>
    <t>100-20500-591</t>
  </si>
  <si>
    <t>100-20700-591</t>
  </si>
  <si>
    <t>100-21100-591</t>
  </si>
  <si>
    <t>100-31000-591</t>
  </si>
  <si>
    <t>100-31100-591</t>
  </si>
  <si>
    <t>100-31200-591</t>
  </si>
  <si>
    <t>100-33000-591</t>
  </si>
  <si>
    <t>100-33700-591</t>
  </si>
  <si>
    <t>100-34000-591</t>
  </si>
  <si>
    <t>100-34600-591</t>
  </si>
  <si>
    <t>100-35000-591</t>
  </si>
  <si>
    <t>100-39100-591</t>
  </si>
  <si>
    <t>100-41900-591</t>
  </si>
  <si>
    <t>100-42200-591</t>
  </si>
  <si>
    <t>100-42700-591</t>
  </si>
  <si>
    <t>100-42800-591</t>
  </si>
  <si>
    <t>100-43000-591</t>
  </si>
  <si>
    <t>100-45400-591</t>
  </si>
  <si>
    <t>100-45900-591</t>
  </si>
  <si>
    <t>100-49100-591</t>
  </si>
  <si>
    <t>BONDS</t>
  </si>
  <si>
    <t>100-49300-591</t>
  </si>
  <si>
    <t>100-57000-591</t>
  </si>
  <si>
    <t>TOTAL FIRE MARSHAL/ECU/EMC</t>
  </si>
  <si>
    <t>DEPARTMENT OF PUBLIC SAFETY</t>
  </si>
  <si>
    <t>100-10200-592</t>
  </si>
  <si>
    <t>100-11200-592</t>
  </si>
  <si>
    <t>100-20100-592</t>
  </si>
  <si>
    <t>100-20200-592</t>
  </si>
  <si>
    <t>100-20300-592</t>
  </si>
  <si>
    <t>100-20500-592</t>
  </si>
  <si>
    <t>100-20700-592</t>
  </si>
  <si>
    <t>100-31000-592</t>
  </si>
  <si>
    <t>100-31200-592</t>
  </si>
  <si>
    <t>100-34600-592</t>
  </si>
  <si>
    <t>BOOK AND BOOK UPDATE</t>
  </si>
  <si>
    <t>100-35000-592</t>
  </si>
  <si>
    <t>100-37200-592</t>
  </si>
  <si>
    <t>100-39100-592</t>
  </si>
  <si>
    <t>100-49100-592</t>
  </si>
  <si>
    <t>TOTAL DPS</t>
  </si>
  <si>
    <t>HEALTH CARE COORDINATOR</t>
  </si>
  <si>
    <t>100-10200-645</t>
  </si>
  <si>
    <t>100-11200-645</t>
  </si>
  <si>
    <t>100-20100-645</t>
  </si>
  <si>
    <t>100-20200-645</t>
  </si>
  <si>
    <t>100-20300-645</t>
  </si>
  <si>
    <t>100-20500-645</t>
  </si>
  <si>
    <t>100-20700-645</t>
  </si>
  <si>
    <t>100-31000-645</t>
  </si>
  <si>
    <t>100-31100-645</t>
  </si>
  <si>
    <t>100-37200-645</t>
  </si>
  <si>
    <t>100-39100-645</t>
  </si>
  <si>
    <t>100-42700-645</t>
  </si>
  <si>
    <t>100-42800-645</t>
  </si>
  <si>
    <t>100-45800-645</t>
  </si>
  <si>
    <t>100-49300-645</t>
  </si>
  <si>
    <t>TOTAL HEALTH CARE COORDINATOR</t>
  </si>
  <si>
    <t>PUBLIC LIBRARY</t>
  </si>
  <si>
    <t>100-10200-650</t>
  </si>
  <si>
    <t>100-10800-650</t>
  </si>
  <si>
    <t>100-11200-650</t>
  </si>
  <si>
    <t>100-15100-650</t>
  </si>
  <si>
    <t>100-15200-650</t>
  </si>
  <si>
    <t>100-20100-650</t>
  </si>
  <si>
    <t>100-20200-650</t>
  </si>
  <si>
    <t>100-20300-650</t>
  </si>
  <si>
    <t>100-20500-650</t>
  </si>
  <si>
    <t>100-20700-650</t>
  </si>
  <si>
    <t>100-31000-650</t>
  </si>
  <si>
    <t>100-31100-650</t>
  </si>
  <si>
    <t>100-34600-650</t>
  </si>
  <si>
    <t>BOOKS &amp; BOOK UPDATES</t>
  </si>
  <si>
    <t>100-42700-650</t>
  </si>
  <si>
    <t>100-45800-650</t>
  </si>
  <si>
    <t>TOTAL PUBLIC LIBRARY</t>
  </si>
  <si>
    <t>LIBRARY RESERVE</t>
  </si>
  <si>
    <t>100-34600-651</t>
  </si>
  <si>
    <t>TOTAL LIBRARY RESERVE</t>
  </si>
  <si>
    <t>HISTORICAL COMMISSION</t>
  </si>
  <si>
    <t>100-10800-660</t>
  </si>
  <si>
    <t>100-20100-660</t>
  </si>
  <si>
    <t>100-20300-660</t>
  </si>
  <si>
    <t>100-20500-660</t>
  </si>
  <si>
    <t>100-31000-660</t>
  </si>
  <si>
    <t>100-31100-660</t>
  </si>
  <si>
    <t>100-34600-660</t>
  </si>
  <si>
    <t>100-37200-660</t>
  </si>
  <si>
    <t>100-39100-660</t>
  </si>
  <si>
    <t>100-42600-660</t>
  </si>
  <si>
    <t>100-42800-660</t>
  </si>
  <si>
    <t>100-43100-660</t>
  </si>
  <si>
    <t>HISTORICAL MARKER</t>
  </si>
  <si>
    <t>100-49300-660</t>
  </si>
  <si>
    <t>TOTAL HISTORICAL COMMISSION</t>
  </si>
  <si>
    <t>COUNTY EXTENTION OFFICE</t>
  </si>
  <si>
    <t>100-10200-665</t>
  </si>
  <si>
    <t>100-11200-665</t>
  </si>
  <si>
    <t>100-20100-665</t>
  </si>
  <si>
    <t>100-20200-665</t>
  </si>
  <si>
    <t>100-20300-665</t>
  </si>
  <si>
    <t>100-20500-665</t>
  </si>
  <si>
    <t>100-20700-665</t>
  </si>
  <si>
    <t>100-22500-665</t>
  </si>
  <si>
    <t>100-31000-665</t>
  </si>
  <si>
    <t>100-31100-665</t>
  </si>
  <si>
    <t>100-31400-665</t>
  </si>
  <si>
    <t>100-35000-665</t>
  </si>
  <si>
    <t>100-37200-665</t>
  </si>
  <si>
    <t>100-39000-665</t>
  </si>
  <si>
    <t>4-H SUPPLIES</t>
  </si>
  <si>
    <t>100-39100-665</t>
  </si>
  <si>
    <t>100-42600-665</t>
  </si>
  <si>
    <t>100-42700-665</t>
  </si>
  <si>
    <t>100-42800-665</t>
  </si>
  <si>
    <t>100-49300-665</t>
  </si>
  <si>
    <t>TOTAL CO EXT</t>
  </si>
  <si>
    <t>HEALTHY COUNTY/VENDING MACHINE</t>
  </si>
  <si>
    <t>100-31000-670</t>
  </si>
  <si>
    <t>100-31400-670</t>
  </si>
  <si>
    <t>100-33300-670</t>
  </si>
  <si>
    <t>FOOD SERVICES</t>
  </si>
  <si>
    <t>100-42700-670</t>
  </si>
  <si>
    <t>HEALTHY CO/VENDING MACHINE</t>
  </si>
  <si>
    <t>TOTAL GENERAL FUND EXPENSES</t>
  </si>
  <si>
    <t>FUND 150 - RECORDS MANAGEMENT</t>
  </si>
  <si>
    <t>150-40600-340</t>
  </si>
  <si>
    <t>CO CLERK RECORDS MGMT FEES</t>
  </si>
  <si>
    <t>150-42000-340</t>
  </si>
  <si>
    <t>CO RECORDS MGMT FEE</t>
  </si>
  <si>
    <t>150-70300-340</t>
  </si>
  <si>
    <t>DIST CLK RECORDS MGMT FEE</t>
  </si>
  <si>
    <t>150-00000-390</t>
  </si>
  <si>
    <t>TOTAL RCDS MGMT REVENUES</t>
  </si>
  <si>
    <t>COUNTY RECORDS MANAGEMENT</t>
  </si>
  <si>
    <t>150-31000-406</t>
  </si>
  <si>
    <t>150-35000-406</t>
  </si>
  <si>
    <t>150-41900-406</t>
  </si>
  <si>
    <t>150-45500-406</t>
  </si>
  <si>
    <t>COUNTY CLERK RECORS MANAGEMENT</t>
  </si>
  <si>
    <t>150-35000-411</t>
  </si>
  <si>
    <t>150-41800-411</t>
  </si>
  <si>
    <t>CO CLK RCDS MGMT/PRESERVATION</t>
  </si>
  <si>
    <t>150-42700-411</t>
  </si>
  <si>
    <t>150-45500-411</t>
  </si>
  <si>
    <t>150-45800-411</t>
  </si>
  <si>
    <t>150-49300-411</t>
  </si>
  <si>
    <t>DISTRICT CLERK RECORDS MANAGEMENT</t>
  </si>
  <si>
    <t>150-31000-446</t>
  </si>
  <si>
    <t>150-41800-446</t>
  </si>
  <si>
    <t>DST CLK RCDS MGMT/PRESERVATION</t>
  </si>
  <si>
    <t>150-41900-446</t>
  </si>
  <si>
    <t>150-42700-446</t>
  </si>
  <si>
    <t>150-49300-446</t>
  </si>
  <si>
    <t>150-57600-446</t>
  </si>
  <si>
    <t>TOTAL RECORDS MGMT FUND EXP</t>
  </si>
  <si>
    <t>FUND 200 -</t>
  </si>
  <si>
    <t>ROAD AND BRIDGE</t>
  </si>
  <si>
    <t>200-11000-310</t>
  </si>
  <si>
    <t>CURRENT TAXES-FMFC</t>
  </si>
  <si>
    <t>200-12000-310</t>
  </si>
  <si>
    <t>CURRENT TAXES-ROAD &amp; BRIDGE</t>
  </si>
  <si>
    <t>200-21000-310</t>
  </si>
  <si>
    <t>DELINQUENT TAXES-FMFC</t>
  </si>
  <si>
    <t>200-22000-310</t>
  </si>
  <si>
    <t>DELINQUENT TAXES-ROAD &amp; BRIDGE</t>
  </si>
  <si>
    <t>200-20000-321</t>
  </si>
  <si>
    <t>MOTOR VEHICLE REGISTRATION</t>
  </si>
  <si>
    <t>200-32900-330</t>
  </si>
  <si>
    <t xml:space="preserve">CTIF </t>
  </si>
  <si>
    <t>200-33000-330</t>
  </si>
  <si>
    <t>LATERAL ROAD</t>
  </si>
  <si>
    <t>200-34000-330</t>
  </si>
  <si>
    <t>TX DEPT OF TRANSP &amp; WEIGHT</t>
  </si>
  <si>
    <t>200-43500-330</t>
  </si>
  <si>
    <t>FEMA GRANT REVENUE</t>
  </si>
  <si>
    <t>200-54000-340</t>
  </si>
  <si>
    <t>TAX COLLECTOR $10 REGIST. FEE</t>
  </si>
  <si>
    <t>200-62100-344</t>
  </si>
  <si>
    <t>WASTE COLLECTION PRECINCT 1</t>
  </si>
  <si>
    <t>200-62200-344</t>
  </si>
  <si>
    <t>WASTE COLLECTION PRECINCT 2</t>
  </si>
  <si>
    <t>200-62300-344</t>
  </si>
  <si>
    <t>WASTE COLLECTION PRECINCT 3</t>
  </si>
  <si>
    <t>200-62400-344</t>
  </si>
  <si>
    <t>WASTE COLLECTION PRECINCT 4</t>
  </si>
  <si>
    <t>200-10000-360</t>
  </si>
  <si>
    <t>200-20000-364</t>
  </si>
  <si>
    <t>200-90000-381</t>
  </si>
  <si>
    <t>200-00000-390</t>
  </si>
  <si>
    <t>OPERATING TRANSFERS</t>
  </si>
  <si>
    <t>TOTAL R&amp;B FUND REVENUES</t>
  </si>
  <si>
    <t>ROAD AND BRIDGE SPECIAL</t>
  </si>
  <si>
    <t>200-20800-610</t>
  </si>
  <si>
    <t>200-33800-610</t>
  </si>
  <si>
    <t>CTIF ROAD MATERIAL</t>
  </si>
  <si>
    <t>200-40500-610</t>
  </si>
  <si>
    <t>200-44000-610</t>
  </si>
  <si>
    <t>200-44100-610</t>
  </si>
  <si>
    <t>200-45000-610</t>
  </si>
  <si>
    <t>BLDG &amp; GROUNDS MAINT</t>
  </si>
  <si>
    <t>200-44300-610</t>
  </si>
  <si>
    <t>R.O.W.</t>
  </si>
  <si>
    <t>200-70100-610</t>
  </si>
  <si>
    <t>DRUG SCREEN TESTS</t>
  </si>
  <si>
    <t>200-73100-610</t>
  </si>
  <si>
    <t>CONSERVATION DISTRICTS</t>
  </si>
  <si>
    <t>TOTAL ROAD AND BRIDGE SPECIAL</t>
  </si>
  <si>
    <t>ROAD AND BRIDGE, PRECINCT 1</t>
  </si>
  <si>
    <t>200-10100-611</t>
  </si>
  <si>
    <t>200-10200-611</t>
  </si>
  <si>
    <t>200-10800-611</t>
  </si>
  <si>
    <t>200-11200-611</t>
  </si>
  <si>
    <t>200-20100-611</t>
  </si>
  <si>
    <t>200-20200-611</t>
  </si>
  <si>
    <t>200-20300-611</t>
  </si>
  <si>
    <t>200-20400-611</t>
  </si>
  <si>
    <t>WORKERS COMPENSATION</t>
  </si>
  <si>
    <t>200-20500-611</t>
  </si>
  <si>
    <t>200-20600-611</t>
  </si>
  <si>
    <t>200-20700-611</t>
  </si>
  <si>
    <t>200-20900-611</t>
  </si>
  <si>
    <t>200-22500-611</t>
  </si>
  <si>
    <t>200-31000-611</t>
  </si>
  <si>
    <t>200-31100-611</t>
  </si>
  <si>
    <t>200-33000-611</t>
  </si>
  <si>
    <t>200-33600-611</t>
  </si>
  <si>
    <t>200-33800-611</t>
  </si>
  <si>
    <t>ROAD MATERIAL</t>
  </si>
  <si>
    <t>200-33900-611</t>
  </si>
  <si>
    <t>BRIDGE MATERIAL</t>
  </si>
  <si>
    <t>200-34000-611</t>
  </si>
  <si>
    <t>200-34100-611</t>
  </si>
  <si>
    <t>200-34200-611</t>
  </si>
  <si>
    <t>SIGNS</t>
  </si>
  <si>
    <t>200-34300-611</t>
  </si>
  <si>
    <t>200-35000-611</t>
  </si>
  <si>
    <t>200-39100-611</t>
  </si>
  <si>
    <t>200-41900-611</t>
  </si>
  <si>
    <t>200-42000-611</t>
  </si>
  <si>
    <t>200-42600-611</t>
  </si>
  <si>
    <t>200-42700-611</t>
  </si>
  <si>
    <t>200-44000-611</t>
  </si>
  <si>
    <t>200-44100-611</t>
  </si>
  <si>
    <t>200-44200-611</t>
  </si>
  <si>
    <t>200-44300-611</t>
  </si>
  <si>
    <t>R.O.W. MAINTENANCE</t>
  </si>
  <si>
    <t>200-45000-611</t>
  </si>
  <si>
    <t>BLDG &amp; GROUNDS MAINTENANCE</t>
  </si>
  <si>
    <t>200-45100-611</t>
  </si>
  <si>
    <t>MACHINERY MAINTENANCE</t>
  </si>
  <si>
    <t>200-45300-611</t>
  </si>
  <si>
    <t>200-45400-611</t>
  </si>
  <si>
    <t>200-45800-611</t>
  </si>
  <si>
    <t>200-48900-611</t>
  </si>
  <si>
    <t>200-49100-611</t>
  </si>
  <si>
    <t>200-49400-611</t>
  </si>
  <si>
    <t>200-55000-611</t>
  </si>
  <si>
    <t>200-57000-611</t>
  </si>
  <si>
    <t>200-57100-611</t>
  </si>
  <si>
    <t>HEAVY EQUIPMENT</t>
  </si>
  <si>
    <t>200-57600-611</t>
  </si>
  <si>
    <t>TOTAL R&amp;B, PRECINCT 1</t>
  </si>
  <si>
    <t>ROAD AND BRIDGE, PRECINCT 2</t>
  </si>
  <si>
    <t>200-10100-612</t>
  </si>
  <si>
    <t>200-10200-612</t>
  </si>
  <si>
    <t>200-10800-612</t>
  </si>
  <si>
    <t>200-11200-612</t>
  </si>
  <si>
    <t>200-15100-612</t>
  </si>
  <si>
    <t>200-15200-612</t>
  </si>
  <si>
    <t>200-20100-612</t>
  </si>
  <si>
    <t>200-20200-612</t>
  </si>
  <si>
    <t>200-20300-612</t>
  </si>
  <si>
    <t>200-20400-612</t>
  </si>
  <si>
    <t>200-20500-612</t>
  </si>
  <si>
    <t>200-20600-612</t>
  </si>
  <si>
    <t>200-20700-612</t>
  </si>
  <si>
    <t>200-20900-612</t>
  </si>
  <si>
    <t>200-22500-612</t>
  </si>
  <si>
    <t>200-31000-612</t>
  </si>
  <si>
    <t>200-33000-612</t>
  </si>
  <si>
    <t>200-33600-612</t>
  </si>
  <si>
    <t>200-33800-612</t>
  </si>
  <si>
    <t>200-33900-612</t>
  </si>
  <si>
    <t>200-34000-612</t>
  </si>
  <si>
    <t>200-34100-612</t>
  </si>
  <si>
    <t>200-34200-612</t>
  </si>
  <si>
    <t>200-34300-612</t>
  </si>
  <si>
    <t>200-35000-612</t>
  </si>
  <si>
    <t>200-39100-612</t>
  </si>
  <si>
    <t>200-41900-612</t>
  </si>
  <si>
    <t>200-42000-612</t>
  </si>
  <si>
    <t>200-42600-612</t>
  </si>
  <si>
    <t>200-42700-612</t>
  </si>
  <si>
    <t>200-43000-612</t>
  </si>
  <si>
    <t>200-44000-612</t>
  </si>
  <si>
    <t>200-44300-612</t>
  </si>
  <si>
    <t>200-45000-612</t>
  </si>
  <si>
    <t>200-45100-612</t>
  </si>
  <si>
    <t>200-45300-612</t>
  </si>
  <si>
    <t>200-45400-612</t>
  </si>
  <si>
    <t>200-45800-612</t>
  </si>
  <si>
    <t>200-48900-612</t>
  </si>
  <si>
    <t>200-49100-612</t>
  </si>
  <si>
    <t>200-49400-612</t>
  </si>
  <si>
    <t>200-55000-612</t>
  </si>
  <si>
    <t>200-57000-612</t>
  </si>
  <si>
    <t>200-57100-612</t>
  </si>
  <si>
    <t>200-57200-612</t>
  </si>
  <si>
    <t>200-57400-612</t>
  </si>
  <si>
    <t>200-57600-612</t>
  </si>
  <si>
    <t>TOTAL R&amp;B, PRECINCT 2</t>
  </si>
  <si>
    <t>ROAD &amp; BRIDGE, PRECINCT 3</t>
  </si>
  <si>
    <t>200-10100-613</t>
  </si>
  <si>
    <t>200-10200-613</t>
  </si>
  <si>
    <t>200-10800-613</t>
  </si>
  <si>
    <t>200-11200-613</t>
  </si>
  <si>
    <t>200-15100-613</t>
  </si>
  <si>
    <t>OT- STRAIGHT TIME</t>
  </si>
  <si>
    <t>200-20100-613</t>
  </si>
  <si>
    <t>200-20200-613</t>
  </si>
  <si>
    <t>200-20300-613</t>
  </si>
  <si>
    <t>200-20400-613</t>
  </si>
  <si>
    <t>200-20500-613</t>
  </si>
  <si>
    <t>200-20600-613</t>
  </si>
  <si>
    <t>200-20700-613</t>
  </si>
  <si>
    <t>200-20900-613</t>
  </si>
  <si>
    <t>200-22500-613</t>
  </si>
  <si>
    <t>200-31000-613</t>
  </si>
  <si>
    <t>200-33000-613</t>
  </si>
  <si>
    <t>200-33600-613</t>
  </si>
  <si>
    <t>200-33800-613</t>
  </si>
  <si>
    <t>200-33900-613</t>
  </si>
  <si>
    <t>200-34000-613</t>
  </si>
  <si>
    <t>200-34100-613</t>
  </si>
  <si>
    <t>200-34200-613</t>
  </si>
  <si>
    <t>200-34300-613</t>
  </si>
  <si>
    <t>200-35000-613</t>
  </si>
  <si>
    <t>200-39100-613</t>
  </si>
  <si>
    <t>200-40500-613</t>
  </si>
  <si>
    <t>200-41600-613</t>
  </si>
  <si>
    <t>200-42000-613</t>
  </si>
  <si>
    <t>200-42700-613</t>
  </si>
  <si>
    <t>200-44000-613</t>
  </si>
  <si>
    <t>200-44200-613</t>
  </si>
  <si>
    <t>200-44300-613</t>
  </si>
  <si>
    <t>200-45000-613</t>
  </si>
  <si>
    <t>200-45100-613</t>
  </si>
  <si>
    <t>200-45300-613</t>
  </si>
  <si>
    <t>200-45400-613</t>
  </si>
  <si>
    <t>200-45800-613</t>
  </si>
  <si>
    <t>200-48900-613</t>
  </si>
  <si>
    <t>200-49100-613</t>
  </si>
  <si>
    <t>200-55000-613</t>
  </si>
  <si>
    <t>200-57000-613</t>
  </si>
  <si>
    <t>200-57100-613</t>
  </si>
  <si>
    <t>200-57400-613</t>
  </si>
  <si>
    <t>200-57600-613</t>
  </si>
  <si>
    <t>TOTAL R&amp;B, PRECINCT 3</t>
  </si>
  <si>
    <t>ROAD AND BRIDGE, PRECINCT 4</t>
  </si>
  <si>
    <t>200-10100-614</t>
  </si>
  <si>
    <t>200-10200-614</t>
  </si>
  <si>
    <t>200-10800-614</t>
  </si>
  <si>
    <t>200-11200-614</t>
  </si>
  <si>
    <t>200-15100-614</t>
  </si>
  <si>
    <t>200-15200-614</t>
  </si>
  <si>
    <t>200-20100-614</t>
  </si>
  <si>
    <t>200-20200-614</t>
  </si>
  <si>
    <t>200-20300-614</t>
  </si>
  <si>
    <t>200-20400-614</t>
  </si>
  <si>
    <t>200-20500-614</t>
  </si>
  <si>
    <t>200-20600-614</t>
  </si>
  <si>
    <t>200-20700-614</t>
  </si>
  <si>
    <t>200-20900-614</t>
  </si>
  <si>
    <t>200-22500-614</t>
  </si>
  <si>
    <t>200-31000-614</t>
  </si>
  <si>
    <t>200-31100-614</t>
  </si>
  <si>
    <t>200-33000-614</t>
  </si>
  <si>
    <t>200-33600-614</t>
  </si>
  <si>
    <t>200-33800-614</t>
  </si>
  <si>
    <t>200-33900-614</t>
  </si>
  <si>
    <t>200-34000-614</t>
  </si>
  <si>
    <t>200-34100-614</t>
  </si>
  <si>
    <t>200-34200-614</t>
  </si>
  <si>
    <t>200-34300-614</t>
  </si>
  <si>
    <t>200-35000-614</t>
  </si>
  <si>
    <t>200-39100-614</t>
  </si>
  <si>
    <t>200-40500-614</t>
  </si>
  <si>
    <t>200-41600-614</t>
  </si>
  <si>
    <t>200-42000-614</t>
  </si>
  <si>
    <t>200-42700-614</t>
  </si>
  <si>
    <t>200-44000-614</t>
  </si>
  <si>
    <t>200-44100-614</t>
  </si>
  <si>
    <t>200-44200-614</t>
  </si>
  <si>
    <t>200-44300-614</t>
  </si>
  <si>
    <t>200-45000-614</t>
  </si>
  <si>
    <t>200-45100-614</t>
  </si>
  <si>
    <t>200-45300-614</t>
  </si>
  <si>
    <t>200-45400-614</t>
  </si>
  <si>
    <t>200-45600-614</t>
  </si>
  <si>
    <t>200-45800-614</t>
  </si>
  <si>
    <t>200-45900-614</t>
  </si>
  <si>
    <t>200-48900-614</t>
  </si>
  <si>
    <t>200-49100-614</t>
  </si>
  <si>
    <t>200-55000-614</t>
  </si>
  <si>
    <t>200-57000-614</t>
  </si>
  <si>
    <t>200-57100-614</t>
  </si>
  <si>
    <t>200-57400-614</t>
  </si>
  <si>
    <t>R&amp;B, PRECINCT 4</t>
  </si>
  <si>
    <t>PRECINCT 1, LATERAL ROAD</t>
  </si>
  <si>
    <t>200-33800-621</t>
  </si>
  <si>
    <t>PRECINCT 2, LATERAL ROAD</t>
  </si>
  <si>
    <t>200-33800-622</t>
  </si>
  <si>
    <t>PRECINCT 3, LATERAL ROAD</t>
  </si>
  <si>
    <t>200-33800-623</t>
  </si>
  <si>
    <t>PRECINCT 4, LATERAL ROAD</t>
  </si>
  <si>
    <t>200-33800-624</t>
  </si>
  <si>
    <t>WASTE MANAGEMENT</t>
  </si>
  <si>
    <t>200-10800-641</t>
  </si>
  <si>
    <t>200-20100-641</t>
  </si>
  <si>
    <t>200-20300-641</t>
  </si>
  <si>
    <t>200-20400-641</t>
  </si>
  <si>
    <t>200-20500-641</t>
  </si>
  <si>
    <t>200-20600-641</t>
  </si>
  <si>
    <t>200-31000-641</t>
  </si>
  <si>
    <t>200-41600-641</t>
  </si>
  <si>
    <t>200-42000-641</t>
  </si>
  <si>
    <t>200-44000-641</t>
  </si>
  <si>
    <t>200-46000-641</t>
  </si>
  <si>
    <t>200-49100-641</t>
  </si>
  <si>
    <t>TOTAL WASTE MANAGEMENT</t>
  </si>
  <si>
    <t>TOTAL R&amp;B FUND EXPENSES</t>
  </si>
  <si>
    <t>FUND 230 -</t>
  </si>
  <si>
    <t>CLINT W MUCHISON LIBRARY</t>
  </si>
  <si>
    <t>230-00000-349</t>
  </si>
  <si>
    <t>LIBRARY FEES</t>
  </si>
  <si>
    <t>230-10000-365</t>
  </si>
  <si>
    <t>CONTRIBUTIONS</t>
  </si>
  <si>
    <t>230-90000-381</t>
  </si>
  <si>
    <t>230-00000-390</t>
  </si>
  <si>
    <t>TOTAL LIBRARY FUND REVENUES</t>
  </si>
  <si>
    <t>230-31000-650</t>
  </si>
  <si>
    <t>230-31200-650</t>
  </si>
  <si>
    <t>AUDIO/VISUAL SUPPLIES</t>
  </si>
  <si>
    <t>230-31400-650</t>
  </si>
  <si>
    <t>230-34600-650</t>
  </si>
  <si>
    <t>230-35000-650</t>
  </si>
  <si>
    <t>230-37200-650</t>
  </si>
  <si>
    <t>230-39100-650</t>
  </si>
  <si>
    <t>230-42700-650</t>
  </si>
  <si>
    <t>230-42800-650</t>
  </si>
  <si>
    <t>230-45900-650</t>
  </si>
  <si>
    <t>230-49300-650</t>
  </si>
  <si>
    <t>TOTAL LIBRARY FUND EXPENSES</t>
  </si>
  <si>
    <t xml:space="preserve">FUND 240 - </t>
  </si>
  <si>
    <t>COUNTY ATTORNEY HOT CHECK FUND</t>
  </si>
  <si>
    <t>240-30000-340</t>
  </si>
  <si>
    <t>240-90000-381</t>
  </si>
  <si>
    <t>240-00000-390</t>
  </si>
  <si>
    <t>TRANSFERS IN/OUT</t>
  </si>
  <si>
    <t>TOTAL CA HOT CK REVENUES</t>
  </si>
  <si>
    <t>240-10200-475</t>
  </si>
  <si>
    <t>240-20100-475</t>
  </si>
  <si>
    <t>240-20300-475</t>
  </si>
  <si>
    <t>240-20500-475</t>
  </si>
  <si>
    <t>240-20600-475</t>
  </si>
  <si>
    <t>240-31000-475</t>
  </si>
  <si>
    <t>240-39100-475</t>
  </si>
  <si>
    <t>240-41900-475</t>
  </si>
  <si>
    <t>240-42700-475</t>
  </si>
  <si>
    <t>240-42800-475</t>
  </si>
  <si>
    <t>240-70100-475</t>
  </si>
  <si>
    <t>TOTAL CA HOT CK EXPENSES</t>
  </si>
  <si>
    <t>FUND 243 -</t>
  </si>
  <si>
    <t>COUNTY ATTORNEY PRETRIAL INTERVENTION</t>
  </si>
  <si>
    <t>243-32500-340</t>
  </si>
  <si>
    <t>PRE-TRIAL DIVERSION FEE</t>
  </si>
  <si>
    <t>243-00000-390</t>
  </si>
  <si>
    <t>TOTAL CA PTI REVENUES</t>
  </si>
  <si>
    <t>243-10200-475</t>
  </si>
  <si>
    <t>243-20100-475</t>
  </si>
  <si>
    <t>243-20300-475</t>
  </si>
  <si>
    <t>243-20500-475</t>
  </si>
  <si>
    <t>243-31000-475</t>
  </si>
  <si>
    <t>243-39100-475</t>
  </si>
  <si>
    <t>243-42700-475</t>
  </si>
  <si>
    <t>243-42800-475</t>
  </si>
  <si>
    <t>TOTAL CA PTI EXPENSES</t>
  </si>
  <si>
    <t xml:space="preserve">FUND 250 - </t>
  </si>
  <si>
    <t>JURY FUND</t>
  </si>
  <si>
    <t>250-47000-330</t>
  </si>
  <si>
    <t>JUROR REIMBURSEMENT</t>
  </si>
  <si>
    <t>250-10000-360</t>
  </si>
  <si>
    <t>250-90000-381</t>
  </si>
  <si>
    <t>250-00000-390</t>
  </si>
  <si>
    <t>TOTAL JURY FUND REVENUES</t>
  </si>
  <si>
    <t>250-48500-410</t>
  </si>
  <si>
    <t>JUROR COMPENSATION</t>
  </si>
  <si>
    <t>250-31000-430</t>
  </si>
  <si>
    <t>250-48500-430</t>
  </si>
  <si>
    <t>250-48800-430</t>
  </si>
  <si>
    <t>TOTAL JURY FUND EXPENSES</t>
  </si>
  <si>
    <t>FUND 260 -</t>
  </si>
  <si>
    <t>DA SEIZURE FUND</t>
  </si>
  <si>
    <t>260-60000-350</t>
  </si>
  <si>
    <t>SEIZURES &amp; FORFEITURES</t>
  </si>
  <si>
    <t>260-10000-360</t>
  </si>
  <si>
    <t>TOTAL DA SEIZURE FUND REVENUES</t>
  </si>
  <si>
    <t>260-10200-485</t>
  </si>
  <si>
    <t>260-20100-485</t>
  </si>
  <si>
    <t>260-20300-485</t>
  </si>
  <si>
    <t>260-20500-485</t>
  </si>
  <si>
    <t>260-20600-485</t>
  </si>
  <si>
    <t>260-31000-485</t>
  </si>
  <si>
    <t>260-31100-485</t>
  </si>
  <si>
    <t>260-33600-485</t>
  </si>
  <si>
    <t>260-33700-485</t>
  </si>
  <si>
    <t>260-35000-485</t>
  </si>
  <si>
    <t>260-37200-485</t>
  </si>
  <si>
    <t>260-39100-485</t>
  </si>
  <si>
    <t>260-41000-485</t>
  </si>
  <si>
    <t>260-41600-485</t>
  </si>
  <si>
    <t>260-41900-485</t>
  </si>
  <si>
    <t>260-42600-485</t>
  </si>
  <si>
    <t>260-42700-485</t>
  </si>
  <si>
    <t>260-42800-485</t>
  </si>
  <si>
    <t>260-44400-485</t>
  </si>
  <si>
    <t>260-45400-485</t>
  </si>
  <si>
    <t>260-45900-485</t>
  </si>
  <si>
    <t>260-57000-485</t>
  </si>
  <si>
    <t>260-57600-485</t>
  </si>
  <si>
    <t>TOTAL DA SEIZURE FUND EXPENSES</t>
  </si>
  <si>
    <t>FUND 261 -</t>
  </si>
  <si>
    <t>SHERIFF SEIZURE FUND</t>
  </si>
  <si>
    <t>261-60000-350</t>
  </si>
  <si>
    <t>261-10000-360</t>
  </si>
  <si>
    <t>261-00000-390</t>
  </si>
  <si>
    <t>TOTAL SHER SEIZURE FUND REVENUE</t>
  </si>
  <si>
    <t>261-10200-560</t>
  </si>
  <si>
    <t>261-20100-560</t>
  </si>
  <si>
    <t>261-20300-560</t>
  </si>
  <si>
    <t>261-20500-560</t>
  </si>
  <si>
    <t>261-20600-560</t>
  </si>
  <si>
    <t>261-31000-560</t>
  </si>
  <si>
    <t>261-35000-560</t>
  </si>
  <si>
    <t>261-37200-560</t>
  </si>
  <si>
    <t>261-39100-560</t>
  </si>
  <si>
    <t>261-41600-560</t>
  </si>
  <si>
    <t>261-41900-560</t>
  </si>
  <si>
    <t>261-42000-560</t>
  </si>
  <si>
    <t>261-42700-560</t>
  </si>
  <si>
    <t>261-42800-560</t>
  </si>
  <si>
    <t>261-45400-560</t>
  </si>
  <si>
    <t>261-45800-560</t>
  </si>
  <si>
    <t>261-45900-560</t>
  </si>
  <si>
    <t>261-48700-560</t>
  </si>
  <si>
    <t>DRUG INVESTIGATIVE EXPENSES</t>
  </si>
  <si>
    <t>261-48900-560</t>
  </si>
  <si>
    <t>261-57600-560</t>
  </si>
  <si>
    <t>TOTAL SHER SEIZURE FUND EXPENSES</t>
  </si>
  <si>
    <t>FUND 263 -</t>
  </si>
  <si>
    <t>FEDERAL SEIZURE FUND</t>
  </si>
  <si>
    <t>263-60000-350</t>
  </si>
  <si>
    <t>TOTAL FED SEIZURE FUND REVENUE</t>
  </si>
  <si>
    <t>CONSTABLE 5 SEIZURE FUND</t>
  </si>
  <si>
    <t>263-39100-545</t>
  </si>
  <si>
    <t>FEDERAL SEIZURES - SHERIFF DEPT</t>
  </si>
  <si>
    <t>263-31400-560</t>
  </si>
  <si>
    <t>263-31500-560</t>
  </si>
  <si>
    <t>K9 SUPPLIES</t>
  </si>
  <si>
    <t>263-35000-560</t>
  </si>
  <si>
    <t>263-39100-560</t>
  </si>
  <si>
    <t>263-42700-560</t>
  </si>
  <si>
    <t>263-42800-560</t>
  </si>
  <si>
    <t>263-45000-560</t>
  </si>
  <si>
    <t>263-45400-560</t>
  </si>
  <si>
    <t>263-57000-560</t>
  </si>
  <si>
    <t>263-57600-560</t>
  </si>
  <si>
    <t>EQUIPMENT OVER $5000</t>
  </si>
  <si>
    <t>263-71000-560</t>
  </si>
  <si>
    <t>K9 MEDICAL SERVICES</t>
  </si>
  <si>
    <t>TOTAL FED SEIZURE FUND EXPENSES</t>
  </si>
  <si>
    <t xml:space="preserve">FUND 270 - </t>
  </si>
  <si>
    <t>BAIL BOND BOARD</t>
  </si>
  <si>
    <t>270-70000-364</t>
  </si>
  <si>
    <t>FILING/APP/AGENT FEES</t>
  </si>
  <si>
    <t>TOTAL BBB FUND REVENUES</t>
  </si>
  <si>
    <t>270-31000-559</t>
  </si>
  <si>
    <t>270-39100-559</t>
  </si>
  <si>
    <t>270-41900-559</t>
  </si>
  <si>
    <t>270-42700-559</t>
  </si>
  <si>
    <t>TOTAL BBB FUND EXPENSES</t>
  </si>
  <si>
    <t xml:space="preserve">FUND 280 - </t>
  </si>
  <si>
    <t>LAW LIBRARY</t>
  </si>
  <si>
    <t>280-30000-341</t>
  </si>
  <si>
    <t>LAW LIBRARY FEES</t>
  </si>
  <si>
    <t>TOTAL LAW LIBRARY FUND REVENUES</t>
  </si>
  <si>
    <t>280-34600-653</t>
  </si>
  <si>
    <t>TOTAL LAW LIBRARY FUND EXPENSES</t>
  </si>
  <si>
    <t>FUND 290 -</t>
  </si>
  <si>
    <t>ANIMAL SHELTER</t>
  </si>
  <si>
    <t>290-60300-330</t>
  </si>
  <si>
    <t>ANIMAL SHELTER (SUPPORT)</t>
  </si>
  <si>
    <t>Athens Contribution</t>
  </si>
  <si>
    <t>Berryville Contribution</t>
  </si>
  <si>
    <t>Brownsboro Contribution</t>
  </si>
  <si>
    <t>Chandler Contribution</t>
  </si>
  <si>
    <t>Malakoff Contribution</t>
  </si>
  <si>
    <t>290-15000-349</t>
  </si>
  <si>
    <t>SHELTER FEES</t>
  </si>
  <si>
    <t>290-00000-390</t>
  </si>
  <si>
    <t>TRANSFERS IN</t>
  </si>
  <si>
    <t>TOTAL ANIMAL SHELTER REVENUES</t>
  </si>
  <si>
    <t>290-10200-595</t>
  </si>
  <si>
    <t>290-10800-595</t>
  </si>
  <si>
    <t>290-11200-595</t>
  </si>
  <si>
    <t>290-15100-595</t>
  </si>
  <si>
    <t>290-15200-595</t>
  </si>
  <si>
    <t>290-20100-595</t>
  </si>
  <si>
    <t>290-20200-595</t>
  </si>
  <si>
    <t>290-20300-595</t>
  </si>
  <si>
    <t>290-20400-595</t>
  </si>
  <si>
    <t>290-20500-595</t>
  </si>
  <si>
    <t>290-20600-595</t>
  </si>
  <si>
    <t>290-20700-595</t>
  </si>
  <si>
    <t>290-31000-595</t>
  </si>
  <si>
    <t>290-31100-595</t>
  </si>
  <si>
    <t>290-31400-595</t>
  </si>
  <si>
    <t>290-31500-595</t>
  </si>
  <si>
    <t>ANIMAL MEDICAL SUPPLIES</t>
  </si>
  <si>
    <t>290-33000-595</t>
  </si>
  <si>
    <t>290-33200-595</t>
  </si>
  <si>
    <t>290-33300-595</t>
  </si>
  <si>
    <t>290-34000-595</t>
  </si>
  <si>
    <t>290-34200-595</t>
  </si>
  <si>
    <t>290-35000-595</t>
  </si>
  <si>
    <t>290-37200-595</t>
  </si>
  <si>
    <t>290-39100-595</t>
  </si>
  <si>
    <t>290-40500-595</t>
  </si>
  <si>
    <t>EMPLOYMENT EXAMS</t>
  </si>
  <si>
    <t>290-41600-595</t>
  </si>
  <si>
    <t>290-42000-595</t>
  </si>
  <si>
    <t>290-42600-595</t>
  </si>
  <si>
    <t>290-42700-595</t>
  </si>
  <si>
    <t>290-42800-595</t>
  </si>
  <si>
    <t>290-44000-595</t>
  </si>
  <si>
    <t>290-44100-595</t>
  </si>
  <si>
    <t>290-45000-595</t>
  </si>
  <si>
    <t>290-45300-595</t>
  </si>
  <si>
    <t>290-45400-595</t>
  </si>
  <si>
    <t>290-45500-595</t>
  </si>
  <si>
    <t>290-45600-595</t>
  </si>
  <si>
    <t>290-45800-595</t>
  </si>
  <si>
    <t>290-49300-595</t>
  </si>
  <si>
    <t>290-71000-595</t>
  </si>
  <si>
    <t>ANIMAL MEDICAL SERVICES</t>
  </si>
  <si>
    <t>TOTAL ANIMAL SHELTER EXPENSES</t>
  </si>
  <si>
    <t>FUND 800 -</t>
  </si>
  <si>
    <t>FAIRPARK OPERATING</t>
  </si>
  <si>
    <t>800-10000-365</t>
  </si>
  <si>
    <t>800-12000-370</t>
  </si>
  <si>
    <t>COLISEUM RENTAL</t>
  </si>
  <si>
    <t>800-13000-370</t>
  </si>
  <si>
    <t>OUTDOOR ARENA RENTAL</t>
  </si>
  <si>
    <t>800-15500-370</t>
  </si>
  <si>
    <t>BARREL RACING FEES</t>
  </si>
  <si>
    <t>800-16000-370</t>
  </si>
  <si>
    <t>R.V. HOOK-UPS</t>
  </si>
  <si>
    <t>800-17000-370</t>
  </si>
  <si>
    <t>STALL RENTAL</t>
  </si>
  <si>
    <t>800-18000-370</t>
  </si>
  <si>
    <t>VENDOR RENTAL</t>
  </si>
  <si>
    <t>800-18500-370</t>
  </si>
  <si>
    <t>TRACTOR FEE</t>
  </si>
  <si>
    <t>800-19000-370</t>
  </si>
  <si>
    <t>HAY</t>
  </si>
  <si>
    <t>800-00000-380</t>
  </si>
  <si>
    <t>SHAVINGS</t>
  </si>
  <si>
    <t>800-90000-381</t>
  </si>
  <si>
    <t>800-00000-390</t>
  </si>
  <si>
    <t>TOTAL FP OPERATING FUND REVENUE</t>
  </si>
  <si>
    <t>800-10200-673</t>
  </si>
  <si>
    <t>800-10800-673</t>
  </si>
  <si>
    <t>800-11200-673</t>
  </si>
  <si>
    <t>800-15100-673</t>
  </si>
  <si>
    <t>OVERTIME - STRAIGHT TIME</t>
  </si>
  <si>
    <t>800-15200-673</t>
  </si>
  <si>
    <t>800-20100-673</t>
  </si>
  <si>
    <t>800-20200-673</t>
  </si>
  <si>
    <t>800-20300-673</t>
  </si>
  <si>
    <t>800-20400-673</t>
  </si>
  <si>
    <t>800-20500-673</t>
  </si>
  <si>
    <t>800-20600-673</t>
  </si>
  <si>
    <t>800-20700-673</t>
  </si>
  <si>
    <t>800-22500-673</t>
  </si>
  <si>
    <t>CAR ALLOWANCE</t>
  </si>
  <si>
    <t>800-31000-673</t>
  </si>
  <si>
    <t>800-31100-673</t>
  </si>
  <si>
    <t>800-33000-673</t>
  </si>
  <si>
    <t>800-33200-673</t>
  </si>
  <si>
    <t>800-34000-673</t>
  </si>
  <si>
    <t>800-34100-673</t>
  </si>
  <si>
    <t>800-35000-673</t>
  </si>
  <si>
    <t>800-39100-673</t>
  </si>
  <si>
    <t>800-39400-673</t>
  </si>
  <si>
    <t>800-39500-673</t>
  </si>
  <si>
    <t>SHOW EXPENSES</t>
  </si>
  <si>
    <t>800-41600-673</t>
  </si>
  <si>
    <t>800-41900-673</t>
  </si>
  <si>
    <t>800-42000-673</t>
  </si>
  <si>
    <t>800-42600-673</t>
  </si>
  <si>
    <t>800-43000-673</t>
  </si>
  <si>
    <t>800-44000-673</t>
  </si>
  <si>
    <t>800-44200-673</t>
  </si>
  <si>
    <t>800-45000-673</t>
  </si>
  <si>
    <t>800-45100-673</t>
  </si>
  <si>
    <t>800-45300-673</t>
  </si>
  <si>
    <t>800-45400-673</t>
  </si>
  <si>
    <t>800-46000-673</t>
  </si>
  <si>
    <t>800-49100-673</t>
  </si>
  <si>
    <t>800-49400-673</t>
  </si>
  <si>
    <t>TOTAL FP OPERATING EXPENSES</t>
  </si>
  <si>
    <t>FUND 810 -</t>
  </si>
  <si>
    <t>FAIRPARK GROWTH AND DEVELOPMENT</t>
  </si>
  <si>
    <t>810-30000-315</t>
  </si>
  <si>
    <t>HOTEL/ MOTEL TAX</t>
  </si>
  <si>
    <t>810-10000-365</t>
  </si>
  <si>
    <t>810-00000-390</t>
  </si>
  <si>
    <t>TOTAL FP GRW&amp;DEV FUND REVENUES</t>
  </si>
  <si>
    <t>810-35000-673</t>
  </si>
  <si>
    <t>810-39100-673</t>
  </si>
  <si>
    <t>810-39500-673</t>
  </si>
  <si>
    <t>SHOW EXPENSE</t>
  </si>
  <si>
    <t>810-43000-673</t>
  </si>
  <si>
    <t>810-45000-673</t>
  </si>
  <si>
    <t>810-49500-673</t>
  </si>
  <si>
    <t>DEPRECIATION EXPENSE</t>
  </si>
  <si>
    <t>810-55000-673</t>
  </si>
  <si>
    <t>810-57100-673</t>
  </si>
  <si>
    <t>810-65000-673</t>
  </si>
  <si>
    <t>INTEREST</t>
  </si>
  <si>
    <t>810-68200-673</t>
  </si>
  <si>
    <t>OTHER EXPENSES</t>
  </si>
  <si>
    <t>810-81500-673</t>
  </si>
  <si>
    <t>TOTAL FP GRW&amp;DEV FUND EXPENSES</t>
  </si>
  <si>
    <t>FUND 820 -</t>
  </si>
  <si>
    <t>FAIRPARK CONCESSIONS</t>
  </si>
  <si>
    <t>820-15000-370</t>
  </si>
  <si>
    <t>CONCESSIONS/RENTAL</t>
  </si>
  <si>
    <t>820-00000-390</t>
  </si>
  <si>
    <t>TOTAL FP CONCESSION REVENUE</t>
  </si>
  <si>
    <t>820-10800-673</t>
  </si>
  <si>
    <t>820-20100-673</t>
  </si>
  <si>
    <t>820-20300-673</t>
  </si>
  <si>
    <t>820-20500-673</t>
  </si>
  <si>
    <t>820-20600-673</t>
  </si>
  <si>
    <t>820-31000-673</t>
  </si>
  <si>
    <t>820-33300-673</t>
  </si>
  <si>
    <t>820-35000-673</t>
  </si>
  <si>
    <t>820-39100-673</t>
  </si>
  <si>
    <t>820-41600-673</t>
  </si>
  <si>
    <t>820-43600-673</t>
  </si>
  <si>
    <t>SALES TAX</t>
  </si>
  <si>
    <t>820-57600-673</t>
  </si>
  <si>
    <t>TOTAL FP CONCESSION EXPENSES</t>
  </si>
  <si>
    <t>GRAND TOTAL REVENUES</t>
  </si>
  <si>
    <t>GRAND TOTAL EXPENSES</t>
  </si>
  <si>
    <t>DIFF</t>
  </si>
  <si>
    <t>TX Parks and Wildlife:  Would like the County to purchase a "FLIR Thermosight Pro"  (Night Scope) $3,795+shipping.</t>
  </si>
  <si>
    <t>Regional Prosecutor out of Lubbock, TX for Capital Murders; DA Capital Cases is Dept 486</t>
  </si>
  <si>
    <t>DA:</t>
  </si>
  <si>
    <t>Change Mark Hall's county salary to $9,000; reduce state supplement to $0 effective 9/1/2019.</t>
  </si>
  <si>
    <t>M Hall requested increase in the salaries of Balde and Josh Rickman.  Spoke to M Hall after proposed was filed and he requested $89,993 and 51,742. for salaries.</t>
  </si>
  <si>
    <t>Judge McKee - 392nd - Request salary increase for court coordinators to $45,000</t>
  </si>
  <si>
    <t>HR - Haile requested funds for a Xerox Copier (suggestion was made for treasurer's copier to go to HR),  More funds in conference and education,  business and travel, more office supplies &amp; postage, needs a scanner</t>
  </si>
  <si>
    <t>JP1 - Judge Daniels requested conference and education increase to $2,700</t>
  </si>
  <si>
    <t>JP5 - Brownlow requested 1750.00 in conf and ed.  Request PT to scan files (discussion if Rcds Mgmt Funds could be used for scanning)</t>
  </si>
  <si>
    <t xml:space="preserve">FM - Shane requested $100 more in tires.  $2,000 less in professional services.  </t>
  </si>
  <si>
    <t>Animal Shelter:  Needs new/additional 5x10 or 8x10 dog pens.  Need additional part-time employees.</t>
  </si>
  <si>
    <t>Note:  Mention to an expense line for animal responsibility education to be added.</t>
  </si>
  <si>
    <t>Ann Marie mentioned adding another full-time person to help with the overtime and over work of the employees.</t>
  </si>
  <si>
    <t>Physicals and Drug Test for new employees:  The sheriff says we can get the pre-employment exams done at the jail for $15 vs $150 HR has found at the hospital/clinic.</t>
  </si>
  <si>
    <t>Potential employees will have to go to jail Mon-Wed to leave urine sample and then return on Friday for physical.</t>
  </si>
  <si>
    <t>Library - Michele requested increase in PT employees hourly pay from $9.50 to $10.00 (.50 increase x 5,096 hrs = $2,548)</t>
  </si>
  <si>
    <t xml:space="preserve">                 Add $200 increase in ostage for Thank You notes for postage.  Add $500 to Conference and Ed for Michele and Renata.</t>
  </si>
  <si>
    <t xml:space="preserve">                The overall library budget will not be increase but $119 because $4,129 longevity will not be needed for Erin and Rachel in 2020.</t>
  </si>
  <si>
    <t>Fairgrounds - Jim Bob and Bob Miers request county to transfer/contribute $75,000 instead of the $25,000 in the past.  Capital budget $230,000</t>
  </si>
  <si>
    <t>CO Ext. - Spencer requested Angela and Ariel salaries to be the same</t>
  </si>
  <si>
    <t>Election - Denise requested a scanner at $50,000 for recalls.  Need raises for employees because of turnover.</t>
  </si>
  <si>
    <t>NON-PROFITS:</t>
  </si>
  <si>
    <t xml:space="preserve">Humane Society of Cedar Creek - Partnered with ASPCA to transfer 720 animals on average.  Remodel tech room, Dr Syler does on-site spay and neuters. </t>
  </si>
  <si>
    <t xml:space="preserve">    Remodel to hold 27-32 dogs to go out to other programs.  </t>
  </si>
  <si>
    <t xml:space="preserve">    Animal intake for 2019 Jan-May Most from Kaufman and GunBarrel.  335 from Henderson County.   </t>
  </si>
  <si>
    <t xml:space="preserve">    Receives 50% from Kaufman Co.  </t>
  </si>
  <si>
    <t xml:space="preserve">    Capacity to take on Henderson County once Kaufman Co builds their shelter.  </t>
  </si>
  <si>
    <t xml:space="preserve">    Expenses are driven by a director salary.  Also have volunteers.  10 on staff.  $48,000 in labor.  Medical Costs $42,000.  </t>
  </si>
  <si>
    <t xml:space="preserve">    Asking Henderson County to cover the 8% of expenses for the number of animals taken in.  $31,125.00 </t>
  </si>
  <si>
    <t>CASA thanked court for support.  Court discussed adding .50 per vehicle registration to go to CASA program.</t>
  </si>
  <si>
    <t>Lila Lane supports men who need help after prison or drugs to get back job and family.  Would like support, no amount requested.</t>
  </si>
  <si>
    <t>East Tx Council On Alcoholism and Drug Abuse -  No dollar amount requested.  Kevin will ask for a Dollar funding per request of Judge.  Ken asked if there will be any plans for an office in Athens.  Kevin said they are asking for $1,000.  Other Counties support at $2,000.   Kevin said as of Aug 2018 the program is abolished in Henderson County.  Botie said he would like to look at it next year to see if it is reinstated in Henderson COunty.</t>
  </si>
  <si>
    <t>Kings Rein - See email from Wade.  Equine ranch for mental needs in County.  No dollar amount requested.</t>
  </si>
  <si>
    <t>ITEMS TO DISCUSS DURING BUDGET WORKSHOPS:</t>
  </si>
  <si>
    <t>*TX Parks and Wildlife:  Would like the County to purchase a "FLIR Thermosight Pro"  (Night Scope) $3,795+shipping.</t>
  </si>
  <si>
    <t>*Regional Prosecutor out of Lubbock, TX for Capital Murders; DA Capital Cases is Dept 486</t>
  </si>
  <si>
    <t>*Discuss cell phones</t>
  </si>
  <si>
    <t>Veterans Services office:  Make Veteran Dept Part-time position.   3 Days a week/about 24 hours a week.</t>
  </si>
  <si>
    <t xml:space="preserve">Indigent Health:  Will stay in County Judges office.  </t>
  </si>
  <si>
    <t>Public Relations Employee:  Discussion to add a public relations employee to the Co Judge's office to post county Info to FB or media.  Other option is to hire someone outside of the county to do this for us like Michael Hannigan at $24,000 a year.  Josh recommended YouTube videos linked to H.C. Website.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</si>
</sst>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4" x14ac:knownFonts="1">
    <font>
      <sz val="11"/>
      <color rgb="FF000000"/>
      <name val="Calibri"/>
    </font>
    <font>
      <sz val="11"/>
      <color rgb="FF000000"/>
      <name val="Arial"/>
    </font>
    <font>
      <b/>
      <sz val="11"/>
      <color theme="1"/>
      <name val="Calibri"/>
    </font>
    <font>
      <b/>
      <sz val="11"/>
      <color rgb="FF000000"/>
      <name val="Arial"/>
    </font>
    <font>
      <sz val="11"/>
      <color theme="1"/>
      <name val="Calibri"/>
    </font>
    <font>
      <b/>
      <sz val="12"/>
      <color rgb="FF000000"/>
      <name val="Arial"/>
    </font>
    <font>
      <sz val="11"/>
      <color theme="1"/>
      <name val="Arial"/>
    </font>
    <font>
      <b/>
      <sz val="11"/>
      <color theme="1"/>
      <name val="Calibri"/>
    </font>
    <font>
      <b/>
      <sz val="14"/>
      <color rgb="FF000000"/>
      <name val="Arial"/>
    </font>
    <font>
      <b/>
      <sz val="11"/>
      <color rgb="FFFF0000"/>
      <name val="Arial"/>
    </font>
    <font>
      <sz val="8"/>
      <color rgb="FF000000"/>
      <name val="Arial"/>
    </font>
    <font>
      <b/>
      <sz val="10"/>
      <color rgb="FF000000"/>
      <name val="Arial"/>
    </font>
    <font>
      <sz val="12"/>
      <color rgb="FF000000"/>
      <name val="Arial"/>
    </font>
    <font>
      <sz val="11"/>
      <color theme="1"/>
      <name val="Calibri"/>
    </font>
  </fonts>
  <fills count="15">
    <fill>
      <patternFill patternType="none"/>
    </fill>
    <fill>
      <patternFill patternType="gray125"/>
    </fill>
    <fill>
      <patternFill patternType="solid">
        <fgColor rgb="FFF9CB9C"/>
        <bgColor rgb="FFF9CB9C"/>
      </patternFill>
    </fill>
    <fill>
      <patternFill patternType="solid">
        <fgColor rgb="FFFFFF00"/>
        <bgColor rgb="FFFFFF00"/>
      </patternFill>
    </fill>
    <fill>
      <patternFill patternType="solid">
        <fgColor rgb="FFD9EAD3"/>
        <bgColor rgb="FFD9EAD3"/>
      </patternFill>
    </fill>
    <fill>
      <patternFill patternType="solid">
        <fgColor rgb="FFB6D7A8"/>
        <bgColor rgb="FFB6D7A8"/>
      </patternFill>
    </fill>
    <fill>
      <patternFill patternType="solid">
        <fgColor rgb="FFCFE2F3"/>
        <bgColor rgb="FFCFE2F3"/>
      </patternFill>
    </fill>
    <fill>
      <patternFill patternType="solid">
        <fgColor rgb="FFA4C2F4"/>
        <bgColor rgb="FFA4C2F4"/>
      </patternFill>
    </fill>
    <fill>
      <patternFill patternType="solid">
        <fgColor rgb="FF6D9EEB"/>
        <bgColor rgb="FF6D9EEB"/>
      </patternFill>
    </fill>
    <fill>
      <patternFill patternType="solid">
        <fgColor rgb="FFFFF2CC"/>
        <bgColor rgb="FFFFF2CC"/>
      </patternFill>
    </fill>
    <fill>
      <patternFill patternType="solid">
        <fgColor rgb="FFE4DFEC"/>
        <bgColor rgb="FFE4DFEC"/>
      </patternFill>
    </fill>
    <fill>
      <patternFill patternType="solid">
        <fgColor rgb="FFEAD1DC"/>
        <bgColor rgb="FFEAD1DC"/>
      </patternFill>
    </fill>
    <fill>
      <patternFill patternType="solid">
        <fgColor rgb="FFFFFFFF"/>
        <bgColor rgb="FFFFFFFF"/>
      </patternFill>
    </fill>
    <fill>
      <patternFill patternType="solid">
        <fgColor rgb="FFF3F3F3"/>
        <bgColor rgb="FFF3F3F3"/>
      </patternFill>
    </fill>
    <fill>
      <patternFill patternType="solid">
        <fgColor rgb="FFFF0000"/>
        <bgColor rgb="FFFF0000"/>
      </patternFill>
    </fill>
  </fills>
  <borders count="8">
    <border>
      <left/>
      <right/>
      <top/>
      <bottom/>
      <diagonal/>
    </border>
    <border>
      <left/>
      <right/>
      <top style="thin">
        <color rgb="FF000000"/>
      </top>
      <bottom style="thin">
        <color rgb="FF000000"/>
      </bottom>
      <diagonal/>
    </border>
    <border>
      <left/>
      <right/>
      <top/>
      <bottom style="double">
        <color rgb="FF000000"/>
      </bottom>
      <diagonal/>
    </border>
    <border>
      <left/>
      <right/>
      <top style="thin">
        <color rgb="FF000000"/>
      </top>
      <bottom style="double">
        <color rgb="FF000000"/>
      </bottom>
      <diagonal/>
    </border>
    <border>
      <left/>
      <right/>
      <top style="thin">
        <color rgb="FF000000"/>
      </top>
      <bottom/>
      <diagonal/>
    </border>
    <border>
      <left/>
      <right/>
      <top style="thin">
        <color rgb="FF000000"/>
      </top>
      <bottom style="medium">
        <color rgb="FF000000"/>
      </bottom>
      <diagonal/>
    </border>
    <border>
      <left/>
      <right/>
      <top style="hair">
        <color rgb="FF000000"/>
      </top>
      <bottom style="double">
        <color rgb="FF000000"/>
      </bottom>
      <diagonal/>
    </border>
    <border>
      <left/>
      <right/>
      <top/>
      <bottom style="thin">
        <color rgb="FF000000"/>
      </bottom>
      <diagonal/>
    </border>
  </borders>
  <cellStyleXfs count="1">
    <xf numFmtId="0" fontId="0" fillId="0" borderId="0"/>
  </cellStyleXfs>
  <cellXfs count="312">
    <xf numFmtId="0" fontId="0" fillId="0" borderId="0" xfId="0" applyFont="1" applyAlignment="1"/>
    <xf numFmtId="0" fontId="1" fillId="0" borderId="0" xfId="0" applyFont="1"/>
    <xf numFmtId="4" fontId="1" fillId="0" borderId="0" xfId="0" applyNumberFormat="1" applyFont="1" applyAlignment="1"/>
    <xf numFmtId="4" fontId="2" fillId="0" borderId="0" xfId="0" applyNumberFormat="1" applyFont="1"/>
    <xf numFmtId="0" fontId="3" fillId="4" borderId="0" xfId="0" applyFont="1" applyFill="1" applyAlignment="1">
      <alignment horizontal="center"/>
    </xf>
    <xf numFmtId="0" fontId="3" fillId="5" borderId="0" xfId="0" applyFont="1" applyFill="1" applyAlignment="1">
      <alignment horizontal="center"/>
    </xf>
    <xf numFmtId="0" fontId="3" fillId="6" borderId="0" xfId="0" applyFont="1" applyFill="1" applyAlignment="1">
      <alignment horizontal="center"/>
    </xf>
    <xf numFmtId="0" fontId="3" fillId="7" borderId="0" xfId="0" applyFont="1" applyFill="1" applyAlignment="1">
      <alignment horizontal="center"/>
    </xf>
    <xf numFmtId="0" fontId="3" fillId="8" borderId="0" xfId="0" applyFont="1" applyFill="1" applyAlignment="1">
      <alignment horizontal="center"/>
    </xf>
    <xf numFmtId="0" fontId="3" fillId="9" borderId="0" xfId="0" applyFont="1" applyFill="1" applyAlignment="1">
      <alignment horizontal="center"/>
    </xf>
    <xf numFmtId="0" fontId="3" fillId="0" borderId="0" xfId="0" applyFont="1" applyAlignment="1">
      <alignment horizontal="center"/>
    </xf>
    <xf numFmtId="0" fontId="3" fillId="10" borderId="0" xfId="0" applyFont="1" applyFill="1" applyAlignment="1">
      <alignment horizontal="center"/>
    </xf>
    <xf numFmtId="0" fontId="3" fillId="11" borderId="0" xfId="0" applyFont="1" applyFill="1" applyAlignment="1">
      <alignment horizontal="center"/>
    </xf>
    <xf numFmtId="4" fontId="1" fillId="0" borderId="1" xfId="0" applyNumberFormat="1" applyFont="1" applyBorder="1" applyAlignment="1"/>
    <xf numFmtId="4" fontId="2" fillId="0" borderId="1" xfId="0" applyNumberFormat="1" applyFont="1" applyBorder="1"/>
    <xf numFmtId="0" fontId="4" fillId="9" borderId="0" xfId="0" applyFont="1" applyFill="1"/>
    <xf numFmtId="0" fontId="4" fillId="9" borderId="0" xfId="0" applyFont="1" applyFill="1"/>
    <xf numFmtId="0" fontId="4" fillId="10" borderId="0" xfId="0" applyFont="1" applyFill="1"/>
    <xf numFmtId="0" fontId="4" fillId="11" borderId="0" xfId="0" applyFont="1" applyFill="1"/>
    <xf numFmtId="0" fontId="2" fillId="0" borderId="0" xfId="0" applyFont="1"/>
    <xf numFmtId="0" fontId="3" fillId="4" borderId="0" xfId="0" applyFont="1" applyFill="1" applyAlignment="1">
      <alignment horizontal="center"/>
    </xf>
    <xf numFmtId="0" fontId="3" fillId="6" borderId="0" xfId="0" applyFont="1" applyFill="1" applyAlignment="1">
      <alignment horizontal="center"/>
    </xf>
    <xf numFmtId="0" fontId="1" fillId="0" borderId="0" xfId="0" applyFont="1" applyAlignment="1"/>
    <xf numFmtId="0" fontId="3" fillId="0" borderId="0" xfId="0" applyFont="1" applyAlignment="1"/>
    <xf numFmtId="0" fontId="3" fillId="2" borderId="0" xfId="0" applyFont="1" applyFill="1" applyAlignment="1">
      <alignment horizontal="center"/>
    </xf>
    <xf numFmtId="0" fontId="3" fillId="4" borderId="0" xfId="0" applyFont="1" applyFill="1" applyAlignment="1">
      <alignment horizontal="center"/>
    </xf>
    <xf numFmtId="0" fontId="3" fillId="5" borderId="0" xfId="0" applyFont="1" applyFill="1" applyAlignment="1">
      <alignment horizontal="center"/>
    </xf>
    <xf numFmtId="0" fontId="3" fillId="6" borderId="0" xfId="0" applyFont="1" applyFill="1" applyAlignment="1">
      <alignment horizontal="center"/>
    </xf>
    <xf numFmtId="0" fontId="3" fillId="6" borderId="0" xfId="0" applyFont="1" applyFill="1" applyAlignment="1">
      <alignment horizontal="center"/>
    </xf>
    <xf numFmtId="0" fontId="3" fillId="7" borderId="0" xfId="0" applyFont="1" applyFill="1" applyAlignment="1">
      <alignment horizontal="center"/>
    </xf>
    <xf numFmtId="0" fontId="3" fillId="8" borderId="0" xfId="0" applyFont="1" applyFill="1" applyAlignment="1">
      <alignment horizontal="center"/>
    </xf>
    <xf numFmtId="0" fontId="3" fillId="9" borderId="0" xfId="0" applyFont="1" applyFill="1" applyAlignment="1">
      <alignment horizontal="center"/>
    </xf>
    <xf numFmtId="0" fontId="3" fillId="0" borderId="0" xfId="0" applyFont="1" applyAlignment="1">
      <alignment horizontal="center"/>
    </xf>
    <xf numFmtId="0" fontId="3" fillId="10" borderId="0" xfId="0" applyFont="1" applyFill="1" applyAlignment="1">
      <alignment horizontal="center"/>
    </xf>
    <xf numFmtId="0" fontId="3" fillId="11" borderId="0" xfId="0" applyFont="1" applyFill="1" applyAlignment="1">
      <alignment horizontal="center"/>
    </xf>
    <xf numFmtId="14" fontId="3" fillId="4" borderId="0" xfId="0" applyNumberFormat="1" applyFont="1" applyFill="1" applyAlignment="1">
      <alignment horizontal="center"/>
    </xf>
    <xf numFmtId="0" fontId="3" fillId="5" borderId="0" xfId="0" applyFont="1" applyFill="1" applyAlignment="1">
      <alignment horizontal="center"/>
    </xf>
    <xf numFmtId="14" fontId="3" fillId="6" borderId="0" xfId="0" applyNumberFormat="1" applyFont="1" applyFill="1" applyAlignment="1">
      <alignment horizontal="center"/>
    </xf>
    <xf numFmtId="2" fontId="3" fillId="6" borderId="0" xfId="0" applyNumberFormat="1" applyFont="1" applyFill="1" applyAlignment="1">
      <alignment horizontal="center"/>
    </xf>
    <xf numFmtId="0" fontId="1" fillId="10" borderId="0" xfId="0" applyFont="1" applyFill="1"/>
    <xf numFmtId="0" fontId="1" fillId="11" borderId="0" xfId="0" applyFont="1" applyFill="1"/>
    <xf numFmtId="0" fontId="5" fillId="0" borderId="0" xfId="0" applyFont="1"/>
    <xf numFmtId="4" fontId="1" fillId="2" borderId="0" xfId="0" applyNumberFormat="1" applyFont="1" applyFill="1" applyAlignment="1">
      <alignment horizontal="right"/>
    </xf>
    <xf numFmtId="4" fontId="1" fillId="4" borderId="0" xfId="0" applyNumberFormat="1" applyFont="1" applyFill="1" applyAlignment="1">
      <alignment horizontal="right"/>
    </xf>
    <xf numFmtId="4" fontId="1" fillId="4" borderId="0" xfId="0" applyNumberFormat="1" applyFont="1" applyFill="1" applyAlignment="1">
      <alignment horizontal="right"/>
    </xf>
    <xf numFmtId="4" fontId="1" fillId="5" borderId="0" xfId="0" applyNumberFormat="1" applyFont="1" applyFill="1" applyAlignment="1">
      <alignment horizontal="right"/>
    </xf>
    <xf numFmtId="4" fontId="1" fillId="6" borderId="0" xfId="0" applyNumberFormat="1" applyFont="1" applyFill="1" applyAlignment="1">
      <alignment horizontal="right"/>
    </xf>
    <xf numFmtId="9" fontId="1" fillId="6" borderId="0" xfId="0" applyNumberFormat="1" applyFont="1" applyFill="1" applyAlignment="1">
      <alignment horizontal="right"/>
    </xf>
    <xf numFmtId="4" fontId="1" fillId="7" borderId="0" xfId="0" applyNumberFormat="1" applyFont="1" applyFill="1" applyAlignment="1">
      <alignment horizontal="right"/>
    </xf>
    <xf numFmtId="4" fontId="1" fillId="8" borderId="0" xfId="0" applyNumberFormat="1" applyFont="1" applyFill="1" applyAlignment="1">
      <alignment horizontal="right"/>
    </xf>
    <xf numFmtId="4" fontId="1" fillId="9" borderId="0" xfId="0" applyNumberFormat="1" applyFont="1" applyFill="1" applyAlignment="1">
      <alignment horizontal="right"/>
    </xf>
    <xf numFmtId="4" fontId="1" fillId="0" borderId="0" xfId="0" applyNumberFormat="1" applyFont="1" applyAlignment="1">
      <alignment horizontal="right"/>
    </xf>
    <xf numFmtId="4" fontId="1" fillId="10" borderId="0" xfId="0" applyNumberFormat="1" applyFont="1" applyFill="1"/>
    <xf numFmtId="4" fontId="1" fillId="0" borderId="0" xfId="0" applyNumberFormat="1" applyFont="1"/>
    <xf numFmtId="4" fontId="1" fillId="11" borderId="0" xfId="0" applyNumberFormat="1" applyFont="1" applyFill="1"/>
    <xf numFmtId="0" fontId="1" fillId="0" borderId="0" xfId="0" applyFont="1" applyAlignment="1"/>
    <xf numFmtId="4" fontId="1" fillId="2" borderId="1" xfId="0" applyNumberFormat="1" applyFont="1" applyFill="1" applyBorder="1" applyAlignment="1">
      <alignment horizontal="right"/>
    </xf>
    <xf numFmtId="4" fontId="1" fillId="4" borderId="1" xfId="0" applyNumberFormat="1" applyFont="1" applyFill="1" applyBorder="1" applyAlignment="1">
      <alignment horizontal="right"/>
    </xf>
    <xf numFmtId="4" fontId="1" fillId="5" borderId="1" xfId="0" applyNumberFormat="1" applyFont="1" applyFill="1" applyBorder="1" applyAlignment="1">
      <alignment horizontal="right"/>
    </xf>
    <xf numFmtId="4" fontId="1" fillId="6" borderId="1" xfId="0" applyNumberFormat="1" applyFont="1" applyFill="1" applyBorder="1" applyAlignment="1">
      <alignment horizontal="right"/>
    </xf>
    <xf numFmtId="4" fontId="1" fillId="7" borderId="1" xfId="0" applyNumberFormat="1" applyFont="1" applyFill="1" applyBorder="1" applyAlignment="1">
      <alignment horizontal="right"/>
    </xf>
    <xf numFmtId="4" fontId="1" fillId="8" borderId="1" xfId="0" applyNumberFormat="1" applyFont="1" applyFill="1" applyBorder="1" applyAlignment="1">
      <alignment horizontal="right"/>
    </xf>
    <xf numFmtId="4" fontId="1" fillId="9" borderId="1" xfId="0" applyNumberFormat="1" applyFont="1" applyFill="1" applyBorder="1" applyAlignment="1">
      <alignment horizontal="right"/>
    </xf>
    <xf numFmtId="4" fontId="1" fillId="0" borderId="1" xfId="0" applyNumberFormat="1" applyFont="1" applyBorder="1" applyAlignment="1">
      <alignment horizontal="right"/>
    </xf>
    <xf numFmtId="4" fontId="1" fillId="10" borderId="1" xfId="0" applyNumberFormat="1" applyFont="1" applyFill="1" applyBorder="1" applyAlignment="1">
      <alignment horizontal="right"/>
    </xf>
    <xf numFmtId="4" fontId="1" fillId="11" borderId="1" xfId="0" applyNumberFormat="1" applyFont="1" applyFill="1" applyBorder="1" applyAlignment="1">
      <alignment horizontal="right"/>
    </xf>
    <xf numFmtId="4" fontId="1" fillId="6" borderId="0" xfId="0" applyNumberFormat="1" applyFont="1" applyFill="1" applyAlignment="1">
      <alignment horizontal="right"/>
    </xf>
    <xf numFmtId="4" fontId="1" fillId="4" borderId="0" xfId="0" applyNumberFormat="1" applyFont="1" applyFill="1"/>
    <xf numFmtId="4" fontId="1" fillId="6" borderId="0" xfId="0" applyNumberFormat="1" applyFont="1" applyFill="1" applyAlignment="1"/>
    <xf numFmtId="4" fontId="1" fillId="9" borderId="0" xfId="0" applyNumberFormat="1" applyFont="1" applyFill="1" applyAlignment="1">
      <alignment horizontal="right"/>
    </xf>
    <xf numFmtId="4" fontId="1" fillId="4" borderId="0" xfId="0" applyNumberFormat="1" applyFont="1" applyFill="1" applyAlignment="1"/>
    <xf numFmtId="4" fontId="1" fillId="5" borderId="0" xfId="0" applyNumberFormat="1" applyFont="1" applyFill="1" applyAlignment="1">
      <alignment horizontal="right"/>
    </xf>
    <xf numFmtId="4" fontId="1" fillId="2" borderId="0" xfId="0" applyNumberFormat="1" applyFont="1" applyFill="1"/>
    <xf numFmtId="4" fontId="1" fillId="5" borderId="0" xfId="0" applyNumberFormat="1" applyFont="1" applyFill="1"/>
    <xf numFmtId="4" fontId="1" fillId="6" borderId="0" xfId="0" applyNumberFormat="1" applyFont="1" applyFill="1"/>
    <xf numFmtId="4" fontId="1" fillId="7" borderId="0" xfId="0" applyNumberFormat="1" applyFont="1" applyFill="1"/>
    <xf numFmtId="4" fontId="1" fillId="8" borderId="0" xfId="0" applyNumberFormat="1" applyFont="1" applyFill="1"/>
    <xf numFmtId="4" fontId="1" fillId="9" borderId="0" xfId="0" applyNumberFormat="1" applyFont="1" applyFill="1"/>
    <xf numFmtId="0" fontId="1" fillId="12" borderId="0" xfId="0" applyFont="1" applyFill="1"/>
    <xf numFmtId="4" fontId="1" fillId="0" borderId="0" xfId="0" applyNumberFormat="1" applyFont="1" applyAlignment="1">
      <alignment horizontal="right"/>
    </xf>
    <xf numFmtId="4" fontId="1" fillId="10" borderId="0" xfId="0" applyNumberFormat="1" applyFont="1" applyFill="1" applyAlignment="1"/>
    <xf numFmtId="4" fontId="1" fillId="7" borderId="0" xfId="0" applyNumberFormat="1" applyFont="1" applyFill="1" applyAlignment="1">
      <alignment horizontal="right"/>
    </xf>
    <xf numFmtId="4" fontId="1" fillId="8" borderId="0" xfId="0" applyNumberFormat="1" applyFont="1" applyFill="1" applyAlignment="1">
      <alignment horizontal="right"/>
    </xf>
    <xf numFmtId="4" fontId="1" fillId="9" borderId="0" xfId="0" applyNumberFormat="1" applyFont="1" applyFill="1" applyAlignment="1"/>
    <xf numFmtId="4" fontId="1" fillId="11" borderId="0" xfId="0" applyNumberFormat="1" applyFont="1" applyFill="1" applyAlignment="1"/>
    <xf numFmtId="4" fontId="1" fillId="2" borderId="0" xfId="0" applyNumberFormat="1" applyFont="1" applyFill="1" applyAlignment="1"/>
    <xf numFmtId="4" fontId="1" fillId="5" borderId="0" xfId="0" applyNumberFormat="1" applyFont="1" applyFill="1" applyAlignment="1"/>
    <xf numFmtId="4" fontId="6" fillId="4" borderId="0" xfId="0" applyNumberFormat="1" applyFont="1" applyFill="1" applyAlignment="1"/>
    <xf numFmtId="4" fontId="1" fillId="2" borderId="1" xfId="0" applyNumberFormat="1" applyFont="1" applyFill="1" applyBorder="1"/>
    <xf numFmtId="4" fontId="1" fillId="4" borderId="1" xfId="0" applyNumberFormat="1" applyFont="1" applyFill="1" applyBorder="1"/>
    <xf numFmtId="4" fontId="1" fillId="5" borderId="1" xfId="0" applyNumberFormat="1" applyFont="1" applyFill="1" applyBorder="1"/>
    <xf numFmtId="4" fontId="1" fillId="6" borderId="1" xfId="0" applyNumberFormat="1" applyFont="1" applyFill="1" applyBorder="1"/>
    <xf numFmtId="4" fontId="1" fillId="7" borderId="1" xfId="0" applyNumberFormat="1" applyFont="1" applyFill="1" applyBorder="1"/>
    <xf numFmtId="4" fontId="1" fillId="8" borderId="1" xfId="0" applyNumberFormat="1" applyFont="1" applyFill="1" applyBorder="1"/>
    <xf numFmtId="4" fontId="1" fillId="9" borderId="1" xfId="0" applyNumberFormat="1" applyFont="1" applyFill="1" applyBorder="1"/>
    <xf numFmtId="4" fontId="1" fillId="0" borderId="1" xfId="0" applyNumberFormat="1" applyFont="1" applyBorder="1"/>
    <xf numFmtId="4" fontId="1" fillId="10" borderId="1" xfId="0" applyNumberFormat="1" applyFont="1" applyFill="1" applyBorder="1"/>
    <xf numFmtId="4" fontId="1" fillId="11" borderId="1" xfId="0" applyNumberFormat="1" applyFont="1" applyFill="1" applyBorder="1"/>
    <xf numFmtId="0" fontId="3" fillId="12" borderId="0" xfId="0" applyFont="1" applyFill="1"/>
    <xf numFmtId="4" fontId="3" fillId="2" borderId="2" xfId="0" applyNumberFormat="1" applyFont="1" applyFill="1" applyBorder="1" applyAlignment="1">
      <alignment horizontal="right"/>
    </xf>
    <xf numFmtId="4" fontId="3" fillId="4" borderId="2" xfId="0" applyNumberFormat="1" applyFont="1" applyFill="1" applyBorder="1" applyAlignment="1">
      <alignment horizontal="right"/>
    </xf>
    <xf numFmtId="4" fontId="1" fillId="4" borderId="2" xfId="0" applyNumberFormat="1" applyFont="1" applyFill="1" applyBorder="1" applyAlignment="1">
      <alignment horizontal="right"/>
    </xf>
    <xf numFmtId="4" fontId="3" fillId="5" borderId="2" xfId="0" applyNumberFormat="1" applyFont="1" applyFill="1" applyBorder="1" applyAlignment="1">
      <alignment horizontal="right"/>
    </xf>
    <xf numFmtId="4" fontId="3" fillId="6" borderId="2" xfId="0" applyNumberFormat="1" applyFont="1" applyFill="1" applyBorder="1" applyAlignment="1">
      <alignment horizontal="right"/>
    </xf>
    <xf numFmtId="4" fontId="3" fillId="7" borderId="2" xfId="0" applyNumberFormat="1" applyFont="1" applyFill="1" applyBorder="1" applyAlignment="1">
      <alignment horizontal="right"/>
    </xf>
    <xf numFmtId="4" fontId="3" fillId="8" borderId="2" xfId="0" applyNumberFormat="1" applyFont="1" applyFill="1" applyBorder="1" applyAlignment="1">
      <alignment horizontal="right"/>
    </xf>
    <xf numFmtId="4" fontId="3" fillId="9" borderId="2" xfId="0" applyNumberFormat="1" applyFont="1" applyFill="1" applyBorder="1" applyAlignment="1">
      <alignment horizontal="right"/>
    </xf>
    <xf numFmtId="4" fontId="3" fillId="12" borderId="2" xfId="0" applyNumberFormat="1" applyFont="1" applyFill="1" applyBorder="1" applyAlignment="1">
      <alignment horizontal="right"/>
    </xf>
    <xf numFmtId="4" fontId="3" fillId="10" borderId="2" xfId="0" applyNumberFormat="1" applyFont="1" applyFill="1" applyBorder="1" applyAlignment="1">
      <alignment horizontal="right"/>
    </xf>
    <xf numFmtId="4" fontId="3" fillId="11" borderId="2" xfId="0" applyNumberFormat="1" applyFont="1" applyFill="1" applyBorder="1" applyAlignment="1">
      <alignment horizontal="right"/>
    </xf>
    <xf numFmtId="0" fontId="4" fillId="2" borderId="0" xfId="0" applyFont="1" applyFill="1"/>
    <xf numFmtId="0" fontId="4" fillId="3" borderId="0" xfId="0" applyFont="1" applyFill="1"/>
    <xf numFmtId="4" fontId="4" fillId="5" borderId="0" xfId="0" applyNumberFormat="1" applyFont="1" applyFill="1"/>
    <xf numFmtId="0" fontId="4" fillId="5" borderId="0" xfId="0" applyFont="1" applyFill="1"/>
    <xf numFmtId="0" fontId="5" fillId="0" borderId="0" xfId="0" applyFont="1" applyAlignment="1"/>
    <xf numFmtId="0" fontId="1" fillId="6" borderId="0" xfId="0" applyFont="1" applyFill="1" applyAlignment="1">
      <alignment horizontal="right"/>
    </xf>
    <xf numFmtId="0" fontId="3" fillId="0" borderId="0" xfId="0" applyFont="1"/>
    <xf numFmtId="4" fontId="3" fillId="2" borderId="3" xfId="0" applyNumberFormat="1" applyFont="1" applyFill="1" applyBorder="1" applyAlignment="1">
      <alignment horizontal="right"/>
    </xf>
    <xf numFmtId="4" fontId="3" fillId="4" borderId="3" xfId="0" applyNumberFormat="1" applyFont="1" applyFill="1" applyBorder="1" applyAlignment="1">
      <alignment horizontal="right"/>
    </xf>
    <xf numFmtId="4" fontId="3" fillId="5" borderId="3" xfId="0" applyNumberFormat="1" applyFont="1" applyFill="1" applyBorder="1" applyAlignment="1">
      <alignment horizontal="right"/>
    </xf>
    <xf numFmtId="4" fontId="3" fillId="6" borderId="3" xfId="0" applyNumberFormat="1" applyFont="1" applyFill="1" applyBorder="1" applyAlignment="1">
      <alignment horizontal="right"/>
    </xf>
    <xf numFmtId="4" fontId="3" fillId="7" borderId="3" xfId="0" applyNumberFormat="1" applyFont="1" applyFill="1" applyBorder="1" applyAlignment="1">
      <alignment horizontal="right"/>
    </xf>
    <xf numFmtId="4" fontId="3" fillId="8" borderId="3" xfId="0" applyNumberFormat="1" applyFont="1" applyFill="1" applyBorder="1" applyAlignment="1">
      <alignment horizontal="right"/>
    </xf>
    <xf numFmtId="4" fontId="3" fillId="9" borderId="3" xfId="0" applyNumberFormat="1" applyFont="1" applyFill="1" applyBorder="1" applyAlignment="1">
      <alignment horizontal="right"/>
    </xf>
    <xf numFmtId="4" fontId="3" fillId="0" borderId="3" xfId="0" applyNumberFormat="1" applyFont="1" applyBorder="1" applyAlignment="1">
      <alignment horizontal="right"/>
    </xf>
    <xf numFmtId="4" fontId="3" fillId="10" borderId="3" xfId="0" applyNumberFormat="1" applyFont="1" applyFill="1" applyBorder="1" applyAlignment="1">
      <alignment horizontal="right"/>
    </xf>
    <xf numFmtId="4" fontId="3" fillId="11" borderId="3" xfId="0" applyNumberFormat="1" applyFont="1" applyFill="1" applyBorder="1" applyAlignment="1">
      <alignment horizontal="right"/>
    </xf>
    <xf numFmtId="0" fontId="1" fillId="12" borderId="0" xfId="0" applyFont="1" applyFill="1" applyAlignment="1"/>
    <xf numFmtId="4" fontId="3" fillId="4" borderId="0" xfId="0" applyNumberFormat="1" applyFont="1" applyFill="1" applyAlignment="1">
      <alignment horizontal="right"/>
    </xf>
    <xf numFmtId="4" fontId="3" fillId="6" borderId="0" xfId="0" applyNumberFormat="1" applyFont="1" applyFill="1" applyAlignment="1">
      <alignment horizontal="right"/>
    </xf>
    <xf numFmtId="4" fontId="3" fillId="4" borderId="0" xfId="0" applyNumberFormat="1" applyFont="1" applyFill="1" applyAlignment="1">
      <alignment horizontal="right"/>
    </xf>
    <xf numFmtId="4" fontId="3" fillId="6" borderId="0" xfId="0" applyNumberFormat="1" applyFont="1" applyFill="1" applyAlignment="1">
      <alignment horizontal="right"/>
    </xf>
    <xf numFmtId="0" fontId="3" fillId="0" borderId="0" xfId="0" applyFont="1" applyAlignment="1"/>
    <xf numFmtId="4" fontId="3" fillId="2" borderId="1" xfId="0" applyNumberFormat="1" applyFont="1" applyFill="1" applyBorder="1" applyAlignment="1">
      <alignment horizontal="right"/>
    </xf>
    <xf numFmtId="4" fontId="3" fillId="4" borderId="1" xfId="0" applyNumberFormat="1" applyFont="1" applyFill="1" applyBorder="1" applyAlignment="1">
      <alignment horizontal="right"/>
    </xf>
    <xf numFmtId="4" fontId="3" fillId="5" borderId="1" xfId="0" applyNumberFormat="1" applyFont="1" applyFill="1" applyBorder="1" applyAlignment="1">
      <alignment horizontal="right"/>
    </xf>
    <xf numFmtId="4" fontId="3" fillId="6" borderId="1" xfId="0" applyNumberFormat="1" applyFont="1" applyFill="1" applyBorder="1" applyAlignment="1">
      <alignment horizontal="right"/>
    </xf>
    <xf numFmtId="4" fontId="3" fillId="7" borderId="1" xfId="0" applyNumberFormat="1" applyFont="1" applyFill="1" applyBorder="1" applyAlignment="1">
      <alignment horizontal="right"/>
    </xf>
    <xf numFmtId="4" fontId="3" fillId="8" borderId="1" xfId="0" applyNumberFormat="1" applyFont="1" applyFill="1" applyBorder="1" applyAlignment="1">
      <alignment horizontal="right"/>
    </xf>
    <xf numFmtId="4" fontId="3" fillId="9" borderId="1" xfId="0" applyNumberFormat="1" applyFont="1" applyFill="1" applyBorder="1" applyAlignment="1">
      <alignment horizontal="right"/>
    </xf>
    <xf numFmtId="4" fontId="3" fillId="0" borderId="1" xfId="0" applyNumberFormat="1" applyFont="1" applyBorder="1" applyAlignment="1">
      <alignment horizontal="right"/>
    </xf>
    <xf numFmtId="4" fontId="3" fillId="10" borderId="1" xfId="0" applyNumberFormat="1" applyFont="1" applyFill="1" applyBorder="1" applyAlignment="1">
      <alignment horizontal="right"/>
    </xf>
    <xf numFmtId="4" fontId="3" fillId="11" borderId="1" xfId="0" applyNumberFormat="1" applyFont="1" applyFill="1" applyBorder="1" applyAlignment="1">
      <alignment horizontal="right"/>
    </xf>
    <xf numFmtId="4" fontId="3" fillId="2" borderId="0" xfId="0" applyNumberFormat="1" applyFont="1" applyFill="1" applyAlignment="1">
      <alignment horizontal="right"/>
    </xf>
    <xf numFmtId="4" fontId="3" fillId="5" borderId="0" xfId="0" applyNumberFormat="1" applyFont="1" applyFill="1" applyAlignment="1">
      <alignment horizontal="right"/>
    </xf>
    <xf numFmtId="4" fontId="3" fillId="7" borderId="0" xfId="0" applyNumberFormat="1" applyFont="1" applyFill="1" applyAlignment="1">
      <alignment horizontal="right"/>
    </xf>
    <xf numFmtId="4" fontId="3" fillId="8" borderId="0" xfId="0" applyNumberFormat="1" applyFont="1" applyFill="1" applyAlignment="1">
      <alignment horizontal="right"/>
    </xf>
    <xf numFmtId="4" fontId="3" fillId="9" borderId="0" xfId="0" applyNumberFormat="1" applyFont="1" applyFill="1" applyAlignment="1">
      <alignment horizontal="right"/>
    </xf>
    <xf numFmtId="4" fontId="3" fillId="0" borderId="0" xfId="0" applyNumberFormat="1" applyFont="1" applyAlignment="1">
      <alignment horizontal="right"/>
    </xf>
    <xf numFmtId="4" fontId="3" fillId="10" borderId="0" xfId="0" applyNumberFormat="1" applyFont="1" applyFill="1" applyAlignment="1">
      <alignment horizontal="right"/>
    </xf>
    <xf numFmtId="4" fontId="3" fillId="11" borderId="0" xfId="0" applyNumberFormat="1" applyFont="1" applyFill="1" applyAlignment="1">
      <alignment horizontal="right"/>
    </xf>
    <xf numFmtId="4" fontId="1" fillId="10" borderId="0" xfId="0" applyNumberFormat="1" applyFont="1" applyFill="1" applyAlignment="1">
      <alignment horizontal="right"/>
    </xf>
    <xf numFmtId="4" fontId="1" fillId="11" borderId="0" xfId="0" applyNumberFormat="1" applyFont="1" applyFill="1" applyAlignment="1">
      <alignment horizontal="right"/>
    </xf>
    <xf numFmtId="4" fontId="3" fillId="2" borderId="2" xfId="0" applyNumberFormat="1" applyFont="1" applyFill="1" applyBorder="1"/>
    <xf numFmtId="4" fontId="3" fillId="4" borderId="2" xfId="0" applyNumberFormat="1" applyFont="1" applyFill="1" applyBorder="1"/>
    <xf numFmtId="4" fontId="3" fillId="5" borderId="2" xfId="0" applyNumberFormat="1" applyFont="1" applyFill="1" applyBorder="1"/>
    <xf numFmtId="4" fontId="3" fillId="6" borderId="2" xfId="0" applyNumberFormat="1" applyFont="1" applyFill="1" applyBorder="1"/>
    <xf numFmtId="4" fontId="3" fillId="7" borderId="2" xfId="0" applyNumberFormat="1" applyFont="1" applyFill="1" applyBorder="1"/>
    <xf numFmtId="4" fontId="3" fillId="8" borderId="2" xfId="0" applyNumberFormat="1" applyFont="1" applyFill="1" applyBorder="1"/>
    <xf numFmtId="4" fontId="3" fillId="9" borderId="2" xfId="0" applyNumberFormat="1" applyFont="1" applyFill="1" applyBorder="1"/>
    <xf numFmtId="4" fontId="3" fillId="0" borderId="2" xfId="0" applyNumberFormat="1" applyFont="1" applyBorder="1"/>
    <xf numFmtId="4" fontId="3" fillId="10" borderId="2" xfId="0" applyNumberFormat="1" applyFont="1" applyFill="1" applyBorder="1"/>
    <xf numFmtId="4" fontId="3" fillId="11" borderId="2" xfId="0" applyNumberFormat="1" applyFont="1" applyFill="1" applyBorder="1"/>
    <xf numFmtId="4" fontId="3" fillId="2" borderId="0" xfId="0" applyNumberFormat="1" applyFont="1" applyFill="1"/>
    <xf numFmtId="4" fontId="3" fillId="4" borderId="0" xfId="0" applyNumberFormat="1" applyFont="1" applyFill="1"/>
    <xf numFmtId="4" fontId="3" fillId="5" borderId="0" xfId="0" applyNumberFormat="1" applyFont="1" applyFill="1"/>
    <xf numFmtId="4" fontId="3" fillId="6" borderId="0" xfId="0" applyNumberFormat="1" applyFont="1" applyFill="1"/>
    <xf numFmtId="4" fontId="3" fillId="7" borderId="0" xfId="0" applyNumberFormat="1" applyFont="1" applyFill="1"/>
    <xf numFmtId="4" fontId="3" fillId="8" borderId="0" xfId="0" applyNumberFormat="1" applyFont="1" applyFill="1"/>
    <xf numFmtId="4" fontId="3" fillId="9" borderId="0" xfId="0" applyNumberFormat="1" applyFont="1" applyFill="1"/>
    <xf numFmtId="4" fontId="3" fillId="0" borderId="0" xfId="0" applyNumberFormat="1" applyFont="1"/>
    <xf numFmtId="4" fontId="3" fillId="10" borderId="0" xfId="0" applyNumberFormat="1" applyFont="1" applyFill="1"/>
    <xf numFmtId="4" fontId="3" fillId="11" borderId="0" xfId="0" applyNumberFormat="1" applyFont="1" applyFill="1"/>
    <xf numFmtId="4" fontId="1" fillId="4" borderId="3" xfId="0" applyNumberFormat="1" applyFont="1" applyFill="1" applyBorder="1" applyAlignment="1">
      <alignment horizontal="right"/>
    </xf>
    <xf numFmtId="4" fontId="1" fillId="5" borderId="3" xfId="0" applyNumberFormat="1" applyFont="1" applyFill="1" applyBorder="1" applyAlignment="1">
      <alignment horizontal="right"/>
    </xf>
    <xf numFmtId="4" fontId="1" fillId="6" borderId="3" xfId="0" applyNumberFormat="1" applyFont="1" applyFill="1" applyBorder="1" applyAlignment="1">
      <alignment horizontal="right"/>
    </xf>
    <xf numFmtId="4" fontId="1" fillId="7" borderId="3" xfId="0" applyNumberFormat="1" applyFont="1" applyFill="1" applyBorder="1" applyAlignment="1">
      <alignment horizontal="right"/>
    </xf>
    <xf numFmtId="4" fontId="1" fillId="8" borderId="3" xfId="0" applyNumberFormat="1" applyFont="1" applyFill="1" applyBorder="1" applyAlignment="1">
      <alignment horizontal="right"/>
    </xf>
    <xf numFmtId="4" fontId="1" fillId="9" borderId="3" xfId="0" applyNumberFormat="1" applyFont="1" applyFill="1" applyBorder="1" applyAlignment="1">
      <alignment horizontal="right"/>
    </xf>
    <xf numFmtId="4" fontId="1" fillId="0" borderId="3" xfId="0" applyNumberFormat="1" applyFont="1" applyBorder="1" applyAlignment="1">
      <alignment horizontal="right"/>
    </xf>
    <xf numFmtId="4" fontId="1" fillId="10" borderId="3" xfId="0" applyNumberFormat="1" applyFont="1" applyFill="1" applyBorder="1" applyAlignment="1">
      <alignment horizontal="right"/>
    </xf>
    <xf numFmtId="4" fontId="1" fillId="11" borderId="3" xfId="0" applyNumberFormat="1" applyFont="1" applyFill="1" applyBorder="1" applyAlignment="1">
      <alignment horizontal="right"/>
    </xf>
    <xf numFmtId="164" fontId="1" fillId="5" borderId="0" xfId="0" applyNumberFormat="1" applyFont="1" applyFill="1" applyAlignment="1">
      <alignment horizontal="right"/>
    </xf>
    <xf numFmtId="9" fontId="1" fillId="6" borderId="0" xfId="0" applyNumberFormat="1" applyFont="1" applyFill="1"/>
    <xf numFmtId="4" fontId="1" fillId="2" borderId="3" xfId="0" applyNumberFormat="1" applyFont="1" applyFill="1" applyBorder="1"/>
    <xf numFmtId="4" fontId="1" fillId="4" borderId="3" xfId="0" applyNumberFormat="1" applyFont="1" applyFill="1" applyBorder="1"/>
    <xf numFmtId="4" fontId="1" fillId="5" borderId="3" xfId="0" applyNumberFormat="1" applyFont="1" applyFill="1" applyBorder="1"/>
    <xf numFmtId="4" fontId="1" fillId="6" borderId="3" xfId="0" applyNumberFormat="1" applyFont="1" applyFill="1" applyBorder="1"/>
    <xf numFmtId="4" fontId="1" fillId="7" borderId="3" xfId="0" applyNumberFormat="1" applyFont="1" applyFill="1" applyBorder="1"/>
    <xf numFmtId="4" fontId="1" fillId="8" borderId="3" xfId="0" applyNumberFormat="1" applyFont="1" applyFill="1" applyBorder="1"/>
    <xf numFmtId="4" fontId="1" fillId="9" borderId="3" xfId="0" applyNumberFormat="1" applyFont="1" applyFill="1" applyBorder="1"/>
    <xf numFmtId="4" fontId="1" fillId="0" borderId="3" xfId="0" applyNumberFormat="1" applyFont="1" applyBorder="1"/>
    <xf numFmtId="4" fontId="1" fillId="10" borderId="3" xfId="0" applyNumberFormat="1" applyFont="1" applyFill="1" applyBorder="1"/>
    <xf numFmtId="4" fontId="1" fillId="11" borderId="3" xfId="0" applyNumberFormat="1" applyFont="1" applyFill="1" applyBorder="1"/>
    <xf numFmtId="4" fontId="1" fillId="2" borderId="2" xfId="0" applyNumberFormat="1" applyFont="1" applyFill="1" applyBorder="1" applyAlignment="1">
      <alignment horizontal="right"/>
    </xf>
    <xf numFmtId="4" fontId="1" fillId="5" borderId="2" xfId="0" applyNumberFormat="1" applyFont="1" applyFill="1" applyBorder="1" applyAlignment="1">
      <alignment horizontal="right"/>
    </xf>
    <xf numFmtId="4" fontId="1" fillId="6" borderId="2" xfId="0" applyNumberFormat="1" applyFont="1" applyFill="1" applyBorder="1" applyAlignment="1">
      <alignment horizontal="right"/>
    </xf>
    <xf numFmtId="4" fontId="1" fillId="7" borderId="2" xfId="0" applyNumberFormat="1" applyFont="1" applyFill="1" applyBorder="1" applyAlignment="1">
      <alignment horizontal="right"/>
    </xf>
    <xf numFmtId="4" fontId="1" fillId="8" borderId="2" xfId="0" applyNumberFormat="1" applyFont="1" applyFill="1" applyBorder="1" applyAlignment="1">
      <alignment horizontal="right"/>
    </xf>
    <xf numFmtId="4" fontId="1" fillId="9" borderId="2" xfId="0" applyNumberFormat="1" applyFont="1" applyFill="1" applyBorder="1" applyAlignment="1">
      <alignment horizontal="right"/>
    </xf>
    <xf numFmtId="4" fontId="1" fillId="0" borderId="2" xfId="0" applyNumberFormat="1" applyFont="1" applyBorder="1" applyAlignment="1">
      <alignment horizontal="right"/>
    </xf>
    <xf numFmtId="4" fontId="1" fillId="10" borderId="2" xfId="0" applyNumberFormat="1" applyFont="1" applyFill="1" applyBorder="1" applyAlignment="1">
      <alignment horizontal="right"/>
    </xf>
    <xf numFmtId="4" fontId="1" fillId="11" borderId="2" xfId="0" applyNumberFormat="1" applyFont="1" applyFill="1" applyBorder="1" applyAlignment="1">
      <alignment horizontal="right"/>
    </xf>
    <xf numFmtId="4" fontId="1" fillId="2" borderId="4" xfId="0" applyNumberFormat="1" applyFont="1" applyFill="1" applyBorder="1"/>
    <xf numFmtId="4" fontId="1" fillId="4" borderId="4" xfId="0" applyNumberFormat="1" applyFont="1" applyFill="1" applyBorder="1"/>
    <xf numFmtId="4" fontId="1" fillId="5" borderId="4" xfId="0" applyNumberFormat="1" applyFont="1" applyFill="1" applyBorder="1"/>
    <xf numFmtId="0" fontId="7" fillId="0" borderId="0" xfId="0" applyFont="1" applyAlignment="1"/>
    <xf numFmtId="4" fontId="1" fillId="2" borderId="4" xfId="0" applyNumberFormat="1" applyFont="1" applyFill="1" applyBorder="1" applyAlignment="1">
      <alignment horizontal="right"/>
    </xf>
    <xf numFmtId="4" fontId="1" fillId="4" borderId="4" xfId="0" applyNumberFormat="1" applyFont="1" applyFill="1" applyBorder="1" applyAlignment="1">
      <alignment horizontal="right"/>
    </xf>
    <xf numFmtId="4" fontId="1" fillId="5" borderId="4" xfId="0" applyNumberFormat="1" applyFont="1" applyFill="1" applyBorder="1" applyAlignment="1">
      <alignment horizontal="right"/>
    </xf>
    <xf numFmtId="4" fontId="1" fillId="6" borderId="4" xfId="0" applyNumberFormat="1" applyFont="1" applyFill="1" applyBorder="1" applyAlignment="1">
      <alignment horizontal="right"/>
    </xf>
    <xf numFmtId="4" fontId="1" fillId="7" borderId="4" xfId="0" applyNumberFormat="1" applyFont="1" applyFill="1" applyBorder="1" applyAlignment="1">
      <alignment horizontal="right"/>
    </xf>
    <xf numFmtId="4" fontId="1" fillId="8" borderId="4" xfId="0" applyNumberFormat="1" applyFont="1" applyFill="1" applyBorder="1" applyAlignment="1">
      <alignment horizontal="right"/>
    </xf>
    <xf numFmtId="4" fontId="1" fillId="9" borderId="4" xfId="0" applyNumberFormat="1" applyFont="1" applyFill="1" applyBorder="1" applyAlignment="1">
      <alignment horizontal="right"/>
    </xf>
    <xf numFmtId="4" fontId="1" fillId="0" borderId="4" xfId="0" applyNumberFormat="1" applyFont="1" applyBorder="1" applyAlignment="1">
      <alignment horizontal="right"/>
    </xf>
    <xf numFmtId="4" fontId="1" fillId="10" borderId="4" xfId="0" applyNumberFormat="1" applyFont="1" applyFill="1" applyBorder="1" applyAlignment="1">
      <alignment horizontal="right"/>
    </xf>
    <xf numFmtId="4" fontId="1" fillId="11" borderId="4" xfId="0" applyNumberFormat="1" applyFont="1" applyFill="1" applyBorder="1" applyAlignment="1">
      <alignment horizontal="right"/>
    </xf>
    <xf numFmtId="4" fontId="1" fillId="4" borderId="3" xfId="0" applyNumberFormat="1" applyFont="1" applyFill="1" applyBorder="1" applyAlignment="1"/>
    <xf numFmtId="4" fontId="1" fillId="5" borderId="1" xfId="0" applyNumberFormat="1" applyFont="1" applyFill="1" applyBorder="1" applyAlignment="1">
      <alignment horizontal="right"/>
    </xf>
    <xf numFmtId="4" fontId="3" fillId="2" borderId="3" xfId="0" applyNumberFormat="1" applyFont="1" applyFill="1" applyBorder="1"/>
    <xf numFmtId="4" fontId="3" fillId="4" borderId="3" xfId="0" applyNumberFormat="1" applyFont="1" applyFill="1" applyBorder="1"/>
    <xf numFmtId="4" fontId="3" fillId="5" borderId="3" xfId="0" applyNumberFormat="1" applyFont="1" applyFill="1" applyBorder="1"/>
    <xf numFmtId="4" fontId="3" fillId="6" borderId="3" xfId="0" applyNumberFormat="1" applyFont="1" applyFill="1" applyBorder="1"/>
    <xf numFmtId="4" fontId="3" fillId="7" borderId="3" xfId="0" applyNumberFormat="1" applyFont="1" applyFill="1" applyBorder="1"/>
    <xf numFmtId="4" fontId="3" fillId="8" borderId="3" xfId="0" applyNumberFormat="1" applyFont="1" applyFill="1" applyBorder="1"/>
    <xf numFmtId="4" fontId="3" fillId="9" borderId="3" xfId="0" applyNumberFormat="1" applyFont="1" applyFill="1" applyBorder="1"/>
    <xf numFmtId="4" fontId="3" fillId="0" borderId="3" xfId="0" applyNumberFormat="1" applyFont="1" applyBorder="1"/>
    <xf numFmtId="4" fontId="3" fillId="10" borderId="3" xfId="0" applyNumberFormat="1" applyFont="1" applyFill="1" applyBorder="1"/>
    <xf numFmtId="4" fontId="3" fillId="11" borderId="3" xfId="0" applyNumberFormat="1" applyFont="1" applyFill="1" applyBorder="1"/>
    <xf numFmtId="4" fontId="1" fillId="2" borderId="5" xfId="0" applyNumberFormat="1" applyFont="1" applyFill="1" applyBorder="1"/>
    <xf numFmtId="4" fontId="1" fillId="4" borderId="5" xfId="0" applyNumberFormat="1" applyFont="1" applyFill="1" applyBorder="1"/>
    <xf numFmtId="4" fontId="1" fillId="5" borderId="5" xfId="0" applyNumberFormat="1" applyFont="1" applyFill="1" applyBorder="1"/>
    <xf numFmtId="4" fontId="1" fillId="6" borderId="5" xfId="0" applyNumberFormat="1" applyFont="1" applyFill="1" applyBorder="1"/>
    <xf numFmtId="4" fontId="1" fillId="7" borderId="5" xfId="0" applyNumberFormat="1" applyFont="1" applyFill="1" applyBorder="1"/>
    <xf numFmtId="4" fontId="1" fillId="8" borderId="5" xfId="0" applyNumberFormat="1" applyFont="1" applyFill="1" applyBorder="1"/>
    <xf numFmtId="4" fontId="1" fillId="9" borderId="5" xfId="0" applyNumberFormat="1" applyFont="1" applyFill="1" applyBorder="1"/>
    <xf numFmtId="4" fontId="1" fillId="0" borderId="5" xfId="0" applyNumberFormat="1" applyFont="1" applyBorder="1"/>
    <xf numFmtId="4" fontId="1" fillId="10" borderId="5" xfId="0" applyNumberFormat="1" applyFont="1" applyFill="1" applyBorder="1"/>
    <xf numFmtId="4" fontId="1" fillId="11" borderId="5" xfId="0" applyNumberFormat="1" applyFont="1" applyFill="1" applyBorder="1"/>
    <xf numFmtId="0" fontId="5" fillId="12" borderId="0" xfId="0" applyFont="1" applyFill="1" applyAlignment="1"/>
    <xf numFmtId="4" fontId="1" fillId="6" borderId="1" xfId="0" applyNumberFormat="1" applyFont="1" applyFill="1" applyBorder="1" applyAlignment="1"/>
    <xf numFmtId="4" fontId="1" fillId="9" borderId="1" xfId="0" applyNumberFormat="1" applyFont="1" applyFill="1" applyBorder="1" applyAlignment="1">
      <alignment horizontal="right"/>
    </xf>
    <xf numFmtId="4" fontId="1" fillId="4" borderId="1" xfId="0" applyNumberFormat="1" applyFont="1" applyFill="1" applyBorder="1" applyAlignment="1"/>
    <xf numFmtId="4" fontId="1" fillId="4" borderId="2" xfId="0" applyNumberFormat="1" applyFont="1" applyFill="1" applyBorder="1" applyAlignment="1"/>
    <xf numFmtId="4" fontId="1" fillId="5" borderId="2" xfId="0" applyNumberFormat="1" applyFont="1" applyFill="1" applyBorder="1" applyAlignment="1">
      <alignment horizontal="right"/>
    </xf>
    <xf numFmtId="4" fontId="1" fillId="6" borderId="2" xfId="0" applyNumberFormat="1" applyFont="1" applyFill="1" applyBorder="1" applyAlignment="1"/>
    <xf numFmtId="4" fontId="1" fillId="9" borderId="2" xfId="0" applyNumberFormat="1" applyFont="1" applyFill="1" applyBorder="1" applyAlignment="1">
      <alignment horizontal="right"/>
    </xf>
    <xf numFmtId="0" fontId="5" fillId="13" borderId="0" xfId="0" applyFont="1" applyFill="1" applyAlignment="1"/>
    <xf numFmtId="0" fontId="1" fillId="0" borderId="0" xfId="0" applyFont="1" applyAlignment="1"/>
    <xf numFmtId="0" fontId="1" fillId="0" borderId="0" xfId="0" applyFont="1" applyAlignment="1"/>
    <xf numFmtId="0" fontId="5" fillId="12" borderId="0" xfId="0" applyFont="1" applyFill="1"/>
    <xf numFmtId="9" fontId="1" fillId="6" borderId="4" xfId="0" applyNumberFormat="1" applyFont="1" applyFill="1" applyBorder="1" applyAlignment="1">
      <alignment horizontal="right"/>
    </xf>
    <xf numFmtId="4" fontId="5" fillId="2" borderId="3" xfId="0" applyNumberFormat="1" applyFont="1" applyFill="1" applyBorder="1" applyAlignment="1">
      <alignment horizontal="right"/>
    </xf>
    <xf numFmtId="4" fontId="5" fillId="4" borderId="3" xfId="0" applyNumberFormat="1" applyFont="1" applyFill="1" applyBorder="1" applyAlignment="1">
      <alignment horizontal="right"/>
    </xf>
    <xf numFmtId="4" fontId="5" fillId="5" borderId="3" xfId="0" applyNumberFormat="1" applyFont="1" applyFill="1" applyBorder="1" applyAlignment="1">
      <alignment horizontal="right"/>
    </xf>
    <xf numFmtId="4" fontId="5" fillId="6" borderId="3" xfId="0" applyNumberFormat="1" applyFont="1" applyFill="1" applyBorder="1" applyAlignment="1">
      <alignment horizontal="right"/>
    </xf>
    <xf numFmtId="4" fontId="5" fillId="7" borderId="3" xfId="0" applyNumberFormat="1" applyFont="1" applyFill="1" applyBorder="1" applyAlignment="1">
      <alignment horizontal="right"/>
    </xf>
    <xf numFmtId="4" fontId="5" fillId="8" borderId="3" xfId="0" applyNumberFormat="1" applyFont="1" applyFill="1" applyBorder="1" applyAlignment="1">
      <alignment horizontal="right"/>
    </xf>
    <xf numFmtId="4" fontId="5" fillId="9" borderId="3" xfId="0" applyNumberFormat="1" applyFont="1" applyFill="1" applyBorder="1" applyAlignment="1">
      <alignment horizontal="right"/>
    </xf>
    <xf numFmtId="4" fontId="5" fillId="12" borderId="3" xfId="0" applyNumberFormat="1" applyFont="1" applyFill="1" applyBorder="1" applyAlignment="1">
      <alignment horizontal="right"/>
    </xf>
    <xf numFmtId="4" fontId="5" fillId="10" borderId="3" xfId="0" applyNumberFormat="1" applyFont="1" applyFill="1" applyBorder="1" applyAlignment="1">
      <alignment horizontal="right"/>
    </xf>
    <xf numFmtId="4" fontId="5" fillId="11" borderId="3" xfId="0" applyNumberFormat="1" applyFont="1" applyFill="1" applyBorder="1" applyAlignment="1">
      <alignment horizontal="right"/>
    </xf>
    <xf numFmtId="0" fontId="8" fillId="0" borderId="0" xfId="0" applyFont="1"/>
    <xf numFmtId="4" fontId="1" fillId="12" borderId="3" xfId="0" applyNumberFormat="1" applyFont="1" applyFill="1" applyBorder="1" applyAlignment="1">
      <alignment horizontal="right"/>
    </xf>
    <xf numFmtId="4" fontId="5" fillId="0" borderId="3" xfId="0" applyNumberFormat="1" applyFont="1" applyBorder="1" applyAlignment="1">
      <alignment horizontal="right"/>
    </xf>
    <xf numFmtId="4" fontId="1" fillId="4" borderId="1" xfId="0" applyNumberFormat="1" applyFont="1" applyFill="1" applyBorder="1" applyAlignment="1">
      <alignment horizontal="right"/>
    </xf>
    <xf numFmtId="4" fontId="1" fillId="2" borderId="6" xfId="0" applyNumberFormat="1" applyFont="1" applyFill="1" applyBorder="1" applyAlignment="1">
      <alignment horizontal="right"/>
    </xf>
    <xf numFmtId="4" fontId="1" fillId="2" borderId="3" xfId="0" applyNumberFormat="1" applyFont="1" applyFill="1" applyBorder="1" applyAlignment="1">
      <alignment horizontal="right"/>
    </xf>
    <xf numFmtId="4" fontId="1" fillId="6" borderId="3" xfId="0" applyNumberFormat="1" applyFont="1" applyFill="1" applyBorder="1" applyAlignment="1"/>
    <xf numFmtId="4" fontId="3" fillId="12" borderId="3" xfId="0" applyNumberFormat="1" applyFont="1" applyFill="1" applyBorder="1" applyAlignment="1">
      <alignment horizontal="right"/>
    </xf>
    <xf numFmtId="4" fontId="1" fillId="12" borderId="3" xfId="0" applyNumberFormat="1" applyFont="1" applyFill="1" applyBorder="1"/>
    <xf numFmtId="0" fontId="9" fillId="0" borderId="0" xfId="0" applyFont="1"/>
    <xf numFmtId="0" fontId="10" fillId="0" borderId="0" xfId="0" applyFont="1"/>
    <xf numFmtId="4" fontId="10" fillId="2" borderId="0" xfId="0" applyNumberFormat="1" applyFont="1" applyFill="1" applyAlignment="1">
      <alignment horizontal="right"/>
    </xf>
    <xf numFmtId="4" fontId="10" fillId="4" borderId="0" xfId="0" applyNumberFormat="1" applyFont="1" applyFill="1" applyAlignment="1">
      <alignment horizontal="right"/>
    </xf>
    <xf numFmtId="4" fontId="10" fillId="5" borderId="0" xfId="0" applyNumberFormat="1" applyFont="1" applyFill="1" applyAlignment="1">
      <alignment horizontal="right"/>
    </xf>
    <xf numFmtId="4" fontId="10" fillId="6" borderId="0" xfId="0" applyNumberFormat="1" applyFont="1" applyFill="1" applyAlignment="1">
      <alignment horizontal="right"/>
    </xf>
    <xf numFmtId="9" fontId="10" fillId="6" borderId="0" xfId="0" applyNumberFormat="1" applyFont="1" applyFill="1" applyAlignment="1">
      <alignment horizontal="right"/>
    </xf>
    <xf numFmtId="4" fontId="10" fillId="7" borderId="0" xfId="0" applyNumberFormat="1" applyFont="1" applyFill="1" applyAlignment="1">
      <alignment horizontal="right"/>
    </xf>
    <xf numFmtId="4" fontId="10" fillId="8" borderId="0" xfId="0" applyNumberFormat="1" applyFont="1" applyFill="1" applyAlignment="1">
      <alignment horizontal="right"/>
    </xf>
    <xf numFmtId="4" fontId="10" fillId="9" borderId="0" xfId="0" applyNumberFormat="1" applyFont="1" applyFill="1" applyAlignment="1">
      <alignment horizontal="right"/>
    </xf>
    <xf numFmtId="4" fontId="10" fillId="9" borderId="0" xfId="0" applyNumberFormat="1" applyFont="1" applyFill="1"/>
    <xf numFmtId="4" fontId="10" fillId="0" borderId="0" xfId="0" applyNumberFormat="1" applyFont="1"/>
    <xf numFmtId="4" fontId="10" fillId="10" borderId="0" xfId="0" applyNumberFormat="1" applyFont="1" applyFill="1"/>
    <xf numFmtId="4" fontId="10" fillId="11" borderId="0" xfId="0" applyNumberFormat="1" applyFont="1" applyFill="1"/>
    <xf numFmtId="4" fontId="10" fillId="6" borderId="0" xfId="0" applyNumberFormat="1" applyFont="1" applyFill="1" applyAlignment="1">
      <alignment horizontal="right"/>
    </xf>
    <xf numFmtId="0" fontId="8" fillId="12" borderId="0" xfId="0" applyFont="1" applyFill="1"/>
    <xf numFmtId="0" fontId="11" fillId="0" borderId="0" xfId="0" applyFont="1" applyAlignment="1"/>
    <xf numFmtId="4" fontId="5" fillId="2" borderId="0" xfId="0" applyNumberFormat="1" applyFont="1" applyFill="1"/>
    <xf numFmtId="4" fontId="5" fillId="4" borderId="0" xfId="0" applyNumberFormat="1" applyFont="1" applyFill="1"/>
    <xf numFmtId="4" fontId="5" fillId="5" borderId="0" xfId="0" applyNumberFormat="1" applyFont="1" applyFill="1"/>
    <xf numFmtId="4" fontId="5" fillId="6" borderId="0" xfId="0" applyNumberFormat="1" applyFont="1" applyFill="1"/>
    <xf numFmtId="9" fontId="3" fillId="6" borderId="0" xfId="0" applyNumberFormat="1" applyFont="1" applyFill="1" applyAlignment="1">
      <alignment horizontal="right"/>
    </xf>
    <xf numFmtId="4" fontId="5" fillId="7" borderId="0" xfId="0" applyNumberFormat="1" applyFont="1" applyFill="1"/>
    <xf numFmtId="4" fontId="5" fillId="8" borderId="0" xfId="0" applyNumberFormat="1" applyFont="1" applyFill="1"/>
    <xf numFmtId="4" fontId="5" fillId="9" borderId="0" xfId="0" applyNumberFormat="1" applyFont="1" applyFill="1"/>
    <xf numFmtId="4" fontId="5" fillId="0" borderId="0" xfId="0" applyNumberFormat="1" applyFont="1"/>
    <xf numFmtId="4" fontId="5" fillId="10" borderId="0" xfId="0" applyNumberFormat="1" applyFont="1" applyFill="1"/>
    <xf numFmtId="4" fontId="5" fillId="11" borderId="0" xfId="0" applyNumberFormat="1" applyFont="1" applyFill="1"/>
    <xf numFmtId="9" fontId="12" fillId="6" borderId="0" xfId="0" applyNumberFormat="1" applyFont="1" applyFill="1" applyAlignment="1">
      <alignment horizontal="right"/>
    </xf>
    <xf numFmtId="0" fontId="1" fillId="14" borderId="0" xfId="0" applyFont="1" applyFill="1"/>
    <xf numFmtId="4" fontId="1" fillId="14" borderId="0" xfId="0" applyNumberFormat="1" applyFont="1" applyFill="1"/>
    <xf numFmtId="0" fontId="0" fillId="0" borderId="0" xfId="0" applyFont="1" applyAlignment="1"/>
    <xf numFmtId="0" fontId="13" fillId="0" borderId="0" xfId="0" applyFont="1" applyAlignment="1"/>
    <xf numFmtId="0" fontId="7" fillId="0" borderId="7" xfId="0" applyFont="1" applyBorder="1" applyAlignment="1"/>
    <xf numFmtId="0" fontId="13" fillId="0" borderId="7" xfId="0" applyFont="1" applyBorder="1" applyAlignment="1"/>
    <xf numFmtId="0" fontId="4" fillId="0" borderId="0" xfId="0" applyFont="1"/>
    <xf numFmtId="0" fontId="4" fillId="12" borderId="0" xfId="0" applyFont="1" applyFill="1" applyAlignment="1">
      <alignment wrapText="1"/>
    </xf>
    <xf numFmtId="0" fontId="2" fillId="12" borderId="0" xfId="0" applyFont="1" applyFill="1"/>
    <xf numFmtId="0" fontId="4" fillId="12" borderId="0" xfId="0" applyFont="1" applyFill="1"/>
    <xf numFmtId="0" fontId="2" fillId="3" borderId="0" xfId="0" applyFont="1" applyFill="1"/>
    <xf numFmtId="0" fontId="4" fillId="0" borderId="0" xfId="0" applyFont="1" applyAlignment="1">
      <alignment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707"/>
  <sheetViews>
    <sheetView tabSelected="1" workbookViewId="0">
      <pane ySplit="6" topLeftCell="A7" activePane="bottomLeft" state="frozen"/>
      <selection pane="bottomLeft" activeCell="L2486" sqref="L2486"/>
    </sheetView>
  </sheetViews>
  <sheetFormatPr defaultColWidth="14.42578125" defaultRowHeight="15" customHeight="1" x14ac:dyDescent="0.25"/>
  <cols>
    <col min="1" max="1" width="2.5703125" customWidth="1"/>
    <col min="2" max="2" width="17.140625" customWidth="1"/>
    <col min="3" max="3" width="52" customWidth="1"/>
    <col min="4" max="4" width="19.42578125" style="302" customWidth="1"/>
    <col min="5" max="5" width="17.140625" customWidth="1"/>
    <col min="6" max="6" width="19.42578125" hidden="1" customWidth="1"/>
    <col min="7" max="7" width="17" customWidth="1"/>
    <col min="8" max="8" width="18.42578125" customWidth="1"/>
    <col min="9" max="9" width="8.7109375" hidden="1" customWidth="1"/>
    <col min="10" max="10" width="17" hidden="1" customWidth="1"/>
    <col min="11" max="11" width="18.42578125" hidden="1" customWidth="1"/>
    <col min="12" max="12" width="17" customWidth="1"/>
    <col min="13" max="13" width="17" hidden="1" customWidth="1"/>
    <col min="14" max="14" width="14.85546875" hidden="1" customWidth="1"/>
    <col min="15" max="15" width="15.5703125" hidden="1" customWidth="1"/>
    <col min="16" max="16" width="14.7109375" hidden="1" customWidth="1"/>
    <col min="17" max="17" width="13.42578125" hidden="1" customWidth="1"/>
    <col min="18" max="20" width="16.140625" customWidth="1"/>
  </cols>
  <sheetData>
    <row r="1" spans="1:20" ht="13.5" hidden="1" customHeight="1" x14ac:dyDescent="0.25">
      <c r="A1" s="1"/>
      <c r="B1" s="2" t="s">
        <v>0</v>
      </c>
      <c r="C1" s="3" t="e">
        <f>-#REF!</f>
        <v>#REF!</v>
      </c>
      <c r="D1" s="24"/>
      <c r="E1" s="4"/>
      <c r="F1" s="5"/>
      <c r="G1" s="5"/>
      <c r="H1" s="6"/>
      <c r="I1" s="6"/>
      <c r="J1" s="7"/>
      <c r="K1" s="8"/>
      <c r="L1" s="9"/>
      <c r="M1" s="9"/>
      <c r="N1" s="10"/>
      <c r="O1" s="11"/>
      <c r="P1" s="10"/>
      <c r="Q1" s="12"/>
      <c r="R1" s="1"/>
      <c r="S1" s="1"/>
      <c r="T1" s="1"/>
    </row>
    <row r="2" spans="1:20" ht="13.5" hidden="1" customHeight="1" x14ac:dyDescent="0.25">
      <c r="A2" s="1"/>
      <c r="B2" s="2" t="s">
        <v>1</v>
      </c>
      <c r="C2" s="3" t="e">
        <f>-#REF!</f>
        <v>#REF!</v>
      </c>
      <c r="D2" s="24"/>
      <c r="E2" s="4"/>
      <c r="F2" s="5"/>
      <c r="G2" s="5"/>
      <c r="H2" s="6"/>
      <c r="I2" s="6"/>
      <c r="J2" s="7"/>
      <c r="K2" s="8"/>
      <c r="L2" s="9"/>
      <c r="M2" s="9"/>
      <c r="N2" s="10"/>
      <c r="O2" s="11"/>
      <c r="P2" s="10"/>
      <c r="Q2" s="12"/>
      <c r="R2" s="1"/>
      <c r="S2" s="1"/>
      <c r="T2" s="1"/>
    </row>
    <row r="3" spans="1:20" ht="13.5" hidden="1" customHeight="1" x14ac:dyDescent="0.25">
      <c r="A3" s="1"/>
      <c r="B3" s="13" t="s">
        <v>2</v>
      </c>
      <c r="C3" s="14" t="e">
        <f>SUM(C1:C2)</f>
        <v>#REF!</v>
      </c>
      <c r="D3" s="24" t="s">
        <v>3</v>
      </c>
      <c r="E3" s="4"/>
      <c r="F3" s="5" t="s">
        <v>3</v>
      </c>
      <c r="G3" s="5" t="s">
        <v>3</v>
      </c>
      <c r="H3" s="6" t="s">
        <v>3</v>
      </c>
      <c r="I3" s="6"/>
      <c r="J3" s="7"/>
      <c r="K3" s="8"/>
      <c r="L3" s="15"/>
      <c r="M3" s="16"/>
      <c r="O3" s="17"/>
      <c r="Q3" s="18"/>
      <c r="R3" s="1"/>
      <c r="S3" s="1"/>
      <c r="T3" s="1"/>
    </row>
    <row r="4" spans="1:20" ht="13.5" customHeight="1" x14ac:dyDescent="0.25">
      <c r="A4" s="1"/>
      <c r="B4" s="1"/>
      <c r="C4" s="19"/>
      <c r="D4" s="24">
        <v>2021</v>
      </c>
      <c r="E4" s="20" t="s">
        <v>4</v>
      </c>
      <c r="F4" s="5">
        <v>2020</v>
      </c>
      <c r="G4" s="5">
        <v>2020</v>
      </c>
      <c r="H4" s="21">
        <v>2019</v>
      </c>
      <c r="I4" s="6" t="s">
        <v>5</v>
      </c>
      <c r="J4" s="7">
        <v>2019</v>
      </c>
      <c r="K4" s="8">
        <v>2019</v>
      </c>
      <c r="L4" s="9">
        <v>2018</v>
      </c>
      <c r="M4" s="9">
        <v>2017</v>
      </c>
      <c r="N4" s="10">
        <v>2016</v>
      </c>
      <c r="O4" s="11">
        <v>2015</v>
      </c>
      <c r="P4" s="10">
        <v>2014</v>
      </c>
      <c r="Q4" s="12">
        <v>2013</v>
      </c>
      <c r="R4" s="1"/>
      <c r="S4" s="1"/>
      <c r="T4" s="1"/>
    </row>
    <row r="5" spans="1:20" ht="11.25" customHeight="1" x14ac:dyDescent="0.25">
      <c r="A5" s="22"/>
      <c r="B5" s="23" t="s">
        <v>6</v>
      </c>
      <c r="C5" s="23" t="s">
        <v>7</v>
      </c>
      <c r="D5" s="24" t="s">
        <v>8</v>
      </c>
      <c r="E5" s="25" t="s">
        <v>9</v>
      </c>
      <c r="F5" s="26" t="s">
        <v>10</v>
      </c>
      <c r="G5" s="26" t="s">
        <v>11</v>
      </c>
      <c r="H5" s="27" t="s">
        <v>12</v>
      </c>
      <c r="I5" s="28" t="s">
        <v>13</v>
      </c>
      <c r="J5" s="29" t="s">
        <v>10</v>
      </c>
      <c r="K5" s="30" t="s">
        <v>14</v>
      </c>
      <c r="L5" s="31" t="s">
        <v>15</v>
      </c>
      <c r="M5" s="31" t="s">
        <v>15</v>
      </c>
      <c r="N5" s="32" t="s">
        <v>15</v>
      </c>
      <c r="O5" s="33" t="s">
        <v>15</v>
      </c>
      <c r="P5" s="32" t="s">
        <v>15</v>
      </c>
      <c r="Q5" s="34" t="s">
        <v>15</v>
      </c>
      <c r="R5" s="22"/>
      <c r="S5" s="22"/>
      <c r="T5" s="22"/>
    </row>
    <row r="6" spans="1:20" ht="12" customHeight="1" x14ac:dyDescent="0.25">
      <c r="A6" s="1"/>
      <c r="B6" s="1"/>
      <c r="C6" s="1" t="s">
        <v>3</v>
      </c>
      <c r="D6" s="24" t="s">
        <v>13</v>
      </c>
      <c r="E6" s="35">
        <v>44012</v>
      </c>
      <c r="F6" s="36" t="s">
        <v>13</v>
      </c>
      <c r="G6" s="36" t="s">
        <v>13</v>
      </c>
      <c r="H6" s="37"/>
      <c r="I6" s="38" t="s">
        <v>3</v>
      </c>
      <c r="J6" s="7" t="s">
        <v>13</v>
      </c>
      <c r="K6" s="8" t="s">
        <v>13</v>
      </c>
      <c r="L6" s="9" t="s">
        <v>16</v>
      </c>
      <c r="M6" s="9" t="s">
        <v>16</v>
      </c>
      <c r="N6" s="10" t="s">
        <v>16</v>
      </c>
      <c r="O6" s="39"/>
      <c r="P6" s="1"/>
      <c r="Q6" s="40"/>
      <c r="R6" s="1"/>
      <c r="S6" s="1"/>
      <c r="T6" s="1"/>
    </row>
    <row r="7" spans="1:20" ht="13.5" customHeight="1" x14ac:dyDescent="0.25">
      <c r="A7" s="41" t="s">
        <v>17</v>
      </c>
      <c r="B7" s="1"/>
      <c r="C7" s="41"/>
      <c r="D7" s="24"/>
      <c r="E7" s="20"/>
      <c r="F7" s="5"/>
      <c r="G7" s="5"/>
      <c r="H7" s="6"/>
      <c r="I7" s="38" t="s">
        <v>3</v>
      </c>
      <c r="J7" s="7"/>
      <c r="K7" s="8"/>
      <c r="L7" s="9"/>
      <c r="M7" s="9"/>
      <c r="N7" s="10"/>
      <c r="O7" s="39"/>
      <c r="P7" s="1"/>
      <c r="Q7" s="40"/>
      <c r="R7" s="1"/>
      <c r="S7" s="1"/>
      <c r="T7" s="1"/>
    </row>
    <row r="8" spans="1:20" ht="13.5" customHeight="1" x14ac:dyDescent="0.25">
      <c r="A8" s="1"/>
      <c r="B8" s="1"/>
      <c r="C8" s="41" t="s">
        <v>18</v>
      </c>
      <c r="D8" s="24"/>
      <c r="E8" s="35"/>
      <c r="F8" s="5"/>
      <c r="G8" s="5"/>
      <c r="H8" s="6"/>
      <c r="I8" s="6"/>
      <c r="J8" s="7"/>
      <c r="K8" s="8"/>
      <c r="L8" s="9"/>
      <c r="M8" s="9"/>
      <c r="N8" s="10"/>
      <c r="O8" s="39"/>
      <c r="P8" s="1"/>
      <c r="Q8" s="40"/>
      <c r="R8" s="1"/>
      <c r="S8" s="1"/>
      <c r="T8" s="1"/>
    </row>
    <row r="9" spans="1:20" ht="13.5" customHeight="1" x14ac:dyDescent="0.25">
      <c r="A9" s="1"/>
      <c r="B9" s="1" t="s">
        <v>19</v>
      </c>
      <c r="C9" s="1" t="s">
        <v>20</v>
      </c>
      <c r="D9" s="42">
        <v>-25673620.390000001</v>
      </c>
      <c r="E9" s="43">
        <v>-23899841.629999999</v>
      </c>
      <c r="F9" s="45">
        <v>-24043563</v>
      </c>
      <c r="G9" s="45">
        <v>-24043563</v>
      </c>
      <c r="H9" s="46">
        <v>-22545200.469999999</v>
      </c>
      <c r="I9" s="47">
        <f t="shared" ref="I9:I11" si="0">H9/J9</f>
        <v>0.99128889141954646</v>
      </c>
      <c r="J9" s="48">
        <v>-22743320</v>
      </c>
      <c r="K9" s="49">
        <v>-22743320</v>
      </c>
      <c r="L9" s="50">
        <v>-22180451.68</v>
      </c>
      <c r="M9" s="50">
        <v>-21906009.920000002</v>
      </c>
      <c r="N9" s="51">
        <v>-19605213.699999999</v>
      </c>
      <c r="O9" s="52">
        <v>19857794.719999999</v>
      </c>
      <c r="P9" s="53">
        <v>20806751.41</v>
      </c>
      <c r="Q9" s="54">
        <v>19312047.66</v>
      </c>
      <c r="R9" s="1"/>
      <c r="S9" s="1"/>
      <c r="T9" s="1"/>
    </row>
    <row r="10" spans="1:20" ht="13.5" customHeight="1" x14ac:dyDescent="0.25">
      <c r="A10" s="1"/>
      <c r="B10" s="1" t="s">
        <v>21</v>
      </c>
      <c r="C10" s="1" t="s">
        <v>22</v>
      </c>
      <c r="D10" s="42">
        <v>-620000</v>
      </c>
      <c r="E10" s="43">
        <v>-192980.63</v>
      </c>
      <c r="F10" s="45">
        <v>-620000</v>
      </c>
      <c r="G10" s="45">
        <v>-620000</v>
      </c>
      <c r="H10" s="46">
        <v>-412405.04</v>
      </c>
      <c r="I10" s="47">
        <f t="shared" si="0"/>
        <v>0.66516941935483864</v>
      </c>
      <c r="J10" s="48">
        <v>-620000</v>
      </c>
      <c r="K10" s="49">
        <v>-620000</v>
      </c>
      <c r="L10" s="50">
        <v>-488615.85</v>
      </c>
      <c r="M10" s="50">
        <v>-629791.86</v>
      </c>
      <c r="N10" s="51">
        <v>-523496.67</v>
      </c>
      <c r="O10" s="52">
        <v>525037.05000000005</v>
      </c>
      <c r="P10" s="53">
        <v>588928.24</v>
      </c>
      <c r="Q10" s="54">
        <v>190669.99</v>
      </c>
      <c r="R10" s="1"/>
      <c r="S10" s="1"/>
      <c r="T10" s="1"/>
    </row>
    <row r="11" spans="1:20" ht="13.5" customHeight="1" x14ac:dyDescent="0.25">
      <c r="A11" s="1"/>
      <c r="B11" s="1" t="s">
        <v>23</v>
      </c>
      <c r="C11" s="1" t="s">
        <v>24</v>
      </c>
      <c r="D11" s="42">
        <v>-600000</v>
      </c>
      <c r="E11" s="43">
        <v>-262731.59000000003</v>
      </c>
      <c r="F11" s="45">
        <v>-600000</v>
      </c>
      <c r="G11" s="45">
        <v>-600000</v>
      </c>
      <c r="H11" s="46">
        <v>-436013.83</v>
      </c>
      <c r="I11" s="47">
        <f t="shared" si="0"/>
        <v>0.72668971666666671</v>
      </c>
      <c r="J11" s="48">
        <v>-600000</v>
      </c>
      <c r="K11" s="49">
        <v>-600000</v>
      </c>
      <c r="L11" s="50">
        <v>-475431.67</v>
      </c>
      <c r="M11" s="50">
        <v>-527627.98</v>
      </c>
      <c r="N11" s="51">
        <v>-494878.61</v>
      </c>
      <c r="O11" s="52">
        <v>477718.45</v>
      </c>
      <c r="P11" s="53">
        <v>495519.88</v>
      </c>
      <c r="Q11" s="54">
        <v>504860.4</v>
      </c>
      <c r="R11" s="1"/>
      <c r="S11" s="1"/>
      <c r="T11" s="1"/>
    </row>
    <row r="12" spans="1:20" ht="13.5" customHeight="1" x14ac:dyDescent="0.25">
      <c r="A12" s="1"/>
      <c r="B12" s="55"/>
      <c r="C12" s="55"/>
      <c r="D12" s="56">
        <v>-26893620.390000001</v>
      </c>
      <c r="E12" s="57">
        <f t="shared" ref="E12" si="1">SUM(E9:E11)</f>
        <v>-24355553.849999998</v>
      </c>
      <c r="F12" s="58">
        <f>SUM(F8:F11)</f>
        <v>-25263563</v>
      </c>
      <c r="G12" s="58">
        <v>-25263563</v>
      </c>
      <c r="H12" s="59">
        <f>SUM(H9:H11)</f>
        <v>-23393619.339999996</v>
      </c>
      <c r="I12" s="59"/>
      <c r="J12" s="60">
        <f t="shared" ref="J12:Q12" si="2">SUM(J9:J11)</f>
        <v>-23963320</v>
      </c>
      <c r="K12" s="61">
        <f t="shared" si="2"/>
        <v>-23963320</v>
      </c>
      <c r="L12" s="62">
        <f t="shared" si="2"/>
        <v>-23144499.200000003</v>
      </c>
      <c r="M12" s="62">
        <f t="shared" si="2"/>
        <v>-23063429.760000002</v>
      </c>
      <c r="N12" s="63">
        <f t="shared" si="2"/>
        <v>-20623588.98</v>
      </c>
      <c r="O12" s="64">
        <f t="shared" si="2"/>
        <v>20860550.219999999</v>
      </c>
      <c r="P12" s="63">
        <f t="shared" si="2"/>
        <v>21891199.529999997</v>
      </c>
      <c r="Q12" s="65">
        <f t="shared" si="2"/>
        <v>20007578.049999997</v>
      </c>
      <c r="R12" s="1"/>
      <c r="S12" s="1"/>
      <c r="T12" s="1"/>
    </row>
    <row r="13" spans="1:20" ht="13.5" customHeight="1" x14ac:dyDescent="0.25">
      <c r="A13" s="1"/>
      <c r="B13" s="1"/>
      <c r="C13" s="1"/>
      <c r="D13" s="42"/>
      <c r="E13" s="44"/>
      <c r="F13" s="45"/>
      <c r="G13" s="45"/>
      <c r="H13" s="66"/>
      <c r="I13" s="66"/>
      <c r="J13" s="48"/>
      <c r="K13" s="49"/>
      <c r="L13" s="50"/>
      <c r="M13" s="50"/>
      <c r="N13" s="51"/>
      <c r="O13" s="52"/>
      <c r="P13" s="53"/>
      <c r="Q13" s="54"/>
      <c r="R13" s="1"/>
      <c r="S13" s="1"/>
      <c r="T13" s="1"/>
    </row>
    <row r="14" spans="1:20" ht="13.5" customHeight="1" x14ac:dyDescent="0.25">
      <c r="A14" s="1"/>
      <c r="B14" s="1" t="s">
        <v>25</v>
      </c>
      <c r="C14" s="1" t="s">
        <v>26</v>
      </c>
      <c r="D14" s="42">
        <v>-12000</v>
      </c>
      <c r="E14" s="43">
        <v>-9380</v>
      </c>
      <c r="F14" s="45">
        <v>-12000</v>
      </c>
      <c r="G14" s="45">
        <v>-12000</v>
      </c>
      <c r="H14" s="46">
        <v>-16530</v>
      </c>
      <c r="I14" s="47">
        <f t="shared" ref="I14:I15" si="3">H14/J14</f>
        <v>1.3774999999999999</v>
      </c>
      <c r="J14" s="48">
        <v>-12000</v>
      </c>
      <c r="K14" s="49">
        <v>-12000</v>
      </c>
      <c r="L14" s="50">
        <v>-21425</v>
      </c>
      <c r="M14" s="50">
        <v>-13345</v>
      </c>
      <c r="N14" s="51">
        <v>-19925</v>
      </c>
      <c r="O14" s="52">
        <v>10510</v>
      </c>
      <c r="P14" s="53">
        <v>10966</v>
      </c>
      <c r="Q14" s="54">
        <v>6605</v>
      </c>
      <c r="R14" s="1"/>
      <c r="S14" s="1"/>
      <c r="T14" s="1"/>
    </row>
    <row r="15" spans="1:20" ht="13.5" customHeight="1" x14ac:dyDescent="0.25">
      <c r="A15" s="1"/>
      <c r="B15" s="1" t="s">
        <v>27</v>
      </c>
      <c r="C15" s="1" t="s">
        <v>28</v>
      </c>
      <c r="D15" s="42">
        <v>-100000</v>
      </c>
      <c r="E15" s="43">
        <v>-28164.31</v>
      </c>
      <c r="F15" s="45">
        <v>-100000</v>
      </c>
      <c r="G15" s="45">
        <v>-100000</v>
      </c>
      <c r="H15" s="46">
        <v>-125795.79</v>
      </c>
      <c r="I15" s="47">
        <f t="shared" si="3"/>
        <v>1.2579578999999999</v>
      </c>
      <c r="J15" s="48">
        <v>-100000</v>
      </c>
      <c r="K15" s="49">
        <v>-100000</v>
      </c>
      <c r="L15" s="50">
        <v>-116034.92</v>
      </c>
      <c r="M15" s="50">
        <v>-102612.41</v>
      </c>
      <c r="N15" s="51">
        <v>-100716.81</v>
      </c>
      <c r="O15" s="52">
        <v>94783.67</v>
      </c>
      <c r="P15" s="53">
        <v>86511.9</v>
      </c>
      <c r="Q15" s="54">
        <v>75321.09</v>
      </c>
      <c r="R15" s="1"/>
      <c r="S15" s="1"/>
      <c r="T15" s="1"/>
    </row>
    <row r="16" spans="1:20" ht="13.5" customHeight="1" x14ac:dyDescent="0.25">
      <c r="A16" s="1"/>
      <c r="B16" s="1"/>
      <c r="C16" s="1"/>
      <c r="D16" s="56">
        <v>-112000</v>
      </c>
      <c r="E16" s="57">
        <f t="shared" ref="E16" si="4">SUM(E14:E15)</f>
        <v>-37544.31</v>
      </c>
      <c r="F16" s="58">
        <f>SUM(F13:F15)</f>
        <v>-112000</v>
      </c>
      <c r="G16" s="58">
        <v>-112000</v>
      </c>
      <c r="H16" s="59">
        <f>SUM(H14:H15)</f>
        <v>-142325.78999999998</v>
      </c>
      <c r="I16" s="59"/>
      <c r="J16" s="60">
        <f t="shared" ref="J16:Q16" si="5">SUM(J14:J15)</f>
        <v>-112000</v>
      </c>
      <c r="K16" s="61">
        <f t="shared" si="5"/>
        <v>-112000</v>
      </c>
      <c r="L16" s="62">
        <f t="shared" si="5"/>
        <v>-137459.91999999998</v>
      </c>
      <c r="M16" s="62">
        <f t="shared" si="5"/>
        <v>-115957.41</v>
      </c>
      <c r="N16" s="63">
        <f t="shared" si="5"/>
        <v>-120641.81</v>
      </c>
      <c r="O16" s="64">
        <f t="shared" si="5"/>
        <v>105293.67</v>
      </c>
      <c r="P16" s="63">
        <f t="shared" si="5"/>
        <v>97477.9</v>
      </c>
      <c r="Q16" s="65">
        <f t="shared" si="5"/>
        <v>81926.09</v>
      </c>
      <c r="R16" s="1"/>
      <c r="S16" s="1"/>
      <c r="T16" s="1"/>
    </row>
    <row r="17" spans="1:20" ht="13.5" customHeight="1" x14ac:dyDescent="0.25">
      <c r="A17" s="1"/>
      <c r="B17" s="1"/>
      <c r="C17" s="1"/>
      <c r="D17" s="42"/>
      <c r="E17" s="44"/>
      <c r="F17" s="45"/>
      <c r="G17" s="45"/>
      <c r="H17" s="66"/>
      <c r="I17" s="66"/>
      <c r="J17" s="48"/>
      <c r="K17" s="49"/>
      <c r="L17" s="50"/>
      <c r="M17" s="50"/>
      <c r="N17" s="51"/>
      <c r="O17" s="52"/>
      <c r="P17" s="53"/>
      <c r="Q17" s="54"/>
      <c r="R17" s="1"/>
      <c r="S17" s="1"/>
      <c r="T17" s="1"/>
    </row>
    <row r="18" spans="1:20" ht="13.5" customHeight="1" x14ac:dyDescent="0.25">
      <c r="A18" s="1"/>
      <c r="B18" s="55"/>
      <c r="C18" s="55"/>
      <c r="D18" s="42"/>
      <c r="E18" s="67"/>
      <c r="F18" s="45"/>
      <c r="G18" s="45"/>
      <c r="H18" s="68"/>
      <c r="I18" s="47"/>
      <c r="J18" s="48"/>
      <c r="K18" s="49"/>
      <c r="L18" s="69"/>
      <c r="M18" s="69"/>
      <c r="N18" s="51"/>
      <c r="O18" s="52"/>
      <c r="P18" s="53"/>
      <c r="Q18" s="54"/>
      <c r="R18" s="1"/>
      <c r="S18" s="1"/>
      <c r="T18" s="1"/>
    </row>
    <row r="19" spans="1:20" ht="13.5" customHeight="1" x14ac:dyDescent="0.25">
      <c r="A19" s="1"/>
      <c r="B19" s="1" t="s">
        <v>29</v>
      </c>
      <c r="C19" s="1" t="s">
        <v>30</v>
      </c>
      <c r="D19" s="42">
        <v>-9500</v>
      </c>
      <c r="E19" s="70">
        <v>0</v>
      </c>
      <c r="F19" s="45">
        <v>-9500</v>
      </c>
      <c r="G19" s="45">
        <v>-9500</v>
      </c>
      <c r="H19" s="68">
        <v>-7458.46</v>
      </c>
      <c r="I19" s="47">
        <f t="shared" ref="I19:I27" si="6">H19/J19</f>
        <v>0.93230749999999996</v>
      </c>
      <c r="J19" s="48">
        <v>-8000</v>
      </c>
      <c r="K19" s="49">
        <v>-8000</v>
      </c>
      <c r="L19" s="50">
        <v>-895.99</v>
      </c>
      <c r="M19" s="50">
        <v>-2495.54</v>
      </c>
      <c r="N19" s="51">
        <v>-1759.01</v>
      </c>
      <c r="O19" s="52">
        <v>4687.29</v>
      </c>
      <c r="P19" s="53">
        <v>4987.47</v>
      </c>
      <c r="Q19" s="54">
        <v>8323.15</v>
      </c>
      <c r="R19" s="1"/>
      <c r="S19" s="1"/>
      <c r="T19" s="1"/>
    </row>
    <row r="20" spans="1:20" ht="13.5" customHeight="1" x14ac:dyDescent="0.25">
      <c r="A20" s="1"/>
      <c r="B20" s="1" t="s">
        <v>31</v>
      </c>
      <c r="C20" s="1" t="s">
        <v>32</v>
      </c>
      <c r="D20" s="42">
        <v>-41000</v>
      </c>
      <c r="E20" s="70">
        <v>-5255.46</v>
      </c>
      <c r="F20" s="45">
        <v>-41000</v>
      </c>
      <c r="G20" s="45">
        <v>-41000</v>
      </c>
      <c r="H20" s="68">
        <v>-36471.19</v>
      </c>
      <c r="I20" s="47">
        <f t="shared" si="6"/>
        <v>1.8235595000000002</v>
      </c>
      <c r="J20" s="48">
        <v>-20000</v>
      </c>
      <c r="K20" s="49">
        <v>-20000</v>
      </c>
      <c r="L20" s="50">
        <v>-22009.26</v>
      </c>
      <c r="M20" s="50">
        <v>-13075.79</v>
      </c>
      <c r="N20" s="51">
        <v>-14225.09</v>
      </c>
      <c r="O20" s="52">
        <v>17149.79</v>
      </c>
      <c r="P20" s="53">
        <v>32967.620000000003</v>
      </c>
      <c r="Q20" s="54">
        <v>25343.58</v>
      </c>
      <c r="R20" s="1"/>
      <c r="S20" s="1"/>
      <c r="T20" s="1"/>
    </row>
    <row r="21" spans="1:20" ht="13.5" customHeight="1" x14ac:dyDescent="0.25">
      <c r="A21" s="1"/>
      <c r="B21" s="1" t="s">
        <v>33</v>
      </c>
      <c r="C21" s="1" t="s">
        <v>34</v>
      </c>
      <c r="D21" s="42">
        <v>-23390</v>
      </c>
      <c r="E21" s="43">
        <v>-9470.76</v>
      </c>
      <c r="F21" s="45">
        <v>-23390</v>
      </c>
      <c r="G21" s="45">
        <v>-23390</v>
      </c>
      <c r="H21" s="46">
        <v>-19972.59</v>
      </c>
      <c r="I21" s="47">
        <f t="shared" si="6"/>
        <v>0.87818625511146287</v>
      </c>
      <c r="J21" s="48">
        <v>-22743</v>
      </c>
      <c r="K21" s="49">
        <v>-22743</v>
      </c>
      <c r="L21" s="50">
        <v>-17538.7</v>
      </c>
      <c r="M21" s="50">
        <v>-23312.68</v>
      </c>
      <c r="N21" s="51">
        <v>-19597.25</v>
      </c>
      <c r="O21" s="52">
        <v>18322.7</v>
      </c>
      <c r="P21" s="53">
        <v>14187.87</v>
      </c>
      <c r="Q21" s="54">
        <v>7162.92</v>
      </c>
      <c r="R21" s="1"/>
      <c r="S21" s="1"/>
      <c r="T21" s="1"/>
    </row>
    <row r="22" spans="1:20" ht="13.5" customHeight="1" x14ac:dyDescent="0.25">
      <c r="A22" s="1"/>
      <c r="B22" s="1" t="s">
        <v>35</v>
      </c>
      <c r="C22" s="1" t="s">
        <v>36</v>
      </c>
      <c r="D22" s="42">
        <v>-168000</v>
      </c>
      <c r="E22" s="43">
        <v>-84000</v>
      </c>
      <c r="F22" s="45">
        <v>-178000</v>
      </c>
      <c r="G22" s="45">
        <v>-178000</v>
      </c>
      <c r="H22" s="46">
        <v>-168000</v>
      </c>
      <c r="I22" s="47">
        <f t="shared" si="6"/>
        <v>1</v>
      </c>
      <c r="J22" s="48">
        <v>-168000</v>
      </c>
      <c r="K22" s="49">
        <v>-168000</v>
      </c>
      <c r="L22" s="50">
        <v>-168000</v>
      </c>
      <c r="M22" s="50">
        <v>-168000</v>
      </c>
      <c r="N22" s="51">
        <v>-168000</v>
      </c>
      <c r="O22" s="52">
        <v>167796.78</v>
      </c>
      <c r="P22" s="53">
        <v>168</v>
      </c>
      <c r="Q22" s="54">
        <v>154500</v>
      </c>
      <c r="R22" s="1"/>
      <c r="S22" s="1"/>
      <c r="T22" s="1"/>
    </row>
    <row r="23" spans="1:20" ht="13.5" customHeight="1" x14ac:dyDescent="0.25">
      <c r="A23" s="1"/>
      <c r="B23" s="1" t="s">
        <v>37</v>
      </c>
      <c r="C23" s="1" t="s">
        <v>38</v>
      </c>
      <c r="D23" s="42">
        <v>-25200</v>
      </c>
      <c r="E23" s="43">
        <v>-10100</v>
      </c>
      <c r="F23" s="45">
        <v>-25200</v>
      </c>
      <c r="G23" s="45">
        <v>-25200</v>
      </c>
      <c r="H23" s="46">
        <v>-26168.19</v>
      </c>
      <c r="I23" s="47">
        <f t="shared" si="6"/>
        <v>1.0384202380952381</v>
      </c>
      <c r="J23" s="48">
        <v>-25200</v>
      </c>
      <c r="K23" s="49">
        <v>-25200</v>
      </c>
      <c r="L23" s="50">
        <v>-25200</v>
      </c>
      <c r="M23" s="50">
        <v>-25200</v>
      </c>
      <c r="N23" s="51">
        <v>-25521.54</v>
      </c>
      <c r="O23" s="52">
        <v>20746.5</v>
      </c>
      <c r="P23" s="53">
        <v>16194.84</v>
      </c>
      <c r="Q23" s="54">
        <v>17231.07</v>
      </c>
      <c r="R23" s="1"/>
      <c r="S23" s="1"/>
      <c r="T23" s="1"/>
    </row>
    <row r="24" spans="1:20" ht="13.5" customHeight="1" x14ac:dyDescent="0.25">
      <c r="A24" s="1"/>
      <c r="B24" s="1" t="s">
        <v>39</v>
      </c>
      <c r="C24" s="1" t="s">
        <v>40</v>
      </c>
      <c r="D24" s="42">
        <v>0</v>
      </c>
      <c r="E24" s="43">
        <v>0</v>
      </c>
      <c r="F24" s="45">
        <v>0</v>
      </c>
      <c r="G24" s="45">
        <v>0</v>
      </c>
      <c r="H24" s="46">
        <v>-2955.68</v>
      </c>
      <c r="I24" s="47">
        <f t="shared" si="6"/>
        <v>0.67174545454545453</v>
      </c>
      <c r="J24" s="48">
        <v>-4400</v>
      </c>
      <c r="K24" s="49">
        <v>-4400</v>
      </c>
      <c r="L24" s="50">
        <v>-4433.5200000000004</v>
      </c>
      <c r="M24" s="50">
        <v>-4433.5200000000004</v>
      </c>
      <c r="N24" s="51">
        <v>-4427.3999999999996</v>
      </c>
      <c r="O24" s="52">
        <v>1475.8</v>
      </c>
      <c r="P24" s="53">
        <v>0</v>
      </c>
      <c r="Q24" s="54">
        <v>0</v>
      </c>
      <c r="R24" s="1"/>
      <c r="S24" s="1"/>
      <c r="T24" s="1"/>
    </row>
    <row r="25" spans="1:20" ht="13.5" customHeight="1" x14ac:dyDescent="0.25">
      <c r="A25" s="1"/>
      <c r="B25" s="1" t="s">
        <v>41</v>
      </c>
      <c r="C25" s="1" t="s">
        <v>42</v>
      </c>
      <c r="D25" s="42">
        <v>-33680</v>
      </c>
      <c r="E25" s="43">
        <v>0</v>
      </c>
      <c r="F25" s="45">
        <v>-33680</v>
      </c>
      <c r="G25" s="45">
        <v>-33680</v>
      </c>
      <c r="H25" s="46">
        <v>-32896.03</v>
      </c>
      <c r="I25" s="47">
        <f t="shared" si="6"/>
        <v>0.82240075000000001</v>
      </c>
      <c r="J25" s="48">
        <v>-40000</v>
      </c>
      <c r="K25" s="49">
        <v>-40000</v>
      </c>
      <c r="L25" s="50">
        <v>-33535.96</v>
      </c>
      <c r="M25" s="50">
        <v>-62683.75</v>
      </c>
      <c r="N25" s="51">
        <v>-38247.910000000003</v>
      </c>
      <c r="O25" s="52">
        <v>36047.03</v>
      </c>
      <c r="P25" s="53">
        <v>37648.58</v>
      </c>
      <c r="Q25" s="54">
        <v>33136.61</v>
      </c>
      <c r="R25" s="1"/>
      <c r="S25" s="1"/>
      <c r="T25" s="1"/>
    </row>
    <row r="26" spans="1:20" ht="13.5" customHeight="1" x14ac:dyDescent="0.25">
      <c r="A26" s="1"/>
      <c r="B26" s="55" t="s">
        <v>43</v>
      </c>
      <c r="C26" s="55" t="s">
        <v>44</v>
      </c>
      <c r="D26" s="42">
        <v>0</v>
      </c>
      <c r="E26" s="43">
        <v>-475838</v>
      </c>
      <c r="F26" s="71">
        <v>0</v>
      </c>
      <c r="G26" s="45">
        <v>-33680</v>
      </c>
      <c r="H26" s="46">
        <v>0</v>
      </c>
      <c r="I26" s="47">
        <f t="shared" si="6"/>
        <v>0</v>
      </c>
      <c r="J26" s="48">
        <v>-40000</v>
      </c>
      <c r="K26" s="49">
        <v>-40000</v>
      </c>
      <c r="L26" s="69">
        <v>0</v>
      </c>
      <c r="M26" s="69">
        <v>0</v>
      </c>
      <c r="N26" s="51"/>
      <c r="O26" s="52"/>
      <c r="P26" s="53"/>
      <c r="Q26" s="54"/>
      <c r="R26" s="1"/>
      <c r="S26" s="1"/>
      <c r="T26" s="1"/>
    </row>
    <row r="27" spans="1:20" ht="13.5" customHeight="1" x14ac:dyDescent="0.25">
      <c r="A27" s="1"/>
      <c r="B27" s="1" t="s">
        <v>45</v>
      </c>
      <c r="C27" s="1" t="s">
        <v>46</v>
      </c>
      <c r="D27" s="42">
        <v>-35000</v>
      </c>
      <c r="E27" s="70">
        <v>0</v>
      </c>
      <c r="F27" s="45">
        <v>-35000</v>
      </c>
      <c r="G27" s="45">
        <v>-35000</v>
      </c>
      <c r="H27" s="68">
        <v>-133609.25</v>
      </c>
      <c r="I27" s="47">
        <f t="shared" si="6"/>
        <v>3.8174071428571428</v>
      </c>
      <c r="J27" s="48">
        <v>-35000</v>
      </c>
      <c r="K27" s="49">
        <v>-35000</v>
      </c>
      <c r="L27" s="50">
        <v>-120246.25</v>
      </c>
      <c r="M27" s="50">
        <v>-104567.18</v>
      </c>
      <c r="N27" s="51">
        <v>-186138.13</v>
      </c>
      <c r="O27" s="52">
        <v>90517.85</v>
      </c>
      <c r="P27" s="53">
        <v>29949.25</v>
      </c>
      <c r="Q27" s="54">
        <v>0</v>
      </c>
      <c r="R27" s="1"/>
      <c r="S27" s="1"/>
      <c r="T27" s="1"/>
    </row>
    <row r="28" spans="1:20" ht="13.5" customHeight="1" x14ac:dyDescent="0.25">
      <c r="A28" s="1"/>
      <c r="B28" s="1" t="s">
        <v>47</v>
      </c>
      <c r="C28" s="1" t="s">
        <v>48</v>
      </c>
      <c r="D28" s="42">
        <v>0</v>
      </c>
      <c r="E28" s="70">
        <v>0</v>
      </c>
      <c r="F28" s="73">
        <v>0</v>
      </c>
      <c r="G28" s="73">
        <v>0</v>
      </c>
      <c r="H28" s="74">
        <v>0</v>
      </c>
      <c r="I28" s="47">
        <v>0</v>
      </c>
      <c r="J28" s="75">
        <v>0</v>
      </c>
      <c r="K28" s="76">
        <v>0</v>
      </c>
      <c r="L28" s="77">
        <v>0</v>
      </c>
      <c r="M28" s="77">
        <v>0</v>
      </c>
      <c r="N28" s="51">
        <v>-2000</v>
      </c>
      <c r="O28" s="52">
        <v>4100</v>
      </c>
      <c r="P28" s="53">
        <v>0</v>
      </c>
      <c r="Q28" s="54">
        <v>0</v>
      </c>
      <c r="R28" s="1"/>
      <c r="S28" s="1"/>
      <c r="T28" s="1"/>
    </row>
    <row r="29" spans="1:20" ht="13.5" customHeight="1" x14ac:dyDescent="0.25">
      <c r="A29" s="1"/>
      <c r="B29" s="1" t="s">
        <v>49</v>
      </c>
      <c r="C29" s="1" t="s">
        <v>50</v>
      </c>
      <c r="D29" s="42">
        <v>-9900</v>
      </c>
      <c r="E29" s="43">
        <v>-9408.09</v>
      </c>
      <c r="F29" s="45">
        <v>-9900</v>
      </c>
      <c r="G29" s="45">
        <v>-9900</v>
      </c>
      <c r="H29" s="46">
        <v>-9652.5</v>
      </c>
      <c r="I29" s="47">
        <f t="shared" ref="I29:I32" si="7">H29/J29</f>
        <v>0.97499999999999998</v>
      </c>
      <c r="J29" s="48">
        <v>-9900</v>
      </c>
      <c r="K29" s="49">
        <v>-9900</v>
      </c>
      <c r="L29" s="50">
        <v>-9820.94</v>
      </c>
      <c r="M29" s="50">
        <v>-9909.44</v>
      </c>
      <c r="N29" s="51">
        <v>-9423.6200000000008</v>
      </c>
      <c r="O29" s="52">
        <v>9619.5499999999993</v>
      </c>
      <c r="P29" s="53">
        <v>10621.99</v>
      </c>
      <c r="Q29" s="54">
        <v>0</v>
      </c>
      <c r="R29" s="1"/>
      <c r="S29" s="1"/>
      <c r="T29" s="1"/>
    </row>
    <row r="30" spans="1:20" ht="13.5" customHeight="1" x14ac:dyDescent="0.25">
      <c r="A30" s="1"/>
      <c r="B30" s="1" t="s">
        <v>51</v>
      </c>
      <c r="C30" s="1" t="s">
        <v>52</v>
      </c>
      <c r="D30" s="42">
        <v>-3400</v>
      </c>
      <c r="E30" s="43">
        <v>-3425.85</v>
      </c>
      <c r="F30" s="45">
        <v>-3400</v>
      </c>
      <c r="G30" s="45">
        <v>-3400</v>
      </c>
      <c r="H30" s="46">
        <v>-3407.6</v>
      </c>
      <c r="I30" s="47">
        <f t="shared" si="7"/>
        <v>1.0022352941176471</v>
      </c>
      <c r="J30" s="48">
        <v>-3400</v>
      </c>
      <c r="K30" s="49">
        <v>-3400</v>
      </c>
      <c r="L30" s="50">
        <v>-3391.5</v>
      </c>
      <c r="M30" s="50">
        <v>-3413.01</v>
      </c>
      <c r="N30" s="51">
        <v>-3384.89</v>
      </c>
      <c r="O30" s="52">
        <v>3232.03</v>
      </c>
      <c r="P30" s="53">
        <v>3380.02</v>
      </c>
      <c r="Q30" s="54">
        <v>0</v>
      </c>
      <c r="R30" s="1"/>
      <c r="S30" s="1"/>
      <c r="T30" s="1"/>
    </row>
    <row r="31" spans="1:20" ht="13.5" customHeight="1" x14ac:dyDescent="0.25">
      <c r="A31" s="1"/>
      <c r="B31" s="1" t="s">
        <v>53</v>
      </c>
      <c r="C31" s="1" t="s">
        <v>54</v>
      </c>
      <c r="D31" s="42">
        <v>-800</v>
      </c>
      <c r="E31" s="43">
        <v>-907.97</v>
      </c>
      <c r="F31" s="45">
        <v>-800</v>
      </c>
      <c r="G31" s="45">
        <v>-800</v>
      </c>
      <c r="H31" s="66">
        <v>-853.18</v>
      </c>
      <c r="I31" s="47">
        <f t="shared" si="7"/>
        <v>1.0664749999999998</v>
      </c>
      <c r="J31" s="48">
        <v>-800</v>
      </c>
      <c r="K31" s="49">
        <v>-800</v>
      </c>
      <c r="L31" s="50">
        <v>-794.77</v>
      </c>
      <c r="M31" s="50">
        <v>-800.11</v>
      </c>
      <c r="N31" s="51">
        <v>-787.2</v>
      </c>
      <c r="O31" s="52">
        <v>785.39</v>
      </c>
      <c r="P31" s="53">
        <v>778.94</v>
      </c>
      <c r="Q31" s="54">
        <v>0</v>
      </c>
      <c r="R31" s="1"/>
      <c r="S31" s="1"/>
      <c r="T31" s="1"/>
    </row>
    <row r="32" spans="1:20" ht="13.5" customHeight="1" x14ac:dyDescent="0.25">
      <c r="A32" s="1"/>
      <c r="B32" s="1" t="s">
        <v>55</v>
      </c>
      <c r="C32" s="1" t="s">
        <v>56</v>
      </c>
      <c r="D32" s="42">
        <v>-100000</v>
      </c>
      <c r="E32" s="43">
        <v>-25563.279999999999</v>
      </c>
      <c r="F32" s="45">
        <v>-100000</v>
      </c>
      <c r="G32" s="45">
        <v>-100000</v>
      </c>
      <c r="H32" s="46">
        <v>-91887.95</v>
      </c>
      <c r="I32" s="47">
        <f t="shared" si="7"/>
        <v>0.60109342700892276</v>
      </c>
      <c r="J32" s="48">
        <v>-152868</v>
      </c>
      <c r="K32" s="49">
        <v>-152868</v>
      </c>
      <c r="L32" s="77">
        <v>0</v>
      </c>
      <c r="M32" s="77">
        <v>0</v>
      </c>
      <c r="N32" s="53">
        <v>0</v>
      </c>
      <c r="O32" s="52">
        <v>0</v>
      </c>
      <c r="P32" s="53">
        <v>0</v>
      </c>
      <c r="Q32" s="54">
        <v>0</v>
      </c>
      <c r="R32" s="1"/>
      <c r="S32" s="1"/>
      <c r="T32" s="1"/>
    </row>
    <row r="33" spans="1:20" ht="13.5" customHeight="1" x14ac:dyDescent="0.25">
      <c r="A33" s="1"/>
      <c r="B33" s="55" t="s">
        <v>57</v>
      </c>
      <c r="C33" s="55" t="s">
        <v>58</v>
      </c>
      <c r="D33" s="42">
        <v>0</v>
      </c>
      <c r="E33" s="43">
        <v>-9960.44</v>
      </c>
      <c r="F33" s="71">
        <v>-18618.87</v>
      </c>
      <c r="G33" s="71">
        <v>0</v>
      </c>
      <c r="H33" s="46">
        <v>-4654.72</v>
      </c>
      <c r="I33" s="47"/>
      <c r="J33" s="48"/>
      <c r="K33" s="49"/>
      <c r="L33" s="50"/>
      <c r="M33" s="50"/>
      <c r="N33" s="51"/>
      <c r="O33" s="52"/>
      <c r="P33" s="53"/>
      <c r="Q33" s="54"/>
      <c r="R33" s="1"/>
      <c r="S33" s="1"/>
      <c r="T33" s="1"/>
    </row>
    <row r="34" spans="1:20" ht="13.5" customHeight="1" x14ac:dyDescent="0.25">
      <c r="A34" s="1"/>
      <c r="B34" s="1" t="s">
        <v>59</v>
      </c>
      <c r="C34" s="1" t="s">
        <v>60</v>
      </c>
      <c r="D34" s="42">
        <v>-71000</v>
      </c>
      <c r="E34" s="43">
        <v>-16647.12</v>
      </c>
      <c r="F34" s="45">
        <v>-71000</v>
      </c>
      <c r="G34" s="45">
        <v>-71000</v>
      </c>
      <c r="H34" s="46">
        <v>-65921.41</v>
      </c>
      <c r="I34" s="47">
        <f>H34/J34</f>
        <v>0.92847056338028178</v>
      </c>
      <c r="J34" s="48">
        <v>-71000</v>
      </c>
      <c r="K34" s="49">
        <v>-71000</v>
      </c>
      <c r="L34" s="50">
        <v>-72671.31</v>
      </c>
      <c r="M34" s="50">
        <v>-69928.2</v>
      </c>
      <c r="N34" s="51">
        <v>-69491.28</v>
      </c>
      <c r="O34" s="52">
        <v>69906.960000000006</v>
      </c>
      <c r="P34" s="53">
        <v>68598.92</v>
      </c>
      <c r="Q34" s="54">
        <v>49081.75</v>
      </c>
      <c r="R34" s="1"/>
      <c r="S34" s="1"/>
      <c r="T34" s="1"/>
    </row>
    <row r="35" spans="1:20" ht="13.5" customHeight="1" x14ac:dyDescent="0.25">
      <c r="A35" s="78"/>
      <c r="B35" s="1" t="s">
        <v>61</v>
      </c>
      <c r="C35" s="1" t="s">
        <v>62</v>
      </c>
      <c r="D35" s="42">
        <v>0</v>
      </c>
      <c r="E35" s="70">
        <v>-16049</v>
      </c>
      <c r="F35" s="73">
        <v>0</v>
      </c>
      <c r="G35" s="73">
        <v>0</v>
      </c>
      <c r="H35" s="68">
        <v>-13260</v>
      </c>
      <c r="I35" s="47">
        <v>0</v>
      </c>
      <c r="J35" s="75">
        <v>0</v>
      </c>
      <c r="K35" s="76">
        <v>0</v>
      </c>
      <c r="L35" s="50">
        <v>-8516</v>
      </c>
      <c r="M35" s="77">
        <v>0</v>
      </c>
      <c r="N35" s="51">
        <v>-5654</v>
      </c>
      <c r="O35" s="52">
        <v>3600</v>
      </c>
      <c r="P35" s="53">
        <v>0</v>
      </c>
      <c r="Q35" s="54">
        <v>17301.97</v>
      </c>
      <c r="R35" s="1"/>
      <c r="S35" s="1"/>
      <c r="T35" s="1"/>
    </row>
    <row r="36" spans="1:20" ht="13.5" customHeight="1" x14ac:dyDescent="0.25">
      <c r="A36" s="1"/>
      <c r="B36" s="1" t="s">
        <v>63</v>
      </c>
      <c r="C36" s="1" t="s">
        <v>64</v>
      </c>
      <c r="D36" s="42">
        <v>0</v>
      </c>
      <c r="E36" s="70">
        <v>0</v>
      </c>
      <c r="F36" s="73">
        <v>0</v>
      </c>
      <c r="G36" s="73">
        <v>0</v>
      </c>
      <c r="H36" s="74">
        <v>0</v>
      </c>
      <c r="I36" s="47">
        <v>0</v>
      </c>
      <c r="J36" s="75">
        <v>0</v>
      </c>
      <c r="K36" s="76">
        <v>0</v>
      </c>
      <c r="L36" s="50">
        <v>-5400</v>
      </c>
      <c r="M36" s="50">
        <v>-10364.870000000001</v>
      </c>
      <c r="N36" s="53">
        <v>0</v>
      </c>
      <c r="O36" s="52">
        <v>4563</v>
      </c>
      <c r="P36" s="53">
        <v>6676</v>
      </c>
      <c r="Q36" s="54">
        <v>13452</v>
      </c>
      <c r="R36" s="1"/>
      <c r="S36" s="1"/>
      <c r="T36" s="1"/>
    </row>
    <row r="37" spans="1:20" ht="13.5" customHeight="1" x14ac:dyDescent="0.25">
      <c r="A37" s="1"/>
      <c r="B37" s="1" t="s">
        <v>65</v>
      </c>
      <c r="C37" s="1" t="s">
        <v>66</v>
      </c>
      <c r="D37" s="42">
        <v>-70000</v>
      </c>
      <c r="E37" s="70">
        <v>0</v>
      </c>
      <c r="F37" s="45">
        <v>-84000</v>
      </c>
      <c r="G37" s="45">
        <v>-84000</v>
      </c>
      <c r="H37" s="68">
        <v>-84000</v>
      </c>
      <c r="I37" s="47">
        <f>H37/J37</f>
        <v>1.2</v>
      </c>
      <c r="J37" s="48">
        <v>-70000</v>
      </c>
      <c r="K37" s="49">
        <v>-70000</v>
      </c>
      <c r="L37" s="50">
        <v>-70000</v>
      </c>
      <c r="M37" s="77">
        <v>0</v>
      </c>
      <c r="N37" s="53">
        <v>0</v>
      </c>
      <c r="O37" s="52">
        <v>24335.85</v>
      </c>
      <c r="P37" s="53">
        <v>0</v>
      </c>
      <c r="Q37" s="54">
        <v>0</v>
      </c>
      <c r="R37" s="1"/>
      <c r="S37" s="1"/>
      <c r="T37" s="1"/>
    </row>
    <row r="38" spans="1:20" ht="13.5" customHeight="1" x14ac:dyDescent="0.25">
      <c r="A38" s="1"/>
      <c r="B38" s="1" t="s">
        <v>67</v>
      </c>
      <c r="C38" s="1" t="s">
        <v>68</v>
      </c>
      <c r="D38" s="42">
        <v>0</v>
      </c>
      <c r="E38" s="70">
        <v>-10000</v>
      </c>
      <c r="F38" s="73">
        <v>0</v>
      </c>
      <c r="G38" s="73">
        <v>0</v>
      </c>
      <c r="H38" s="68">
        <v>-2962.12</v>
      </c>
      <c r="I38" s="47">
        <v>0</v>
      </c>
      <c r="J38" s="75">
        <v>0</v>
      </c>
      <c r="K38" s="76">
        <v>0</v>
      </c>
      <c r="L38" s="77">
        <v>0</v>
      </c>
      <c r="M38" s="50">
        <v>-4471</v>
      </c>
      <c r="N38" s="51">
        <v>-16209.53</v>
      </c>
      <c r="O38" s="52">
        <v>295.58999999999997</v>
      </c>
      <c r="P38" s="53">
        <v>0</v>
      </c>
      <c r="Q38" s="54">
        <v>0</v>
      </c>
      <c r="R38" s="1"/>
      <c r="S38" s="1"/>
      <c r="T38" s="1"/>
    </row>
    <row r="39" spans="1:20" ht="13.5" customHeight="1" x14ac:dyDescent="0.25">
      <c r="A39" s="1"/>
      <c r="B39" s="55" t="s">
        <v>69</v>
      </c>
      <c r="C39" s="55" t="s">
        <v>70</v>
      </c>
      <c r="D39" s="42">
        <v>0</v>
      </c>
      <c r="E39" s="70">
        <v>-79302.3</v>
      </c>
      <c r="F39" s="73">
        <v>0</v>
      </c>
      <c r="G39" s="73">
        <v>0</v>
      </c>
      <c r="H39" s="68">
        <v>0</v>
      </c>
      <c r="I39" s="47">
        <v>0</v>
      </c>
      <c r="J39" s="75">
        <v>0</v>
      </c>
      <c r="K39" s="76">
        <v>0</v>
      </c>
      <c r="L39" s="77">
        <v>0</v>
      </c>
      <c r="M39" s="69">
        <v>0</v>
      </c>
      <c r="N39" s="79">
        <v>0</v>
      </c>
      <c r="O39" s="80">
        <v>0</v>
      </c>
      <c r="P39" s="53"/>
      <c r="Q39" s="54"/>
      <c r="R39" s="1"/>
      <c r="S39" s="1"/>
      <c r="T39" s="1"/>
    </row>
    <row r="40" spans="1:20" ht="13.5" customHeight="1" x14ac:dyDescent="0.25">
      <c r="A40" s="1"/>
      <c r="B40" s="1" t="s">
        <v>71</v>
      </c>
      <c r="C40" s="1" t="s">
        <v>72</v>
      </c>
      <c r="D40" s="42">
        <v>-6000</v>
      </c>
      <c r="E40" s="43">
        <v>-2184.2399999999998</v>
      </c>
      <c r="F40" s="45">
        <v>-6000</v>
      </c>
      <c r="G40" s="45">
        <v>-6000</v>
      </c>
      <c r="H40" s="46">
        <v>-10794.17</v>
      </c>
      <c r="I40" s="47">
        <f t="shared" ref="I40:I41" si="8">H40/J40</f>
        <v>1.7990283333333335</v>
      </c>
      <c r="J40" s="48">
        <v>-6000</v>
      </c>
      <c r="K40" s="49">
        <v>-6000</v>
      </c>
      <c r="L40" s="50">
        <v>-6844.46</v>
      </c>
      <c r="M40" s="50">
        <v>-9362.68</v>
      </c>
      <c r="N40" s="51">
        <v>-4094.46</v>
      </c>
      <c r="O40" s="52">
        <v>3543.71</v>
      </c>
      <c r="P40" s="53">
        <v>2392.88</v>
      </c>
      <c r="Q40" s="54">
        <v>62270</v>
      </c>
      <c r="R40" s="1"/>
      <c r="S40" s="1"/>
      <c r="T40" s="1"/>
    </row>
    <row r="41" spans="1:20" ht="13.5" customHeight="1" x14ac:dyDescent="0.25">
      <c r="A41" s="1"/>
      <c r="B41" s="1" t="s">
        <v>73</v>
      </c>
      <c r="C41" s="78" t="s">
        <v>74</v>
      </c>
      <c r="D41" s="42">
        <v>-510414.72000000003</v>
      </c>
      <c r="E41" s="43">
        <v>-232850.8</v>
      </c>
      <c r="F41" s="45">
        <v>-800000</v>
      </c>
      <c r="G41" s="45">
        <v>-800000</v>
      </c>
      <c r="H41" s="46">
        <v>-710167.12</v>
      </c>
      <c r="I41" s="47">
        <f t="shared" si="8"/>
        <v>0.88770890000000002</v>
      </c>
      <c r="J41" s="48">
        <v>-800000</v>
      </c>
      <c r="K41" s="49">
        <v>-800000</v>
      </c>
      <c r="L41" s="50">
        <v>-673937.77</v>
      </c>
      <c r="M41" s="50">
        <v>-808435</v>
      </c>
      <c r="N41" s="51">
        <v>-255525</v>
      </c>
      <c r="O41" s="52">
        <v>314680</v>
      </c>
      <c r="P41" s="53">
        <v>567790</v>
      </c>
      <c r="Q41" s="54">
        <v>920394</v>
      </c>
      <c r="R41" s="1"/>
      <c r="S41" s="1"/>
      <c r="T41" s="1"/>
    </row>
    <row r="42" spans="1:20" ht="13.5" customHeight="1" x14ac:dyDescent="0.25">
      <c r="A42" s="1"/>
      <c r="B42" s="55" t="s">
        <v>75</v>
      </c>
      <c r="C42" s="55" t="s">
        <v>76</v>
      </c>
      <c r="D42" s="42">
        <v>0</v>
      </c>
      <c r="E42" s="70">
        <v>-6538.48</v>
      </c>
      <c r="F42" s="45"/>
      <c r="G42" s="71">
        <v>0</v>
      </c>
      <c r="H42" s="68">
        <v>0</v>
      </c>
      <c r="I42" s="47"/>
      <c r="J42" s="81">
        <v>0</v>
      </c>
      <c r="K42" s="82">
        <v>0</v>
      </c>
      <c r="L42" s="83">
        <v>0</v>
      </c>
      <c r="M42" s="69">
        <v>0</v>
      </c>
      <c r="N42" s="79">
        <v>0</v>
      </c>
      <c r="O42" s="80">
        <v>0</v>
      </c>
      <c r="P42" s="2">
        <v>0</v>
      </c>
      <c r="Q42" s="84">
        <v>0</v>
      </c>
      <c r="R42" s="1"/>
      <c r="S42" s="1"/>
      <c r="T42" s="1"/>
    </row>
    <row r="43" spans="1:20" ht="13.5" customHeight="1" x14ac:dyDescent="0.25">
      <c r="A43" s="1"/>
      <c r="B43" s="1" t="s">
        <v>77</v>
      </c>
      <c r="C43" s="1" t="s">
        <v>78</v>
      </c>
      <c r="D43" s="42">
        <v>0</v>
      </c>
      <c r="E43" s="70">
        <v>0</v>
      </c>
      <c r="F43" s="45">
        <v>-7000</v>
      </c>
      <c r="G43" s="45">
        <v>-7000</v>
      </c>
      <c r="H43" s="74">
        <v>0</v>
      </c>
      <c r="I43" s="47">
        <f>H43/J43</f>
        <v>0</v>
      </c>
      <c r="J43" s="48">
        <v>-7000</v>
      </c>
      <c r="K43" s="49">
        <v>-7000</v>
      </c>
      <c r="L43" s="77">
        <v>0</v>
      </c>
      <c r="M43" s="50">
        <v>-3191.7</v>
      </c>
      <c r="N43" s="51">
        <v>-9678.5</v>
      </c>
      <c r="O43" s="52">
        <v>7209</v>
      </c>
      <c r="P43" s="53">
        <v>7773.7</v>
      </c>
      <c r="Q43" s="54">
        <v>7246.75</v>
      </c>
      <c r="R43" s="1"/>
      <c r="S43" s="1"/>
      <c r="T43" s="1"/>
    </row>
    <row r="44" spans="1:20" ht="13.5" customHeight="1" x14ac:dyDescent="0.25">
      <c r="A44" s="1"/>
      <c r="B44" s="1" t="s">
        <v>79</v>
      </c>
      <c r="C44" s="1" t="s">
        <v>80</v>
      </c>
      <c r="D44" s="42">
        <v>0</v>
      </c>
      <c r="E44" s="43">
        <v>-79559.740000000005</v>
      </c>
      <c r="F44" s="73">
        <v>0</v>
      </c>
      <c r="G44" s="73">
        <v>0</v>
      </c>
      <c r="H44" s="46">
        <v>-9137.99</v>
      </c>
      <c r="I44" s="47">
        <v>0</v>
      </c>
      <c r="J44" s="75">
        <v>0</v>
      </c>
      <c r="K44" s="76">
        <v>0</v>
      </c>
      <c r="L44" s="50">
        <v>-64845.81</v>
      </c>
      <c r="M44" s="50">
        <v>-5734.44</v>
      </c>
      <c r="N44" s="51">
        <v>-316.92</v>
      </c>
      <c r="O44" s="52">
        <v>0</v>
      </c>
      <c r="P44" s="53">
        <v>0</v>
      </c>
      <c r="Q44" s="54">
        <v>0</v>
      </c>
      <c r="R44" s="1"/>
      <c r="S44" s="1"/>
      <c r="T44" s="1"/>
    </row>
    <row r="45" spans="1:20" ht="13.5" customHeight="1" x14ac:dyDescent="0.25">
      <c r="A45" s="1"/>
      <c r="B45" s="1" t="s">
        <v>81</v>
      </c>
      <c r="C45" s="1" t="s">
        <v>82</v>
      </c>
      <c r="D45" s="42">
        <v>-70000</v>
      </c>
      <c r="E45" s="43">
        <v>-35548.5</v>
      </c>
      <c r="F45" s="45">
        <v>-100000</v>
      </c>
      <c r="G45" s="45">
        <v>-100000</v>
      </c>
      <c r="H45" s="46">
        <v>-68888</v>
      </c>
      <c r="I45" s="47">
        <f>H45/J45</f>
        <v>0.68888000000000005</v>
      </c>
      <c r="J45" s="48">
        <v>-100000</v>
      </c>
      <c r="K45" s="49">
        <v>-100000</v>
      </c>
      <c r="L45" s="50">
        <v>-72923</v>
      </c>
      <c r="M45" s="50">
        <v>-98377</v>
      </c>
      <c r="N45" s="51">
        <v>-75218</v>
      </c>
      <c r="O45" s="52">
        <v>75913</v>
      </c>
      <c r="P45" s="53">
        <v>122391</v>
      </c>
      <c r="Q45" s="54">
        <v>67544</v>
      </c>
      <c r="R45" s="1"/>
      <c r="S45" s="1"/>
      <c r="T45" s="1"/>
    </row>
    <row r="46" spans="1:20" ht="13.5" customHeight="1" x14ac:dyDescent="0.25">
      <c r="A46" s="1"/>
      <c r="B46" s="1" t="s">
        <v>83</v>
      </c>
      <c r="C46" s="1" t="s">
        <v>84</v>
      </c>
      <c r="D46" s="42">
        <v>0</v>
      </c>
      <c r="E46" s="70">
        <v>0</v>
      </c>
      <c r="F46" s="73">
        <v>0</v>
      </c>
      <c r="G46" s="73">
        <v>0</v>
      </c>
      <c r="H46" s="74">
        <v>0</v>
      </c>
      <c r="I46" s="47">
        <v>0</v>
      </c>
      <c r="J46" s="75">
        <v>0</v>
      </c>
      <c r="K46" s="76">
        <v>0</v>
      </c>
      <c r="L46" s="50">
        <v>-10093</v>
      </c>
      <c r="M46" s="77">
        <v>0</v>
      </c>
      <c r="N46" s="53">
        <v>0</v>
      </c>
      <c r="O46" s="52">
        <v>0</v>
      </c>
      <c r="P46" s="53">
        <v>0</v>
      </c>
      <c r="Q46" s="54">
        <v>0</v>
      </c>
      <c r="R46" s="1"/>
      <c r="S46" s="1"/>
      <c r="T46" s="1"/>
    </row>
    <row r="47" spans="1:20" ht="13.5" customHeight="1" x14ac:dyDescent="0.25">
      <c r="A47" s="1"/>
      <c r="B47" s="1" t="s">
        <v>85</v>
      </c>
      <c r="C47" s="1" t="s">
        <v>86</v>
      </c>
      <c r="D47" s="42">
        <v>-12500</v>
      </c>
      <c r="E47" s="70">
        <v>0</v>
      </c>
      <c r="F47" s="45">
        <v>-12500</v>
      </c>
      <c r="G47" s="45">
        <v>-12500</v>
      </c>
      <c r="H47" s="68">
        <v>-10088.549999999999</v>
      </c>
      <c r="I47" s="47">
        <f t="shared" ref="I47:I50" si="9">H47/J47</f>
        <v>0.80708399999999991</v>
      </c>
      <c r="J47" s="48">
        <v>-12500</v>
      </c>
      <c r="K47" s="49">
        <v>-12500</v>
      </c>
      <c r="L47" s="69">
        <v>-7646.5</v>
      </c>
      <c r="M47" s="50">
        <v>-10032.299999999999</v>
      </c>
      <c r="N47" s="51">
        <v>-15558.45</v>
      </c>
      <c r="O47" s="52">
        <v>10856.2</v>
      </c>
      <c r="P47" s="53">
        <v>13926.8</v>
      </c>
      <c r="Q47" s="54">
        <v>12006.1</v>
      </c>
      <c r="R47" s="1"/>
      <c r="S47" s="1"/>
      <c r="T47" s="1"/>
    </row>
    <row r="48" spans="1:20" ht="13.5" customHeight="1" x14ac:dyDescent="0.25">
      <c r="A48" s="1"/>
      <c r="B48" s="1" t="s">
        <v>87</v>
      </c>
      <c r="C48" s="1" t="s">
        <v>88</v>
      </c>
      <c r="D48" s="42">
        <v>-40000</v>
      </c>
      <c r="E48" s="70">
        <v>-19332.810000000001</v>
      </c>
      <c r="F48" s="45">
        <v>-50000</v>
      </c>
      <c r="G48" s="45">
        <v>-50000</v>
      </c>
      <c r="H48" s="74">
        <v>-39868.32</v>
      </c>
      <c r="I48" s="47">
        <f t="shared" si="9"/>
        <v>0.79736640000000003</v>
      </c>
      <c r="J48" s="48">
        <v>-50000</v>
      </c>
      <c r="K48" s="49">
        <v>-50000</v>
      </c>
      <c r="L48" s="50">
        <v>-95620.57</v>
      </c>
      <c r="M48" s="50">
        <v>-26560.71</v>
      </c>
      <c r="N48" s="51">
        <v>-54147.68</v>
      </c>
      <c r="O48" s="52">
        <v>51554.1</v>
      </c>
      <c r="P48" s="53">
        <v>57508.03</v>
      </c>
      <c r="Q48" s="54">
        <v>38398.300000000003</v>
      </c>
      <c r="R48" s="1"/>
      <c r="S48" s="1"/>
      <c r="T48" s="1"/>
    </row>
    <row r="49" spans="1:20" ht="13.5" customHeight="1" x14ac:dyDescent="0.25">
      <c r="A49" s="1"/>
      <c r="B49" s="1" t="s">
        <v>89</v>
      </c>
      <c r="C49" s="1" t="s">
        <v>90</v>
      </c>
      <c r="D49" s="42">
        <v>-175000</v>
      </c>
      <c r="E49" s="43">
        <v>-182529.77</v>
      </c>
      <c r="F49" s="45">
        <v>-165000</v>
      </c>
      <c r="G49" s="45">
        <v>-165000</v>
      </c>
      <c r="H49" s="66">
        <v>-166871.66</v>
      </c>
      <c r="I49" s="47">
        <f t="shared" si="9"/>
        <v>0.95355234285714285</v>
      </c>
      <c r="J49" s="48">
        <v>-175000</v>
      </c>
      <c r="K49" s="49">
        <v>-175000</v>
      </c>
      <c r="L49" s="50">
        <v>-187491.59</v>
      </c>
      <c r="M49" s="50">
        <f>-176731.85+ABS(M38)</f>
        <v>-172260.85</v>
      </c>
      <c r="N49" s="51">
        <v>-170326.53</v>
      </c>
      <c r="O49" s="52">
        <v>183319.54</v>
      </c>
      <c r="P49" s="53">
        <v>172552.92</v>
      </c>
      <c r="Q49" s="54">
        <v>154359.34</v>
      </c>
      <c r="R49" s="1"/>
      <c r="S49" s="1"/>
      <c r="T49" s="1"/>
    </row>
    <row r="50" spans="1:20" ht="13.5" customHeight="1" x14ac:dyDescent="0.25">
      <c r="A50" s="1"/>
      <c r="B50" s="1" t="s">
        <v>91</v>
      </c>
      <c r="C50" s="1" t="s">
        <v>92</v>
      </c>
      <c r="D50" s="42">
        <v>-80000</v>
      </c>
      <c r="E50" s="70">
        <v>-80226.149999999994</v>
      </c>
      <c r="F50" s="45">
        <v>-80000</v>
      </c>
      <c r="G50" s="45">
        <v>-80000</v>
      </c>
      <c r="H50" s="74">
        <v>-80386.92</v>
      </c>
      <c r="I50" s="47">
        <f t="shared" si="9"/>
        <v>1.0372505806451613</v>
      </c>
      <c r="J50" s="48">
        <v>-77500</v>
      </c>
      <c r="K50" s="49">
        <v>-77500</v>
      </c>
      <c r="L50" s="50">
        <v>-78964.94</v>
      </c>
      <c r="M50" s="50">
        <v>-77038.97</v>
      </c>
      <c r="N50" s="51">
        <v>-75751.199999999997</v>
      </c>
      <c r="O50" s="52">
        <v>75150</v>
      </c>
      <c r="P50" s="53">
        <v>220992.1</v>
      </c>
      <c r="Q50" s="54">
        <v>52432.15</v>
      </c>
      <c r="R50" s="1"/>
      <c r="S50" s="1"/>
      <c r="T50" s="1"/>
    </row>
    <row r="51" spans="1:20" ht="13.5" customHeight="1" x14ac:dyDescent="0.25">
      <c r="A51" s="1"/>
      <c r="B51" s="55" t="s">
        <v>93</v>
      </c>
      <c r="C51" s="55" t="s">
        <v>94</v>
      </c>
      <c r="D51" s="42">
        <v>-65000</v>
      </c>
      <c r="E51" s="70">
        <v>0</v>
      </c>
      <c r="F51" s="71">
        <v>0</v>
      </c>
      <c r="G51" s="71">
        <v>0</v>
      </c>
      <c r="H51" s="68">
        <v>0</v>
      </c>
      <c r="I51" s="47"/>
      <c r="J51" s="48"/>
      <c r="K51" s="49"/>
      <c r="L51" s="69">
        <v>0</v>
      </c>
      <c r="M51" s="69">
        <v>0</v>
      </c>
      <c r="N51" s="79">
        <v>0</v>
      </c>
      <c r="O51" s="80">
        <v>0</v>
      </c>
      <c r="P51" s="2">
        <v>0</v>
      </c>
      <c r="Q51" s="84">
        <v>0</v>
      </c>
      <c r="R51" s="1"/>
      <c r="S51" s="1"/>
      <c r="T51" s="1"/>
    </row>
    <row r="52" spans="1:20" ht="13.5" customHeight="1" x14ac:dyDescent="0.25">
      <c r="A52" s="1"/>
      <c r="B52" s="1"/>
      <c r="C52" s="1"/>
      <c r="D52" s="56">
        <v>-1549784.72</v>
      </c>
      <c r="E52" s="57">
        <f>SUM(E19:E51)</f>
        <v>-1394698.7599999998</v>
      </c>
      <c r="F52" s="58">
        <f>SUM(F18:F51)</f>
        <v>-1853988.87</v>
      </c>
      <c r="G52" s="58">
        <v>-1835370</v>
      </c>
      <c r="H52" s="59">
        <f>SUM(H17:H51)</f>
        <v>-1800333.6</v>
      </c>
      <c r="I52" s="59"/>
      <c r="J52" s="60">
        <f t="shared" ref="J52:Q52" si="10">SUM(J17:J51)</f>
        <v>-1899311</v>
      </c>
      <c r="K52" s="61">
        <f t="shared" si="10"/>
        <v>-1899311</v>
      </c>
      <c r="L52" s="62">
        <f t="shared" si="10"/>
        <v>-1760821.84</v>
      </c>
      <c r="M52" s="62">
        <f t="shared" si="10"/>
        <v>-1713648.74</v>
      </c>
      <c r="N52" s="63">
        <f t="shared" si="10"/>
        <v>-1225483.5900000001</v>
      </c>
      <c r="O52" s="64">
        <f t="shared" si="10"/>
        <v>1199407.6599999999</v>
      </c>
      <c r="P52" s="63">
        <f t="shared" si="10"/>
        <v>1391486.9300000002</v>
      </c>
      <c r="Q52" s="65">
        <f t="shared" si="10"/>
        <v>1640183.6900000002</v>
      </c>
      <c r="R52" s="1"/>
      <c r="S52" s="1"/>
      <c r="T52" s="1"/>
    </row>
    <row r="53" spans="1:20" ht="13.5" customHeight="1" x14ac:dyDescent="0.25">
      <c r="A53" s="1"/>
      <c r="B53" s="1"/>
      <c r="C53" s="1"/>
      <c r="D53" s="42"/>
      <c r="E53" s="67"/>
      <c r="F53" s="45"/>
      <c r="G53" s="45"/>
      <c r="H53" s="74"/>
      <c r="I53" s="66"/>
      <c r="J53" s="48"/>
      <c r="K53" s="49"/>
      <c r="L53" s="50"/>
      <c r="M53" s="50"/>
      <c r="N53" s="51"/>
      <c r="O53" s="52"/>
      <c r="P53" s="53"/>
      <c r="Q53" s="54"/>
      <c r="R53" s="1"/>
      <c r="S53" s="1"/>
      <c r="T53" s="1"/>
    </row>
    <row r="54" spans="1:20" ht="13.5" customHeight="1" x14ac:dyDescent="0.25">
      <c r="A54" s="1"/>
      <c r="B54" s="1"/>
      <c r="C54" s="1"/>
      <c r="D54" s="42"/>
      <c r="E54" s="67"/>
      <c r="F54" s="45"/>
      <c r="G54" s="45"/>
      <c r="H54" s="74"/>
      <c r="I54" s="66"/>
      <c r="J54" s="48"/>
      <c r="K54" s="49"/>
      <c r="L54" s="50"/>
      <c r="M54" s="50"/>
      <c r="N54" s="51"/>
      <c r="O54" s="52"/>
      <c r="P54" s="53"/>
      <c r="Q54" s="54"/>
      <c r="R54" s="1"/>
      <c r="S54" s="1"/>
      <c r="T54" s="1"/>
    </row>
    <row r="55" spans="1:20" ht="13.5" customHeight="1" x14ac:dyDescent="0.25">
      <c r="A55" s="1"/>
      <c r="B55" s="1" t="s">
        <v>95</v>
      </c>
      <c r="C55" s="1" t="s">
        <v>96</v>
      </c>
      <c r="D55" s="42">
        <v>-220000</v>
      </c>
      <c r="E55" s="43">
        <v>-63703.37</v>
      </c>
      <c r="F55" s="45">
        <v>-220000</v>
      </c>
      <c r="G55" s="45">
        <v>-220000</v>
      </c>
      <c r="H55" s="46">
        <v>-194346.46</v>
      </c>
      <c r="I55" s="47">
        <f>H55/J55</f>
        <v>1.3881889999999999</v>
      </c>
      <c r="J55" s="48">
        <v>-140000</v>
      </c>
      <c r="K55" s="49">
        <v>-140000</v>
      </c>
      <c r="L55" s="50">
        <v>-234739.54</v>
      </c>
      <c r="M55" s="50">
        <v>-134188.62</v>
      </c>
      <c r="N55" s="51">
        <v>-143985.37</v>
      </c>
      <c r="O55" s="52">
        <v>148005.54</v>
      </c>
      <c r="P55" s="53">
        <v>150815.54999999999</v>
      </c>
      <c r="Q55" s="54">
        <v>165726.29999999999</v>
      </c>
      <c r="R55" s="1"/>
      <c r="S55" s="1"/>
      <c r="T55" s="1"/>
    </row>
    <row r="56" spans="1:20" ht="13.5" customHeight="1" x14ac:dyDescent="0.25">
      <c r="A56" s="1"/>
      <c r="B56" s="1" t="s">
        <v>97</v>
      </c>
      <c r="C56" s="1" t="s">
        <v>98</v>
      </c>
      <c r="D56" s="42">
        <v>-2000</v>
      </c>
      <c r="E56" s="70">
        <v>-423</v>
      </c>
      <c r="F56" s="73">
        <v>0</v>
      </c>
      <c r="G56" s="73">
        <v>0</v>
      </c>
      <c r="H56" s="68">
        <v>-2486</v>
      </c>
      <c r="I56" s="47">
        <v>0</v>
      </c>
      <c r="J56" s="75">
        <v>0</v>
      </c>
      <c r="K56" s="76">
        <v>0</v>
      </c>
      <c r="L56" s="50">
        <v>-2687.5</v>
      </c>
      <c r="M56" s="77">
        <v>0</v>
      </c>
      <c r="N56" s="53" t="s">
        <v>16</v>
      </c>
      <c r="O56" s="52"/>
      <c r="P56" s="53"/>
      <c r="Q56" s="54"/>
      <c r="R56" s="1"/>
      <c r="S56" s="1"/>
      <c r="T56" s="1"/>
    </row>
    <row r="57" spans="1:20" ht="13.5" customHeight="1" x14ac:dyDescent="0.25">
      <c r="A57" s="1"/>
      <c r="B57" s="1" t="s">
        <v>99</v>
      </c>
      <c r="C57" s="1" t="s">
        <v>100</v>
      </c>
      <c r="D57" s="42">
        <v>-10000</v>
      </c>
      <c r="E57" s="43">
        <v>-5325</v>
      </c>
      <c r="F57" s="45">
        <v>-20000</v>
      </c>
      <c r="G57" s="45">
        <v>-20000</v>
      </c>
      <c r="H57" s="46">
        <v>-26175</v>
      </c>
      <c r="I57" s="47">
        <f t="shared" ref="I57:I78" si="11">H57/J57</f>
        <v>1.3087500000000001</v>
      </c>
      <c r="J57" s="48">
        <v>-20000</v>
      </c>
      <c r="K57" s="49">
        <v>-20000</v>
      </c>
      <c r="L57" s="77">
        <v>0</v>
      </c>
      <c r="M57" s="77">
        <v>0</v>
      </c>
      <c r="N57" s="53" t="s">
        <v>16</v>
      </c>
      <c r="O57" s="52"/>
      <c r="P57" s="53"/>
      <c r="Q57" s="54"/>
      <c r="R57" s="1"/>
      <c r="S57" s="1"/>
      <c r="T57" s="1"/>
    </row>
    <row r="58" spans="1:20" ht="13.5" customHeight="1" x14ac:dyDescent="0.25">
      <c r="A58" s="1"/>
      <c r="B58" s="1" t="s">
        <v>101</v>
      </c>
      <c r="C58" s="1" t="s">
        <v>102</v>
      </c>
      <c r="D58" s="42">
        <v>-15000</v>
      </c>
      <c r="E58" s="43">
        <v>-6327.01</v>
      </c>
      <c r="F58" s="45">
        <v>-15000</v>
      </c>
      <c r="G58" s="45">
        <v>-15000</v>
      </c>
      <c r="H58" s="46">
        <v>-13663.4</v>
      </c>
      <c r="I58" s="47">
        <f t="shared" si="11"/>
        <v>0.91089333333333333</v>
      </c>
      <c r="J58" s="48">
        <v>-15000</v>
      </c>
      <c r="K58" s="49">
        <v>-15000</v>
      </c>
      <c r="L58" s="50">
        <v>-12839.23</v>
      </c>
      <c r="M58" s="50">
        <v>-12176.57</v>
      </c>
      <c r="N58" s="51">
        <v>-14228.1</v>
      </c>
      <c r="O58" s="52">
        <v>17297.400000000001</v>
      </c>
      <c r="P58" s="53">
        <v>21326.04</v>
      </c>
      <c r="Q58" s="54">
        <v>22656.880000000001</v>
      </c>
      <c r="R58" s="1"/>
      <c r="S58" s="1"/>
      <c r="T58" s="1"/>
    </row>
    <row r="59" spans="1:20" ht="13.5" customHeight="1" x14ac:dyDescent="0.25">
      <c r="A59" s="1"/>
      <c r="B59" s="1" t="s">
        <v>103</v>
      </c>
      <c r="C59" s="1" t="s">
        <v>104</v>
      </c>
      <c r="D59" s="42">
        <v>-100000</v>
      </c>
      <c r="E59" s="43">
        <v>-47969.52</v>
      </c>
      <c r="F59" s="45">
        <v>-100000</v>
      </c>
      <c r="G59" s="45">
        <v>-100000</v>
      </c>
      <c r="H59" s="46">
        <v>-79501.25</v>
      </c>
      <c r="I59" s="47">
        <f t="shared" si="11"/>
        <v>0.79501250000000001</v>
      </c>
      <c r="J59" s="48">
        <v>-100000</v>
      </c>
      <c r="K59" s="49">
        <v>-100000</v>
      </c>
      <c r="L59" s="50">
        <v>-84696.960000000006</v>
      </c>
      <c r="M59" s="50">
        <v>-103853.08</v>
      </c>
      <c r="N59" s="51">
        <v>-105050.76</v>
      </c>
      <c r="O59" s="52">
        <v>91661.23</v>
      </c>
      <c r="P59" s="53">
        <v>119404.62</v>
      </c>
      <c r="Q59" s="54">
        <v>131790.70000000001</v>
      </c>
      <c r="R59" s="1"/>
      <c r="S59" s="1"/>
      <c r="T59" s="1"/>
    </row>
    <row r="60" spans="1:20" ht="13.5" customHeight="1" x14ac:dyDescent="0.25">
      <c r="A60" s="1"/>
      <c r="B60" s="1" t="s">
        <v>105</v>
      </c>
      <c r="C60" s="1" t="s">
        <v>106</v>
      </c>
      <c r="D60" s="42">
        <v>-575000</v>
      </c>
      <c r="E60" s="43">
        <v>-163072.79</v>
      </c>
      <c r="F60" s="45">
        <v>-575000</v>
      </c>
      <c r="G60" s="45">
        <v>-575000</v>
      </c>
      <c r="H60" s="46">
        <v>-615165.49</v>
      </c>
      <c r="I60" s="47">
        <f t="shared" si="11"/>
        <v>1.0252758166666667</v>
      </c>
      <c r="J60" s="48">
        <v>-600000</v>
      </c>
      <c r="K60" s="49">
        <v>-600000</v>
      </c>
      <c r="L60" s="50">
        <v>-573379.81000000006</v>
      </c>
      <c r="M60" s="50">
        <v>-601594.04</v>
      </c>
      <c r="N60" s="51">
        <v>-582796.56000000006</v>
      </c>
      <c r="O60" s="52">
        <v>571840.39</v>
      </c>
      <c r="P60" s="53">
        <v>595383.97</v>
      </c>
      <c r="Q60" s="54">
        <v>523713.96</v>
      </c>
      <c r="R60" s="1"/>
      <c r="S60" s="1"/>
      <c r="T60" s="1"/>
    </row>
    <row r="61" spans="1:20" ht="13.5" customHeight="1" x14ac:dyDescent="0.25">
      <c r="A61" s="1"/>
      <c r="B61" s="1" t="s">
        <v>107</v>
      </c>
      <c r="C61" s="1" t="s">
        <v>108</v>
      </c>
      <c r="D61" s="42">
        <v>-10000</v>
      </c>
      <c r="E61" s="70">
        <v>-1968.65</v>
      </c>
      <c r="F61" s="45">
        <v>-10000</v>
      </c>
      <c r="G61" s="45">
        <v>-10000</v>
      </c>
      <c r="H61" s="68">
        <v>-9798.52</v>
      </c>
      <c r="I61" s="47">
        <f t="shared" si="11"/>
        <v>0.97985200000000006</v>
      </c>
      <c r="J61" s="48">
        <v>-10000</v>
      </c>
      <c r="K61" s="49">
        <v>-10000</v>
      </c>
      <c r="L61" s="50">
        <v>-15584.72</v>
      </c>
      <c r="M61" s="50">
        <v>-16079.36</v>
      </c>
      <c r="N61" s="51">
        <v>-8127.38</v>
      </c>
      <c r="O61" s="52">
        <v>5894.05</v>
      </c>
      <c r="P61" s="53">
        <v>27167.57</v>
      </c>
      <c r="Q61" s="54">
        <v>33989.64</v>
      </c>
      <c r="R61" s="1"/>
      <c r="S61" s="1"/>
      <c r="T61" s="1"/>
    </row>
    <row r="62" spans="1:20" ht="13.5" customHeight="1" x14ac:dyDescent="0.25">
      <c r="A62" s="1"/>
      <c r="B62" s="1" t="s">
        <v>109</v>
      </c>
      <c r="C62" s="1" t="s">
        <v>110</v>
      </c>
      <c r="D62" s="42">
        <v>-200000</v>
      </c>
      <c r="E62" s="43">
        <v>-90486</v>
      </c>
      <c r="F62" s="45">
        <v>-200000</v>
      </c>
      <c r="G62" s="45">
        <v>-200000</v>
      </c>
      <c r="H62" s="46">
        <v>-179982</v>
      </c>
      <c r="I62" s="47">
        <f t="shared" si="11"/>
        <v>0.89990999999999999</v>
      </c>
      <c r="J62" s="48">
        <v>-200000</v>
      </c>
      <c r="K62" s="49">
        <v>-200000</v>
      </c>
      <c r="L62" s="50">
        <v>-178456</v>
      </c>
      <c r="M62" s="50">
        <v>-193158.04</v>
      </c>
      <c r="N62" s="51">
        <v>-194264.25</v>
      </c>
      <c r="O62" s="52">
        <v>170855.17</v>
      </c>
      <c r="P62" s="53">
        <v>166876.75</v>
      </c>
      <c r="Q62" s="54">
        <v>83736</v>
      </c>
      <c r="R62" s="1"/>
      <c r="S62" s="1"/>
      <c r="T62" s="1"/>
    </row>
    <row r="63" spans="1:20" ht="13.5" customHeight="1" x14ac:dyDescent="0.25">
      <c r="A63" s="1"/>
      <c r="B63" s="1" t="s">
        <v>111</v>
      </c>
      <c r="C63" s="1" t="s">
        <v>112</v>
      </c>
      <c r="D63" s="42">
        <v>-3000</v>
      </c>
      <c r="E63" s="43">
        <v>-1464.44</v>
      </c>
      <c r="F63" s="45">
        <v>-3000</v>
      </c>
      <c r="G63" s="45">
        <v>-3000</v>
      </c>
      <c r="H63" s="46">
        <v>-3504.42</v>
      </c>
      <c r="I63" s="47">
        <f t="shared" si="11"/>
        <v>1.16814</v>
      </c>
      <c r="J63" s="48">
        <v>-3000</v>
      </c>
      <c r="K63" s="49">
        <v>-3000</v>
      </c>
      <c r="L63" s="50">
        <v>-2979.44</v>
      </c>
      <c r="M63" s="50">
        <v>-3066.89</v>
      </c>
      <c r="N63" s="51">
        <v>-3794.56</v>
      </c>
      <c r="O63" s="52">
        <v>4292.63</v>
      </c>
      <c r="P63" s="53">
        <v>3663.22</v>
      </c>
      <c r="Q63" s="54">
        <v>3809.16</v>
      </c>
      <c r="R63" s="1"/>
      <c r="S63" s="1"/>
      <c r="T63" s="1"/>
    </row>
    <row r="64" spans="1:20" ht="13.5" customHeight="1" x14ac:dyDescent="0.25">
      <c r="A64" s="1"/>
      <c r="B64" s="1" t="s">
        <v>113</v>
      </c>
      <c r="C64" s="1" t="s">
        <v>114</v>
      </c>
      <c r="D64" s="42">
        <v>-85000</v>
      </c>
      <c r="E64" s="43">
        <v>-46223.4</v>
      </c>
      <c r="F64" s="45">
        <v>-85000</v>
      </c>
      <c r="G64" s="45">
        <v>-85000</v>
      </c>
      <c r="H64" s="46">
        <v>-92873.7</v>
      </c>
      <c r="I64" s="47">
        <f t="shared" si="11"/>
        <v>1.0926317647058823</v>
      </c>
      <c r="J64" s="48">
        <v>-85000</v>
      </c>
      <c r="K64" s="49">
        <v>-85000</v>
      </c>
      <c r="L64" s="50">
        <v>-88831.34</v>
      </c>
      <c r="M64" s="50">
        <v>-88176</v>
      </c>
      <c r="N64" s="51">
        <v>-77520.259999999995</v>
      </c>
      <c r="O64" s="52">
        <v>69459.039999999994</v>
      </c>
      <c r="P64" s="53">
        <v>64833.5</v>
      </c>
      <c r="Q64" s="54">
        <v>55891.4</v>
      </c>
      <c r="R64" s="1"/>
      <c r="S64" s="1"/>
      <c r="T64" s="1"/>
    </row>
    <row r="65" spans="1:20" ht="13.5" customHeight="1" x14ac:dyDescent="0.25">
      <c r="A65" s="1"/>
      <c r="B65" s="1" t="s">
        <v>115</v>
      </c>
      <c r="C65" s="1" t="s">
        <v>116</v>
      </c>
      <c r="D65" s="42">
        <v>-127000</v>
      </c>
      <c r="E65" s="43">
        <v>-128563.4</v>
      </c>
      <c r="F65" s="45">
        <v>-127000</v>
      </c>
      <c r="G65" s="45">
        <v>-127000</v>
      </c>
      <c r="H65" s="66">
        <v>-127467.15</v>
      </c>
      <c r="I65" s="47">
        <f t="shared" si="11"/>
        <v>1.2139728571428572</v>
      </c>
      <c r="J65" s="48">
        <v>-105000</v>
      </c>
      <c r="K65" s="49">
        <v>-105000</v>
      </c>
      <c r="L65" s="50">
        <v>-109065.8</v>
      </c>
      <c r="M65" s="50">
        <v>-103296.7</v>
      </c>
      <c r="N65" s="51">
        <v>-107449.56</v>
      </c>
      <c r="O65" s="52">
        <v>124921.62</v>
      </c>
      <c r="P65" s="53">
        <v>123924.9</v>
      </c>
      <c r="Q65" s="54">
        <v>108322.5</v>
      </c>
      <c r="R65" s="1"/>
      <c r="S65" s="1"/>
      <c r="T65" s="1"/>
    </row>
    <row r="66" spans="1:20" ht="13.5" customHeight="1" x14ac:dyDescent="0.25">
      <c r="A66" s="1"/>
      <c r="B66" s="1" t="s">
        <v>117</v>
      </c>
      <c r="C66" s="1" t="s">
        <v>118</v>
      </c>
      <c r="D66" s="42">
        <v>-330000</v>
      </c>
      <c r="E66" s="43">
        <v>-139910.42000000001</v>
      </c>
      <c r="F66" s="45">
        <v>-330000</v>
      </c>
      <c r="G66" s="45">
        <v>-330000</v>
      </c>
      <c r="H66" s="46">
        <v>-324209.69</v>
      </c>
      <c r="I66" s="47">
        <f t="shared" si="11"/>
        <v>0.98245360606060606</v>
      </c>
      <c r="J66" s="48">
        <v>-330000</v>
      </c>
      <c r="K66" s="49">
        <v>-330000</v>
      </c>
      <c r="L66" s="50">
        <v>-311236.45</v>
      </c>
      <c r="M66" s="50">
        <v>-306243.82</v>
      </c>
      <c r="N66" s="51">
        <v>-286282.44</v>
      </c>
      <c r="O66" s="52">
        <v>276453.84000000003</v>
      </c>
      <c r="P66" s="53">
        <v>289676.65999999997</v>
      </c>
      <c r="Q66" s="54">
        <v>288261</v>
      </c>
      <c r="R66" s="1"/>
      <c r="S66" s="1"/>
      <c r="T66" s="1"/>
    </row>
    <row r="67" spans="1:20" ht="13.5" customHeight="1" x14ac:dyDescent="0.25">
      <c r="A67" s="1"/>
      <c r="B67" s="1" t="s">
        <v>119</v>
      </c>
      <c r="C67" s="1" t="s">
        <v>120</v>
      </c>
      <c r="D67" s="42">
        <v>-350000</v>
      </c>
      <c r="E67" s="70">
        <v>-378469.52</v>
      </c>
      <c r="F67" s="45">
        <v>-350000</v>
      </c>
      <c r="G67" s="45">
        <v>-350000</v>
      </c>
      <c r="H67" s="74">
        <v>-349941.15</v>
      </c>
      <c r="I67" s="47">
        <f t="shared" si="11"/>
        <v>0.99983185714285716</v>
      </c>
      <c r="J67" s="48">
        <v>-350000</v>
      </c>
      <c r="K67" s="49">
        <v>-350000</v>
      </c>
      <c r="L67" s="50">
        <v>-350985.47</v>
      </c>
      <c r="M67" s="50">
        <v>-324580.38</v>
      </c>
      <c r="N67" s="51">
        <v>-294079.53000000003</v>
      </c>
      <c r="O67" s="52">
        <v>278636.81</v>
      </c>
      <c r="P67" s="53">
        <v>233503.32</v>
      </c>
      <c r="Q67" s="54">
        <v>197804.83</v>
      </c>
      <c r="R67" s="1"/>
      <c r="S67" s="1"/>
      <c r="T67" s="1"/>
    </row>
    <row r="68" spans="1:20" ht="13.5" customHeight="1" x14ac:dyDescent="0.25">
      <c r="A68" s="1"/>
      <c r="B68" s="1" t="s">
        <v>121</v>
      </c>
      <c r="C68" s="1" t="s">
        <v>122</v>
      </c>
      <c r="D68" s="42">
        <v>-45000</v>
      </c>
      <c r="E68" s="43">
        <v>-19730</v>
      </c>
      <c r="F68" s="45">
        <v>-45000</v>
      </c>
      <c r="G68" s="45">
        <v>-45000</v>
      </c>
      <c r="H68" s="46">
        <v>-40091.199999999997</v>
      </c>
      <c r="I68" s="47">
        <f t="shared" si="11"/>
        <v>0.89091555555555546</v>
      </c>
      <c r="J68" s="48">
        <v>-45000</v>
      </c>
      <c r="K68" s="49">
        <v>-45000</v>
      </c>
      <c r="L68" s="50">
        <v>-41830</v>
      </c>
      <c r="M68" s="50">
        <v>-40421.199999999997</v>
      </c>
      <c r="N68" s="51">
        <v>-36850</v>
      </c>
      <c r="O68" s="52">
        <v>37295</v>
      </c>
      <c r="P68" s="53">
        <v>34255</v>
      </c>
      <c r="Q68" s="54">
        <v>38834.300000000003</v>
      </c>
      <c r="R68" s="1"/>
      <c r="S68" s="1"/>
      <c r="T68" s="1"/>
    </row>
    <row r="69" spans="1:20" ht="13.5" customHeight="1" x14ac:dyDescent="0.25">
      <c r="A69" s="1"/>
      <c r="B69" s="1" t="s">
        <v>123</v>
      </c>
      <c r="C69" s="1" t="s">
        <v>124</v>
      </c>
      <c r="D69" s="42">
        <v>-225000</v>
      </c>
      <c r="E69" s="43">
        <v>-76143.649999999994</v>
      </c>
      <c r="F69" s="45">
        <v>-225000</v>
      </c>
      <c r="G69" s="45">
        <v>-225000</v>
      </c>
      <c r="H69" s="46">
        <v>-268414.15999999997</v>
      </c>
      <c r="I69" s="47">
        <f t="shared" si="11"/>
        <v>1.1929518222222222</v>
      </c>
      <c r="J69" s="48">
        <v>-225000</v>
      </c>
      <c r="K69" s="49">
        <v>-225000</v>
      </c>
      <c r="L69" s="50">
        <v>-142910.35999999999</v>
      </c>
      <c r="M69" s="50">
        <v>-201656.25</v>
      </c>
      <c r="N69" s="51">
        <v>-198159.79</v>
      </c>
      <c r="O69" s="52">
        <v>584824.37</v>
      </c>
      <c r="P69" s="53">
        <v>211465.08</v>
      </c>
      <c r="Q69" s="54">
        <v>175374.07</v>
      </c>
      <c r="R69" s="1"/>
      <c r="S69" s="1"/>
      <c r="T69" s="1"/>
    </row>
    <row r="70" spans="1:20" ht="13.5" customHeight="1" x14ac:dyDescent="0.25">
      <c r="A70" s="1"/>
      <c r="B70" s="1" t="s">
        <v>125</v>
      </c>
      <c r="C70" s="1" t="s">
        <v>126</v>
      </c>
      <c r="D70" s="42">
        <v>-4000</v>
      </c>
      <c r="E70" s="70">
        <v>-814.38</v>
      </c>
      <c r="F70" s="45">
        <v>-4000</v>
      </c>
      <c r="G70" s="45">
        <v>-4000</v>
      </c>
      <c r="H70" s="68">
        <v>-4498.34</v>
      </c>
      <c r="I70" s="47">
        <f t="shared" si="11"/>
        <v>1.1245849999999999</v>
      </c>
      <c r="J70" s="48">
        <v>-4000</v>
      </c>
      <c r="K70" s="49">
        <v>-4000</v>
      </c>
      <c r="L70" s="50">
        <v>-4678.66</v>
      </c>
      <c r="M70" s="50">
        <v>-5945.61</v>
      </c>
      <c r="N70" s="51">
        <v>-3001.05</v>
      </c>
      <c r="O70" s="52">
        <v>15221.56</v>
      </c>
      <c r="P70" s="53">
        <v>6831.13</v>
      </c>
      <c r="Q70" s="54">
        <v>10169.01</v>
      </c>
      <c r="R70" s="1"/>
      <c r="S70" s="1"/>
      <c r="T70" s="1"/>
    </row>
    <row r="71" spans="1:20" ht="13.5" customHeight="1" x14ac:dyDescent="0.25">
      <c r="A71" s="1"/>
      <c r="B71" s="1" t="s">
        <v>127</v>
      </c>
      <c r="C71" s="1" t="s">
        <v>128</v>
      </c>
      <c r="D71" s="42">
        <v>-6000</v>
      </c>
      <c r="E71" s="43">
        <v>-1692.97</v>
      </c>
      <c r="F71" s="45">
        <v>-6000</v>
      </c>
      <c r="G71" s="45">
        <v>-6000</v>
      </c>
      <c r="H71" s="46">
        <v>-5323.61</v>
      </c>
      <c r="I71" s="47">
        <f t="shared" si="11"/>
        <v>0.88726833333333333</v>
      </c>
      <c r="J71" s="48">
        <v>-6000</v>
      </c>
      <c r="K71" s="49">
        <v>-6000</v>
      </c>
      <c r="L71" s="50">
        <v>-4759.03</v>
      </c>
      <c r="M71" s="50">
        <v>-5120.04</v>
      </c>
      <c r="N71" s="51">
        <v>-3994.8</v>
      </c>
      <c r="O71" s="52">
        <v>1981.01</v>
      </c>
      <c r="P71" s="53">
        <v>3017.22</v>
      </c>
      <c r="Q71" s="54">
        <v>2711.82</v>
      </c>
      <c r="R71" s="1"/>
      <c r="S71" s="1"/>
      <c r="T71" s="1"/>
    </row>
    <row r="72" spans="1:20" ht="13.5" customHeight="1" x14ac:dyDescent="0.25">
      <c r="A72" s="1"/>
      <c r="B72" s="1" t="s">
        <v>129</v>
      </c>
      <c r="C72" s="1" t="s">
        <v>130</v>
      </c>
      <c r="D72" s="42">
        <v>-16000</v>
      </c>
      <c r="E72" s="43">
        <v>-6123.16</v>
      </c>
      <c r="F72" s="45">
        <v>-16000</v>
      </c>
      <c r="G72" s="45">
        <v>-16000</v>
      </c>
      <c r="H72" s="46">
        <v>-13386.67</v>
      </c>
      <c r="I72" s="47">
        <f t="shared" si="11"/>
        <v>0.83666687500000003</v>
      </c>
      <c r="J72" s="48">
        <v>-16000</v>
      </c>
      <c r="K72" s="49">
        <v>-16000</v>
      </c>
      <c r="L72" s="50">
        <v>-13525.63</v>
      </c>
      <c r="M72" s="50">
        <v>-13221.8</v>
      </c>
      <c r="N72" s="51">
        <v>-12626.98</v>
      </c>
      <c r="O72" s="52">
        <v>14283.95</v>
      </c>
      <c r="P72" s="53">
        <v>11684.66</v>
      </c>
      <c r="Q72" s="54">
        <v>8059.17</v>
      </c>
      <c r="R72" s="1"/>
      <c r="S72" s="1"/>
      <c r="T72" s="1"/>
    </row>
    <row r="73" spans="1:20" ht="13.5" customHeight="1" x14ac:dyDescent="0.25">
      <c r="A73" s="1"/>
      <c r="B73" s="1" t="s">
        <v>131</v>
      </c>
      <c r="C73" s="1" t="s">
        <v>132</v>
      </c>
      <c r="D73" s="42">
        <v>-3000</v>
      </c>
      <c r="E73" s="43">
        <v>-1062</v>
      </c>
      <c r="F73" s="45">
        <v>-3000</v>
      </c>
      <c r="G73" s="45">
        <v>-3000</v>
      </c>
      <c r="H73" s="46">
        <v>-3784.18</v>
      </c>
      <c r="I73" s="47">
        <f t="shared" si="11"/>
        <v>1.2613933333333334</v>
      </c>
      <c r="J73" s="48">
        <v>-3000</v>
      </c>
      <c r="K73" s="49">
        <v>-3000</v>
      </c>
      <c r="L73" s="50">
        <v>-2893.12</v>
      </c>
      <c r="M73" s="50">
        <v>-3259.3</v>
      </c>
      <c r="N73" s="51">
        <v>-5377.08</v>
      </c>
      <c r="O73" s="52">
        <v>0</v>
      </c>
      <c r="P73" s="53">
        <v>0</v>
      </c>
      <c r="Q73" s="54">
        <v>0</v>
      </c>
      <c r="R73" s="1"/>
      <c r="S73" s="1"/>
      <c r="T73" s="1"/>
    </row>
    <row r="74" spans="1:20" ht="13.5" customHeight="1" x14ac:dyDescent="0.25">
      <c r="A74" s="1"/>
      <c r="B74" s="1" t="s">
        <v>133</v>
      </c>
      <c r="C74" s="78" t="s">
        <v>134</v>
      </c>
      <c r="D74" s="42">
        <v>-18000</v>
      </c>
      <c r="E74" s="43">
        <v>-4551.66</v>
      </c>
      <c r="F74" s="45">
        <v>-18000</v>
      </c>
      <c r="G74" s="45">
        <v>-18000</v>
      </c>
      <c r="H74" s="46">
        <v>-13172.15</v>
      </c>
      <c r="I74" s="47">
        <f t="shared" si="11"/>
        <v>0.59873409090909091</v>
      </c>
      <c r="J74" s="48">
        <v>-22000</v>
      </c>
      <c r="K74" s="49">
        <v>-22000</v>
      </c>
      <c r="L74" s="50">
        <v>-18177.900000000001</v>
      </c>
      <c r="M74" s="50">
        <v>-17736.650000000001</v>
      </c>
      <c r="N74" s="51">
        <v>-40623.980000000003</v>
      </c>
      <c r="O74" s="52">
        <v>11916.6</v>
      </c>
      <c r="P74" s="53">
        <v>14167.15</v>
      </c>
      <c r="Q74" s="54">
        <v>11386.95</v>
      </c>
      <c r="R74" s="1"/>
      <c r="S74" s="1"/>
      <c r="T74" s="1"/>
    </row>
    <row r="75" spans="1:20" ht="13.5" customHeight="1" x14ac:dyDescent="0.25">
      <c r="A75" s="1"/>
      <c r="B75" s="1" t="s">
        <v>135</v>
      </c>
      <c r="C75" s="78" t="s">
        <v>136</v>
      </c>
      <c r="D75" s="42">
        <v>-22000</v>
      </c>
      <c r="E75" s="43">
        <v>-10626.09</v>
      </c>
      <c r="F75" s="45">
        <v>-22000</v>
      </c>
      <c r="G75" s="45">
        <v>-22000</v>
      </c>
      <c r="H75" s="46">
        <v>-27596.36</v>
      </c>
      <c r="I75" s="47">
        <f t="shared" si="11"/>
        <v>1.2543800000000001</v>
      </c>
      <c r="J75" s="48">
        <v>-22000</v>
      </c>
      <c r="K75" s="49">
        <v>-22000</v>
      </c>
      <c r="L75" s="50">
        <v>-26191.439999999999</v>
      </c>
      <c r="M75" s="50">
        <v>-22260.07</v>
      </c>
      <c r="N75" s="51">
        <v>-25493.97</v>
      </c>
      <c r="O75" s="52">
        <v>22860.1</v>
      </c>
      <c r="P75" s="53">
        <v>26234.47</v>
      </c>
      <c r="Q75" s="54">
        <v>20920.46</v>
      </c>
      <c r="R75" s="1"/>
      <c r="S75" s="1"/>
      <c r="T75" s="1"/>
    </row>
    <row r="76" spans="1:20" ht="13.5" customHeight="1" x14ac:dyDescent="0.25">
      <c r="A76" s="1"/>
      <c r="B76" s="1" t="s">
        <v>137</v>
      </c>
      <c r="C76" s="78" t="s">
        <v>138</v>
      </c>
      <c r="D76" s="42">
        <v>-13000</v>
      </c>
      <c r="E76" s="43">
        <v>-4251.45</v>
      </c>
      <c r="F76" s="45">
        <v>-13000</v>
      </c>
      <c r="G76" s="45">
        <v>-13000</v>
      </c>
      <c r="H76" s="46">
        <v>-12333.49</v>
      </c>
      <c r="I76" s="47">
        <f t="shared" si="11"/>
        <v>0.94872999999999996</v>
      </c>
      <c r="J76" s="48">
        <v>-13000</v>
      </c>
      <c r="K76" s="49">
        <v>-13000</v>
      </c>
      <c r="L76" s="50">
        <v>-9953.43</v>
      </c>
      <c r="M76" s="50">
        <v>-12064.08</v>
      </c>
      <c r="N76" s="51">
        <v>-17618.310000000001</v>
      </c>
      <c r="O76" s="52">
        <v>12831.5</v>
      </c>
      <c r="P76" s="53">
        <v>13648.9</v>
      </c>
      <c r="Q76" s="54">
        <v>13010.8</v>
      </c>
      <c r="R76" s="1"/>
      <c r="S76" s="1"/>
      <c r="T76" s="1"/>
    </row>
    <row r="77" spans="1:20" ht="13.5" customHeight="1" x14ac:dyDescent="0.25">
      <c r="A77" s="1"/>
      <c r="B77" s="1" t="s">
        <v>139</v>
      </c>
      <c r="C77" s="78" t="s">
        <v>140</v>
      </c>
      <c r="D77" s="42">
        <v>-12000</v>
      </c>
      <c r="E77" s="43">
        <v>-4645.97</v>
      </c>
      <c r="F77" s="45">
        <v>-12000</v>
      </c>
      <c r="G77" s="45">
        <v>-12000</v>
      </c>
      <c r="H77" s="46">
        <v>-11597.39</v>
      </c>
      <c r="I77" s="47">
        <f t="shared" si="11"/>
        <v>0.77315933333333331</v>
      </c>
      <c r="J77" s="48">
        <v>-15000</v>
      </c>
      <c r="K77" s="49">
        <v>-15000</v>
      </c>
      <c r="L77" s="50">
        <v>-12127.76</v>
      </c>
      <c r="M77" s="50">
        <v>-9608.19</v>
      </c>
      <c r="N77" s="51">
        <v>-10254.58</v>
      </c>
      <c r="O77" s="52">
        <v>7507</v>
      </c>
      <c r="P77" s="53">
        <v>7446.6</v>
      </c>
      <c r="Q77" s="54">
        <v>5678.5</v>
      </c>
      <c r="R77" s="1"/>
      <c r="S77" s="1"/>
      <c r="T77" s="1"/>
    </row>
    <row r="78" spans="1:20" ht="13.5" customHeight="1" x14ac:dyDescent="0.25">
      <c r="A78" s="1"/>
      <c r="B78" s="1" t="s">
        <v>141</v>
      </c>
      <c r="C78" s="78" t="s">
        <v>142</v>
      </c>
      <c r="D78" s="42">
        <v>-14000</v>
      </c>
      <c r="E78" s="43">
        <v>-5963.17</v>
      </c>
      <c r="F78" s="45">
        <v>-14000</v>
      </c>
      <c r="G78" s="45">
        <v>-14000</v>
      </c>
      <c r="H78" s="46">
        <v>-16692.8</v>
      </c>
      <c r="I78" s="47">
        <f t="shared" si="11"/>
        <v>1.1923428571428571</v>
      </c>
      <c r="J78" s="48">
        <v>-14000</v>
      </c>
      <c r="K78" s="49">
        <v>-14000</v>
      </c>
      <c r="L78" s="50">
        <v>-13172.43</v>
      </c>
      <c r="M78" s="50">
        <v>-14044.01</v>
      </c>
      <c r="N78" s="51">
        <v>-13737.85</v>
      </c>
      <c r="O78" s="52">
        <v>8485.9</v>
      </c>
      <c r="P78" s="53">
        <v>11463.14</v>
      </c>
      <c r="Q78" s="54">
        <v>12690.5</v>
      </c>
      <c r="R78" s="1"/>
      <c r="S78" s="1"/>
      <c r="T78" s="1"/>
    </row>
    <row r="79" spans="1:20" ht="13.5" customHeight="1" x14ac:dyDescent="0.25">
      <c r="A79" s="1"/>
      <c r="B79" s="1" t="s">
        <v>143</v>
      </c>
      <c r="C79" s="1" t="s">
        <v>144</v>
      </c>
      <c r="D79" s="42">
        <v>0</v>
      </c>
      <c r="E79" s="70">
        <v>0</v>
      </c>
      <c r="F79" s="86">
        <v>0</v>
      </c>
      <c r="G79" s="86">
        <v>0</v>
      </c>
      <c r="H79" s="68">
        <v>0</v>
      </c>
      <c r="I79" s="47"/>
      <c r="J79" s="75" t="s">
        <v>16</v>
      </c>
      <c r="K79" s="76" t="s">
        <v>16</v>
      </c>
      <c r="L79" s="83">
        <v>0</v>
      </c>
      <c r="M79" s="83">
        <v>0</v>
      </c>
      <c r="N79" s="51">
        <v>-246.65</v>
      </c>
      <c r="O79" s="52">
        <v>638.20000000000005</v>
      </c>
      <c r="P79" s="53">
        <v>868.03</v>
      </c>
      <c r="Q79" s="54">
        <v>1006.96</v>
      </c>
      <c r="R79" s="1"/>
      <c r="S79" s="1"/>
      <c r="T79" s="1"/>
    </row>
    <row r="80" spans="1:20" ht="13.5" customHeight="1" x14ac:dyDescent="0.25">
      <c r="A80" s="1"/>
      <c r="B80" s="1" t="s">
        <v>145</v>
      </c>
      <c r="C80" s="1" t="s">
        <v>146</v>
      </c>
      <c r="D80" s="42">
        <v>0</v>
      </c>
      <c r="E80" s="70">
        <v>-40</v>
      </c>
      <c r="F80" s="86">
        <v>0</v>
      </c>
      <c r="G80" s="86">
        <v>0</v>
      </c>
      <c r="H80" s="68">
        <v>-153.1</v>
      </c>
      <c r="I80" s="47"/>
      <c r="J80" s="75" t="s">
        <v>16</v>
      </c>
      <c r="K80" s="76" t="s">
        <v>16</v>
      </c>
      <c r="L80" s="50">
        <v>-38.4</v>
      </c>
      <c r="M80" s="50">
        <v>-120</v>
      </c>
      <c r="N80" s="51">
        <v>-100</v>
      </c>
      <c r="O80" s="52">
        <v>300</v>
      </c>
      <c r="P80" s="53">
        <v>190</v>
      </c>
      <c r="Q80" s="54">
        <v>160</v>
      </c>
      <c r="R80" s="1"/>
      <c r="S80" s="1"/>
      <c r="T80" s="1"/>
    </row>
    <row r="81" spans="1:20" ht="13.5" customHeight="1" x14ac:dyDescent="0.25">
      <c r="A81" s="1"/>
      <c r="B81" s="1" t="s">
        <v>147</v>
      </c>
      <c r="C81" s="1" t="s">
        <v>148</v>
      </c>
      <c r="D81" s="42">
        <v>-4500</v>
      </c>
      <c r="E81" s="43">
        <v>-977.99</v>
      </c>
      <c r="F81" s="45">
        <v>-4500</v>
      </c>
      <c r="G81" s="45">
        <v>-4500</v>
      </c>
      <c r="H81" s="46">
        <v>-3225.67</v>
      </c>
      <c r="I81" s="47">
        <f t="shared" ref="I81:I94" si="12">H81/J81</f>
        <v>0.71681555555555554</v>
      </c>
      <c r="J81" s="48">
        <v>-4500</v>
      </c>
      <c r="K81" s="49">
        <v>-4500</v>
      </c>
      <c r="L81" s="50">
        <v>-4799.57</v>
      </c>
      <c r="M81" s="50">
        <v>-4664.3500000000004</v>
      </c>
      <c r="N81" s="51">
        <v>-4218.45</v>
      </c>
      <c r="O81" s="52">
        <v>2828.5</v>
      </c>
      <c r="P81" s="53">
        <v>4001</v>
      </c>
      <c r="Q81" s="54">
        <v>4373.58</v>
      </c>
      <c r="R81" s="1"/>
      <c r="S81" s="1"/>
      <c r="T81" s="1"/>
    </row>
    <row r="82" spans="1:20" ht="13.5" customHeight="1" x14ac:dyDescent="0.25">
      <c r="A82" s="1"/>
      <c r="B82" s="1" t="s">
        <v>149</v>
      </c>
      <c r="C82" s="1" t="s">
        <v>150</v>
      </c>
      <c r="D82" s="42">
        <v>-2000</v>
      </c>
      <c r="E82" s="43">
        <v>-516.27</v>
      </c>
      <c r="F82" s="45">
        <v>-2000</v>
      </c>
      <c r="G82" s="45">
        <v>-2000</v>
      </c>
      <c r="H82" s="46">
        <v>-1936.31</v>
      </c>
      <c r="I82" s="47">
        <f t="shared" si="12"/>
        <v>0.96815499999999999</v>
      </c>
      <c r="J82" s="48">
        <v>-2000</v>
      </c>
      <c r="K82" s="49">
        <v>-2000</v>
      </c>
      <c r="L82" s="50">
        <v>-2408.91</v>
      </c>
      <c r="M82" s="50">
        <v>-1951.19</v>
      </c>
      <c r="N82" s="51">
        <v>-2189.83</v>
      </c>
      <c r="O82" s="52">
        <v>2006.96</v>
      </c>
      <c r="P82" s="53">
        <v>2744</v>
      </c>
      <c r="Q82" s="54">
        <v>2941.77</v>
      </c>
      <c r="R82" s="1"/>
      <c r="S82" s="1"/>
      <c r="T82" s="1"/>
    </row>
    <row r="83" spans="1:20" ht="13.5" customHeight="1" x14ac:dyDescent="0.25">
      <c r="A83" s="1"/>
      <c r="B83" s="1" t="s">
        <v>151</v>
      </c>
      <c r="C83" s="1" t="s">
        <v>152</v>
      </c>
      <c r="D83" s="42">
        <v>-2500</v>
      </c>
      <c r="E83" s="43">
        <v>-634.28</v>
      </c>
      <c r="F83" s="45">
        <v>-2500</v>
      </c>
      <c r="G83" s="45">
        <v>-2500</v>
      </c>
      <c r="H83" s="46">
        <v>-1413.42</v>
      </c>
      <c r="I83" s="47">
        <f t="shared" si="12"/>
        <v>0.56536799999999998</v>
      </c>
      <c r="J83" s="48">
        <v>-2500</v>
      </c>
      <c r="K83" s="49">
        <v>-2500</v>
      </c>
      <c r="L83" s="50">
        <v>-1524.82</v>
      </c>
      <c r="M83" s="50">
        <v>-2554.37</v>
      </c>
      <c r="N83" s="51">
        <v>-2068.5100000000002</v>
      </c>
      <c r="O83" s="52">
        <v>2240</v>
      </c>
      <c r="P83" s="53">
        <v>3230</v>
      </c>
      <c r="Q83" s="54">
        <v>3725</v>
      </c>
      <c r="R83" s="1"/>
      <c r="S83" s="1"/>
      <c r="T83" s="1"/>
    </row>
    <row r="84" spans="1:20" ht="13.5" customHeight="1" x14ac:dyDescent="0.25">
      <c r="A84" s="1"/>
      <c r="B84" s="1" t="s">
        <v>153</v>
      </c>
      <c r="C84" s="1" t="s">
        <v>154</v>
      </c>
      <c r="D84" s="42">
        <v>-1200</v>
      </c>
      <c r="E84" s="43">
        <v>-274.82</v>
      </c>
      <c r="F84" s="45">
        <v>-1200</v>
      </c>
      <c r="G84" s="45">
        <v>-1200</v>
      </c>
      <c r="H84" s="46">
        <v>-913.39</v>
      </c>
      <c r="I84" s="47">
        <f t="shared" si="12"/>
        <v>0.76115833333333327</v>
      </c>
      <c r="J84" s="48">
        <v>-1200</v>
      </c>
      <c r="K84" s="49">
        <v>-1200</v>
      </c>
      <c r="L84" s="50">
        <v>-2039.15</v>
      </c>
      <c r="M84" s="50">
        <v>-1475.93</v>
      </c>
      <c r="N84" s="51">
        <v>-1017.96</v>
      </c>
      <c r="O84" s="52">
        <v>899</v>
      </c>
      <c r="P84" s="53">
        <v>1188</v>
      </c>
      <c r="Q84" s="54">
        <v>1556</v>
      </c>
      <c r="R84" s="1"/>
      <c r="S84" s="1"/>
      <c r="T84" s="1"/>
    </row>
    <row r="85" spans="1:20" ht="13.5" customHeight="1" x14ac:dyDescent="0.25">
      <c r="A85" s="1"/>
      <c r="B85" s="1" t="s">
        <v>155</v>
      </c>
      <c r="C85" s="1" t="s">
        <v>156</v>
      </c>
      <c r="D85" s="42">
        <v>-1500</v>
      </c>
      <c r="E85" s="43">
        <v>-304.56</v>
      </c>
      <c r="F85" s="45">
        <v>-1500</v>
      </c>
      <c r="G85" s="45">
        <v>-1500</v>
      </c>
      <c r="H85" s="46">
        <v>-1512.88</v>
      </c>
      <c r="I85" s="47">
        <f t="shared" si="12"/>
        <v>1.0085866666666667</v>
      </c>
      <c r="J85" s="48">
        <v>-1500</v>
      </c>
      <c r="K85" s="49">
        <v>-1500</v>
      </c>
      <c r="L85" s="50">
        <v>-1679.49</v>
      </c>
      <c r="M85" s="50">
        <v>-1504.54</v>
      </c>
      <c r="N85" s="51">
        <v>-1586.72</v>
      </c>
      <c r="O85" s="52">
        <v>1508</v>
      </c>
      <c r="P85" s="53">
        <v>2267.9899999999998</v>
      </c>
      <c r="Q85" s="54">
        <v>2714</v>
      </c>
      <c r="R85" s="1"/>
      <c r="S85" s="1"/>
      <c r="T85" s="1"/>
    </row>
    <row r="86" spans="1:20" ht="13.5" customHeight="1" x14ac:dyDescent="0.25">
      <c r="A86" s="1"/>
      <c r="B86" s="1" t="s">
        <v>157</v>
      </c>
      <c r="C86" s="1" t="s">
        <v>158</v>
      </c>
      <c r="D86" s="42">
        <v>-2500</v>
      </c>
      <c r="E86" s="43">
        <v>-1335.69</v>
      </c>
      <c r="F86" s="45">
        <v>-2500</v>
      </c>
      <c r="G86" s="45">
        <v>-2500</v>
      </c>
      <c r="H86" s="46">
        <v>-2715.97</v>
      </c>
      <c r="I86" s="47">
        <f t="shared" si="12"/>
        <v>1.0863879999999999</v>
      </c>
      <c r="J86" s="48">
        <v>-2500</v>
      </c>
      <c r="K86" s="49">
        <v>-2500</v>
      </c>
      <c r="L86" s="50">
        <v>-3883.85</v>
      </c>
      <c r="M86" s="50">
        <v>-2551.73</v>
      </c>
      <c r="N86" s="51">
        <v>-2562.17</v>
      </c>
      <c r="O86" s="52">
        <v>3070.1</v>
      </c>
      <c r="P86" s="53">
        <v>3700.29</v>
      </c>
      <c r="Q86" s="54">
        <v>3553.47</v>
      </c>
      <c r="R86" s="1"/>
      <c r="S86" s="1"/>
      <c r="T86" s="1"/>
    </row>
    <row r="87" spans="1:20" ht="13.5" customHeight="1" x14ac:dyDescent="0.25">
      <c r="A87" s="1"/>
      <c r="B87" s="1" t="s">
        <v>159</v>
      </c>
      <c r="C87" s="1" t="s">
        <v>160</v>
      </c>
      <c r="D87" s="42">
        <v>-22500</v>
      </c>
      <c r="E87" s="70">
        <v>-3027.08</v>
      </c>
      <c r="F87" s="45">
        <v>-22500</v>
      </c>
      <c r="G87" s="45">
        <v>-22500</v>
      </c>
      <c r="H87" s="68">
        <v>-23507.51</v>
      </c>
      <c r="I87" s="47">
        <f t="shared" si="12"/>
        <v>1.0447782222222222</v>
      </c>
      <c r="J87" s="48">
        <v>-22500</v>
      </c>
      <c r="K87" s="49">
        <v>-22500</v>
      </c>
      <c r="L87" s="50">
        <v>-39814.94</v>
      </c>
      <c r="M87" s="50">
        <v>-43064.91</v>
      </c>
      <c r="N87" s="51">
        <v>-15504.92</v>
      </c>
      <c r="O87" s="52">
        <v>27215.33</v>
      </c>
      <c r="P87" s="53">
        <v>40586.400000000001</v>
      </c>
      <c r="Q87" s="54">
        <v>45393.95</v>
      </c>
      <c r="R87" s="53"/>
      <c r="S87" s="53"/>
      <c r="T87" s="53"/>
    </row>
    <row r="88" spans="1:20" ht="13.5" customHeight="1" x14ac:dyDescent="0.25">
      <c r="A88" s="1"/>
      <c r="B88" s="1" t="s">
        <v>161</v>
      </c>
      <c r="C88" s="1" t="s">
        <v>162</v>
      </c>
      <c r="D88" s="42">
        <v>-35000</v>
      </c>
      <c r="E88" s="43">
        <v>-15805.78</v>
      </c>
      <c r="F88" s="45">
        <v>-35000</v>
      </c>
      <c r="G88" s="45">
        <v>-35000</v>
      </c>
      <c r="H88" s="46">
        <v>-32374.58</v>
      </c>
      <c r="I88" s="47">
        <f t="shared" si="12"/>
        <v>0.92498800000000003</v>
      </c>
      <c r="J88" s="48">
        <v>-35000</v>
      </c>
      <c r="K88" s="49">
        <v>-35000</v>
      </c>
      <c r="L88" s="50">
        <v>-73227.039999999994</v>
      </c>
      <c r="M88" s="50">
        <v>-37468</v>
      </c>
      <c r="N88" s="51">
        <v>-31568.46</v>
      </c>
      <c r="O88" s="52">
        <v>30972.46</v>
      </c>
      <c r="P88" s="53">
        <v>29424.19</v>
      </c>
      <c r="Q88" s="54">
        <v>18314.919999999998</v>
      </c>
      <c r="R88" s="1"/>
      <c r="S88" s="1"/>
      <c r="T88" s="1"/>
    </row>
    <row r="89" spans="1:20" ht="13.5" customHeight="1" x14ac:dyDescent="0.25">
      <c r="A89" s="1"/>
      <c r="B89" s="1" t="s">
        <v>163</v>
      </c>
      <c r="C89" s="1" t="s">
        <v>164</v>
      </c>
      <c r="D89" s="42">
        <v>-10000</v>
      </c>
      <c r="E89" s="43">
        <v>-1870.21</v>
      </c>
      <c r="F89" s="45">
        <v>-10000</v>
      </c>
      <c r="G89" s="45">
        <v>-10000</v>
      </c>
      <c r="H89" s="46">
        <v>-5776.55</v>
      </c>
      <c r="I89" s="47">
        <f t="shared" si="12"/>
        <v>0.57765500000000003</v>
      </c>
      <c r="J89" s="48">
        <v>-10000</v>
      </c>
      <c r="K89" s="49">
        <v>-10000</v>
      </c>
      <c r="L89" s="50">
        <v>-9561.9599999999991</v>
      </c>
      <c r="M89" s="50">
        <v>-4525.7</v>
      </c>
      <c r="N89" s="51">
        <v>-9581.24</v>
      </c>
      <c r="O89" s="52">
        <v>6623.06</v>
      </c>
      <c r="P89" s="53">
        <v>13344.25</v>
      </c>
      <c r="Q89" s="54">
        <v>11106.37</v>
      </c>
      <c r="R89" s="1"/>
      <c r="S89" s="1"/>
      <c r="T89" s="1"/>
    </row>
    <row r="90" spans="1:20" ht="13.5" customHeight="1" x14ac:dyDescent="0.25">
      <c r="A90" s="1"/>
      <c r="B90" s="1" t="s">
        <v>165</v>
      </c>
      <c r="C90" s="1" t="s">
        <v>166</v>
      </c>
      <c r="D90" s="42">
        <v>-15000</v>
      </c>
      <c r="E90" s="43">
        <v>-3813.59</v>
      </c>
      <c r="F90" s="45">
        <v>-15000</v>
      </c>
      <c r="G90" s="45">
        <v>-15000</v>
      </c>
      <c r="H90" s="46">
        <v>-13209.39</v>
      </c>
      <c r="I90" s="47">
        <f t="shared" si="12"/>
        <v>0.77702294117647053</v>
      </c>
      <c r="J90" s="48">
        <v>-17000</v>
      </c>
      <c r="K90" s="49">
        <v>-17000</v>
      </c>
      <c r="L90" s="50">
        <v>-14307.76</v>
      </c>
      <c r="M90" s="50">
        <v>-13661.39</v>
      </c>
      <c r="N90" s="51">
        <v>-6185</v>
      </c>
      <c r="O90" s="52">
        <v>10234.33</v>
      </c>
      <c r="P90" s="53">
        <v>6804</v>
      </c>
      <c r="Q90" s="54">
        <v>5793</v>
      </c>
      <c r="R90" s="1"/>
      <c r="S90" s="1"/>
      <c r="T90" s="1"/>
    </row>
    <row r="91" spans="1:20" ht="13.5" customHeight="1" x14ac:dyDescent="0.25">
      <c r="A91" s="1"/>
      <c r="B91" s="1" t="s">
        <v>167</v>
      </c>
      <c r="C91" s="1" t="s">
        <v>168</v>
      </c>
      <c r="D91" s="42">
        <v>-22000</v>
      </c>
      <c r="E91" s="43">
        <v>-11365</v>
      </c>
      <c r="F91" s="45">
        <v>-22000</v>
      </c>
      <c r="G91" s="45">
        <v>-22000</v>
      </c>
      <c r="H91" s="46">
        <v>-23985.32</v>
      </c>
      <c r="I91" s="47">
        <f t="shared" si="12"/>
        <v>1.0902418181818181</v>
      </c>
      <c r="J91" s="48">
        <v>-22000</v>
      </c>
      <c r="K91" s="49">
        <v>-22000</v>
      </c>
      <c r="L91" s="50">
        <v>-26110.62</v>
      </c>
      <c r="M91" s="50">
        <v>-22055</v>
      </c>
      <c r="N91" s="51">
        <v>-20203</v>
      </c>
      <c r="O91" s="52">
        <v>20536</v>
      </c>
      <c r="P91" s="53">
        <v>16154</v>
      </c>
      <c r="Q91" s="54">
        <v>17441</v>
      </c>
      <c r="R91" s="1"/>
      <c r="S91" s="1"/>
      <c r="T91" s="1"/>
    </row>
    <row r="92" spans="1:20" ht="13.5" customHeight="1" x14ac:dyDescent="0.25">
      <c r="A92" s="1"/>
      <c r="B92" s="1" t="s">
        <v>169</v>
      </c>
      <c r="C92" s="1" t="s">
        <v>170</v>
      </c>
      <c r="D92" s="42">
        <v>-8000</v>
      </c>
      <c r="E92" s="43">
        <v>-3465</v>
      </c>
      <c r="F92" s="45">
        <v>-8000</v>
      </c>
      <c r="G92" s="45">
        <v>-8000</v>
      </c>
      <c r="H92" s="46">
        <v>-7365</v>
      </c>
      <c r="I92" s="47">
        <f t="shared" si="12"/>
        <v>0.92062500000000003</v>
      </c>
      <c r="J92" s="48">
        <v>-8000</v>
      </c>
      <c r="K92" s="49">
        <v>-8000</v>
      </c>
      <c r="L92" s="50">
        <v>-8594.69</v>
      </c>
      <c r="M92" s="50">
        <v>-7514.06</v>
      </c>
      <c r="N92" s="51">
        <v>-6825</v>
      </c>
      <c r="O92" s="52">
        <v>4035</v>
      </c>
      <c r="P92" s="53">
        <v>6305</v>
      </c>
      <c r="Q92" s="54">
        <v>7509</v>
      </c>
      <c r="R92" s="1"/>
      <c r="S92" s="1"/>
      <c r="T92" s="1"/>
    </row>
    <row r="93" spans="1:20" ht="13.5" customHeight="1" x14ac:dyDescent="0.25">
      <c r="A93" s="1"/>
      <c r="B93" s="1" t="s">
        <v>171</v>
      </c>
      <c r="C93" s="1" t="s">
        <v>172</v>
      </c>
      <c r="D93" s="42">
        <v>-8500</v>
      </c>
      <c r="E93" s="43">
        <v>-3305</v>
      </c>
      <c r="F93" s="45">
        <v>-8500</v>
      </c>
      <c r="G93" s="45">
        <v>-8500</v>
      </c>
      <c r="H93" s="46">
        <v>-7175</v>
      </c>
      <c r="I93" s="47">
        <f t="shared" si="12"/>
        <v>0.84411764705882353</v>
      </c>
      <c r="J93" s="48">
        <v>-8500</v>
      </c>
      <c r="K93" s="49">
        <v>-8500</v>
      </c>
      <c r="L93" s="50">
        <v>-8569.73</v>
      </c>
      <c r="M93" s="50">
        <v>-8310</v>
      </c>
      <c r="N93" s="51">
        <v>-7992</v>
      </c>
      <c r="O93" s="52">
        <v>6547</v>
      </c>
      <c r="P93" s="53">
        <v>8946</v>
      </c>
      <c r="Q93" s="54">
        <v>6048.86</v>
      </c>
      <c r="R93" s="1"/>
      <c r="S93" s="1"/>
      <c r="T93" s="1"/>
    </row>
    <row r="94" spans="1:20" ht="13.5" customHeight="1" x14ac:dyDescent="0.25">
      <c r="A94" s="1"/>
      <c r="B94" s="1" t="s">
        <v>173</v>
      </c>
      <c r="C94" s="1" t="s">
        <v>174</v>
      </c>
      <c r="D94" s="42">
        <v>-8500</v>
      </c>
      <c r="E94" s="43">
        <v>-3050.12</v>
      </c>
      <c r="F94" s="45">
        <v>-8500</v>
      </c>
      <c r="G94" s="45">
        <v>-8500</v>
      </c>
      <c r="H94" s="46">
        <v>-7880</v>
      </c>
      <c r="I94" s="47">
        <f t="shared" si="12"/>
        <v>0.92705882352941171</v>
      </c>
      <c r="J94" s="48">
        <v>-8500</v>
      </c>
      <c r="K94" s="49">
        <v>-8500</v>
      </c>
      <c r="L94" s="50">
        <v>-10469.75</v>
      </c>
      <c r="M94" s="50">
        <v>-13082.64</v>
      </c>
      <c r="N94" s="51">
        <v>-12145</v>
      </c>
      <c r="O94" s="52">
        <v>9866.08</v>
      </c>
      <c r="P94" s="53">
        <v>10337.08</v>
      </c>
      <c r="Q94" s="54">
        <v>11581.66</v>
      </c>
      <c r="R94" s="1"/>
      <c r="S94" s="1"/>
      <c r="T94" s="1"/>
    </row>
    <row r="95" spans="1:20" ht="13.5" customHeight="1" x14ac:dyDescent="0.25">
      <c r="A95" s="1"/>
      <c r="B95" s="1"/>
      <c r="C95" s="1"/>
      <c r="D95" s="56">
        <v>-2548700</v>
      </c>
      <c r="E95" s="57">
        <f t="shared" ref="E95" si="13">SUM(E55:E94)</f>
        <v>-1259296.4099999999</v>
      </c>
      <c r="F95" s="58">
        <f>SUM(F54:F94)</f>
        <v>-2556700</v>
      </c>
      <c r="G95" s="58">
        <v>-2556700</v>
      </c>
      <c r="H95" s="59">
        <f>SUM(H55:H94)</f>
        <v>-2569148.6699999995</v>
      </c>
      <c r="I95" s="59"/>
      <c r="J95" s="60">
        <f t="shared" ref="J95:Q95" si="14">SUM(J55:J94)</f>
        <v>-2488700</v>
      </c>
      <c r="K95" s="61">
        <f t="shared" si="14"/>
        <v>-2488700</v>
      </c>
      <c r="L95" s="62">
        <f t="shared" si="14"/>
        <v>-2462732.6999999997</v>
      </c>
      <c r="M95" s="62">
        <f t="shared" si="14"/>
        <v>-2396254.5100000002</v>
      </c>
      <c r="N95" s="63">
        <f t="shared" si="14"/>
        <v>-2309312.0700000008</v>
      </c>
      <c r="O95" s="64">
        <f t="shared" si="14"/>
        <v>2606044.7300000009</v>
      </c>
      <c r="P95" s="63">
        <f t="shared" si="14"/>
        <v>2286879.6799999997</v>
      </c>
      <c r="Q95" s="65">
        <f t="shared" si="14"/>
        <v>2057757.4900000002</v>
      </c>
      <c r="R95" s="1"/>
      <c r="S95" s="1"/>
      <c r="T95" s="1"/>
    </row>
    <row r="96" spans="1:20" ht="13.5" customHeight="1" x14ac:dyDescent="0.25">
      <c r="A96" s="1"/>
      <c r="B96" s="1"/>
      <c r="C96" s="1"/>
      <c r="D96" s="42"/>
      <c r="E96" s="44"/>
      <c r="F96" s="45"/>
      <c r="G96" s="45"/>
      <c r="H96" s="66"/>
      <c r="I96" s="66"/>
      <c r="J96" s="48"/>
      <c r="K96" s="49"/>
      <c r="L96" s="50"/>
      <c r="M96" s="50"/>
      <c r="N96" s="51"/>
      <c r="O96" s="52"/>
      <c r="P96" s="53"/>
      <c r="Q96" s="54"/>
      <c r="R96" s="1"/>
      <c r="S96" s="1"/>
      <c r="T96" s="1"/>
    </row>
    <row r="97" spans="1:20" ht="13.5" customHeight="1" x14ac:dyDescent="0.25">
      <c r="A97" s="1"/>
      <c r="B97" s="1"/>
      <c r="C97" s="1"/>
      <c r="D97" s="42"/>
      <c r="E97" s="44"/>
      <c r="F97" s="45"/>
      <c r="G97" s="45"/>
      <c r="H97" s="66"/>
      <c r="I97" s="66"/>
      <c r="J97" s="48"/>
      <c r="K97" s="49"/>
      <c r="L97" s="50"/>
      <c r="M97" s="50"/>
      <c r="N97" s="51"/>
      <c r="O97" s="52"/>
      <c r="P97" s="53"/>
      <c r="Q97" s="54"/>
      <c r="R97" s="1"/>
      <c r="S97" s="1"/>
      <c r="T97" s="1"/>
    </row>
    <row r="98" spans="1:20" ht="13.5" customHeight="1" x14ac:dyDescent="0.25">
      <c r="A98" s="1"/>
      <c r="B98" s="1" t="s">
        <v>175</v>
      </c>
      <c r="C98" s="1" t="s">
        <v>176</v>
      </c>
      <c r="D98" s="42">
        <v>-4000</v>
      </c>
      <c r="E98" s="87">
        <v>-1003.82</v>
      </c>
      <c r="F98" s="45">
        <v>-8000</v>
      </c>
      <c r="G98" s="45">
        <v>-8000</v>
      </c>
      <c r="H98" s="46">
        <v>-4056</v>
      </c>
      <c r="I98" s="47">
        <f>H98/J98</f>
        <v>2.5350000000000001E-2</v>
      </c>
      <c r="J98" s="48">
        <v>-160000</v>
      </c>
      <c r="K98" s="49">
        <v>-160000</v>
      </c>
      <c r="L98" s="50">
        <v>-7069.13</v>
      </c>
      <c r="M98" s="50">
        <v>-7095.79</v>
      </c>
      <c r="N98" s="51">
        <v>-148645.75</v>
      </c>
      <c r="O98" s="52">
        <v>19239.75</v>
      </c>
      <c r="P98" s="53">
        <v>38159.85</v>
      </c>
      <c r="Q98" s="54">
        <v>27139.1</v>
      </c>
      <c r="R98" s="1"/>
      <c r="S98" s="1"/>
      <c r="T98" s="1"/>
    </row>
    <row r="99" spans="1:20" ht="13.5" customHeight="1" x14ac:dyDescent="0.25">
      <c r="A99" s="1"/>
      <c r="B99" s="1" t="s">
        <v>177</v>
      </c>
      <c r="C99" s="1" t="s">
        <v>178</v>
      </c>
      <c r="D99" s="42">
        <v>-80000</v>
      </c>
      <c r="E99" s="87">
        <v>-40304.5</v>
      </c>
      <c r="F99" s="73">
        <v>-70000</v>
      </c>
      <c r="G99" s="73">
        <v>-70000</v>
      </c>
      <c r="H99" s="46">
        <v>-84544.72</v>
      </c>
      <c r="I99" s="47">
        <v>0</v>
      </c>
      <c r="J99" s="75">
        <v>0</v>
      </c>
      <c r="K99" s="76">
        <v>0</v>
      </c>
      <c r="L99" s="50">
        <v>-67718.39</v>
      </c>
      <c r="M99" s="50">
        <v>-74746.179999999993</v>
      </c>
      <c r="N99" s="51">
        <v>-93470</v>
      </c>
      <c r="O99" s="52">
        <v>126986.83</v>
      </c>
      <c r="P99" s="53">
        <v>110295.28</v>
      </c>
      <c r="Q99" s="54">
        <v>132372.1</v>
      </c>
      <c r="R99" s="1"/>
      <c r="S99" s="1"/>
      <c r="T99" s="1"/>
    </row>
    <row r="100" spans="1:20" ht="13.5" customHeight="1" x14ac:dyDescent="0.25">
      <c r="A100" s="1"/>
      <c r="B100" s="1" t="s">
        <v>179</v>
      </c>
      <c r="C100" s="1" t="s">
        <v>180</v>
      </c>
      <c r="D100" s="42">
        <v>-80000</v>
      </c>
      <c r="E100" s="87">
        <v>-35577.61</v>
      </c>
      <c r="F100" s="73">
        <v>-80000</v>
      </c>
      <c r="G100" s="73">
        <v>-80000</v>
      </c>
      <c r="H100" s="46">
        <v>-65227.54</v>
      </c>
      <c r="I100" s="47">
        <v>0</v>
      </c>
      <c r="J100" s="75">
        <v>0</v>
      </c>
      <c r="K100" s="76">
        <v>0</v>
      </c>
      <c r="L100" s="50">
        <v>-68845.2</v>
      </c>
      <c r="M100" s="50">
        <v>-96021.48</v>
      </c>
      <c r="N100" s="51">
        <v>-115864.27</v>
      </c>
      <c r="O100" s="52">
        <v>121160.73</v>
      </c>
      <c r="P100" s="53">
        <v>160944.37</v>
      </c>
      <c r="Q100" s="54">
        <v>161387.84</v>
      </c>
      <c r="R100" s="1"/>
      <c r="S100" s="1"/>
      <c r="T100" s="1"/>
    </row>
    <row r="101" spans="1:20" ht="13.5" customHeight="1" x14ac:dyDescent="0.25">
      <c r="A101" s="1"/>
      <c r="B101" s="1" t="s">
        <v>181</v>
      </c>
      <c r="C101" s="1" t="s">
        <v>182</v>
      </c>
      <c r="D101" s="42">
        <v>-90000</v>
      </c>
      <c r="E101" s="87">
        <v>-40005.69</v>
      </c>
      <c r="F101" s="45">
        <v>-95000</v>
      </c>
      <c r="G101" s="45">
        <v>-95000</v>
      </c>
      <c r="H101" s="46">
        <v>-79614.399999999994</v>
      </c>
      <c r="I101" s="47">
        <f t="shared" ref="I101:I107" si="15">H101/J101</f>
        <v>0.79614399999999996</v>
      </c>
      <c r="J101" s="48">
        <v>-100000</v>
      </c>
      <c r="K101" s="49">
        <v>-100000</v>
      </c>
      <c r="L101" s="50">
        <v>-64188.09</v>
      </c>
      <c r="M101" s="50">
        <v>-89912.8</v>
      </c>
      <c r="N101" s="51">
        <v>-91039.39</v>
      </c>
      <c r="O101" s="52">
        <v>85744.78</v>
      </c>
      <c r="P101" s="53">
        <v>90499.06</v>
      </c>
      <c r="Q101" s="54">
        <v>115474.41</v>
      </c>
      <c r="R101" s="1"/>
      <c r="S101" s="1"/>
      <c r="T101" s="1"/>
    </row>
    <row r="102" spans="1:20" ht="13.5" customHeight="1" x14ac:dyDescent="0.25">
      <c r="A102" s="1"/>
      <c r="B102" s="1" t="s">
        <v>183</v>
      </c>
      <c r="C102" s="1" t="s">
        <v>184</v>
      </c>
      <c r="D102" s="42">
        <v>-150000</v>
      </c>
      <c r="E102" s="43">
        <v>-53243.519999999997</v>
      </c>
      <c r="F102" s="45">
        <v>-150000</v>
      </c>
      <c r="G102" s="45">
        <v>-150000</v>
      </c>
      <c r="H102" s="46">
        <v>-135469.72</v>
      </c>
      <c r="I102" s="47">
        <f t="shared" si="15"/>
        <v>0.96764085714285719</v>
      </c>
      <c r="J102" s="48">
        <v>-140000</v>
      </c>
      <c r="K102" s="49">
        <v>-140000</v>
      </c>
      <c r="L102" s="50">
        <v>-182338.06</v>
      </c>
      <c r="M102" s="50">
        <v>-152423.49</v>
      </c>
      <c r="N102" s="51">
        <v>-110299.55</v>
      </c>
      <c r="O102" s="52">
        <v>92103.96</v>
      </c>
      <c r="P102" s="53">
        <v>144439.92000000001</v>
      </c>
      <c r="Q102" s="54">
        <v>93529.85</v>
      </c>
      <c r="R102" s="1"/>
      <c r="S102" s="1"/>
      <c r="T102" s="1"/>
    </row>
    <row r="103" spans="1:20" ht="13.5" customHeight="1" x14ac:dyDescent="0.25">
      <c r="A103" s="1"/>
      <c r="B103" s="1" t="s">
        <v>185</v>
      </c>
      <c r="C103" s="1" t="s">
        <v>186</v>
      </c>
      <c r="D103" s="42">
        <v>-75000</v>
      </c>
      <c r="E103" s="43">
        <v>-22155.85</v>
      </c>
      <c r="F103" s="45">
        <v>-85000</v>
      </c>
      <c r="G103" s="45">
        <v>-85000</v>
      </c>
      <c r="H103" s="46">
        <v>-77183.899999999994</v>
      </c>
      <c r="I103" s="47">
        <f t="shared" si="15"/>
        <v>0.96479874999999993</v>
      </c>
      <c r="J103" s="48">
        <v>-80000</v>
      </c>
      <c r="K103" s="49">
        <v>-80000</v>
      </c>
      <c r="L103" s="50">
        <v>-78386.2</v>
      </c>
      <c r="M103" s="50">
        <v>-76000.94</v>
      </c>
      <c r="N103" s="51">
        <v>-87403.21</v>
      </c>
      <c r="O103" s="52">
        <v>64967.14</v>
      </c>
      <c r="P103" s="53">
        <v>116938.62</v>
      </c>
      <c r="Q103" s="54">
        <v>105377.73</v>
      </c>
      <c r="R103" s="1"/>
      <c r="S103" s="1"/>
      <c r="T103" s="1"/>
    </row>
    <row r="104" spans="1:20" ht="13.5" customHeight="1" x14ac:dyDescent="0.25">
      <c r="A104" s="1"/>
      <c r="B104" s="1" t="s">
        <v>187</v>
      </c>
      <c r="C104" s="1" t="s">
        <v>188</v>
      </c>
      <c r="D104" s="42">
        <v>-55000</v>
      </c>
      <c r="E104" s="43">
        <v>-28700.84</v>
      </c>
      <c r="F104" s="45">
        <v>-55000</v>
      </c>
      <c r="G104" s="45">
        <v>-55000</v>
      </c>
      <c r="H104" s="46">
        <v>-49713.67</v>
      </c>
      <c r="I104" s="47">
        <f t="shared" si="15"/>
        <v>0.82856116666666668</v>
      </c>
      <c r="J104" s="48">
        <v>-60000</v>
      </c>
      <c r="K104" s="49">
        <v>-60000</v>
      </c>
      <c r="L104" s="50">
        <v>-49659.51</v>
      </c>
      <c r="M104" s="50">
        <v>-87016.99</v>
      </c>
      <c r="N104" s="51">
        <v>-54999.21</v>
      </c>
      <c r="O104" s="52">
        <v>46586.16</v>
      </c>
      <c r="P104" s="53">
        <v>110726.32</v>
      </c>
      <c r="Q104" s="54">
        <v>105563.68</v>
      </c>
      <c r="R104" s="1"/>
      <c r="S104" s="1"/>
      <c r="T104" s="1"/>
    </row>
    <row r="105" spans="1:20" ht="13.5" customHeight="1" x14ac:dyDescent="0.25">
      <c r="A105" s="1"/>
      <c r="B105" s="1" t="s">
        <v>189</v>
      </c>
      <c r="C105" s="1" t="s">
        <v>190</v>
      </c>
      <c r="D105" s="42">
        <v>-70000</v>
      </c>
      <c r="E105" s="43">
        <v>-15270.64</v>
      </c>
      <c r="F105" s="45">
        <v>-70000</v>
      </c>
      <c r="G105" s="45">
        <v>-70000</v>
      </c>
      <c r="H105" s="46">
        <v>-35949.040000000001</v>
      </c>
      <c r="I105" s="47">
        <f t="shared" si="15"/>
        <v>0.51355771428571428</v>
      </c>
      <c r="J105" s="48">
        <v>-70000</v>
      </c>
      <c r="K105" s="49">
        <v>-70000</v>
      </c>
      <c r="L105" s="50">
        <v>-76404.23</v>
      </c>
      <c r="M105" s="50">
        <v>-50327.040000000001</v>
      </c>
      <c r="N105" s="51">
        <v>-32620.639999999999</v>
      </c>
      <c r="O105" s="52">
        <v>33560.83</v>
      </c>
      <c r="P105" s="53">
        <v>37917.839999999997</v>
      </c>
      <c r="Q105" s="54">
        <v>52595.63</v>
      </c>
      <c r="R105" s="1"/>
      <c r="S105" s="1"/>
      <c r="T105" s="1"/>
    </row>
    <row r="106" spans="1:20" ht="13.5" customHeight="1" x14ac:dyDescent="0.25">
      <c r="A106" s="1"/>
      <c r="B106" s="1" t="s">
        <v>191</v>
      </c>
      <c r="C106" s="1" t="s">
        <v>192</v>
      </c>
      <c r="D106" s="42">
        <v>-50000</v>
      </c>
      <c r="E106" s="43">
        <v>-13225.15</v>
      </c>
      <c r="F106" s="45">
        <v>-50000</v>
      </c>
      <c r="G106" s="45">
        <v>-50000</v>
      </c>
      <c r="H106" s="46">
        <v>-53832.77</v>
      </c>
      <c r="I106" s="47">
        <f t="shared" si="15"/>
        <v>1.3458192499999999</v>
      </c>
      <c r="J106" s="48">
        <v>-40000</v>
      </c>
      <c r="K106" s="49">
        <v>-40000</v>
      </c>
      <c r="L106" s="50">
        <v>-52459.13</v>
      </c>
      <c r="M106" s="50">
        <v>-45980.49</v>
      </c>
      <c r="N106" s="51">
        <v>-50542.78</v>
      </c>
      <c r="O106" s="52">
        <v>58085.26</v>
      </c>
      <c r="P106" s="53">
        <v>76746.990000000005</v>
      </c>
      <c r="Q106" s="54">
        <v>59714.66</v>
      </c>
      <c r="R106" s="1"/>
      <c r="S106" s="1"/>
      <c r="T106" s="1"/>
    </row>
    <row r="107" spans="1:20" ht="13.5" customHeight="1" x14ac:dyDescent="0.25">
      <c r="A107" s="1"/>
      <c r="B107" s="1" t="s">
        <v>193</v>
      </c>
      <c r="C107" s="1" t="s">
        <v>194</v>
      </c>
      <c r="D107" s="42">
        <v>-30000</v>
      </c>
      <c r="E107" s="43">
        <v>-15461.68</v>
      </c>
      <c r="F107" s="45">
        <v>-30000</v>
      </c>
      <c r="G107" s="45">
        <v>-30000</v>
      </c>
      <c r="H107" s="46">
        <v>-38410.199999999997</v>
      </c>
      <c r="I107" s="47">
        <f t="shared" si="15"/>
        <v>1.2803399999999998</v>
      </c>
      <c r="J107" s="48">
        <v>-30000</v>
      </c>
      <c r="K107" s="49">
        <v>-30000</v>
      </c>
      <c r="L107" s="50">
        <v>-35263.33</v>
      </c>
      <c r="M107" s="50">
        <v>-26697.54</v>
      </c>
      <c r="N107" s="51">
        <v>-30055.97</v>
      </c>
      <c r="O107" s="52">
        <v>30840.28</v>
      </c>
      <c r="P107" s="53">
        <v>42319.51</v>
      </c>
      <c r="Q107" s="54">
        <v>44903.71</v>
      </c>
      <c r="R107" s="1"/>
      <c r="S107" s="1"/>
      <c r="T107" s="1"/>
    </row>
    <row r="108" spans="1:20" ht="13.5" customHeight="1" x14ac:dyDescent="0.25">
      <c r="A108" s="1"/>
      <c r="B108" s="1"/>
      <c r="C108" s="1"/>
      <c r="D108" s="56">
        <v>-684000</v>
      </c>
      <c r="E108" s="57">
        <f>SUM(E98:E107)</f>
        <v>-264949.3</v>
      </c>
      <c r="F108" s="58">
        <f>SUM(F97:F107)</f>
        <v>-693000</v>
      </c>
      <c r="G108" s="58">
        <v>-693000</v>
      </c>
      <c r="H108" s="59">
        <f>SUM(H97:H107)</f>
        <v>-624001.96</v>
      </c>
      <c r="I108" s="59"/>
      <c r="J108" s="60">
        <f t="shared" ref="J108:Q108" si="16">SUM(J97:J107)</f>
        <v>-680000</v>
      </c>
      <c r="K108" s="61">
        <f t="shared" si="16"/>
        <v>-680000</v>
      </c>
      <c r="L108" s="62">
        <f t="shared" si="16"/>
        <v>-682331.27</v>
      </c>
      <c r="M108" s="62">
        <f t="shared" si="16"/>
        <v>-706222.74000000011</v>
      </c>
      <c r="N108" s="63">
        <f t="shared" si="16"/>
        <v>-814940.77</v>
      </c>
      <c r="O108" s="64">
        <f t="shared" si="16"/>
        <v>679275.72</v>
      </c>
      <c r="P108" s="63">
        <f t="shared" si="16"/>
        <v>928987.75999999989</v>
      </c>
      <c r="Q108" s="65">
        <f t="shared" si="16"/>
        <v>898058.71</v>
      </c>
      <c r="R108" s="1"/>
      <c r="S108" s="1"/>
      <c r="T108" s="1"/>
    </row>
    <row r="109" spans="1:20" ht="13.5" customHeight="1" x14ac:dyDescent="0.25">
      <c r="A109" s="1"/>
      <c r="B109" s="1"/>
      <c r="C109" s="1"/>
      <c r="D109" s="42"/>
      <c r="E109" s="44"/>
      <c r="F109" s="45"/>
      <c r="G109" s="45"/>
      <c r="H109" s="66"/>
      <c r="I109" s="66"/>
      <c r="J109" s="48"/>
      <c r="K109" s="49"/>
      <c r="L109" s="50"/>
      <c r="M109" s="50"/>
      <c r="N109" s="51"/>
      <c r="O109" s="52"/>
      <c r="P109" s="53"/>
      <c r="Q109" s="54"/>
      <c r="R109" s="1"/>
      <c r="S109" s="1"/>
      <c r="T109" s="1"/>
    </row>
    <row r="110" spans="1:20" ht="13.5" customHeight="1" x14ac:dyDescent="0.25">
      <c r="A110" s="1"/>
      <c r="B110" s="1" t="s">
        <v>195</v>
      </c>
      <c r="C110" s="1" t="s">
        <v>196</v>
      </c>
      <c r="D110" s="42">
        <v>-300000</v>
      </c>
      <c r="E110" s="43">
        <v>-183273.91</v>
      </c>
      <c r="F110" s="45">
        <v>-800000</v>
      </c>
      <c r="G110" s="45">
        <v>-800000</v>
      </c>
      <c r="H110" s="46">
        <v>-597922.53</v>
      </c>
      <c r="I110" s="47">
        <f t="shared" ref="I110:I111" si="17">H110/J110</f>
        <v>1.1958450600000001</v>
      </c>
      <c r="J110" s="48">
        <v>-500000</v>
      </c>
      <c r="K110" s="49">
        <v>-500000</v>
      </c>
      <c r="L110" s="50">
        <v>-480354.28</v>
      </c>
      <c r="M110" s="50">
        <v>-249023.07</v>
      </c>
      <c r="N110" s="51">
        <v>-103991.38</v>
      </c>
      <c r="O110" s="52">
        <v>36750.65</v>
      </c>
      <c r="P110" s="53">
        <v>30867.91</v>
      </c>
      <c r="Q110" s="54">
        <v>67589.83</v>
      </c>
      <c r="R110" s="1"/>
      <c r="S110" s="1"/>
      <c r="T110" s="1"/>
    </row>
    <row r="111" spans="1:20" ht="13.5" customHeight="1" x14ac:dyDescent="0.25">
      <c r="A111" s="1"/>
      <c r="B111" s="1" t="s">
        <v>197</v>
      </c>
      <c r="C111" s="1" t="s">
        <v>198</v>
      </c>
      <c r="D111" s="42">
        <v>-14465</v>
      </c>
      <c r="E111" s="70">
        <v>0</v>
      </c>
      <c r="F111" s="45">
        <v>-14465</v>
      </c>
      <c r="G111" s="45">
        <v>-14465</v>
      </c>
      <c r="H111" s="68">
        <v>-20764.650000000001</v>
      </c>
      <c r="I111" s="47">
        <f t="shared" si="17"/>
        <v>1.4355098513653648</v>
      </c>
      <c r="J111" s="48">
        <v>-14465</v>
      </c>
      <c r="K111" s="49">
        <v>-14465</v>
      </c>
      <c r="L111" s="50">
        <v>-15043.15</v>
      </c>
      <c r="M111" s="50">
        <v>-14753.86</v>
      </c>
      <c r="N111" s="51">
        <v>-57858.28</v>
      </c>
      <c r="O111" s="52">
        <v>20359</v>
      </c>
      <c r="P111" s="53">
        <v>118606</v>
      </c>
      <c r="Q111" s="54">
        <v>64214.37</v>
      </c>
      <c r="R111" s="1"/>
      <c r="S111" s="1"/>
      <c r="T111" s="1"/>
    </row>
    <row r="112" spans="1:20" ht="13.5" customHeight="1" x14ac:dyDescent="0.25">
      <c r="A112" s="1"/>
      <c r="B112" s="1"/>
      <c r="C112" s="1"/>
      <c r="D112" s="56">
        <v>-314465</v>
      </c>
      <c r="E112" s="57">
        <f t="shared" ref="E112" si="18">SUM(E110:E111)</f>
        <v>-183273.91</v>
      </c>
      <c r="F112" s="58">
        <f>SUM(F109:F111)</f>
        <v>-814465</v>
      </c>
      <c r="G112" s="58">
        <v>-814465</v>
      </c>
      <c r="H112" s="59">
        <f>SUM(H110:H111)</f>
        <v>-618687.18000000005</v>
      </c>
      <c r="I112" s="59"/>
      <c r="J112" s="60">
        <f t="shared" ref="J112:Q112" si="19">SUM(J110:J111)</f>
        <v>-514465</v>
      </c>
      <c r="K112" s="61">
        <f t="shared" si="19"/>
        <v>-514465</v>
      </c>
      <c r="L112" s="62">
        <f t="shared" si="19"/>
        <v>-495397.43000000005</v>
      </c>
      <c r="M112" s="62">
        <f t="shared" si="19"/>
        <v>-263776.93</v>
      </c>
      <c r="N112" s="63">
        <f t="shared" si="19"/>
        <v>-161849.66</v>
      </c>
      <c r="O112" s="64">
        <f t="shared" si="19"/>
        <v>57109.65</v>
      </c>
      <c r="P112" s="63">
        <f t="shared" si="19"/>
        <v>149473.91</v>
      </c>
      <c r="Q112" s="65">
        <f t="shared" si="19"/>
        <v>131804.20000000001</v>
      </c>
      <c r="R112" s="1"/>
      <c r="S112" s="1"/>
      <c r="T112" s="1"/>
    </row>
    <row r="113" spans="1:20" ht="13.5" customHeight="1" x14ac:dyDescent="0.25">
      <c r="A113" s="1"/>
      <c r="B113" s="1"/>
      <c r="C113" s="1"/>
      <c r="D113" s="42"/>
      <c r="E113" s="67"/>
      <c r="F113" s="45"/>
      <c r="G113" s="45"/>
      <c r="H113" s="74"/>
      <c r="I113" s="66"/>
      <c r="J113" s="48"/>
      <c r="K113" s="49"/>
      <c r="L113" s="50"/>
      <c r="M113" s="50"/>
      <c r="N113" s="51"/>
      <c r="O113" s="52"/>
      <c r="P113" s="53"/>
      <c r="Q113" s="54"/>
      <c r="R113" s="1"/>
      <c r="S113" s="1"/>
      <c r="T113" s="1"/>
    </row>
    <row r="114" spans="1:20" ht="13.5" customHeight="1" x14ac:dyDescent="0.25">
      <c r="A114" s="1"/>
      <c r="B114" s="1" t="s">
        <v>199</v>
      </c>
      <c r="C114" s="1" t="s">
        <v>200</v>
      </c>
      <c r="D114" s="42">
        <v>0</v>
      </c>
      <c r="E114" s="70">
        <v>-43166.02</v>
      </c>
      <c r="F114" s="45">
        <v>0</v>
      </c>
      <c r="G114" s="45">
        <v>0</v>
      </c>
      <c r="H114" s="68">
        <v>-200</v>
      </c>
      <c r="I114" s="47">
        <f>H114/J114</f>
        <v>3.8095238095238095E-3</v>
      </c>
      <c r="J114" s="48">
        <v>-52500</v>
      </c>
      <c r="K114" s="49">
        <v>-52500</v>
      </c>
      <c r="L114" s="50">
        <v>-22610.66</v>
      </c>
      <c r="M114" s="50">
        <v>-26843.35</v>
      </c>
      <c r="N114" s="51">
        <v>-11465.36</v>
      </c>
      <c r="O114" s="52">
        <v>183319.92</v>
      </c>
      <c r="P114" s="53">
        <v>29631.48</v>
      </c>
      <c r="Q114" s="54">
        <v>23948.92</v>
      </c>
      <c r="R114" s="1"/>
      <c r="S114" s="1"/>
      <c r="T114" s="1"/>
    </row>
    <row r="115" spans="1:20" ht="13.5" customHeight="1" x14ac:dyDescent="0.25">
      <c r="A115" s="1"/>
      <c r="B115" s="1" t="s">
        <v>201</v>
      </c>
      <c r="C115" s="1" t="s">
        <v>202</v>
      </c>
      <c r="D115" s="42">
        <v>0</v>
      </c>
      <c r="E115" s="70">
        <v>0</v>
      </c>
      <c r="F115" s="86">
        <v>0</v>
      </c>
      <c r="G115" s="86">
        <v>0</v>
      </c>
      <c r="H115" s="68">
        <v>-11334.06</v>
      </c>
      <c r="I115" s="47"/>
      <c r="J115" s="75" t="s">
        <v>16</v>
      </c>
      <c r="K115" s="76" t="s">
        <v>16</v>
      </c>
      <c r="L115" s="50">
        <v>-658.52</v>
      </c>
      <c r="M115" s="83">
        <v>0</v>
      </c>
      <c r="N115" s="53" t="s">
        <v>16</v>
      </c>
      <c r="O115" s="52">
        <v>0</v>
      </c>
      <c r="P115" s="53">
        <v>0</v>
      </c>
      <c r="Q115" s="54">
        <v>0</v>
      </c>
      <c r="R115" s="1"/>
      <c r="S115" s="1"/>
      <c r="T115" s="1"/>
    </row>
    <row r="116" spans="1:20" ht="13.5" customHeight="1" x14ac:dyDescent="0.25">
      <c r="A116" s="1"/>
      <c r="B116" s="1" t="s">
        <v>203</v>
      </c>
      <c r="C116" s="1" t="s">
        <v>204</v>
      </c>
      <c r="D116" s="42">
        <v>0</v>
      </c>
      <c r="E116" s="70">
        <v>0</v>
      </c>
      <c r="F116" s="86">
        <v>0</v>
      </c>
      <c r="G116" s="86">
        <v>0</v>
      </c>
      <c r="H116" s="74">
        <v>0</v>
      </c>
      <c r="I116" s="47"/>
      <c r="J116" s="75" t="s">
        <v>16</v>
      </c>
      <c r="K116" s="76" t="s">
        <v>16</v>
      </c>
      <c r="L116" s="83">
        <v>0</v>
      </c>
      <c r="M116" s="50">
        <v>-49</v>
      </c>
      <c r="N116" s="53" t="s">
        <v>16</v>
      </c>
      <c r="O116" s="52">
        <v>40</v>
      </c>
      <c r="P116" s="53">
        <v>0</v>
      </c>
      <c r="Q116" s="54">
        <v>83.5</v>
      </c>
      <c r="R116" s="1"/>
      <c r="S116" s="1"/>
      <c r="T116" s="1"/>
    </row>
    <row r="117" spans="1:20" ht="13.5" customHeight="1" x14ac:dyDescent="0.25">
      <c r="A117" s="1"/>
      <c r="B117" s="1" t="s">
        <v>205</v>
      </c>
      <c r="C117" s="1" t="s">
        <v>206</v>
      </c>
      <c r="D117" s="42">
        <v>-130000</v>
      </c>
      <c r="E117" s="43">
        <v>-52654.03</v>
      </c>
      <c r="F117" s="45">
        <v>-130000</v>
      </c>
      <c r="G117" s="45">
        <v>-130000</v>
      </c>
      <c r="H117" s="46">
        <v>-187919.46</v>
      </c>
      <c r="I117" s="47">
        <f>H117/J117</f>
        <v>1.5659954999999999</v>
      </c>
      <c r="J117" s="48">
        <v>-120000</v>
      </c>
      <c r="K117" s="49">
        <v>-120000</v>
      </c>
      <c r="L117" s="50">
        <v>-109657.8</v>
      </c>
      <c r="M117" s="50">
        <v>-134134.41</v>
      </c>
      <c r="N117" s="51">
        <v>-102014.46</v>
      </c>
      <c r="O117" s="52">
        <v>115998.45</v>
      </c>
      <c r="P117" s="53">
        <v>144714.21</v>
      </c>
      <c r="Q117" s="54">
        <v>108697.5</v>
      </c>
      <c r="R117" s="1"/>
      <c r="S117" s="1"/>
      <c r="T117" s="1"/>
    </row>
    <row r="118" spans="1:20" ht="13.5" customHeight="1" x14ac:dyDescent="0.25">
      <c r="A118" s="1"/>
      <c r="B118" s="55" t="s">
        <v>207</v>
      </c>
      <c r="C118" s="55" t="s">
        <v>208</v>
      </c>
      <c r="D118" s="42">
        <v>0</v>
      </c>
      <c r="E118" s="43">
        <v>-1206.03</v>
      </c>
      <c r="F118" s="71">
        <v>0</v>
      </c>
      <c r="G118" s="71">
        <v>0</v>
      </c>
      <c r="H118" s="46">
        <v>-16637.32</v>
      </c>
      <c r="I118" s="47"/>
      <c r="J118" s="48"/>
      <c r="K118" s="49"/>
      <c r="L118" s="69">
        <v>0</v>
      </c>
      <c r="M118" s="69">
        <v>0</v>
      </c>
      <c r="N118" s="51"/>
      <c r="O118" s="52"/>
      <c r="P118" s="53"/>
      <c r="Q118" s="54"/>
      <c r="R118" s="1"/>
      <c r="S118" s="1"/>
      <c r="T118" s="1"/>
    </row>
    <row r="119" spans="1:20" ht="13.5" customHeight="1" x14ac:dyDescent="0.25">
      <c r="A119" s="1"/>
      <c r="B119" s="1" t="s">
        <v>209</v>
      </c>
      <c r="C119" s="1" t="s">
        <v>210</v>
      </c>
      <c r="D119" s="42">
        <v>-25000</v>
      </c>
      <c r="E119" s="43">
        <v>-14439.25</v>
      </c>
      <c r="F119" s="45">
        <v>-18000</v>
      </c>
      <c r="G119" s="45">
        <v>-18000</v>
      </c>
      <c r="H119" s="46">
        <v>-35972.86</v>
      </c>
      <c r="I119" s="47">
        <f t="shared" ref="I119:I126" si="20">H119/J119</f>
        <v>7.194572</v>
      </c>
      <c r="J119" s="48">
        <v>-5000</v>
      </c>
      <c r="K119" s="49">
        <v>-5000</v>
      </c>
      <c r="L119" s="50">
        <v>-2304.1</v>
      </c>
      <c r="M119" s="50">
        <v>-4680.24</v>
      </c>
      <c r="N119" s="51">
        <v>-21178.99</v>
      </c>
      <c r="O119" s="52">
        <v>20858.490000000002</v>
      </c>
      <c r="P119" s="53">
        <v>20800.03</v>
      </c>
      <c r="Q119" s="54">
        <v>18460.060000000001</v>
      </c>
      <c r="R119" s="1"/>
      <c r="S119" s="1"/>
      <c r="T119" s="1"/>
    </row>
    <row r="120" spans="1:20" ht="13.5" customHeight="1" x14ac:dyDescent="0.25">
      <c r="A120" s="1"/>
      <c r="B120" s="1" t="s">
        <v>211</v>
      </c>
      <c r="C120" s="1" t="s">
        <v>212</v>
      </c>
      <c r="D120" s="42">
        <v>-3000</v>
      </c>
      <c r="E120" s="43">
        <v>-300</v>
      </c>
      <c r="F120" s="45">
        <v>-3000</v>
      </c>
      <c r="G120" s="45">
        <v>-3000</v>
      </c>
      <c r="H120" s="46">
        <v>-2550</v>
      </c>
      <c r="I120" s="47">
        <f t="shared" si="20"/>
        <v>0.85</v>
      </c>
      <c r="J120" s="48">
        <v>-3000</v>
      </c>
      <c r="K120" s="49">
        <v>-3000</v>
      </c>
      <c r="L120" s="50">
        <v>-2650</v>
      </c>
      <c r="M120" s="50">
        <v>-4150</v>
      </c>
      <c r="N120" s="51">
        <v>-6590</v>
      </c>
      <c r="O120" s="52">
        <v>5275</v>
      </c>
      <c r="P120" s="53">
        <v>11525</v>
      </c>
      <c r="Q120" s="54">
        <v>9196</v>
      </c>
      <c r="R120" s="1"/>
      <c r="S120" s="1"/>
      <c r="T120" s="1"/>
    </row>
    <row r="121" spans="1:20" ht="13.5" customHeight="1" x14ac:dyDescent="0.25">
      <c r="A121" s="1"/>
      <c r="B121" s="1" t="s">
        <v>213</v>
      </c>
      <c r="C121" s="1" t="s">
        <v>214</v>
      </c>
      <c r="D121" s="42">
        <v>-11700</v>
      </c>
      <c r="E121" s="43">
        <v>-5850</v>
      </c>
      <c r="F121" s="45">
        <v>-11700</v>
      </c>
      <c r="G121" s="45">
        <v>-11700</v>
      </c>
      <c r="H121" s="46">
        <v>-11700</v>
      </c>
      <c r="I121" s="47">
        <f t="shared" si="20"/>
        <v>0.9</v>
      </c>
      <c r="J121" s="48">
        <v>-13000</v>
      </c>
      <c r="K121" s="49">
        <v>-13000</v>
      </c>
      <c r="L121" s="50">
        <v>-11700</v>
      </c>
      <c r="M121" s="50">
        <v>-11700</v>
      </c>
      <c r="N121" s="51">
        <v>-11850</v>
      </c>
      <c r="O121" s="52">
        <v>12250</v>
      </c>
      <c r="P121" s="53">
        <v>11700</v>
      </c>
      <c r="Q121" s="54">
        <v>11700</v>
      </c>
      <c r="R121" s="1"/>
      <c r="S121" s="1"/>
      <c r="T121" s="1"/>
    </row>
    <row r="122" spans="1:20" ht="13.5" customHeight="1" x14ac:dyDescent="0.25">
      <c r="A122" s="1"/>
      <c r="B122" s="1" t="s">
        <v>215</v>
      </c>
      <c r="C122" s="1" t="s">
        <v>216</v>
      </c>
      <c r="D122" s="42">
        <v>-500</v>
      </c>
      <c r="E122" s="43">
        <v>-160.61000000000001</v>
      </c>
      <c r="F122" s="45">
        <v>-500</v>
      </c>
      <c r="G122" s="45">
        <v>-500</v>
      </c>
      <c r="H122" s="46">
        <v>-357.39</v>
      </c>
      <c r="I122" s="47">
        <f t="shared" si="20"/>
        <v>0.71477999999999997</v>
      </c>
      <c r="J122" s="48">
        <v>-500</v>
      </c>
      <c r="K122" s="49">
        <v>-500</v>
      </c>
      <c r="L122" s="50">
        <v>-571.15</v>
      </c>
      <c r="M122" s="50">
        <v>-478.79</v>
      </c>
      <c r="N122" s="51">
        <v>-373.47</v>
      </c>
      <c r="O122" s="52">
        <v>1052.92</v>
      </c>
      <c r="P122" s="53">
        <v>1761.55</v>
      </c>
      <c r="Q122" s="54">
        <v>798.11</v>
      </c>
      <c r="R122" s="1"/>
      <c r="S122" s="1"/>
      <c r="T122" s="1"/>
    </row>
    <row r="123" spans="1:20" ht="13.5" customHeight="1" x14ac:dyDescent="0.25">
      <c r="A123" s="1"/>
      <c r="B123" s="1" t="s">
        <v>217</v>
      </c>
      <c r="C123" s="1" t="s">
        <v>218</v>
      </c>
      <c r="D123" s="42">
        <v>-100</v>
      </c>
      <c r="E123" s="43">
        <v>0</v>
      </c>
      <c r="F123" s="45">
        <v>-100</v>
      </c>
      <c r="G123" s="45">
        <v>-100</v>
      </c>
      <c r="H123" s="46">
        <v>-1875.75</v>
      </c>
      <c r="I123" s="47">
        <f t="shared" si="20"/>
        <v>18.7575</v>
      </c>
      <c r="J123" s="48">
        <v>-100</v>
      </c>
      <c r="K123" s="49">
        <v>-100</v>
      </c>
      <c r="L123" s="50">
        <v>-90</v>
      </c>
      <c r="M123" s="50">
        <v>-2211.75</v>
      </c>
      <c r="N123" s="51">
        <v>-73.25</v>
      </c>
      <c r="O123" s="52">
        <v>506</v>
      </c>
      <c r="P123" s="53">
        <v>85</v>
      </c>
      <c r="Q123" s="54">
        <v>387</v>
      </c>
      <c r="R123" s="1"/>
      <c r="S123" s="1"/>
      <c r="T123" s="1"/>
    </row>
    <row r="124" spans="1:20" ht="13.5" customHeight="1" x14ac:dyDescent="0.25">
      <c r="A124" s="1"/>
      <c r="B124" s="1" t="s">
        <v>219</v>
      </c>
      <c r="C124" s="1" t="s">
        <v>220</v>
      </c>
      <c r="D124" s="42">
        <v>-4000</v>
      </c>
      <c r="E124" s="43">
        <v>-2000</v>
      </c>
      <c r="F124" s="45">
        <v>-4000</v>
      </c>
      <c r="G124" s="45">
        <v>-4000</v>
      </c>
      <c r="H124" s="46">
        <v>-4000</v>
      </c>
      <c r="I124" s="47">
        <f t="shared" si="20"/>
        <v>1</v>
      </c>
      <c r="J124" s="48">
        <v>-4000</v>
      </c>
      <c r="K124" s="49">
        <v>-4000</v>
      </c>
      <c r="L124" s="50">
        <v>-4000</v>
      </c>
      <c r="M124" s="50">
        <v>-4000</v>
      </c>
      <c r="N124" s="51">
        <v>-4000</v>
      </c>
      <c r="O124" s="52">
        <v>4000</v>
      </c>
      <c r="P124" s="53">
        <v>6976</v>
      </c>
      <c r="Q124" s="54">
        <v>4000</v>
      </c>
      <c r="R124" s="1"/>
      <c r="S124" s="1"/>
      <c r="T124" s="1"/>
    </row>
    <row r="125" spans="1:20" ht="13.5" customHeight="1" x14ac:dyDescent="0.25">
      <c r="A125" s="1"/>
      <c r="B125" s="1" t="s">
        <v>221</v>
      </c>
      <c r="C125" s="1" t="s">
        <v>222</v>
      </c>
      <c r="D125" s="42">
        <v>-4500</v>
      </c>
      <c r="E125" s="43">
        <v>-952</v>
      </c>
      <c r="F125" s="45">
        <v>-4500</v>
      </c>
      <c r="G125" s="45">
        <v>-4500</v>
      </c>
      <c r="H125" s="46">
        <v>-3638.32</v>
      </c>
      <c r="I125" s="47">
        <f t="shared" si="20"/>
        <v>0.51976</v>
      </c>
      <c r="J125" s="48">
        <v>-7000</v>
      </c>
      <c r="K125" s="49">
        <v>-7000</v>
      </c>
      <c r="L125" s="50">
        <v>-3995.51</v>
      </c>
      <c r="M125" s="50">
        <v>-4450.75</v>
      </c>
      <c r="N125" s="51">
        <v>-4692.2700000000004</v>
      </c>
      <c r="O125" s="52">
        <v>8485.77</v>
      </c>
      <c r="P125" s="53">
        <v>5305.26</v>
      </c>
      <c r="Q125" s="54">
        <v>0</v>
      </c>
      <c r="R125" s="1"/>
      <c r="S125" s="1"/>
      <c r="T125" s="1"/>
    </row>
    <row r="126" spans="1:20" ht="13.5" customHeight="1" x14ac:dyDescent="0.25">
      <c r="A126" s="1"/>
      <c r="B126" s="1" t="s">
        <v>223</v>
      </c>
      <c r="C126" s="1" t="s">
        <v>224</v>
      </c>
      <c r="D126" s="42">
        <v>-80000</v>
      </c>
      <c r="E126" s="43">
        <v>-10593.55</v>
      </c>
      <c r="F126" s="45">
        <v>-80000</v>
      </c>
      <c r="G126" s="45">
        <v>-80000</v>
      </c>
      <c r="H126" s="46">
        <v>-70381.7</v>
      </c>
      <c r="I126" s="47">
        <f t="shared" si="20"/>
        <v>0.87977125</v>
      </c>
      <c r="J126" s="48">
        <v>-80000</v>
      </c>
      <c r="K126" s="49">
        <v>-80000</v>
      </c>
      <c r="L126" s="50">
        <v>-35633.97</v>
      </c>
      <c r="M126" s="50">
        <v>-78616.899999999994</v>
      </c>
      <c r="N126" s="51">
        <v>-96199.679999999993</v>
      </c>
      <c r="O126" s="52">
        <v>47308.72</v>
      </c>
      <c r="P126" s="53">
        <v>114652.11</v>
      </c>
      <c r="Q126" s="54">
        <v>129876.45</v>
      </c>
      <c r="R126" s="1"/>
      <c r="S126" s="1"/>
      <c r="T126" s="1"/>
    </row>
    <row r="127" spans="1:20" ht="13.5" customHeight="1" x14ac:dyDescent="0.25">
      <c r="A127" s="1"/>
      <c r="B127" s="1" t="s">
        <v>225</v>
      </c>
      <c r="C127" s="1" t="s">
        <v>226</v>
      </c>
      <c r="D127" s="42">
        <v>0</v>
      </c>
      <c r="E127" s="43">
        <v>-10881.86</v>
      </c>
      <c r="F127" s="73">
        <v>0</v>
      </c>
      <c r="G127" s="73">
        <v>0</v>
      </c>
      <c r="H127" s="66">
        <v>0</v>
      </c>
      <c r="I127" s="47">
        <v>0</v>
      </c>
      <c r="J127" s="75" t="s">
        <v>16</v>
      </c>
      <c r="K127" s="76" t="s">
        <v>16</v>
      </c>
      <c r="L127" s="77" t="s">
        <v>16</v>
      </c>
      <c r="M127" s="77" t="s">
        <v>16</v>
      </c>
      <c r="N127" s="53" t="s">
        <v>16</v>
      </c>
      <c r="O127" s="52">
        <v>939.08</v>
      </c>
      <c r="P127" s="53">
        <v>82555.7</v>
      </c>
      <c r="Q127" s="54">
        <v>0</v>
      </c>
      <c r="R127" s="1"/>
      <c r="S127" s="1"/>
      <c r="T127" s="1"/>
    </row>
    <row r="128" spans="1:20" ht="13.5" customHeight="1" x14ac:dyDescent="0.25">
      <c r="A128" s="1"/>
      <c r="B128" s="1"/>
      <c r="C128" s="1"/>
      <c r="D128" s="88">
        <v>-258800</v>
      </c>
      <c r="E128" s="89">
        <f t="shared" ref="E128" si="21">SUM(E114:E127)</f>
        <v>-142203.34999999998</v>
      </c>
      <c r="F128" s="90">
        <f>SUM(F114:F126)</f>
        <v>-251800</v>
      </c>
      <c r="G128" s="90">
        <v>-251800</v>
      </c>
      <c r="H128" s="91">
        <f>SUM(H114:H127)</f>
        <v>-346566.86000000004</v>
      </c>
      <c r="I128" s="91"/>
      <c r="J128" s="92">
        <f t="shared" ref="J128:Q128" si="22">SUM(J114:J127)</f>
        <v>-285100</v>
      </c>
      <c r="K128" s="93">
        <f t="shared" si="22"/>
        <v>-285100</v>
      </c>
      <c r="L128" s="94">
        <f t="shared" si="22"/>
        <v>-193871.71000000002</v>
      </c>
      <c r="M128" s="94">
        <f t="shared" si="22"/>
        <v>-271315.19</v>
      </c>
      <c r="N128" s="95">
        <f t="shared" si="22"/>
        <v>-258437.47999999998</v>
      </c>
      <c r="O128" s="96">
        <f t="shared" si="22"/>
        <v>400034.35000000003</v>
      </c>
      <c r="P128" s="95">
        <f t="shared" si="22"/>
        <v>429706.34</v>
      </c>
      <c r="Q128" s="97">
        <f t="shared" si="22"/>
        <v>307147.53999999998</v>
      </c>
      <c r="R128" s="1"/>
      <c r="S128" s="1"/>
      <c r="T128" s="1"/>
    </row>
    <row r="129" spans="1:20" ht="13.5" customHeight="1" x14ac:dyDescent="0.25">
      <c r="A129" s="1"/>
      <c r="B129" s="1"/>
      <c r="C129" s="1"/>
      <c r="D129" s="72"/>
      <c r="E129" s="44"/>
      <c r="F129" s="73"/>
      <c r="G129" s="73"/>
      <c r="H129" s="66"/>
      <c r="I129" s="74"/>
      <c r="J129" s="75"/>
      <c r="K129" s="76"/>
      <c r="L129" s="77"/>
      <c r="M129" s="77"/>
      <c r="N129" s="53"/>
      <c r="O129" s="52"/>
      <c r="P129" s="53"/>
      <c r="Q129" s="54"/>
      <c r="R129" s="1"/>
      <c r="S129" s="1"/>
      <c r="T129" s="1"/>
    </row>
    <row r="130" spans="1:20" ht="13.5" customHeight="1" x14ac:dyDescent="0.25">
      <c r="A130" s="1"/>
      <c r="B130" s="1" t="s">
        <v>227</v>
      </c>
      <c r="C130" s="1" t="s">
        <v>228</v>
      </c>
      <c r="D130" s="42">
        <v>-2637600</v>
      </c>
      <c r="E130" s="43">
        <v>101800</v>
      </c>
      <c r="F130" s="71">
        <v>-2002442.37</v>
      </c>
      <c r="G130" s="71">
        <v>-2002442.37</v>
      </c>
      <c r="H130" s="46">
        <v>275331.71999999997</v>
      </c>
      <c r="I130" s="47">
        <f>H130/J130</f>
        <v>-9.8483084536896665E-2</v>
      </c>
      <c r="J130" s="48">
        <v>-2795726</v>
      </c>
      <c r="K130" s="49">
        <v>-2795726</v>
      </c>
      <c r="L130" s="50">
        <v>282800</v>
      </c>
      <c r="M130" s="50">
        <v>81800</v>
      </c>
      <c r="N130" s="51">
        <v>-315897.40999999997</v>
      </c>
      <c r="O130" s="52">
        <v>-37500</v>
      </c>
      <c r="P130" s="53">
        <v>-47500</v>
      </c>
      <c r="Q130" s="54">
        <v>-390283.89</v>
      </c>
      <c r="R130" s="1"/>
      <c r="S130" s="1"/>
      <c r="T130" s="1"/>
    </row>
    <row r="131" spans="1:20" ht="13.5" customHeight="1" x14ac:dyDescent="0.25">
      <c r="A131" s="1"/>
      <c r="B131" s="1"/>
      <c r="C131" s="1"/>
      <c r="D131" s="56">
        <v>-2637600</v>
      </c>
      <c r="E131" s="57">
        <f>E130</f>
        <v>101800</v>
      </c>
      <c r="F131" s="58">
        <f>SUM(F129:F130)</f>
        <v>-2002442.37</v>
      </c>
      <c r="G131" s="58">
        <f t="shared" ref="G131:H131" si="23">SUM(G130)</f>
        <v>-2002442.37</v>
      </c>
      <c r="H131" s="59">
        <f t="shared" si="23"/>
        <v>275331.71999999997</v>
      </c>
      <c r="I131" s="59"/>
      <c r="J131" s="60">
        <f t="shared" ref="J131:Q131" si="24">SUM(J130)</f>
        <v>-2795726</v>
      </c>
      <c r="K131" s="61">
        <f t="shared" si="24"/>
        <v>-2795726</v>
      </c>
      <c r="L131" s="62">
        <f t="shared" si="24"/>
        <v>282800</v>
      </c>
      <c r="M131" s="62">
        <f t="shared" si="24"/>
        <v>81800</v>
      </c>
      <c r="N131" s="63">
        <f t="shared" si="24"/>
        <v>-315897.40999999997</v>
      </c>
      <c r="O131" s="64">
        <f t="shared" si="24"/>
        <v>-37500</v>
      </c>
      <c r="P131" s="63">
        <f t="shared" si="24"/>
        <v>-47500</v>
      </c>
      <c r="Q131" s="65">
        <f t="shared" si="24"/>
        <v>-390283.89</v>
      </c>
      <c r="R131" s="1"/>
      <c r="S131" s="1"/>
      <c r="T131" s="1"/>
    </row>
    <row r="132" spans="1:20" ht="13.5" customHeight="1" x14ac:dyDescent="0.25">
      <c r="A132" s="1"/>
      <c r="B132" s="1"/>
      <c r="C132" s="1"/>
      <c r="D132" s="42"/>
      <c r="E132" s="44"/>
      <c r="F132" s="45"/>
      <c r="G132" s="45"/>
      <c r="H132" s="66"/>
      <c r="I132" s="66"/>
      <c r="J132" s="48"/>
      <c r="K132" s="49"/>
      <c r="L132" s="50"/>
      <c r="M132" s="50"/>
      <c r="N132" s="51"/>
      <c r="O132" s="52"/>
      <c r="P132" s="53"/>
      <c r="Q132" s="54"/>
      <c r="R132" s="1"/>
      <c r="S132" s="1"/>
      <c r="T132" s="1"/>
    </row>
    <row r="133" spans="1:20" ht="13.5" customHeight="1" thickBot="1" x14ac:dyDescent="0.3">
      <c r="A133" s="78"/>
      <c r="B133" s="78"/>
      <c r="C133" s="98" t="s">
        <v>229</v>
      </c>
      <c r="D133" s="99">
        <v>-34998970.109999999</v>
      </c>
      <c r="E133" s="100">
        <f t="shared" ref="E133" si="25">SUM(E12+E16+E52+E95+E108+E112+E128+E131)</f>
        <v>-27535719.889999997</v>
      </c>
      <c r="F133" s="102">
        <f t="shared" ref="F133:H133" si="26">SUM(F12+F16+F52+F95+F108+F112+F128+F131)</f>
        <v>-33547959.240000002</v>
      </c>
      <c r="G133" s="102">
        <f t="shared" si="26"/>
        <v>-33529340.370000001</v>
      </c>
      <c r="H133" s="103">
        <f t="shared" si="26"/>
        <v>-29219351.679999996</v>
      </c>
      <c r="I133" s="103"/>
      <c r="J133" s="104">
        <f t="shared" ref="J133:Q133" si="27">SUM(J12+J16+J52+J95+J108+J112+J128+J131)</f>
        <v>-32738622</v>
      </c>
      <c r="K133" s="105">
        <f t="shared" si="27"/>
        <v>-32738622</v>
      </c>
      <c r="L133" s="106">
        <f t="shared" si="27"/>
        <v>-28594314.070000004</v>
      </c>
      <c r="M133" s="106">
        <f t="shared" si="27"/>
        <v>-28448805.280000001</v>
      </c>
      <c r="N133" s="107">
        <f t="shared" si="27"/>
        <v>-25830151.77</v>
      </c>
      <c r="O133" s="108">
        <f t="shared" si="27"/>
        <v>25870216</v>
      </c>
      <c r="P133" s="107">
        <f t="shared" si="27"/>
        <v>27127712.049999997</v>
      </c>
      <c r="Q133" s="109">
        <f t="shared" si="27"/>
        <v>24734171.879999999</v>
      </c>
      <c r="R133" s="78"/>
      <c r="S133" s="78"/>
      <c r="T133" s="78"/>
    </row>
    <row r="134" spans="1:20" ht="13.5" customHeight="1" thickTop="1" x14ac:dyDescent="0.25">
      <c r="A134" s="1"/>
      <c r="B134" s="1"/>
      <c r="C134" s="1"/>
      <c r="D134" s="42"/>
      <c r="E134" s="44"/>
      <c r="F134" s="45" t="e">
        <f>SUM(#REF!-F133)</f>
        <v>#REF!</v>
      </c>
      <c r="G134" s="45"/>
      <c r="H134" s="66"/>
      <c r="I134" s="66"/>
      <c r="J134" s="48"/>
      <c r="K134" s="49"/>
      <c r="L134" s="50"/>
      <c r="M134" s="50"/>
      <c r="N134" s="51"/>
      <c r="O134" s="52"/>
      <c r="P134" s="53"/>
      <c r="Q134" s="54"/>
      <c r="R134" s="1"/>
      <c r="S134" s="1"/>
      <c r="T134" s="1"/>
    </row>
    <row r="135" spans="1:20" ht="13.5" customHeight="1" x14ac:dyDescent="0.25">
      <c r="A135" s="1"/>
      <c r="B135" s="1"/>
      <c r="C135" s="1"/>
      <c r="D135" s="110"/>
      <c r="E135" s="44"/>
      <c r="F135" s="112">
        <f>SUM(F133-F131)</f>
        <v>-31545516.870000001</v>
      </c>
      <c r="G135" s="113"/>
      <c r="H135" s="66"/>
      <c r="I135" s="66"/>
      <c r="J135" s="48"/>
      <c r="K135" s="49"/>
      <c r="L135" s="50"/>
      <c r="M135" s="50"/>
      <c r="N135" s="51"/>
      <c r="O135" s="52"/>
      <c r="P135" s="53"/>
      <c r="Q135" s="54"/>
      <c r="R135" s="1"/>
      <c r="S135" s="1"/>
      <c r="T135" s="1"/>
    </row>
    <row r="136" spans="1:20" ht="13.5" customHeight="1" x14ac:dyDescent="0.25">
      <c r="A136" s="114" t="s">
        <v>230</v>
      </c>
      <c r="B136" s="1"/>
      <c r="C136" s="1"/>
      <c r="D136" s="42"/>
      <c r="E136" s="44"/>
      <c r="F136" s="45"/>
      <c r="G136" s="45"/>
      <c r="H136" s="66"/>
      <c r="I136" s="66"/>
      <c r="J136" s="48"/>
      <c r="K136" s="49"/>
      <c r="L136" s="50"/>
      <c r="M136" s="50"/>
      <c r="N136" s="51"/>
      <c r="O136" s="52"/>
      <c r="P136" s="53"/>
      <c r="Q136" s="54"/>
      <c r="R136" s="1"/>
      <c r="S136" s="1"/>
      <c r="T136" s="1"/>
    </row>
    <row r="137" spans="1:20" ht="13.5" customHeight="1" x14ac:dyDescent="0.25">
      <c r="A137" s="1"/>
      <c r="B137" s="1"/>
      <c r="C137" s="41" t="s">
        <v>231</v>
      </c>
      <c r="D137" s="42"/>
      <c r="E137" s="44"/>
      <c r="F137" s="45"/>
      <c r="G137" s="45"/>
      <c r="H137" s="66"/>
      <c r="I137" s="66"/>
      <c r="J137" s="48"/>
      <c r="K137" s="49"/>
      <c r="L137" s="50"/>
      <c r="M137" s="50"/>
      <c r="N137" s="51"/>
      <c r="O137" s="52"/>
      <c r="P137" s="53"/>
      <c r="Q137" s="54"/>
      <c r="R137" s="1"/>
      <c r="S137" s="1"/>
      <c r="T137" s="1"/>
    </row>
    <row r="138" spans="1:20" ht="13.5" customHeight="1" x14ac:dyDescent="0.25">
      <c r="A138" s="1"/>
      <c r="B138" s="1" t="s">
        <v>232</v>
      </c>
      <c r="C138" s="1" t="s">
        <v>233</v>
      </c>
      <c r="D138" s="42">
        <v>81870</v>
      </c>
      <c r="E138" s="43">
        <v>38731.22</v>
      </c>
      <c r="F138" s="45">
        <f>81870</f>
        <v>81870</v>
      </c>
      <c r="G138" s="45">
        <v>81870</v>
      </c>
      <c r="H138" s="46">
        <v>75357.91</v>
      </c>
      <c r="I138" s="47">
        <f t="shared" ref="I138:I144" si="28">H138/J138</f>
        <v>1.0046515751443161</v>
      </c>
      <c r="J138" s="48">
        <v>75009</v>
      </c>
      <c r="K138" s="49">
        <v>75009</v>
      </c>
      <c r="L138" s="50">
        <v>73626.740000000005</v>
      </c>
      <c r="M138" s="50">
        <v>72049.179999999993</v>
      </c>
      <c r="N138" s="51">
        <v>70913.460000000006</v>
      </c>
      <c r="O138" s="52">
        <v>89333.73</v>
      </c>
      <c r="P138" s="53">
        <v>83476.66</v>
      </c>
      <c r="Q138" s="54">
        <v>80988.28</v>
      </c>
      <c r="R138" s="1"/>
      <c r="S138" s="1"/>
      <c r="T138" s="1"/>
    </row>
    <row r="139" spans="1:20" ht="13.5" customHeight="1" x14ac:dyDescent="0.25">
      <c r="A139" s="1"/>
      <c r="B139" s="1" t="s">
        <v>234</v>
      </c>
      <c r="C139" s="1" t="s">
        <v>235</v>
      </c>
      <c r="D139" s="42">
        <v>85075</v>
      </c>
      <c r="E139" s="43">
        <v>40269.49</v>
      </c>
      <c r="F139" s="45">
        <v>84244</v>
      </c>
      <c r="G139" s="45">
        <v>84244</v>
      </c>
      <c r="H139" s="46">
        <v>76827.69</v>
      </c>
      <c r="I139" s="47">
        <f t="shared" si="28"/>
        <v>0.99924160445334653</v>
      </c>
      <c r="J139" s="48">
        <v>76886</v>
      </c>
      <c r="K139" s="49">
        <v>76886</v>
      </c>
      <c r="L139" s="50">
        <v>59265.93</v>
      </c>
      <c r="M139" s="50">
        <v>71921.490000000005</v>
      </c>
      <c r="N139" s="51">
        <v>70788.12</v>
      </c>
      <c r="O139" s="52">
        <v>67418.080000000002</v>
      </c>
      <c r="P139" s="53">
        <v>58618.37</v>
      </c>
      <c r="Q139" s="54">
        <v>55272</v>
      </c>
      <c r="R139" s="1"/>
      <c r="S139" s="1"/>
      <c r="T139" s="1"/>
    </row>
    <row r="140" spans="1:20" ht="13.5" customHeight="1" x14ac:dyDescent="0.25">
      <c r="A140" s="1"/>
      <c r="B140" s="1" t="s">
        <v>236</v>
      </c>
      <c r="C140" s="55" t="s">
        <v>237</v>
      </c>
      <c r="D140" s="42">
        <v>1000</v>
      </c>
      <c r="E140" s="70">
        <v>0</v>
      </c>
      <c r="F140" s="45">
        <v>1000</v>
      </c>
      <c r="G140" s="45">
        <v>1000</v>
      </c>
      <c r="H140" s="68">
        <v>0</v>
      </c>
      <c r="I140" s="47">
        <f t="shared" si="28"/>
        <v>0</v>
      </c>
      <c r="J140" s="48">
        <v>1000</v>
      </c>
      <c r="K140" s="49">
        <v>1000</v>
      </c>
      <c r="L140" s="77" t="s">
        <v>16</v>
      </c>
      <c r="M140" s="77" t="s">
        <v>16</v>
      </c>
      <c r="N140" s="53" t="s">
        <v>16</v>
      </c>
      <c r="O140" s="52">
        <v>0</v>
      </c>
      <c r="P140" s="53">
        <v>2294</v>
      </c>
      <c r="Q140" s="54">
        <v>4336</v>
      </c>
      <c r="R140" s="1"/>
      <c r="S140" s="1"/>
      <c r="T140" s="1"/>
    </row>
    <row r="141" spans="1:20" ht="13.5" customHeight="1" x14ac:dyDescent="0.25">
      <c r="A141" s="1"/>
      <c r="B141" s="1" t="s">
        <v>238</v>
      </c>
      <c r="C141" s="1" t="s">
        <v>239</v>
      </c>
      <c r="D141" s="42">
        <v>0</v>
      </c>
      <c r="E141" s="43">
        <v>0</v>
      </c>
      <c r="F141" s="45">
        <v>0</v>
      </c>
      <c r="G141" s="45">
        <v>0</v>
      </c>
      <c r="H141" s="46">
        <v>11232.08</v>
      </c>
      <c r="I141" s="47">
        <f t="shared" si="28"/>
        <v>1.57953593024891</v>
      </c>
      <c r="J141" s="48">
        <v>7111</v>
      </c>
      <c r="K141" s="49">
        <v>7111</v>
      </c>
      <c r="L141" s="50">
        <v>5582.26</v>
      </c>
      <c r="M141" s="50">
        <v>7356.28</v>
      </c>
      <c r="N141" s="51">
        <v>6599.06</v>
      </c>
      <c r="O141" s="52">
        <v>5825.02</v>
      </c>
      <c r="P141" s="53">
        <v>2548</v>
      </c>
      <c r="Q141" s="54">
        <v>1827.68</v>
      </c>
      <c r="R141" s="1"/>
      <c r="S141" s="1"/>
      <c r="T141" s="1"/>
    </row>
    <row r="142" spans="1:20" ht="13.5" customHeight="1" x14ac:dyDescent="0.25">
      <c r="A142" s="1"/>
      <c r="B142" s="1" t="s">
        <v>240</v>
      </c>
      <c r="C142" s="1" t="s">
        <v>241</v>
      </c>
      <c r="D142" s="42">
        <v>1000</v>
      </c>
      <c r="E142" s="70">
        <v>0</v>
      </c>
      <c r="F142" s="45">
        <v>1000</v>
      </c>
      <c r="G142" s="45">
        <v>1000</v>
      </c>
      <c r="H142" s="74">
        <v>0</v>
      </c>
      <c r="I142" s="47">
        <f t="shared" si="28"/>
        <v>0</v>
      </c>
      <c r="J142" s="48">
        <v>1000</v>
      </c>
      <c r="K142" s="49">
        <v>1000</v>
      </c>
      <c r="L142" s="77" t="s">
        <v>16</v>
      </c>
      <c r="M142" s="77" t="s">
        <v>16</v>
      </c>
      <c r="N142" s="53" t="s">
        <v>16</v>
      </c>
      <c r="O142" s="52">
        <v>50.25</v>
      </c>
      <c r="P142" s="53">
        <v>0</v>
      </c>
      <c r="Q142" s="54">
        <v>361.23</v>
      </c>
      <c r="R142" s="1"/>
      <c r="S142" s="1"/>
      <c r="T142" s="1"/>
    </row>
    <row r="143" spans="1:20" ht="13.5" customHeight="1" x14ac:dyDescent="0.25">
      <c r="A143" s="1"/>
      <c r="B143" s="1" t="s">
        <v>242</v>
      </c>
      <c r="C143" s="1" t="s">
        <v>243</v>
      </c>
      <c r="D143" s="42">
        <v>9000</v>
      </c>
      <c r="E143" s="43">
        <v>4499.95</v>
      </c>
      <c r="F143" s="45">
        <v>9000</v>
      </c>
      <c r="G143" s="45">
        <v>9000</v>
      </c>
      <c r="H143" s="46">
        <v>9000.15</v>
      </c>
      <c r="I143" s="47">
        <f t="shared" si="28"/>
        <v>1.0000166666666666</v>
      </c>
      <c r="J143" s="48">
        <v>9000</v>
      </c>
      <c r="K143" s="49">
        <v>9000</v>
      </c>
      <c r="L143" s="50">
        <v>8999.9</v>
      </c>
      <c r="M143" s="50">
        <v>8999.9</v>
      </c>
      <c r="N143" s="51">
        <v>8999.9</v>
      </c>
      <c r="O143" s="52">
        <v>3478.68</v>
      </c>
      <c r="P143" s="53">
        <v>3349.84</v>
      </c>
      <c r="Q143" s="54">
        <v>3349.84</v>
      </c>
      <c r="R143" s="1"/>
      <c r="S143" s="1"/>
      <c r="T143" s="1"/>
    </row>
    <row r="144" spans="1:20" ht="13.5" customHeight="1" x14ac:dyDescent="0.25">
      <c r="A144" s="1"/>
      <c r="B144" s="1" t="s">
        <v>244</v>
      </c>
      <c r="C144" s="1" t="s">
        <v>245</v>
      </c>
      <c r="D144" s="42">
        <v>25200</v>
      </c>
      <c r="E144" s="43">
        <v>12599.99</v>
      </c>
      <c r="F144" s="45">
        <v>25200</v>
      </c>
      <c r="G144" s="45">
        <v>25200</v>
      </c>
      <c r="H144" s="46">
        <v>25200.35</v>
      </c>
      <c r="I144" s="47">
        <f t="shared" si="28"/>
        <v>1.0000138888888888</v>
      </c>
      <c r="J144" s="48">
        <v>25200</v>
      </c>
      <c r="K144" s="49">
        <v>25200</v>
      </c>
      <c r="L144" s="50">
        <v>25199.98</v>
      </c>
      <c r="M144" s="50">
        <v>24812.240000000002</v>
      </c>
      <c r="N144" s="51">
        <v>25200</v>
      </c>
      <c r="O144" s="52">
        <v>0</v>
      </c>
      <c r="P144" s="53">
        <v>0</v>
      </c>
      <c r="Q144" s="54">
        <v>0</v>
      </c>
      <c r="R144" s="1"/>
      <c r="S144" s="1"/>
      <c r="T144" s="1"/>
    </row>
    <row r="145" spans="1:20" ht="13.5" customHeight="1" x14ac:dyDescent="0.25">
      <c r="A145" s="1"/>
      <c r="B145" s="1"/>
      <c r="C145" s="1"/>
      <c r="D145" s="56">
        <v>203145</v>
      </c>
      <c r="E145" s="57">
        <f t="shared" ref="E145" si="29">SUM(E138:E144)</f>
        <v>96100.65</v>
      </c>
      <c r="F145" s="58">
        <f>SUM(F137:F144)</f>
        <v>202314</v>
      </c>
      <c r="G145" s="58">
        <v>202314</v>
      </c>
      <c r="H145" s="59">
        <f>SUM(H138:H144)</f>
        <v>197618.18</v>
      </c>
      <c r="I145" s="59"/>
      <c r="J145" s="60">
        <f t="shared" ref="J145:Q145" si="30">SUM(J138:J144)</f>
        <v>195206</v>
      </c>
      <c r="K145" s="61">
        <f t="shared" si="30"/>
        <v>195206</v>
      </c>
      <c r="L145" s="62">
        <f t="shared" si="30"/>
        <v>172674.81000000003</v>
      </c>
      <c r="M145" s="62">
        <f t="shared" si="30"/>
        <v>185139.08999999997</v>
      </c>
      <c r="N145" s="63">
        <f t="shared" si="30"/>
        <v>182500.54</v>
      </c>
      <c r="O145" s="64">
        <f t="shared" si="30"/>
        <v>166105.75999999998</v>
      </c>
      <c r="P145" s="63">
        <f t="shared" si="30"/>
        <v>150286.87</v>
      </c>
      <c r="Q145" s="65">
        <f t="shared" si="30"/>
        <v>146135.03</v>
      </c>
      <c r="R145" s="1"/>
      <c r="S145" s="1"/>
      <c r="T145" s="1"/>
    </row>
    <row r="146" spans="1:20" ht="13.5" customHeight="1" x14ac:dyDescent="0.25">
      <c r="A146" s="1"/>
      <c r="B146" s="1"/>
      <c r="C146" s="1"/>
      <c r="D146" s="42"/>
      <c r="E146" s="44"/>
      <c r="F146" s="45"/>
      <c r="G146" s="45"/>
      <c r="H146" s="66"/>
      <c r="I146" s="66"/>
      <c r="J146" s="48"/>
      <c r="K146" s="49"/>
      <c r="L146" s="50"/>
      <c r="M146" s="50"/>
      <c r="N146" s="51"/>
      <c r="O146" s="52"/>
      <c r="P146" s="53"/>
      <c r="Q146" s="54"/>
      <c r="R146" s="1"/>
      <c r="S146" s="1"/>
      <c r="T146" s="1"/>
    </row>
    <row r="147" spans="1:20" ht="13.5" customHeight="1" x14ac:dyDescent="0.25">
      <c r="A147" s="1"/>
      <c r="B147" s="1" t="s">
        <v>246</v>
      </c>
      <c r="C147" s="1" t="s">
        <v>247</v>
      </c>
      <c r="D147" s="42">
        <v>15464.092500000001</v>
      </c>
      <c r="E147" s="43">
        <v>6603.66</v>
      </c>
      <c r="F147" s="45">
        <v>15400.521000000001</v>
      </c>
      <c r="G147" s="45">
        <v>15400.521000000001</v>
      </c>
      <c r="H147" s="46">
        <v>13893.97</v>
      </c>
      <c r="I147" s="47">
        <f t="shared" ref="I147:I152" si="31">H147/J147</f>
        <v>0.93229349795343219</v>
      </c>
      <c r="J147" s="48">
        <v>14903</v>
      </c>
      <c r="K147" s="49">
        <v>14903</v>
      </c>
      <c r="L147" s="50">
        <v>11906.53</v>
      </c>
      <c r="M147" s="50">
        <v>12569.98</v>
      </c>
      <c r="N147" s="51">
        <v>12571.94</v>
      </c>
      <c r="O147" s="52">
        <v>12113.14</v>
      </c>
      <c r="P147" s="53">
        <v>10536.45</v>
      </c>
      <c r="Q147" s="54">
        <v>10561.02</v>
      </c>
      <c r="R147" s="1"/>
      <c r="S147" s="1"/>
      <c r="T147" s="1"/>
    </row>
    <row r="148" spans="1:20" ht="13.5" customHeight="1" x14ac:dyDescent="0.25">
      <c r="A148" s="1"/>
      <c r="B148" s="1" t="s">
        <v>248</v>
      </c>
      <c r="C148" s="1" t="s">
        <v>249</v>
      </c>
      <c r="D148" s="42">
        <v>31390.304400000001</v>
      </c>
      <c r="E148" s="43">
        <v>15897.42</v>
      </c>
      <c r="F148" s="45">
        <v>31389.820800000001</v>
      </c>
      <c r="G148" s="45">
        <v>31389.820800000001</v>
      </c>
      <c r="H148" s="46">
        <v>29548.67</v>
      </c>
      <c r="I148" s="47">
        <f t="shared" si="31"/>
        <v>0.96143261534456947</v>
      </c>
      <c r="J148" s="48">
        <v>30734</v>
      </c>
      <c r="K148" s="49">
        <v>30734</v>
      </c>
      <c r="L148" s="50">
        <v>25349.75</v>
      </c>
      <c r="M148" s="50">
        <v>30415.94</v>
      </c>
      <c r="N148" s="51">
        <v>30496.799999999999</v>
      </c>
      <c r="O148" s="52">
        <v>30372.48</v>
      </c>
      <c r="P148" s="53">
        <v>26616.6</v>
      </c>
      <c r="Q148" s="54">
        <v>25600.32</v>
      </c>
      <c r="R148" s="1"/>
      <c r="S148" s="1"/>
      <c r="T148" s="1"/>
    </row>
    <row r="149" spans="1:20" ht="13.5" customHeight="1" x14ac:dyDescent="0.25">
      <c r="A149" s="1"/>
      <c r="B149" s="1" t="s">
        <v>250</v>
      </c>
      <c r="C149" s="1" t="s">
        <v>251</v>
      </c>
      <c r="D149" s="42">
        <v>30362.179000000004</v>
      </c>
      <c r="E149" s="43">
        <v>14296.01</v>
      </c>
      <c r="F149" s="45">
        <v>30237.362800000003</v>
      </c>
      <c r="G149" s="45">
        <v>30237.362800000003</v>
      </c>
      <c r="H149" s="46">
        <v>28731.97</v>
      </c>
      <c r="I149" s="47">
        <f t="shared" si="31"/>
        <v>1.0189003156140288</v>
      </c>
      <c r="J149" s="48">
        <v>28199</v>
      </c>
      <c r="K149" s="49">
        <v>28199</v>
      </c>
      <c r="L149" s="50">
        <v>25076.880000000001</v>
      </c>
      <c r="M149" s="50">
        <v>25845.5</v>
      </c>
      <c r="N149" s="51">
        <v>24559.040000000001</v>
      </c>
      <c r="O149" s="52">
        <v>23259.64</v>
      </c>
      <c r="P149" s="53">
        <v>20230.71</v>
      </c>
      <c r="Q149" s="54">
        <v>18284.05</v>
      </c>
      <c r="R149" s="1"/>
      <c r="S149" s="1"/>
      <c r="T149" s="1"/>
    </row>
    <row r="150" spans="1:20" ht="13.5" customHeight="1" x14ac:dyDescent="0.25">
      <c r="A150" s="1"/>
      <c r="B150" s="1" t="s">
        <v>252</v>
      </c>
      <c r="C150" s="1" t="s">
        <v>253</v>
      </c>
      <c r="D150" s="42">
        <v>323.43200000000002</v>
      </c>
      <c r="E150" s="43">
        <v>152.30000000000001</v>
      </c>
      <c r="F150" s="45">
        <v>322.10240000000005</v>
      </c>
      <c r="G150" s="45">
        <v>322.10240000000005</v>
      </c>
      <c r="H150" s="46">
        <v>316.3</v>
      </c>
      <c r="I150" s="47">
        <f t="shared" si="31"/>
        <v>1.0170418006430868</v>
      </c>
      <c r="J150" s="48">
        <v>311</v>
      </c>
      <c r="K150" s="49">
        <v>311</v>
      </c>
      <c r="L150" s="50">
        <v>316.54000000000002</v>
      </c>
      <c r="M150" s="50">
        <v>352.46</v>
      </c>
      <c r="N150" s="51">
        <v>425.76</v>
      </c>
      <c r="O150" s="52">
        <v>456.55</v>
      </c>
      <c r="P150" s="53">
        <v>365.02</v>
      </c>
      <c r="Q150" s="54">
        <v>345.5</v>
      </c>
      <c r="R150" s="1"/>
      <c r="S150" s="1"/>
      <c r="T150" s="1"/>
    </row>
    <row r="151" spans="1:20" ht="13.5" customHeight="1" x14ac:dyDescent="0.25">
      <c r="A151" s="1"/>
      <c r="B151" s="1" t="s">
        <v>254</v>
      </c>
      <c r="C151" s="1" t="s">
        <v>255</v>
      </c>
      <c r="D151" s="42">
        <v>1053.3600000000001</v>
      </c>
      <c r="E151" s="43">
        <v>501.84</v>
      </c>
      <c r="F151" s="45">
        <v>1005</v>
      </c>
      <c r="G151" s="45">
        <v>1005</v>
      </c>
      <c r="H151" s="46">
        <v>940.79</v>
      </c>
      <c r="I151" s="47">
        <f t="shared" si="31"/>
        <v>0.97390269151138709</v>
      </c>
      <c r="J151" s="48">
        <v>966</v>
      </c>
      <c r="K151" s="49">
        <v>966</v>
      </c>
      <c r="L151" s="50">
        <v>729.46</v>
      </c>
      <c r="M151" s="50">
        <v>906.36</v>
      </c>
      <c r="N151" s="51">
        <v>988.62</v>
      </c>
      <c r="O151" s="52">
        <v>1006.2</v>
      </c>
      <c r="P151" s="53">
        <v>894.4</v>
      </c>
      <c r="Q151" s="54">
        <v>852.12</v>
      </c>
      <c r="R151" s="1"/>
      <c r="S151" s="1"/>
      <c r="T151" s="1"/>
    </row>
    <row r="152" spans="1:20" ht="13.5" customHeight="1" x14ac:dyDescent="0.25">
      <c r="A152" s="1"/>
      <c r="B152" s="1" t="s">
        <v>256</v>
      </c>
      <c r="C152" s="1" t="s">
        <v>257</v>
      </c>
      <c r="D152" s="42">
        <v>0</v>
      </c>
      <c r="E152" s="70">
        <v>0</v>
      </c>
      <c r="F152" s="45">
        <v>0</v>
      </c>
      <c r="G152" s="45">
        <v>0</v>
      </c>
      <c r="H152" s="74">
        <v>0</v>
      </c>
      <c r="I152" s="47">
        <f t="shared" si="31"/>
        <v>0</v>
      </c>
      <c r="J152" s="48">
        <v>600</v>
      </c>
      <c r="K152" s="49">
        <v>600</v>
      </c>
      <c r="L152" s="50">
        <v>600</v>
      </c>
      <c r="M152" s="50">
        <v>600</v>
      </c>
      <c r="N152" s="51">
        <v>600</v>
      </c>
      <c r="O152" s="52">
        <v>575</v>
      </c>
      <c r="P152" s="53">
        <v>625</v>
      </c>
      <c r="Q152" s="54">
        <v>0</v>
      </c>
      <c r="R152" s="1"/>
      <c r="S152" s="1"/>
      <c r="T152" s="1"/>
    </row>
    <row r="153" spans="1:20" ht="13.5" customHeight="1" x14ac:dyDescent="0.25">
      <c r="A153" s="1"/>
      <c r="B153" s="1"/>
      <c r="C153" s="1"/>
      <c r="D153" s="56">
        <v>78593.367899999997</v>
      </c>
      <c r="E153" s="57">
        <f t="shared" ref="E153" si="32">SUM(E147:E152)</f>
        <v>37451.230000000003</v>
      </c>
      <c r="F153" s="58">
        <f>SUM(F146:F152)</f>
        <v>78354.807000000001</v>
      </c>
      <c r="G153" s="58">
        <v>78354.807000000001</v>
      </c>
      <c r="H153" s="59">
        <f>SUM(H147:H152)</f>
        <v>73431.7</v>
      </c>
      <c r="I153" s="59"/>
      <c r="J153" s="60">
        <f t="shared" ref="J153:Q153" si="33">SUM(J147:J152)</f>
        <v>75713</v>
      </c>
      <c r="K153" s="61">
        <f t="shared" si="33"/>
        <v>75713</v>
      </c>
      <c r="L153" s="62">
        <f t="shared" si="33"/>
        <v>63979.16</v>
      </c>
      <c r="M153" s="62">
        <f t="shared" si="33"/>
        <v>70690.240000000005</v>
      </c>
      <c r="N153" s="63">
        <f t="shared" si="33"/>
        <v>69642.159999999989</v>
      </c>
      <c r="O153" s="64">
        <f t="shared" si="33"/>
        <v>67783.009999999995</v>
      </c>
      <c r="P153" s="63">
        <f t="shared" si="33"/>
        <v>59268.18</v>
      </c>
      <c r="Q153" s="65">
        <f t="shared" si="33"/>
        <v>55643.01</v>
      </c>
      <c r="R153" s="1"/>
      <c r="S153" s="1"/>
      <c r="T153" s="1"/>
    </row>
    <row r="154" spans="1:20" ht="13.5" customHeight="1" x14ac:dyDescent="0.25">
      <c r="A154" s="1"/>
      <c r="B154" s="1"/>
      <c r="C154" s="1"/>
      <c r="D154" s="42"/>
      <c r="E154" s="67"/>
      <c r="F154" s="45"/>
      <c r="G154" s="45"/>
      <c r="H154" s="74"/>
      <c r="I154" s="66"/>
      <c r="J154" s="48"/>
      <c r="K154" s="49"/>
      <c r="L154" s="50"/>
      <c r="M154" s="50"/>
      <c r="N154" s="51"/>
      <c r="O154" s="52"/>
      <c r="P154" s="53"/>
      <c r="Q154" s="54"/>
      <c r="R154" s="1"/>
      <c r="S154" s="1"/>
      <c r="T154" s="1"/>
    </row>
    <row r="155" spans="1:20" ht="13.5" customHeight="1" x14ac:dyDescent="0.25">
      <c r="A155" s="1"/>
      <c r="B155" s="1" t="s">
        <v>258</v>
      </c>
      <c r="C155" s="1" t="s">
        <v>259</v>
      </c>
      <c r="D155" s="42">
        <v>1500</v>
      </c>
      <c r="E155" s="43">
        <v>145.84</v>
      </c>
      <c r="F155" s="45">
        <v>1500</v>
      </c>
      <c r="G155" s="45">
        <v>1500</v>
      </c>
      <c r="H155" s="46">
        <v>927.98</v>
      </c>
      <c r="I155" s="47">
        <f t="shared" ref="I155:I158" si="34">H155/J155</f>
        <v>0.61865333333333339</v>
      </c>
      <c r="J155" s="48">
        <v>1500</v>
      </c>
      <c r="K155" s="49">
        <v>1500</v>
      </c>
      <c r="L155" s="50">
        <v>372.35</v>
      </c>
      <c r="M155" s="50">
        <v>200.41</v>
      </c>
      <c r="N155" s="51">
        <v>9122.6</v>
      </c>
      <c r="O155" s="52">
        <v>747.05</v>
      </c>
      <c r="P155" s="53">
        <v>2508.39</v>
      </c>
      <c r="Q155" s="54">
        <v>1404.66</v>
      </c>
      <c r="R155" s="1"/>
      <c r="S155" s="1"/>
      <c r="T155" s="1"/>
    </row>
    <row r="156" spans="1:20" ht="13.5" customHeight="1" x14ac:dyDescent="0.25">
      <c r="A156" s="1"/>
      <c r="B156" s="1" t="s">
        <v>260</v>
      </c>
      <c r="C156" s="1" t="s">
        <v>261</v>
      </c>
      <c r="D156" s="42">
        <v>400</v>
      </c>
      <c r="E156" s="43">
        <v>13.75</v>
      </c>
      <c r="F156" s="45">
        <v>400</v>
      </c>
      <c r="G156" s="45">
        <v>400</v>
      </c>
      <c r="H156" s="46">
        <v>69.63</v>
      </c>
      <c r="I156" s="47">
        <f t="shared" si="34"/>
        <v>0.17407499999999998</v>
      </c>
      <c r="J156" s="48">
        <v>400</v>
      </c>
      <c r="K156" s="49">
        <v>400</v>
      </c>
      <c r="L156" s="50">
        <v>268.99</v>
      </c>
      <c r="M156" s="50">
        <v>114.29</v>
      </c>
      <c r="N156" s="51">
        <v>169.28</v>
      </c>
      <c r="O156" s="52">
        <v>99.62</v>
      </c>
      <c r="P156" s="53">
        <v>134.69999999999999</v>
      </c>
      <c r="Q156" s="54">
        <v>237.04</v>
      </c>
      <c r="R156" s="1"/>
      <c r="S156" s="1"/>
      <c r="T156" s="1"/>
    </row>
    <row r="157" spans="1:20" ht="13.5" customHeight="1" x14ac:dyDescent="0.25">
      <c r="A157" s="1"/>
      <c r="B157" s="1" t="s">
        <v>262</v>
      </c>
      <c r="C157" s="1" t="s">
        <v>263</v>
      </c>
      <c r="D157" s="42">
        <v>100</v>
      </c>
      <c r="E157" s="70">
        <v>0</v>
      </c>
      <c r="F157" s="45">
        <v>100</v>
      </c>
      <c r="G157" s="45">
        <v>100</v>
      </c>
      <c r="H157" s="68">
        <v>145</v>
      </c>
      <c r="I157" s="47">
        <f t="shared" si="34"/>
        <v>1.45</v>
      </c>
      <c r="J157" s="48">
        <v>100</v>
      </c>
      <c r="K157" s="49">
        <v>100</v>
      </c>
      <c r="L157" s="50">
        <v>65</v>
      </c>
      <c r="M157" s="50">
        <v>73</v>
      </c>
      <c r="N157" s="53" t="s">
        <v>16</v>
      </c>
      <c r="O157" s="52">
        <v>121</v>
      </c>
      <c r="P157" s="53">
        <v>0</v>
      </c>
      <c r="Q157" s="54">
        <v>108</v>
      </c>
      <c r="R157" s="1"/>
      <c r="S157" s="1"/>
      <c r="T157" s="1"/>
    </row>
    <row r="158" spans="1:20" ht="13.5" customHeight="1" x14ac:dyDescent="0.25">
      <c r="A158" s="1"/>
      <c r="B158" s="1" t="s">
        <v>264</v>
      </c>
      <c r="C158" s="55" t="s">
        <v>265</v>
      </c>
      <c r="D158" s="42">
        <v>1200</v>
      </c>
      <c r="E158" s="70">
        <v>0</v>
      </c>
      <c r="F158" s="45">
        <v>1200</v>
      </c>
      <c r="G158" s="45">
        <v>1200</v>
      </c>
      <c r="H158" s="74">
        <v>0</v>
      </c>
      <c r="I158" s="47">
        <f t="shared" si="34"/>
        <v>0</v>
      </c>
      <c r="J158" s="48">
        <v>1200</v>
      </c>
      <c r="K158" s="49">
        <v>1200</v>
      </c>
      <c r="L158" s="77">
        <v>0</v>
      </c>
      <c r="M158" s="77">
        <v>0</v>
      </c>
      <c r="N158" s="53" t="s">
        <v>16</v>
      </c>
      <c r="O158" s="52">
        <v>0</v>
      </c>
      <c r="P158" s="53">
        <v>0</v>
      </c>
      <c r="Q158" s="54">
        <v>0</v>
      </c>
      <c r="R158" s="1"/>
      <c r="S158" s="1"/>
      <c r="T158" s="1"/>
    </row>
    <row r="159" spans="1:20" ht="13.5" customHeight="1" x14ac:dyDescent="0.25">
      <c r="A159" s="1"/>
      <c r="B159" s="1" t="s">
        <v>266</v>
      </c>
      <c r="C159" s="1" t="s">
        <v>267</v>
      </c>
      <c r="D159" s="42">
        <v>0</v>
      </c>
      <c r="E159" s="70">
        <v>0</v>
      </c>
      <c r="F159" s="73">
        <v>0</v>
      </c>
      <c r="G159" s="73">
        <v>0</v>
      </c>
      <c r="H159" s="74">
        <v>0</v>
      </c>
      <c r="I159" s="74">
        <v>0</v>
      </c>
      <c r="J159" s="75">
        <v>0</v>
      </c>
      <c r="K159" s="76">
        <v>0</v>
      </c>
      <c r="L159" s="50">
        <v>1575.98</v>
      </c>
      <c r="M159" s="50">
        <v>183.98</v>
      </c>
      <c r="N159" s="51">
        <v>249.99</v>
      </c>
      <c r="O159" s="52">
        <v>0</v>
      </c>
      <c r="P159" s="53">
        <v>0</v>
      </c>
      <c r="Q159" s="54">
        <v>0</v>
      </c>
      <c r="R159" s="1"/>
      <c r="S159" s="1"/>
      <c r="T159" s="1"/>
    </row>
    <row r="160" spans="1:20" ht="13.5" customHeight="1" x14ac:dyDescent="0.25">
      <c r="A160" s="1"/>
      <c r="B160" s="1"/>
      <c r="C160" s="1"/>
      <c r="D160" s="88">
        <v>3200</v>
      </c>
      <c r="E160" s="89">
        <f t="shared" ref="E160" si="35">SUM(E155:E159)</f>
        <v>159.59</v>
      </c>
      <c r="F160" s="90">
        <f>SUM(F154:F159)</f>
        <v>3200</v>
      </c>
      <c r="G160" s="90">
        <v>3200</v>
      </c>
      <c r="H160" s="91">
        <f>SUM(H155:H159)</f>
        <v>1142.6100000000001</v>
      </c>
      <c r="I160" s="91"/>
      <c r="J160" s="92">
        <f t="shared" ref="J160:Q160" si="36">SUM(J155:J159)</f>
        <v>3200</v>
      </c>
      <c r="K160" s="93">
        <f t="shared" si="36"/>
        <v>3200</v>
      </c>
      <c r="L160" s="94">
        <f t="shared" si="36"/>
        <v>2282.3200000000002</v>
      </c>
      <c r="M160" s="94">
        <f t="shared" si="36"/>
        <v>571.67999999999995</v>
      </c>
      <c r="N160" s="95">
        <f t="shared" si="36"/>
        <v>9541.8700000000008</v>
      </c>
      <c r="O160" s="96">
        <f t="shared" si="36"/>
        <v>967.67</v>
      </c>
      <c r="P160" s="95">
        <f t="shared" si="36"/>
        <v>2643.0899999999997</v>
      </c>
      <c r="Q160" s="97">
        <f t="shared" si="36"/>
        <v>1749.7</v>
      </c>
      <c r="R160" s="1"/>
      <c r="S160" s="1"/>
      <c r="T160" s="1"/>
    </row>
    <row r="161" spans="1:20" ht="13.5" customHeight="1" x14ac:dyDescent="0.25">
      <c r="A161" s="1"/>
      <c r="B161" s="1"/>
      <c r="C161" s="1"/>
      <c r="D161" s="72"/>
      <c r="E161" s="67"/>
      <c r="F161" s="73"/>
      <c r="G161" s="73"/>
      <c r="H161" s="74"/>
      <c r="I161" s="74"/>
      <c r="J161" s="75"/>
      <c r="K161" s="76"/>
      <c r="L161" s="50"/>
      <c r="M161" s="50"/>
      <c r="N161" s="51"/>
      <c r="O161" s="52"/>
      <c r="P161" s="53"/>
      <c r="Q161" s="54"/>
      <c r="R161" s="1"/>
      <c r="S161" s="1"/>
      <c r="T161" s="1"/>
    </row>
    <row r="162" spans="1:20" ht="13.5" customHeight="1" x14ac:dyDescent="0.25">
      <c r="A162" s="1"/>
      <c r="B162" s="1" t="s">
        <v>268</v>
      </c>
      <c r="C162" s="1" t="s">
        <v>269</v>
      </c>
      <c r="D162" s="42">
        <v>3500</v>
      </c>
      <c r="E162" s="43">
        <v>1140</v>
      </c>
      <c r="F162" s="45">
        <v>3500</v>
      </c>
      <c r="G162" s="45">
        <v>3500</v>
      </c>
      <c r="H162" s="46">
        <v>1710</v>
      </c>
      <c r="I162" s="47">
        <f t="shared" ref="I162:I163" si="37">H162/J162</f>
        <v>0.48857142857142855</v>
      </c>
      <c r="J162" s="48">
        <v>3500</v>
      </c>
      <c r="K162" s="49">
        <v>3500</v>
      </c>
      <c r="L162" s="50">
        <v>1140</v>
      </c>
      <c r="M162" s="77">
        <v>0</v>
      </c>
      <c r="N162" s="51">
        <v>570</v>
      </c>
      <c r="O162" s="52">
        <v>2280</v>
      </c>
      <c r="P162" s="53">
        <v>1995</v>
      </c>
      <c r="Q162" s="54">
        <v>570</v>
      </c>
      <c r="R162" s="1"/>
      <c r="S162" s="1"/>
      <c r="T162" s="1"/>
    </row>
    <row r="163" spans="1:20" ht="13.5" customHeight="1" x14ac:dyDescent="0.25">
      <c r="A163" s="1"/>
      <c r="B163" s="1" t="s">
        <v>270</v>
      </c>
      <c r="C163" s="1" t="s">
        <v>271</v>
      </c>
      <c r="D163" s="42">
        <v>2500</v>
      </c>
      <c r="E163" s="70">
        <v>0</v>
      </c>
      <c r="F163" s="45">
        <v>2500</v>
      </c>
      <c r="G163" s="45">
        <v>2500</v>
      </c>
      <c r="H163" s="74">
        <v>0</v>
      </c>
      <c r="I163" s="47">
        <f t="shared" si="37"/>
        <v>0</v>
      </c>
      <c r="J163" s="48">
        <v>1577</v>
      </c>
      <c r="K163" s="49">
        <v>2500</v>
      </c>
      <c r="L163" s="77">
        <v>0</v>
      </c>
      <c r="M163" s="77">
        <v>0</v>
      </c>
      <c r="N163" s="53">
        <v>0</v>
      </c>
      <c r="O163" s="52">
        <v>0</v>
      </c>
      <c r="P163" s="53">
        <v>0</v>
      </c>
      <c r="Q163" s="54">
        <v>0</v>
      </c>
      <c r="R163" s="1"/>
      <c r="S163" s="1"/>
      <c r="T163" s="1"/>
    </row>
    <row r="164" spans="1:20" ht="13.5" customHeight="1" x14ac:dyDescent="0.25">
      <c r="A164" s="1"/>
      <c r="B164" s="1" t="s">
        <v>272</v>
      </c>
      <c r="C164" s="55" t="s">
        <v>273</v>
      </c>
      <c r="D164" s="42">
        <v>0</v>
      </c>
      <c r="E164" s="70">
        <v>0</v>
      </c>
      <c r="F164" s="73">
        <v>0</v>
      </c>
      <c r="G164" s="73">
        <v>0</v>
      </c>
      <c r="H164" s="74">
        <v>0</v>
      </c>
      <c r="I164" s="115">
        <v>0</v>
      </c>
      <c r="J164" s="75">
        <v>0</v>
      </c>
      <c r="K164" s="76">
        <v>0</v>
      </c>
      <c r="L164" s="50">
        <v>148.35</v>
      </c>
      <c r="M164" s="77">
        <v>0</v>
      </c>
      <c r="N164" s="53">
        <v>0</v>
      </c>
      <c r="O164" s="52">
        <v>0</v>
      </c>
      <c r="P164" s="53">
        <v>0</v>
      </c>
      <c r="Q164" s="54">
        <v>0</v>
      </c>
      <c r="R164" s="1"/>
      <c r="S164" s="1"/>
      <c r="T164" s="1"/>
    </row>
    <row r="165" spans="1:20" ht="13.5" customHeight="1" x14ac:dyDescent="0.25">
      <c r="A165" s="1"/>
      <c r="B165" s="1" t="s">
        <v>274</v>
      </c>
      <c r="C165" s="1" t="s">
        <v>275</v>
      </c>
      <c r="D165" s="42">
        <v>5000</v>
      </c>
      <c r="E165" s="43">
        <v>106.22</v>
      </c>
      <c r="F165" s="45">
        <v>5000</v>
      </c>
      <c r="G165" s="45">
        <v>5000</v>
      </c>
      <c r="H165" s="46">
        <v>1980.46</v>
      </c>
      <c r="I165" s="47">
        <f t="shared" ref="I165:I168" si="38">H165/J165</f>
        <v>0.396092</v>
      </c>
      <c r="J165" s="48">
        <v>5000</v>
      </c>
      <c r="K165" s="49">
        <v>5000</v>
      </c>
      <c r="L165" s="50">
        <v>3766.72</v>
      </c>
      <c r="M165" s="50">
        <v>2385.6</v>
      </c>
      <c r="N165" s="51">
        <v>1342.46</v>
      </c>
      <c r="O165" s="52">
        <v>2346.13</v>
      </c>
      <c r="P165" s="53">
        <v>1610.58</v>
      </c>
      <c r="Q165" s="54">
        <v>3651.6</v>
      </c>
      <c r="R165" s="1"/>
      <c r="S165" s="1"/>
      <c r="T165" s="1"/>
    </row>
    <row r="166" spans="1:20" ht="13.5" customHeight="1" x14ac:dyDescent="0.25">
      <c r="A166" s="1"/>
      <c r="B166" s="1" t="s">
        <v>276</v>
      </c>
      <c r="C166" s="1" t="s">
        <v>277</v>
      </c>
      <c r="D166" s="42">
        <v>531</v>
      </c>
      <c r="E166" s="43">
        <v>354.88</v>
      </c>
      <c r="F166" s="45">
        <v>531</v>
      </c>
      <c r="G166" s="45">
        <v>531</v>
      </c>
      <c r="H166" s="46">
        <v>873.83</v>
      </c>
      <c r="I166" s="47">
        <f t="shared" si="38"/>
        <v>1.6456308851224106</v>
      </c>
      <c r="J166" s="48">
        <v>531</v>
      </c>
      <c r="K166" s="49">
        <v>531</v>
      </c>
      <c r="L166" s="50">
        <v>873.83</v>
      </c>
      <c r="M166" s="50">
        <v>554.88</v>
      </c>
      <c r="N166" s="51">
        <v>730.88</v>
      </c>
      <c r="O166" s="52">
        <v>530.88</v>
      </c>
      <c r="P166" s="53">
        <v>223</v>
      </c>
      <c r="Q166" s="54">
        <v>125</v>
      </c>
      <c r="R166" s="1"/>
      <c r="S166" s="1"/>
      <c r="T166" s="1"/>
    </row>
    <row r="167" spans="1:20" ht="13.5" customHeight="1" x14ac:dyDescent="0.25">
      <c r="A167" s="1"/>
      <c r="B167" s="1" t="s">
        <v>278</v>
      </c>
      <c r="C167" s="1" t="s">
        <v>279</v>
      </c>
      <c r="D167" s="42">
        <v>320</v>
      </c>
      <c r="E167" s="43">
        <v>0</v>
      </c>
      <c r="F167" s="45">
        <v>320</v>
      </c>
      <c r="G167" s="45">
        <v>320</v>
      </c>
      <c r="H167" s="66">
        <v>1242.5</v>
      </c>
      <c r="I167" s="47">
        <f t="shared" si="38"/>
        <v>0.999597747385358</v>
      </c>
      <c r="J167" s="48">
        <v>1243</v>
      </c>
      <c r="K167" s="49">
        <v>320</v>
      </c>
      <c r="L167" s="50">
        <v>71</v>
      </c>
      <c r="M167" s="50">
        <v>321.69</v>
      </c>
      <c r="N167" s="53">
        <v>0</v>
      </c>
      <c r="O167" s="52">
        <v>319.5</v>
      </c>
      <c r="P167" s="53">
        <v>0</v>
      </c>
      <c r="Q167" s="54">
        <v>0</v>
      </c>
      <c r="R167" s="1"/>
      <c r="S167" s="1"/>
      <c r="T167" s="1"/>
    </row>
    <row r="168" spans="1:20" ht="13.5" customHeight="1" x14ac:dyDescent="0.25">
      <c r="A168" s="1"/>
      <c r="B168" s="1" t="s">
        <v>280</v>
      </c>
      <c r="C168" s="1" t="s">
        <v>281</v>
      </c>
      <c r="D168" s="42">
        <v>3480</v>
      </c>
      <c r="E168" s="43">
        <v>426.61</v>
      </c>
      <c r="F168" s="45">
        <v>3480</v>
      </c>
      <c r="G168" s="45">
        <v>3480</v>
      </c>
      <c r="H168" s="46">
        <v>4344.58</v>
      </c>
      <c r="I168" s="47">
        <f t="shared" si="38"/>
        <v>1.2484425287356322</v>
      </c>
      <c r="J168" s="48">
        <v>3480</v>
      </c>
      <c r="K168" s="49">
        <v>3480</v>
      </c>
      <c r="L168" s="50">
        <v>2566.65</v>
      </c>
      <c r="M168" s="50">
        <v>2693.05</v>
      </c>
      <c r="N168" s="51">
        <v>2493.0300000000002</v>
      </c>
      <c r="O168" s="52">
        <v>2648.55</v>
      </c>
      <c r="P168" s="53">
        <v>2619.6</v>
      </c>
      <c r="Q168" s="54">
        <v>2837.9</v>
      </c>
      <c r="R168" s="1"/>
      <c r="S168" s="1"/>
      <c r="T168" s="1"/>
    </row>
    <row r="169" spans="1:20" ht="13.5" customHeight="1" x14ac:dyDescent="0.25">
      <c r="A169" s="1"/>
      <c r="B169" s="1"/>
      <c r="C169" s="1"/>
      <c r="D169" s="56">
        <v>15331</v>
      </c>
      <c r="E169" s="57">
        <f t="shared" ref="E169" si="39">SUM(E162:E168)</f>
        <v>2027.71</v>
      </c>
      <c r="F169" s="58">
        <f>SUM(F161:F168)</f>
        <v>15331</v>
      </c>
      <c r="G169" s="58">
        <v>15331</v>
      </c>
      <c r="H169" s="59">
        <f>SUM(H162:H168)</f>
        <v>10151.369999999999</v>
      </c>
      <c r="I169" s="59"/>
      <c r="J169" s="60">
        <f t="shared" ref="J169:Q169" si="40">SUM(J162:J168)</f>
        <v>15331</v>
      </c>
      <c r="K169" s="61">
        <f t="shared" si="40"/>
        <v>15331</v>
      </c>
      <c r="L169" s="62">
        <f t="shared" si="40"/>
        <v>8566.5499999999993</v>
      </c>
      <c r="M169" s="62">
        <f t="shared" si="40"/>
        <v>5955.22</v>
      </c>
      <c r="N169" s="63">
        <f t="shared" si="40"/>
        <v>5136.3700000000008</v>
      </c>
      <c r="O169" s="64">
        <f t="shared" si="40"/>
        <v>8125.06</v>
      </c>
      <c r="P169" s="63">
        <f t="shared" si="40"/>
        <v>6448.18</v>
      </c>
      <c r="Q169" s="65">
        <f t="shared" si="40"/>
        <v>7184.5</v>
      </c>
      <c r="R169" s="1"/>
      <c r="S169" s="1"/>
      <c r="T169" s="1"/>
    </row>
    <row r="170" spans="1:20" ht="13.5" customHeight="1" thickBot="1" x14ac:dyDescent="0.3">
      <c r="A170" s="116"/>
      <c r="B170" s="116"/>
      <c r="C170" s="116" t="s">
        <v>282</v>
      </c>
      <c r="D170" s="117">
        <v>300269.36790000001</v>
      </c>
      <c r="E170" s="118">
        <f t="shared" ref="E170" si="41">SUM(E145+E153+E160+E169)</f>
        <v>135739.18</v>
      </c>
      <c r="F170" s="119">
        <f>SUM(F145,F153,F160,F169)</f>
        <v>299199.80700000003</v>
      </c>
      <c r="G170" s="119">
        <v>299199.80700000003</v>
      </c>
      <c r="H170" s="120">
        <f>SUM(H145+H153+H160+H169)</f>
        <v>282343.86</v>
      </c>
      <c r="I170" s="120"/>
      <c r="J170" s="121">
        <f t="shared" ref="J170:Q170" si="42">SUM(J145+J153+J160+J169)</f>
        <v>289450</v>
      </c>
      <c r="K170" s="122">
        <f t="shared" si="42"/>
        <v>289450</v>
      </c>
      <c r="L170" s="123">
        <f t="shared" si="42"/>
        <v>247502.84000000003</v>
      </c>
      <c r="M170" s="123">
        <f t="shared" si="42"/>
        <v>262356.22999999992</v>
      </c>
      <c r="N170" s="124">
        <f t="shared" si="42"/>
        <v>266820.94</v>
      </c>
      <c r="O170" s="125">
        <f t="shared" si="42"/>
        <v>242981.49999999997</v>
      </c>
      <c r="P170" s="124">
        <f t="shared" si="42"/>
        <v>218646.31999999998</v>
      </c>
      <c r="Q170" s="126">
        <f t="shared" si="42"/>
        <v>210712.24000000002</v>
      </c>
      <c r="R170" s="116"/>
      <c r="S170" s="116"/>
      <c r="T170" s="116"/>
    </row>
    <row r="171" spans="1:20" ht="13.5" customHeight="1" thickTop="1" x14ac:dyDescent="0.25">
      <c r="A171" s="1"/>
      <c r="B171" s="1"/>
      <c r="C171" s="1"/>
      <c r="D171" s="42"/>
      <c r="E171" s="44"/>
      <c r="F171" s="45"/>
      <c r="G171" s="45"/>
      <c r="H171" s="66"/>
      <c r="I171" s="66"/>
      <c r="J171" s="48"/>
      <c r="K171" s="49"/>
      <c r="L171" s="50"/>
      <c r="M171" s="50"/>
      <c r="N171" s="51"/>
      <c r="O171" s="52"/>
      <c r="P171" s="53"/>
      <c r="Q171" s="54"/>
      <c r="R171" s="1"/>
      <c r="S171" s="1"/>
      <c r="T171" s="1"/>
    </row>
    <row r="172" spans="1:20" ht="13.5" customHeight="1" x14ac:dyDescent="0.25">
      <c r="A172" s="1"/>
      <c r="B172" s="1"/>
      <c r="C172" s="41" t="s">
        <v>283</v>
      </c>
      <c r="D172" s="42"/>
      <c r="E172" s="44"/>
      <c r="F172" s="45"/>
      <c r="G172" s="45"/>
      <c r="H172" s="66"/>
      <c r="I172" s="66"/>
      <c r="J172" s="48"/>
      <c r="K172" s="49"/>
      <c r="L172" s="50"/>
      <c r="M172" s="50"/>
      <c r="N172" s="51"/>
      <c r="O172" s="52"/>
      <c r="P172" s="53"/>
      <c r="Q172" s="54"/>
      <c r="R172" s="1"/>
      <c r="S172" s="1"/>
      <c r="T172" s="1"/>
    </row>
    <row r="173" spans="1:20" ht="13.5" customHeight="1" x14ac:dyDescent="0.25">
      <c r="A173" s="1"/>
      <c r="B173" s="1" t="s">
        <v>284</v>
      </c>
      <c r="C173" s="1" t="s">
        <v>285</v>
      </c>
      <c r="D173" s="42">
        <v>130000</v>
      </c>
      <c r="E173" s="43">
        <v>81875</v>
      </c>
      <c r="F173" s="45">
        <v>130000</v>
      </c>
      <c r="G173" s="45">
        <v>130000</v>
      </c>
      <c r="H173" s="46">
        <v>103194.96</v>
      </c>
      <c r="I173" s="47">
        <f t="shared" ref="I173:I175" si="43">H173/J173</f>
        <v>0.79380738461538469</v>
      </c>
      <c r="J173" s="48">
        <v>130000</v>
      </c>
      <c r="K173" s="49">
        <v>130000</v>
      </c>
      <c r="L173" s="50">
        <v>117425.72</v>
      </c>
      <c r="M173" s="50">
        <v>112075.72</v>
      </c>
      <c r="N173" s="51">
        <v>126343</v>
      </c>
      <c r="O173" s="52">
        <v>159005.54</v>
      </c>
      <c r="P173" s="53">
        <v>164782</v>
      </c>
      <c r="Q173" s="54">
        <v>221334.14</v>
      </c>
      <c r="R173" s="1"/>
      <c r="S173" s="1"/>
      <c r="T173" s="1"/>
    </row>
    <row r="174" spans="1:20" ht="13.5" customHeight="1" x14ac:dyDescent="0.25">
      <c r="A174" s="1"/>
      <c r="B174" s="1" t="s">
        <v>286</v>
      </c>
      <c r="C174" s="1" t="s">
        <v>287</v>
      </c>
      <c r="D174" s="42">
        <v>21500</v>
      </c>
      <c r="E174" s="43">
        <v>2365.52</v>
      </c>
      <c r="F174" s="45">
        <v>21500</v>
      </c>
      <c r="G174" s="45">
        <v>21500</v>
      </c>
      <c r="H174" s="46">
        <v>12461.05</v>
      </c>
      <c r="I174" s="47">
        <f t="shared" si="43"/>
        <v>0.57958372093023247</v>
      </c>
      <c r="J174" s="48">
        <v>21500</v>
      </c>
      <c r="K174" s="49">
        <v>21500</v>
      </c>
      <c r="L174" s="50">
        <v>13820.21</v>
      </c>
      <c r="M174" s="50">
        <v>24022.11</v>
      </c>
      <c r="N174" s="51">
        <v>27044</v>
      </c>
      <c r="O174" s="52">
        <v>32486.639999999999</v>
      </c>
      <c r="P174" s="53">
        <v>35795.160000000003</v>
      </c>
      <c r="Q174" s="54">
        <v>59441.56</v>
      </c>
      <c r="R174" s="1"/>
      <c r="S174" s="1"/>
      <c r="T174" s="1"/>
    </row>
    <row r="175" spans="1:20" ht="13.5" customHeight="1" x14ac:dyDescent="0.25">
      <c r="A175" s="1"/>
      <c r="B175" s="1" t="s">
        <v>288</v>
      </c>
      <c r="C175" s="1" t="s">
        <v>289</v>
      </c>
      <c r="D175" s="42">
        <v>163176</v>
      </c>
      <c r="E175" s="43">
        <v>49124.88</v>
      </c>
      <c r="F175" s="45">
        <v>103560</v>
      </c>
      <c r="G175" s="45">
        <v>103560</v>
      </c>
      <c r="H175" s="46">
        <v>95521.29</v>
      </c>
      <c r="I175" s="47">
        <f t="shared" si="43"/>
        <v>1.0423309181379716</v>
      </c>
      <c r="J175" s="48">
        <v>91642</v>
      </c>
      <c r="K175" s="49">
        <v>91642</v>
      </c>
      <c r="L175" s="50">
        <v>65395.75</v>
      </c>
      <c r="M175" s="50">
        <v>100359.48</v>
      </c>
      <c r="N175" s="51">
        <v>115935.84</v>
      </c>
      <c r="O175" s="52">
        <v>190414.64</v>
      </c>
      <c r="P175" s="53">
        <v>163530.46</v>
      </c>
      <c r="Q175" s="54">
        <v>133675.32</v>
      </c>
      <c r="R175" s="1"/>
      <c r="S175" s="1"/>
      <c r="T175" s="1"/>
    </row>
    <row r="176" spans="1:20" ht="13.5" customHeight="1" x14ac:dyDescent="0.25">
      <c r="A176" s="1"/>
      <c r="B176" s="1"/>
      <c r="C176" s="1"/>
      <c r="D176" s="56">
        <v>314676</v>
      </c>
      <c r="E176" s="57">
        <f t="shared" ref="E176" si="44">SUM(E173:E175)</f>
        <v>133365.4</v>
      </c>
      <c r="F176" s="58">
        <f>SUM(F172:F175)</f>
        <v>255060</v>
      </c>
      <c r="G176" s="58">
        <v>255060</v>
      </c>
      <c r="H176" s="59">
        <f>SUM(H173:H175)</f>
        <v>211177.3</v>
      </c>
      <c r="I176" s="59"/>
      <c r="J176" s="60">
        <f t="shared" ref="J176:Q176" si="45">SUM(J173:J175)</f>
        <v>243142</v>
      </c>
      <c r="K176" s="61">
        <f t="shared" si="45"/>
        <v>243142</v>
      </c>
      <c r="L176" s="62">
        <f t="shared" si="45"/>
        <v>196641.68</v>
      </c>
      <c r="M176" s="62">
        <f t="shared" si="45"/>
        <v>236457.31</v>
      </c>
      <c r="N176" s="63">
        <f t="shared" si="45"/>
        <v>269322.83999999997</v>
      </c>
      <c r="O176" s="64">
        <f t="shared" si="45"/>
        <v>381906.82</v>
      </c>
      <c r="P176" s="63">
        <f t="shared" si="45"/>
        <v>364107.62</v>
      </c>
      <c r="Q176" s="65">
        <f t="shared" si="45"/>
        <v>414451.02</v>
      </c>
      <c r="R176" s="1"/>
      <c r="S176" s="1"/>
      <c r="T176" s="1"/>
    </row>
    <row r="177" spans="1:20" ht="13.5" customHeight="1" x14ac:dyDescent="0.25">
      <c r="A177" s="1"/>
      <c r="B177" s="1"/>
      <c r="C177" s="1"/>
      <c r="D177" s="42"/>
      <c r="E177" s="44"/>
      <c r="F177" s="45"/>
      <c r="G177" s="45"/>
      <c r="H177" s="66"/>
      <c r="I177" s="66"/>
      <c r="J177" s="48"/>
      <c r="K177" s="49"/>
      <c r="L177" s="50"/>
      <c r="M177" s="50"/>
      <c r="N177" s="51"/>
      <c r="O177" s="52"/>
      <c r="P177" s="53"/>
      <c r="Q177" s="54"/>
      <c r="R177" s="1"/>
      <c r="S177" s="1"/>
      <c r="T177" s="1"/>
    </row>
    <row r="178" spans="1:20" ht="13.5" customHeight="1" x14ac:dyDescent="0.25">
      <c r="A178" s="1"/>
      <c r="B178" s="1" t="s">
        <v>290</v>
      </c>
      <c r="C178" s="55" t="s">
        <v>259</v>
      </c>
      <c r="D178" s="42">
        <v>2000</v>
      </c>
      <c r="E178" s="43">
        <v>743.54</v>
      </c>
      <c r="F178" s="45">
        <v>2000</v>
      </c>
      <c r="G178" s="45">
        <v>2000</v>
      </c>
      <c r="H178" s="46">
        <v>2495.2399999999998</v>
      </c>
      <c r="I178" s="47">
        <f t="shared" ref="I178:I179" si="46">H178/J178</f>
        <v>1.24762</v>
      </c>
      <c r="J178" s="48">
        <v>2000</v>
      </c>
      <c r="K178" s="49">
        <v>2000</v>
      </c>
      <c r="L178" s="50">
        <v>958.84</v>
      </c>
      <c r="M178" s="83">
        <v>0</v>
      </c>
      <c r="N178" s="51">
        <v>1436.09</v>
      </c>
      <c r="O178" s="52">
        <v>3478.12</v>
      </c>
      <c r="P178" s="53">
        <v>404.31</v>
      </c>
      <c r="Q178" s="54">
        <v>2229.17</v>
      </c>
      <c r="R178" s="1"/>
      <c r="S178" s="1"/>
      <c r="T178" s="1"/>
    </row>
    <row r="179" spans="1:20" ht="13.5" customHeight="1" x14ac:dyDescent="0.25">
      <c r="A179" s="1"/>
      <c r="B179" s="1" t="s">
        <v>291</v>
      </c>
      <c r="C179" s="1" t="s">
        <v>261</v>
      </c>
      <c r="D179" s="42">
        <v>15000</v>
      </c>
      <c r="E179" s="43">
        <v>7301.94</v>
      </c>
      <c r="F179" s="45">
        <v>15000</v>
      </c>
      <c r="G179" s="45">
        <v>15000</v>
      </c>
      <c r="H179" s="46">
        <v>14309.12</v>
      </c>
      <c r="I179" s="47">
        <f t="shared" si="46"/>
        <v>0.95394133333333342</v>
      </c>
      <c r="J179" s="48">
        <v>15000</v>
      </c>
      <c r="K179" s="49">
        <v>15000</v>
      </c>
      <c r="L179" s="50">
        <v>12483.56</v>
      </c>
      <c r="M179" s="50">
        <v>10919.06</v>
      </c>
      <c r="N179" s="51">
        <v>19376.2</v>
      </c>
      <c r="O179" s="52">
        <v>11889.62</v>
      </c>
      <c r="P179" s="53">
        <v>10019.18</v>
      </c>
      <c r="Q179" s="54">
        <v>8195.4500000000007</v>
      </c>
      <c r="R179" s="1"/>
      <c r="S179" s="1"/>
      <c r="T179" s="1"/>
    </row>
    <row r="180" spans="1:20" ht="13.5" customHeight="1" x14ac:dyDescent="0.25">
      <c r="A180" s="1"/>
      <c r="B180" s="55" t="s">
        <v>292</v>
      </c>
      <c r="C180" s="55" t="s">
        <v>265</v>
      </c>
      <c r="D180" s="42">
        <v>0</v>
      </c>
      <c r="E180" s="43">
        <v>11764.99</v>
      </c>
      <c r="F180" s="71">
        <v>0</v>
      </c>
      <c r="G180" s="71">
        <v>11500</v>
      </c>
      <c r="H180" s="46">
        <v>0</v>
      </c>
      <c r="I180" s="47"/>
      <c r="J180" s="48"/>
      <c r="K180" s="49"/>
      <c r="L180" s="69">
        <v>0</v>
      </c>
      <c r="M180" s="69">
        <v>0</v>
      </c>
      <c r="N180" s="51"/>
      <c r="O180" s="52"/>
      <c r="P180" s="53"/>
      <c r="Q180" s="54"/>
      <c r="R180" s="1"/>
      <c r="S180" s="1"/>
      <c r="T180" s="1"/>
    </row>
    <row r="181" spans="1:20" ht="13.5" hidden="1" customHeight="1" x14ac:dyDescent="0.25">
      <c r="A181" s="1"/>
      <c r="B181" s="1" t="s">
        <v>293</v>
      </c>
      <c r="C181" s="127" t="s">
        <v>294</v>
      </c>
      <c r="D181" s="42">
        <v>0</v>
      </c>
      <c r="E181" s="43">
        <v>14.95</v>
      </c>
      <c r="F181" s="45">
        <v>11500</v>
      </c>
      <c r="G181" s="71">
        <v>0</v>
      </c>
      <c r="H181" s="66">
        <v>0</v>
      </c>
      <c r="I181" s="47">
        <v>0</v>
      </c>
      <c r="J181" s="48">
        <v>0</v>
      </c>
      <c r="K181" s="49">
        <v>0</v>
      </c>
      <c r="L181" s="50">
        <v>0</v>
      </c>
      <c r="M181" s="50">
        <v>0</v>
      </c>
      <c r="N181" s="51">
        <v>0</v>
      </c>
      <c r="O181" s="52">
        <v>0</v>
      </c>
      <c r="P181" s="53">
        <v>0</v>
      </c>
      <c r="Q181" s="54">
        <v>0</v>
      </c>
      <c r="R181" s="1"/>
      <c r="S181" s="1"/>
      <c r="T181" s="1"/>
    </row>
    <row r="182" spans="1:20" ht="13.5" customHeight="1" x14ac:dyDescent="0.25">
      <c r="A182" s="1"/>
      <c r="B182" s="1"/>
      <c r="C182" s="1"/>
      <c r="D182" s="56">
        <v>17000</v>
      </c>
      <c r="E182" s="57">
        <f t="shared" ref="E182" si="47">SUM(E178:E181)</f>
        <v>19825.420000000002</v>
      </c>
      <c r="F182" s="58">
        <f>SUM(F177:F181)</f>
        <v>28500</v>
      </c>
      <c r="G182" s="58">
        <v>28500</v>
      </c>
      <c r="H182" s="59">
        <f>SUM(H178:H181)</f>
        <v>16804.36</v>
      </c>
      <c r="I182" s="59"/>
      <c r="J182" s="60">
        <f t="shared" ref="J182:Q182" si="48">SUM(J178:J181)</f>
        <v>17000</v>
      </c>
      <c r="K182" s="61">
        <f t="shared" si="48"/>
        <v>17000</v>
      </c>
      <c r="L182" s="62">
        <f t="shared" si="48"/>
        <v>13442.4</v>
      </c>
      <c r="M182" s="62">
        <f t="shared" si="48"/>
        <v>10919.06</v>
      </c>
      <c r="N182" s="63">
        <f t="shared" si="48"/>
        <v>20812.29</v>
      </c>
      <c r="O182" s="64">
        <f t="shared" si="48"/>
        <v>15367.740000000002</v>
      </c>
      <c r="P182" s="63">
        <f t="shared" si="48"/>
        <v>10423.49</v>
      </c>
      <c r="Q182" s="65">
        <f t="shared" si="48"/>
        <v>10424.620000000001</v>
      </c>
      <c r="R182" s="1"/>
      <c r="S182" s="1"/>
      <c r="T182" s="1"/>
    </row>
    <row r="183" spans="1:20" ht="13.5" customHeight="1" x14ac:dyDescent="0.25">
      <c r="A183" s="1"/>
      <c r="B183" s="1"/>
      <c r="C183" s="1"/>
      <c r="D183" s="42"/>
      <c r="E183" s="44"/>
      <c r="F183" s="45"/>
      <c r="G183" s="45"/>
      <c r="H183" s="66"/>
      <c r="I183" s="66"/>
      <c r="J183" s="48"/>
      <c r="K183" s="49"/>
      <c r="L183" s="50"/>
      <c r="M183" s="50"/>
      <c r="N183" s="51"/>
      <c r="O183" s="52"/>
      <c r="P183" s="53"/>
      <c r="Q183" s="54"/>
      <c r="R183" s="1"/>
      <c r="S183" s="1"/>
      <c r="T183" s="1"/>
    </row>
    <row r="184" spans="1:20" ht="13.5" customHeight="1" x14ac:dyDescent="0.25">
      <c r="A184" s="1"/>
      <c r="B184" s="1" t="s">
        <v>295</v>
      </c>
      <c r="C184" s="1" t="s">
        <v>296</v>
      </c>
      <c r="D184" s="42">
        <v>14000</v>
      </c>
      <c r="E184" s="43">
        <v>10500</v>
      </c>
      <c r="F184" s="45">
        <v>11200</v>
      </c>
      <c r="G184" s="45">
        <v>11200</v>
      </c>
      <c r="H184" s="46">
        <v>1200</v>
      </c>
      <c r="I184" s="47">
        <f t="shared" ref="I184:I193" si="49">H184/J184</f>
        <v>1</v>
      </c>
      <c r="J184" s="48">
        <v>1200</v>
      </c>
      <c r="K184" s="49">
        <v>1200</v>
      </c>
      <c r="L184" s="50">
        <v>1200</v>
      </c>
      <c r="M184" s="50">
        <v>1200</v>
      </c>
      <c r="N184" s="51">
        <v>1200</v>
      </c>
      <c r="O184" s="52">
        <v>1200</v>
      </c>
      <c r="P184" s="53">
        <v>1200</v>
      </c>
      <c r="Q184" s="54">
        <v>1900</v>
      </c>
      <c r="R184" s="1"/>
      <c r="S184" s="1"/>
      <c r="T184" s="1"/>
    </row>
    <row r="185" spans="1:20" ht="13.5" customHeight="1" x14ac:dyDescent="0.25">
      <c r="A185" s="1"/>
      <c r="B185" s="1" t="s">
        <v>297</v>
      </c>
      <c r="C185" s="1" t="s">
        <v>298</v>
      </c>
      <c r="D185" s="42">
        <v>29000</v>
      </c>
      <c r="E185" s="70">
        <v>20000</v>
      </c>
      <c r="F185" s="45">
        <v>29000</v>
      </c>
      <c r="G185" s="45">
        <v>29000</v>
      </c>
      <c r="H185" s="68">
        <v>30600</v>
      </c>
      <c r="I185" s="47">
        <f t="shared" si="49"/>
        <v>1.0551724137931036</v>
      </c>
      <c r="J185" s="48">
        <v>29000</v>
      </c>
      <c r="K185" s="49">
        <v>29000</v>
      </c>
      <c r="L185" s="50">
        <v>30600</v>
      </c>
      <c r="M185" s="50">
        <v>30600</v>
      </c>
      <c r="N185" s="51">
        <v>30600</v>
      </c>
      <c r="O185" s="52">
        <v>30600</v>
      </c>
      <c r="P185" s="53">
        <v>30000</v>
      </c>
      <c r="Q185" s="54">
        <v>29000</v>
      </c>
      <c r="R185" s="1"/>
      <c r="S185" s="1"/>
      <c r="T185" s="1"/>
    </row>
    <row r="186" spans="1:20" ht="13.5" customHeight="1" x14ac:dyDescent="0.25">
      <c r="A186" s="1"/>
      <c r="B186" s="1" t="s">
        <v>299</v>
      </c>
      <c r="C186" s="1" t="s">
        <v>300</v>
      </c>
      <c r="D186" s="42">
        <v>120000</v>
      </c>
      <c r="E186" s="43">
        <v>63450.89</v>
      </c>
      <c r="F186" s="45">
        <v>60000</v>
      </c>
      <c r="G186" s="45">
        <v>60000</v>
      </c>
      <c r="H186" s="46">
        <v>79573.320000000007</v>
      </c>
      <c r="I186" s="47">
        <f t="shared" si="49"/>
        <v>1.326222</v>
      </c>
      <c r="J186" s="48">
        <v>60000</v>
      </c>
      <c r="K186" s="49">
        <v>60000</v>
      </c>
      <c r="L186" s="50">
        <v>67824.36</v>
      </c>
      <c r="M186" s="50">
        <v>52681.14</v>
      </c>
      <c r="N186" s="51">
        <v>25600</v>
      </c>
      <c r="O186" s="52">
        <v>32056</v>
      </c>
      <c r="P186" s="53">
        <v>0</v>
      </c>
      <c r="Q186" s="54">
        <v>0</v>
      </c>
      <c r="R186" s="1"/>
      <c r="S186" s="1"/>
      <c r="T186" s="1"/>
    </row>
    <row r="187" spans="1:20" ht="13.5" customHeight="1" x14ac:dyDescent="0.25">
      <c r="A187" s="1"/>
      <c r="B187" s="1" t="s">
        <v>301</v>
      </c>
      <c r="C187" s="55" t="s">
        <v>302</v>
      </c>
      <c r="D187" s="42">
        <v>23000</v>
      </c>
      <c r="E187" s="43">
        <v>4950</v>
      </c>
      <c r="F187" s="45">
        <v>23000</v>
      </c>
      <c r="G187" s="45">
        <v>23000</v>
      </c>
      <c r="H187" s="46">
        <v>28332.5</v>
      </c>
      <c r="I187" s="47">
        <f t="shared" si="49"/>
        <v>1.2318478260869565</v>
      </c>
      <c r="J187" s="48">
        <v>23000</v>
      </c>
      <c r="K187" s="49">
        <v>13000</v>
      </c>
      <c r="L187" s="50">
        <v>26610</v>
      </c>
      <c r="M187" s="50">
        <v>20285</v>
      </c>
      <c r="N187" s="51">
        <v>7336.25</v>
      </c>
      <c r="O187" s="52">
        <v>4470</v>
      </c>
      <c r="P187" s="53">
        <v>13692.5</v>
      </c>
      <c r="Q187" s="54">
        <v>7935</v>
      </c>
      <c r="R187" s="1"/>
      <c r="S187" s="1"/>
      <c r="T187" s="1"/>
    </row>
    <row r="188" spans="1:20" ht="13.5" customHeight="1" x14ac:dyDescent="0.25">
      <c r="A188" s="1"/>
      <c r="B188" s="1" t="s">
        <v>303</v>
      </c>
      <c r="C188" s="55" t="s">
        <v>304</v>
      </c>
      <c r="D188" s="42">
        <v>800000</v>
      </c>
      <c r="E188" s="43">
        <v>362625.6</v>
      </c>
      <c r="F188" s="45">
        <v>800000</v>
      </c>
      <c r="G188" s="45">
        <v>800000</v>
      </c>
      <c r="H188" s="46">
        <v>755467.92</v>
      </c>
      <c r="I188" s="47">
        <f t="shared" si="49"/>
        <v>0.956288506329114</v>
      </c>
      <c r="J188" s="48">
        <v>790000</v>
      </c>
      <c r="K188" s="49">
        <v>800000</v>
      </c>
      <c r="L188" s="50">
        <v>711438.47</v>
      </c>
      <c r="M188" s="50">
        <v>700368.44</v>
      </c>
      <c r="N188" s="51">
        <v>639209.24</v>
      </c>
      <c r="O188" s="52">
        <v>668707.61</v>
      </c>
      <c r="P188" s="53">
        <v>695961.39</v>
      </c>
      <c r="Q188" s="54">
        <v>706432.41</v>
      </c>
      <c r="R188" s="1"/>
      <c r="S188" s="1"/>
      <c r="T188" s="1"/>
    </row>
    <row r="189" spans="1:20" ht="13.5" customHeight="1" x14ac:dyDescent="0.25">
      <c r="A189" s="1"/>
      <c r="B189" s="1" t="s">
        <v>305</v>
      </c>
      <c r="C189" s="1" t="s">
        <v>306</v>
      </c>
      <c r="D189" s="42">
        <v>1200</v>
      </c>
      <c r="E189" s="70">
        <v>72.5</v>
      </c>
      <c r="F189" s="45">
        <v>1200</v>
      </c>
      <c r="G189" s="45">
        <v>1200</v>
      </c>
      <c r="H189" s="68">
        <v>70</v>
      </c>
      <c r="I189" s="47">
        <f t="shared" si="49"/>
        <v>5.8333333333333334E-2</v>
      </c>
      <c r="J189" s="48">
        <v>1200</v>
      </c>
      <c r="K189" s="49">
        <v>1200</v>
      </c>
      <c r="L189" s="77">
        <v>0</v>
      </c>
      <c r="M189" s="83">
        <v>0</v>
      </c>
      <c r="N189" s="2">
        <v>0</v>
      </c>
      <c r="O189" s="52">
        <v>540</v>
      </c>
      <c r="P189" s="53">
        <v>685.02</v>
      </c>
      <c r="Q189" s="54">
        <v>1172</v>
      </c>
      <c r="R189" s="1"/>
      <c r="S189" s="1"/>
      <c r="T189" s="1"/>
    </row>
    <row r="190" spans="1:20" ht="13.5" customHeight="1" x14ac:dyDescent="0.25">
      <c r="A190" s="1"/>
      <c r="B190" s="1" t="s">
        <v>307</v>
      </c>
      <c r="C190" s="78" t="s">
        <v>308</v>
      </c>
      <c r="D190" s="42">
        <v>690105</v>
      </c>
      <c r="E190" s="43">
        <v>364911.75</v>
      </c>
      <c r="F190" s="45">
        <v>486549</v>
      </c>
      <c r="G190" s="45">
        <v>486549</v>
      </c>
      <c r="H190" s="46">
        <v>516346</v>
      </c>
      <c r="I190" s="47">
        <f t="shared" si="49"/>
        <v>1</v>
      </c>
      <c r="J190" s="48">
        <v>516346</v>
      </c>
      <c r="K190" s="49">
        <v>516346</v>
      </c>
      <c r="L190" s="50">
        <v>542151.11</v>
      </c>
      <c r="M190" s="50">
        <v>531770</v>
      </c>
      <c r="N190" s="51">
        <v>485191</v>
      </c>
      <c r="O190" s="52">
        <v>474389</v>
      </c>
      <c r="P190" s="53">
        <v>468801</v>
      </c>
      <c r="Q190" s="54">
        <v>475515.19</v>
      </c>
      <c r="R190" s="1"/>
      <c r="S190" s="1"/>
      <c r="T190" s="1"/>
    </row>
    <row r="191" spans="1:20" ht="13.5" customHeight="1" x14ac:dyDescent="0.25">
      <c r="A191" s="1"/>
      <c r="B191" s="1" t="s">
        <v>309</v>
      </c>
      <c r="C191" s="55" t="s">
        <v>310</v>
      </c>
      <c r="D191" s="42">
        <v>300000</v>
      </c>
      <c r="E191" s="43">
        <v>132868.37</v>
      </c>
      <c r="F191" s="45">
        <v>300000</v>
      </c>
      <c r="G191" s="45">
        <v>300000</v>
      </c>
      <c r="H191" s="46">
        <v>314080.82</v>
      </c>
      <c r="I191" s="47">
        <f t="shared" si="49"/>
        <v>1.0469360666666667</v>
      </c>
      <c r="J191" s="48">
        <v>300000</v>
      </c>
      <c r="K191" s="49">
        <v>300000</v>
      </c>
      <c r="L191" s="50">
        <v>274050.51</v>
      </c>
      <c r="M191" s="50">
        <v>178231.45</v>
      </c>
      <c r="N191" s="51">
        <v>173603.06</v>
      </c>
      <c r="O191" s="52">
        <v>128480.86</v>
      </c>
      <c r="P191" s="53">
        <v>70416.240000000005</v>
      </c>
      <c r="Q191" s="54">
        <v>57103.32</v>
      </c>
      <c r="R191" s="1"/>
      <c r="S191" s="1"/>
      <c r="T191" s="1"/>
    </row>
    <row r="192" spans="1:20" ht="13.5" customHeight="1" x14ac:dyDescent="0.25">
      <c r="A192" s="1"/>
      <c r="B192" s="1" t="s">
        <v>311</v>
      </c>
      <c r="C192" s="1" t="s">
        <v>269</v>
      </c>
      <c r="D192" s="42">
        <v>3380</v>
      </c>
      <c r="E192" s="70">
        <v>0</v>
      </c>
      <c r="F192" s="45">
        <v>3380</v>
      </c>
      <c r="G192" s="45">
        <v>3380</v>
      </c>
      <c r="H192" s="74">
        <v>0</v>
      </c>
      <c r="I192" s="47">
        <f t="shared" si="49"/>
        <v>0</v>
      </c>
      <c r="J192" s="48">
        <v>3380</v>
      </c>
      <c r="K192" s="49">
        <v>3380</v>
      </c>
      <c r="L192" s="77">
        <v>0</v>
      </c>
      <c r="M192" s="83">
        <v>0</v>
      </c>
      <c r="N192" s="51">
        <v>150</v>
      </c>
      <c r="O192" s="52">
        <v>3380</v>
      </c>
      <c r="P192" s="53">
        <v>1973</v>
      </c>
      <c r="Q192" s="54">
        <v>0</v>
      </c>
      <c r="R192" s="1"/>
      <c r="S192" s="1"/>
      <c r="T192" s="1"/>
    </row>
    <row r="193" spans="1:20" ht="13.5" customHeight="1" x14ac:dyDescent="0.25">
      <c r="A193" s="1"/>
      <c r="B193" s="1" t="s">
        <v>312</v>
      </c>
      <c r="C193" s="1" t="s">
        <v>313</v>
      </c>
      <c r="D193" s="42">
        <v>2000</v>
      </c>
      <c r="E193" s="70">
        <v>163.18</v>
      </c>
      <c r="F193" s="45">
        <v>2000</v>
      </c>
      <c r="G193" s="45">
        <v>2000</v>
      </c>
      <c r="H193" s="68">
        <v>855.91</v>
      </c>
      <c r="I193" s="47">
        <f t="shared" si="49"/>
        <v>0.42795499999999997</v>
      </c>
      <c r="J193" s="48">
        <v>2000</v>
      </c>
      <c r="K193" s="49">
        <v>2000</v>
      </c>
      <c r="L193" s="50">
        <v>9268.39</v>
      </c>
      <c r="M193" s="50">
        <v>8827.6</v>
      </c>
      <c r="N193" s="51">
        <v>2194.59</v>
      </c>
      <c r="O193" s="52">
        <v>2375.3000000000002</v>
      </c>
      <c r="P193" s="53">
        <v>2218.91</v>
      </c>
      <c r="Q193" s="54">
        <v>841.79</v>
      </c>
      <c r="R193" s="1"/>
      <c r="S193" s="1"/>
      <c r="T193" s="1"/>
    </row>
    <row r="194" spans="1:20" ht="13.5" customHeight="1" x14ac:dyDescent="0.25">
      <c r="A194" s="1"/>
      <c r="B194" s="55" t="s">
        <v>314</v>
      </c>
      <c r="C194" s="127" t="s">
        <v>315</v>
      </c>
      <c r="D194" s="42">
        <v>0</v>
      </c>
      <c r="E194" s="43">
        <v>0</v>
      </c>
      <c r="F194" s="45"/>
      <c r="G194" s="71">
        <v>0</v>
      </c>
      <c r="H194" s="46">
        <v>0</v>
      </c>
      <c r="I194" s="47"/>
      <c r="J194" s="48"/>
      <c r="K194" s="49"/>
      <c r="L194" s="69">
        <v>0</v>
      </c>
      <c r="M194" s="69">
        <v>0</v>
      </c>
      <c r="N194" s="79">
        <v>0</v>
      </c>
      <c r="O194" s="80">
        <v>0</v>
      </c>
      <c r="P194" s="53"/>
      <c r="Q194" s="54"/>
      <c r="R194" s="1"/>
      <c r="S194" s="1"/>
      <c r="T194" s="1"/>
    </row>
    <row r="195" spans="1:20" ht="13.5" customHeight="1" x14ac:dyDescent="0.25">
      <c r="A195" s="1"/>
      <c r="B195" s="1" t="s">
        <v>316</v>
      </c>
      <c r="C195" s="1" t="s">
        <v>271</v>
      </c>
      <c r="D195" s="42">
        <v>60000</v>
      </c>
      <c r="E195" s="43">
        <v>14584.5</v>
      </c>
      <c r="F195" s="45">
        <v>60000</v>
      </c>
      <c r="G195" s="45">
        <v>60000</v>
      </c>
      <c r="H195" s="46">
        <v>52751</v>
      </c>
      <c r="I195" s="47">
        <f t="shared" ref="I195:I196" si="50">H195/J195</f>
        <v>0.90949999999999998</v>
      </c>
      <c r="J195" s="48">
        <v>58000</v>
      </c>
      <c r="K195" s="49">
        <v>60000</v>
      </c>
      <c r="L195" s="50">
        <v>52456.01</v>
      </c>
      <c r="M195" s="50">
        <v>59114.879999999997</v>
      </c>
      <c r="N195" s="51">
        <v>39922.21</v>
      </c>
      <c r="O195" s="52">
        <v>28545.25</v>
      </c>
      <c r="P195" s="53">
        <v>47781.39</v>
      </c>
      <c r="Q195" s="54">
        <v>43637.46</v>
      </c>
      <c r="R195" s="1"/>
      <c r="S195" s="1"/>
      <c r="T195" s="1"/>
    </row>
    <row r="196" spans="1:20" ht="13.5" customHeight="1" x14ac:dyDescent="0.25">
      <c r="A196" s="1"/>
      <c r="B196" s="1" t="s">
        <v>317</v>
      </c>
      <c r="C196" s="1" t="s">
        <v>318</v>
      </c>
      <c r="D196" s="42">
        <v>100000</v>
      </c>
      <c r="E196" s="43">
        <v>24163.05</v>
      </c>
      <c r="F196" s="45">
        <v>100000</v>
      </c>
      <c r="G196" s="45">
        <v>100000</v>
      </c>
      <c r="H196" s="46">
        <v>49738.46</v>
      </c>
      <c r="I196" s="47">
        <f t="shared" si="50"/>
        <v>0.71054942857142855</v>
      </c>
      <c r="J196" s="48">
        <v>70000</v>
      </c>
      <c r="K196" s="49">
        <v>70000</v>
      </c>
      <c r="L196" s="50">
        <v>48009.7</v>
      </c>
      <c r="M196" s="50">
        <v>61706.58</v>
      </c>
      <c r="N196" s="51">
        <v>66902.070000000007</v>
      </c>
      <c r="O196" s="52">
        <v>65172.959999999999</v>
      </c>
      <c r="P196" s="53">
        <v>60030.76</v>
      </c>
      <c r="Q196" s="54">
        <v>70992.350000000006</v>
      </c>
      <c r="R196" s="1"/>
      <c r="S196" s="1"/>
      <c r="T196" s="1"/>
    </row>
    <row r="197" spans="1:20" ht="13.5" customHeight="1" x14ac:dyDescent="0.25">
      <c r="A197" s="1"/>
      <c r="B197" s="1" t="s">
        <v>319</v>
      </c>
      <c r="C197" s="1" t="s">
        <v>320</v>
      </c>
      <c r="D197" s="42">
        <v>0</v>
      </c>
      <c r="E197" s="70">
        <v>0</v>
      </c>
      <c r="F197" s="45">
        <v>0</v>
      </c>
      <c r="G197" s="45">
        <v>0</v>
      </c>
      <c r="H197" s="74">
        <v>0</v>
      </c>
      <c r="I197" s="47">
        <v>0</v>
      </c>
      <c r="J197" s="48">
        <v>0</v>
      </c>
      <c r="K197" s="49">
        <v>0</v>
      </c>
      <c r="L197" s="77">
        <v>0</v>
      </c>
      <c r="M197" s="50">
        <v>0</v>
      </c>
      <c r="N197" s="53">
        <v>0</v>
      </c>
      <c r="O197" s="52">
        <v>0</v>
      </c>
      <c r="P197" s="53"/>
      <c r="Q197" s="54"/>
      <c r="R197" s="1"/>
      <c r="S197" s="1"/>
      <c r="T197" s="1"/>
    </row>
    <row r="198" spans="1:20" ht="13.5" customHeight="1" x14ac:dyDescent="0.25">
      <c r="A198" s="1"/>
      <c r="B198" s="1" t="s">
        <v>321</v>
      </c>
      <c r="C198" s="1" t="s">
        <v>322</v>
      </c>
      <c r="D198" s="42">
        <v>500</v>
      </c>
      <c r="E198" s="70">
        <v>0</v>
      </c>
      <c r="F198" s="45">
        <v>500</v>
      </c>
      <c r="G198" s="45">
        <v>500</v>
      </c>
      <c r="H198" s="74">
        <v>0</v>
      </c>
      <c r="I198" s="47">
        <f t="shared" ref="I198:I204" si="51">H198/J198</f>
        <v>0</v>
      </c>
      <c r="J198" s="48">
        <v>500</v>
      </c>
      <c r="K198" s="49">
        <v>500</v>
      </c>
      <c r="L198" s="77">
        <v>0</v>
      </c>
      <c r="M198" s="50">
        <v>227.91</v>
      </c>
      <c r="N198" s="53" t="s">
        <v>16</v>
      </c>
      <c r="O198" s="52">
        <v>0</v>
      </c>
      <c r="P198" s="53">
        <v>425.5</v>
      </c>
      <c r="Q198" s="54">
        <v>1752.55</v>
      </c>
      <c r="R198" s="1"/>
      <c r="S198" s="1"/>
      <c r="T198" s="1"/>
    </row>
    <row r="199" spans="1:20" ht="13.5" customHeight="1" x14ac:dyDescent="0.25">
      <c r="A199" s="1"/>
      <c r="B199" s="1" t="s">
        <v>323</v>
      </c>
      <c r="C199" s="1" t="s">
        <v>324</v>
      </c>
      <c r="D199" s="42">
        <v>4000</v>
      </c>
      <c r="E199" s="43">
        <v>3607</v>
      </c>
      <c r="F199" s="45">
        <v>4000</v>
      </c>
      <c r="G199" s="45">
        <v>4000</v>
      </c>
      <c r="H199" s="66">
        <v>3600</v>
      </c>
      <c r="I199" s="47">
        <f t="shared" si="51"/>
        <v>0.9</v>
      </c>
      <c r="J199" s="48">
        <v>4000</v>
      </c>
      <c r="K199" s="49">
        <v>4000</v>
      </c>
      <c r="L199" s="50">
        <v>3600</v>
      </c>
      <c r="M199" s="50">
        <v>3600</v>
      </c>
      <c r="N199" s="51">
        <v>3565</v>
      </c>
      <c r="O199" s="52">
        <v>3847</v>
      </c>
      <c r="P199" s="53">
        <v>2986</v>
      </c>
      <c r="Q199" s="54">
        <v>2991</v>
      </c>
      <c r="R199" s="1"/>
      <c r="S199" s="1"/>
      <c r="T199" s="1"/>
    </row>
    <row r="200" spans="1:20" ht="13.5" customHeight="1" x14ac:dyDescent="0.25">
      <c r="A200" s="1"/>
      <c r="B200" s="1" t="s">
        <v>325</v>
      </c>
      <c r="C200" s="1" t="s">
        <v>326</v>
      </c>
      <c r="D200" s="42">
        <v>1600</v>
      </c>
      <c r="E200" s="43">
        <v>601.72</v>
      </c>
      <c r="F200" s="45">
        <v>1600</v>
      </c>
      <c r="G200" s="45">
        <v>1600</v>
      </c>
      <c r="H200" s="46">
        <v>2803.49</v>
      </c>
      <c r="I200" s="47">
        <f t="shared" si="51"/>
        <v>1.7521812499999998</v>
      </c>
      <c r="J200" s="48">
        <v>1600</v>
      </c>
      <c r="K200" s="49">
        <v>1600</v>
      </c>
      <c r="L200" s="50">
        <v>2338.75</v>
      </c>
      <c r="M200" s="50">
        <v>2704.95</v>
      </c>
      <c r="N200" s="51">
        <v>2432.56</v>
      </c>
      <c r="O200" s="52">
        <v>1513.17</v>
      </c>
      <c r="P200" s="53">
        <v>2870.28</v>
      </c>
      <c r="Q200" s="54">
        <v>2915.51</v>
      </c>
      <c r="R200" s="1"/>
      <c r="S200" s="1"/>
      <c r="T200" s="1"/>
    </row>
    <row r="201" spans="1:20" ht="13.5" customHeight="1" x14ac:dyDescent="0.25">
      <c r="A201" s="1"/>
      <c r="B201" s="1" t="s">
        <v>327</v>
      </c>
      <c r="C201" s="1" t="s">
        <v>328</v>
      </c>
      <c r="D201" s="42">
        <v>330000</v>
      </c>
      <c r="E201" s="43">
        <v>319626.5</v>
      </c>
      <c r="F201" s="45">
        <v>290000</v>
      </c>
      <c r="G201" s="45">
        <v>290000</v>
      </c>
      <c r="H201" s="66">
        <v>290003</v>
      </c>
      <c r="I201" s="47">
        <f t="shared" si="51"/>
        <v>1.0740851851851851</v>
      </c>
      <c r="J201" s="48">
        <v>270000</v>
      </c>
      <c r="K201" s="49">
        <v>270000</v>
      </c>
      <c r="L201" s="50">
        <v>270034</v>
      </c>
      <c r="M201" s="50">
        <v>261805.5</v>
      </c>
      <c r="N201" s="51">
        <v>255227</v>
      </c>
      <c r="O201" s="52">
        <v>261165.43</v>
      </c>
      <c r="P201" s="53">
        <v>255542</v>
      </c>
      <c r="Q201" s="54">
        <v>273487</v>
      </c>
      <c r="R201" s="1"/>
      <c r="S201" s="1"/>
      <c r="T201" s="1"/>
    </row>
    <row r="202" spans="1:20" ht="13.5" customHeight="1" x14ac:dyDescent="0.25">
      <c r="A202" s="1"/>
      <c r="B202" s="1" t="s">
        <v>329</v>
      </c>
      <c r="C202" s="1" t="s">
        <v>330</v>
      </c>
      <c r="D202" s="42">
        <v>15000</v>
      </c>
      <c r="E202" s="43">
        <v>22592</v>
      </c>
      <c r="F202" s="45">
        <v>15000</v>
      </c>
      <c r="G202" s="45">
        <v>15000</v>
      </c>
      <c r="H202" s="46">
        <v>43730.76</v>
      </c>
      <c r="I202" s="47">
        <f t="shared" si="51"/>
        <v>3.6442300000000003</v>
      </c>
      <c r="J202" s="48">
        <v>12000</v>
      </c>
      <c r="K202" s="49">
        <v>10000</v>
      </c>
      <c r="L202" s="50">
        <v>58906.7</v>
      </c>
      <c r="M202" s="50">
        <v>32417.599999999999</v>
      </c>
      <c r="N202" s="51">
        <v>5058.6000000000004</v>
      </c>
      <c r="O202" s="52">
        <v>6499</v>
      </c>
      <c r="P202" s="53">
        <v>29132.240000000002</v>
      </c>
      <c r="Q202" s="54">
        <v>12852.72</v>
      </c>
      <c r="R202" s="1"/>
      <c r="S202" s="1"/>
      <c r="T202" s="1"/>
    </row>
    <row r="203" spans="1:20" ht="13.5" customHeight="1" x14ac:dyDescent="0.25">
      <c r="A203" s="1"/>
      <c r="B203" s="1" t="s">
        <v>331</v>
      </c>
      <c r="C203" s="1" t="s">
        <v>279</v>
      </c>
      <c r="D203" s="42">
        <v>584</v>
      </c>
      <c r="E203" s="43">
        <v>228.32</v>
      </c>
      <c r="F203" s="45">
        <v>584</v>
      </c>
      <c r="G203" s="45">
        <v>584</v>
      </c>
      <c r="H203" s="66">
        <v>405.82</v>
      </c>
      <c r="I203" s="47">
        <f t="shared" si="51"/>
        <v>0.69489726027397258</v>
      </c>
      <c r="J203" s="48">
        <v>584</v>
      </c>
      <c r="K203" s="49">
        <v>584</v>
      </c>
      <c r="L203" s="50">
        <v>228.32</v>
      </c>
      <c r="M203" s="50">
        <v>228.32</v>
      </c>
      <c r="N203" s="51">
        <v>370.32</v>
      </c>
      <c r="O203" s="52">
        <v>675.82</v>
      </c>
      <c r="P203" s="53">
        <v>1019.32</v>
      </c>
      <c r="Q203" s="54">
        <v>8854.82</v>
      </c>
      <c r="R203" s="1"/>
      <c r="S203" s="1"/>
      <c r="T203" s="1"/>
    </row>
    <row r="204" spans="1:20" ht="13.5" customHeight="1" x14ac:dyDescent="0.25">
      <c r="A204" s="1"/>
      <c r="B204" s="1" t="s">
        <v>332</v>
      </c>
      <c r="C204" s="1" t="s">
        <v>333</v>
      </c>
      <c r="D204" s="42">
        <v>19200</v>
      </c>
      <c r="E204" s="43">
        <v>11200</v>
      </c>
      <c r="F204" s="45">
        <v>19200</v>
      </c>
      <c r="G204" s="45">
        <v>19200</v>
      </c>
      <c r="H204" s="46">
        <v>19200</v>
      </c>
      <c r="I204" s="47">
        <f t="shared" si="51"/>
        <v>1</v>
      </c>
      <c r="J204" s="48">
        <v>19200</v>
      </c>
      <c r="K204" s="49">
        <v>19200</v>
      </c>
      <c r="L204" s="50">
        <v>19200</v>
      </c>
      <c r="M204" s="50">
        <v>19200</v>
      </c>
      <c r="N204" s="51">
        <v>34020</v>
      </c>
      <c r="O204" s="52">
        <v>33240</v>
      </c>
      <c r="P204" s="53">
        <v>32280</v>
      </c>
      <c r="Q204" s="54">
        <v>31440</v>
      </c>
      <c r="R204" s="1"/>
      <c r="S204" s="1"/>
      <c r="T204" s="1"/>
    </row>
    <row r="205" spans="1:20" ht="13.5" customHeight="1" x14ac:dyDescent="0.25">
      <c r="A205" s="1"/>
      <c r="B205" s="116"/>
      <c r="C205" s="1"/>
      <c r="D205" s="56">
        <v>2513569</v>
      </c>
      <c r="E205" s="57">
        <f t="shared" ref="E205" si="52">SUM(E184:E204)</f>
        <v>1356145.3800000001</v>
      </c>
      <c r="F205" s="58">
        <f>SUM(F183:F204)</f>
        <v>2207213</v>
      </c>
      <c r="G205" s="58">
        <v>2207213</v>
      </c>
      <c r="H205" s="59">
        <f>SUM(H184:H204)</f>
        <v>2188758.9999999995</v>
      </c>
      <c r="I205" s="59"/>
      <c r="J205" s="60">
        <f t="shared" ref="J205:Q205" si="53">SUM(J184:J204)</f>
        <v>2162010</v>
      </c>
      <c r="K205" s="61">
        <f t="shared" si="53"/>
        <v>2162010</v>
      </c>
      <c r="L205" s="62">
        <f t="shared" si="53"/>
        <v>2117916.3199999998</v>
      </c>
      <c r="M205" s="62">
        <f t="shared" si="53"/>
        <v>1964969.37</v>
      </c>
      <c r="N205" s="63">
        <f t="shared" si="53"/>
        <v>1772581.9000000004</v>
      </c>
      <c r="O205" s="64">
        <f t="shared" si="53"/>
        <v>1746857.4</v>
      </c>
      <c r="P205" s="63">
        <f t="shared" si="53"/>
        <v>1717015.55</v>
      </c>
      <c r="Q205" s="65">
        <f t="shared" si="53"/>
        <v>1728823.1200000003</v>
      </c>
      <c r="R205" s="1"/>
      <c r="S205" s="1"/>
      <c r="T205" s="1"/>
    </row>
    <row r="206" spans="1:20" ht="13.5" customHeight="1" x14ac:dyDescent="0.25">
      <c r="A206" s="1"/>
      <c r="B206" s="1"/>
      <c r="C206" s="1"/>
      <c r="D206" s="42"/>
      <c r="E206" s="128"/>
      <c r="F206" s="73"/>
      <c r="G206" s="73"/>
      <c r="H206" s="129"/>
      <c r="I206" s="47"/>
      <c r="J206" s="48"/>
      <c r="K206" s="76"/>
      <c r="L206" s="77"/>
      <c r="M206" s="77"/>
      <c r="N206" s="53"/>
      <c r="O206" s="52"/>
      <c r="P206" s="53"/>
      <c r="Q206" s="54"/>
      <c r="R206" s="1"/>
      <c r="S206" s="1"/>
      <c r="T206" s="1"/>
    </row>
    <row r="207" spans="1:20" ht="13.5" customHeight="1" x14ac:dyDescent="0.25">
      <c r="A207" s="1"/>
      <c r="B207" s="1" t="s">
        <v>334</v>
      </c>
      <c r="C207" s="1" t="s">
        <v>335</v>
      </c>
      <c r="D207" s="42">
        <v>0</v>
      </c>
      <c r="E207" s="130">
        <v>0</v>
      </c>
      <c r="F207" s="73">
        <v>0</v>
      </c>
      <c r="G207" s="73">
        <v>0</v>
      </c>
      <c r="H207" s="131">
        <v>650426.19999999995</v>
      </c>
      <c r="I207" s="47">
        <f>H207/J207</f>
        <v>0.99934578060757273</v>
      </c>
      <c r="J207" s="48">
        <v>650852</v>
      </c>
      <c r="K207" s="76">
        <v>0</v>
      </c>
      <c r="L207" s="77">
        <v>0</v>
      </c>
      <c r="M207" s="77">
        <v>0</v>
      </c>
      <c r="N207" s="53">
        <v>0</v>
      </c>
      <c r="O207" s="52">
        <v>0</v>
      </c>
      <c r="P207" s="53">
        <v>43969.45</v>
      </c>
      <c r="Q207" s="54">
        <v>75376.2</v>
      </c>
      <c r="R207" s="1"/>
      <c r="S207" s="1"/>
      <c r="T207" s="1"/>
    </row>
    <row r="208" spans="1:20" ht="13.5" customHeight="1" x14ac:dyDescent="0.25">
      <c r="A208" s="1"/>
      <c r="B208" s="1"/>
      <c r="C208" s="1"/>
      <c r="D208" s="88">
        <v>0</v>
      </c>
      <c r="E208" s="89">
        <f t="shared" ref="E208" si="54">SUM(E207)</f>
        <v>0</v>
      </c>
      <c r="F208" s="90">
        <f>SUM(F206:F207)</f>
        <v>0</v>
      </c>
      <c r="G208" s="90">
        <v>0</v>
      </c>
      <c r="H208" s="91">
        <f>SUM(H207)</f>
        <v>650426.19999999995</v>
      </c>
      <c r="I208" s="91"/>
      <c r="J208" s="92">
        <f t="shared" ref="J208:Q208" si="55">SUM(J207)</f>
        <v>650852</v>
      </c>
      <c r="K208" s="93">
        <f t="shared" si="55"/>
        <v>0</v>
      </c>
      <c r="L208" s="94">
        <f t="shared" si="55"/>
        <v>0</v>
      </c>
      <c r="M208" s="94">
        <f t="shared" si="55"/>
        <v>0</v>
      </c>
      <c r="N208" s="95">
        <f t="shared" si="55"/>
        <v>0</v>
      </c>
      <c r="O208" s="96">
        <f t="shared" si="55"/>
        <v>0</v>
      </c>
      <c r="P208" s="95">
        <f t="shared" si="55"/>
        <v>43969.45</v>
      </c>
      <c r="Q208" s="97">
        <f t="shared" si="55"/>
        <v>75376.2</v>
      </c>
      <c r="R208" s="1"/>
      <c r="S208" s="1"/>
      <c r="T208" s="1"/>
    </row>
    <row r="209" spans="1:20" ht="13.5" customHeight="1" x14ac:dyDescent="0.25">
      <c r="A209" s="1"/>
      <c r="C209" s="1"/>
      <c r="D209" s="72"/>
      <c r="E209" s="44"/>
      <c r="F209" s="73"/>
      <c r="G209" s="73"/>
      <c r="H209" s="66"/>
      <c r="I209" s="66"/>
      <c r="J209" s="48"/>
      <c r="K209" s="76"/>
      <c r="L209" s="77"/>
      <c r="M209" s="77"/>
      <c r="N209" s="53"/>
      <c r="O209" s="52"/>
      <c r="P209" s="53"/>
      <c r="Q209" s="54"/>
      <c r="R209" s="1"/>
      <c r="S209" s="1"/>
      <c r="T209" s="1"/>
    </row>
    <row r="210" spans="1:20" ht="13.5" customHeight="1" x14ac:dyDescent="0.25">
      <c r="A210" s="1"/>
      <c r="B210" s="1" t="s">
        <v>336</v>
      </c>
      <c r="C210" s="1" t="s">
        <v>337</v>
      </c>
      <c r="D210" s="42">
        <v>225000</v>
      </c>
      <c r="E210" s="43">
        <v>83116.25</v>
      </c>
      <c r="F210" s="45">
        <v>225000</v>
      </c>
      <c r="G210" s="45">
        <v>225000</v>
      </c>
      <c r="H210" s="46">
        <v>250868.26</v>
      </c>
      <c r="I210" s="47">
        <f t="shared" ref="I210:I211" si="56">H210/J210</f>
        <v>1.1149700444444446</v>
      </c>
      <c r="J210" s="48">
        <v>225000</v>
      </c>
      <c r="K210" s="49">
        <v>225000</v>
      </c>
      <c r="L210" s="50">
        <v>257767.2</v>
      </c>
      <c r="M210" s="50">
        <v>225927.5</v>
      </c>
      <c r="N210" s="51">
        <v>199695</v>
      </c>
      <c r="O210" s="52">
        <v>215580</v>
      </c>
      <c r="P210" s="53">
        <v>170864</v>
      </c>
      <c r="Q210" s="54">
        <v>218880</v>
      </c>
      <c r="R210" s="1"/>
      <c r="S210" s="1"/>
      <c r="T210" s="1"/>
    </row>
    <row r="211" spans="1:20" ht="13.5" customHeight="1" x14ac:dyDescent="0.25">
      <c r="A211" s="1"/>
      <c r="B211" s="1" t="s">
        <v>338</v>
      </c>
      <c r="C211" s="1" t="s">
        <v>339</v>
      </c>
      <c r="D211" s="42">
        <v>1000</v>
      </c>
      <c r="E211" s="70">
        <v>0</v>
      </c>
      <c r="F211" s="45">
        <v>1000</v>
      </c>
      <c r="G211" s="45">
        <v>1000</v>
      </c>
      <c r="H211" s="74">
        <v>0</v>
      </c>
      <c r="I211" s="47">
        <f t="shared" si="56"/>
        <v>0</v>
      </c>
      <c r="J211" s="48">
        <v>1000</v>
      </c>
      <c r="K211" s="49">
        <v>1000</v>
      </c>
      <c r="L211" s="77">
        <v>0</v>
      </c>
      <c r="M211" s="77">
        <v>0</v>
      </c>
      <c r="N211" s="53" t="s">
        <v>16</v>
      </c>
      <c r="O211" s="52">
        <v>0</v>
      </c>
      <c r="P211" s="53">
        <v>1328.03</v>
      </c>
      <c r="Q211" s="54">
        <v>1027.1500000000001</v>
      </c>
      <c r="R211" s="1"/>
      <c r="S211" s="1"/>
      <c r="T211" s="1"/>
    </row>
    <row r="212" spans="1:20" ht="13.5" customHeight="1" x14ac:dyDescent="0.25">
      <c r="A212" s="1"/>
      <c r="B212" s="1" t="s">
        <v>340</v>
      </c>
      <c r="C212" s="1" t="s">
        <v>341</v>
      </c>
      <c r="D212" s="42">
        <v>0</v>
      </c>
      <c r="E212" s="70">
        <v>0</v>
      </c>
      <c r="F212" s="73">
        <v>0</v>
      </c>
      <c r="G212" s="73">
        <v>0</v>
      </c>
      <c r="H212" s="74">
        <v>0</v>
      </c>
      <c r="I212" s="47">
        <v>0</v>
      </c>
      <c r="J212" s="75">
        <v>0</v>
      </c>
      <c r="K212" s="76">
        <v>0</v>
      </c>
      <c r="L212" s="50">
        <v>16688.490000000002</v>
      </c>
      <c r="M212" s="50">
        <v>17772.55</v>
      </c>
      <c r="N212" s="53" t="s">
        <v>16</v>
      </c>
      <c r="O212" s="52">
        <v>0</v>
      </c>
      <c r="P212" s="53">
        <v>0</v>
      </c>
      <c r="Q212" s="54">
        <v>0</v>
      </c>
      <c r="R212" s="1"/>
      <c r="S212" s="1"/>
      <c r="T212" s="1"/>
    </row>
    <row r="213" spans="1:20" ht="13.5" customHeight="1" x14ac:dyDescent="0.25">
      <c r="A213" s="1"/>
      <c r="B213" s="1" t="s">
        <v>342</v>
      </c>
      <c r="C213" s="1" t="s">
        <v>343</v>
      </c>
      <c r="D213" s="42">
        <v>80000</v>
      </c>
      <c r="E213" s="43">
        <v>3212.68</v>
      </c>
      <c r="F213" s="45">
        <v>80000</v>
      </c>
      <c r="G213" s="45">
        <v>80000</v>
      </c>
      <c r="H213" s="46">
        <v>56530.82</v>
      </c>
      <c r="I213" s="47">
        <f t="shared" ref="I213:I235" si="57">H213/J213</f>
        <v>5.6530820000000004</v>
      </c>
      <c r="J213" s="48">
        <v>10000</v>
      </c>
      <c r="K213" s="49">
        <v>10000</v>
      </c>
      <c r="L213" s="50">
        <v>13393.21</v>
      </c>
      <c r="M213" s="50">
        <v>40933.17</v>
      </c>
      <c r="N213" s="53" t="s">
        <v>16</v>
      </c>
      <c r="O213" s="52">
        <v>3222.4</v>
      </c>
      <c r="P213" s="53">
        <v>1197.1400000000001</v>
      </c>
      <c r="Q213" s="54">
        <v>2184.3200000000002</v>
      </c>
      <c r="R213" s="1"/>
      <c r="S213" s="1"/>
      <c r="T213" s="1"/>
    </row>
    <row r="214" spans="1:20" ht="13.5" customHeight="1" x14ac:dyDescent="0.25">
      <c r="A214" s="1"/>
      <c r="B214" s="1" t="s">
        <v>344</v>
      </c>
      <c r="C214" s="1" t="s">
        <v>345</v>
      </c>
      <c r="D214" s="42">
        <v>20000</v>
      </c>
      <c r="E214" s="43">
        <v>5631.37</v>
      </c>
      <c r="F214" s="45">
        <v>20000</v>
      </c>
      <c r="G214" s="45">
        <v>20000</v>
      </c>
      <c r="H214" s="46">
        <v>18592.849999999999</v>
      </c>
      <c r="I214" s="47">
        <f t="shared" si="57"/>
        <v>0.92964249999999993</v>
      </c>
      <c r="J214" s="48">
        <v>20000</v>
      </c>
      <c r="K214" s="49">
        <v>20000</v>
      </c>
      <c r="L214" s="50">
        <v>29233.58</v>
      </c>
      <c r="M214" s="50">
        <v>30633.45</v>
      </c>
      <c r="N214" s="51">
        <v>10387.5</v>
      </c>
      <c r="O214" s="52">
        <v>9387.7999999999993</v>
      </c>
      <c r="P214" s="53">
        <v>15208.71</v>
      </c>
      <c r="Q214" s="54">
        <v>28175.05</v>
      </c>
      <c r="R214" s="1"/>
      <c r="S214" s="1"/>
      <c r="T214" s="1"/>
    </row>
    <row r="215" spans="1:20" ht="13.5" customHeight="1" x14ac:dyDescent="0.25">
      <c r="A215" s="1"/>
      <c r="B215" s="1" t="s">
        <v>346</v>
      </c>
      <c r="C215" s="1" t="s">
        <v>347</v>
      </c>
      <c r="D215" s="42">
        <v>150000</v>
      </c>
      <c r="E215" s="43">
        <v>10146.31</v>
      </c>
      <c r="F215" s="45">
        <v>150000</v>
      </c>
      <c r="G215" s="45">
        <v>150000</v>
      </c>
      <c r="H215" s="46">
        <v>69212.05</v>
      </c>
      <c r="I215" s="47">
        <f t="shared" si="57"/>
        <v>0.69212050000000003</v>
      </c>
      <c r="J215" s="48">
        <v>100000</v>
      </c>
      <c r="K215" s="49">
        <v>100000</v>
      </c>
      <c r="L215" s="50">
        <v>188996.99</v>
      </c>
      <c r="M215" s="50">
        <v>121816.39</v>
      </c>
      <c r="N215" s="51">
        <v>65028.02</v>
      </c>
      <c r="O215" s="52">
        <v>76984.479999999996</v>
      </c>
      <c r="P215" s="53">
        <v>106653.17</v>
      </c>
      <c r="Q215" s="54">
        <v>70361.919999999998</v>
      </c>
      <c r="R215" s="1"/>
      <c r="S215" s="1"/>
      <c r="T215" s="1"/>
    </row>
    <row r="216" spans="1:20" ht="13.5" customHeight="1" x14ac:dyDescent="0.25">
      <c r="A216" s="1"/>
      <c r="B216" s="1" t="s">
        <v>348</v>
      </c>
      <c r="C216" s="1" t="s">
        <v>349</v>
      </c>
      <c r="D216" s="42">
        <v>40000</v>
      </c>
      <c r="E216" s="43">
        <v>6973.52</v>
      </c>
      <c r="F216" s="45">
        <v>40000</v>
      </c>
      <c r="G216" s="45">
        <v>40000</v>
      </c>
      <c r="H216" s="46">
        <v>29918.39</v>
      </c>
      <c r="I216" s="47">
        <f t="shared" si="57"/>
        <v>0.74795975000000003</v>
      </c>
      <c r="J216" s="48">
        <v>40000</v>
      </c>
      <c r="K216" s="49">
        <v>40000</v>
      </c>
      <c r="L216" s="50">
        <v>55313.06</v>
      </c>
      <c r="M216" s="50">
        <v>30403.96</v>
      </c>
      <c r="N216" s="51">
        <v>12213.85</v>
      </c>
      <c r="O216" s="52">
        <v>14292.42</v>
      </c>
      <c r="P216" s="53">
        <v>10234.36</v>
      </c>
      <c r="Q216" s="54">
        <v>15411.42</v>
      </c>
      <c r="R216" s="1"/>
      <c r="S216" s="1"/>
      <c r="T216" s="1"/>
    </row>
    <row r="217" spans="1:20" ht="13.5" customHeight="1" x14ac:dyDescent="0.25">
      <c r="A217" s="1"/>
      <c r="B217" s="1" t="s">
        <v>350</v>
      </c>
      <c r="C217" s="1" t="s">
        <v>351</v>
      </c>
      <c r="D217" s="42">
        <v>12000</v>
      </c>
      <c r="E217" s="43">
        <v>4210.9399999999996</v>
      </c>
      <c r="F217" s="45">
        <v>12000</v>
      </c>
      <c r="G217" s="45">
        <v>12000</v>
      </c>
      <c r="H217" s="46">
        <v>7713.58</v>
      </c>
      <c r="I217" s="47">
        <f t="shared" si="57"/>
        <v>0.64279833333333336</v>
      </c>
      <c r="J217" s="48">
        <v>12000</v>
      </c>
      <c r="K217" s="49">
        <v>12000</v>
      </c>
      <c r="L217" s="50">
        <v>16968</v>
      </c>
      <c r="M217" s="50">
        <v>19743</v>
      </c>
      <c r="N217" s="51">
        <v>12766.75</v>
      </c>
      <c r="O217" s="52">
        <v>11612.75</v>
      </c>
      <c r="P217" s="53">
        <v>5665.25</v>
      </c>
      <c r="Q217" s="54">
        <v>10417.5</v>
      </c>
      <c r="R217" s="1"/>
      <c r="S217" s="1"/>
      <c r="T217" s="1"/>
    </row>
    <row r="218" spans="1:20" ht="13.5" customHeight="1" x14ac:dyDescent="0.25">
      <c r="A218" s="1"/>
      <c r="B218" s="1" t="s">
        <v>352</v>
      </c>
      <c r="C218" s="1" t="s">
        <v>353</v>
      </c>
      <c r="D218" s="42">
        <v>15000</v>
      </c>
      <c r="E218" s="43">
        <v>2070</v>
      </c>
      <c r="F218" s="45">
        <v>15000</v>
      </c>
      <c r="G218" s="45">
        <v>15000</v>
      </c>
      <c r="H218" s="46">
        <v>4106</v>
      </c>
      <c r="I218" s="47">
        <f t="shared" si="57"/>
        <v>0.27373333333333333</v>
      </c>
      <c r="J218" s="48">
        <v>15000</v>
      </c>
      <c r="K218" s="49">
        <v>15000</v>
      </c>
      <c r="L218" s="50">
        <v>7350</v>
      </c>
      <c r="M218" s="50">
        <v>6207</v>
      </c>
      <c r="N218" s="51">
        <v>10785.5</v>
      </c>
      <c r="O218" s="52">
        <v>9440</v>
      </c>
      <c r="P218" s="53">
        <v>10080</v>
      </c>
      <c r="Q218" s="54">
        <v>12605</v>
      </c>
      <c r="R218" s="1"/>
      <c r="S218" s="1"/>
      <c r="T218" s="1"/>
    </row>
    <row r="219" spans="1:20" ht="13.5" customHeight="1" x14ac:dyDescent="0.25">
      <c r="A219" s="1"/>
      <c r="B219" s="1" t="s">
        <v>354</v>
      </c>
      <c r="C219" s="1" t="s">
        <v>355</v>
      </c>
      <c r="D219" s="42">
        <v>42000</v>
      </c>
      <c r="E219" s="43">
        <v>16509.86</v>
      </c>
      <c r="F219" s="45">
        <v>33000</v>
      </c>
      <c r="G219" s="45">
        <v>33000</v>
      </c>
      <c r="H219" s="46">
        <v>42726.95</v>
      </c>
      <c r="I219" s="47">
        <f t="shared" si="57"/>
        <v>1.2947560606060604</v>
      </c>
      <c r="J219" s="48">
        <v>33000</v>
      </c>
      <c r="K219" s="49">
        <v>33000</v>
      </c>
      <c r="L219" s="50">
        <v>18825.62</v>
      </c>
      <c r="M219" s="50">
        <v>25336.34</v>
      </c>
      <c r="N219" s="51">
        <v>31866.6</v>
      </c>
      <c r="O219" s="52">
        <v>36363.160000000003</v>
      </c>
      <c r="P219" s="53">
        <v>30436.16</v>
      </c>
      <c r="Q219" s="54">
        <v>35411.9</v>
      </c>
      <c r="R219" s="1"/>
      <c r="S219" s="1"/>
      <c r="T219" s="1"/>
    </row>
    <row r="220" spans="1:20" ht="13.5" customHeight="1" x14ac:dyDescent="0.25">
      <c r="A220" s="1"/>
      <c r="B220" s="1" t="s">
        <v>356</v>
      </c>
      <c r="C220" s="1" t="s">
        <v>357</v>
      </c>
      <c r="D220" s="42">
        <v>3000</v>
      </c>
      <c r="E220" s="70">
        <v>2000</v>
      </c>
      <c r="F220" s="45">
        <v>3000</v>
      </c>
      <c r="G220" s="45">
        <v>3000</v>
      </c>
      <c r="H220" s="68">
        <v>1000</v>
      </c>
      <c r="I220" s="47">
        <f t="shared" si="57"/>
        <v>0.33333333333333331</v>
      </c>
      <c r="J220" s="48">
        <v>3000</v>
      </c>
      <c r="K220" s="49">
        <v>3000</v>
      </c>
      <c r="L220" s="50">
        <v>2000</v>
      </c>
      <c r="M220" s="50">
        <v>2500</v>
      </c>
      <c r="N220" s="51">
        <v>3000</v>
      </c>
      <c r="O220" s="52">
        <v>2500</v>
      </c>
      <c r="P220" s="53">
        <v>3625</v>
      </c>
      <c r="Q220" s="54">
        <v>2375.0100000000002</v>
      </c>
      <c r="R220" s="1"/>
      <c r="S220" s="1"/>
      <c r="T220" s="1"/>
    </row>
    <row r="221" spans="1:20" ht="13.5" customHeight="1" x14ac:dyDescent="0.25">
      <c r="A221" s="1"/>
      <c r="B221" s="1" t="s">
        <v>358</v>
      </c>
      <c r="C221" s="1" t="s">
        <v>359</v>
      </c>
      <c r="D221" s="42">
        <v>35000</v>
      </c>
      <c r="E221" s="70">
        <v>0</v>
      </c>
      <c r="F221" s="45">
        <v>35000</v>
      </c>
      <c r="G221" s="45">
        <v>35000</v>
      </c>
      <c r="H221" s="74">
        <v>35000</v>
      </c>
      <c r="I221" s="47">
        <f t="shared" si="57"/>
        <v>1</v>
      </c>
      <c r="J221" s="48">
        <v>35000</v>
      </c>
      <c r="K221" s="49">
        <v>35000</v>
      </c>
      <c r="L221" s="50">
        <v>35000</v>
      </c>
      <c r="M221" s="50">
        <v>30172.62</v>
      </c>
      <c r="N221" s="51">
        <v>30172.62</v>
      </c>
      <c r="O221" s="52">
        <v>30172.62</v>
      </c>
      <c r="P221" s="53">
        <v>37449.25</v>
      </c>
      <c r="Q221" s="54">
        <v>5000</v>
      </c>
      <c r="R221" s="1"/>
      <c r="S221" s="1"/>
      <c r="T221" s="1"/>
    </row>
    <row r="222" spans="1:20" ht="13.5" customHeight="1" x14ac:dyDescent="0.25">
      <c r="A222" s="1" t="s">
        <v>3</v>
      </c>
      <c r="B222" s="1" t="s">
        <v>360</v>
      </c>
      <c r="C222" s="1" t="s">
        <v>361</v>
      </c>
      <c r="D222" s="42">
        <v>252500</v>
      </c>
      <c r="E222" s="43">
        <v>208224</v>
      </c>
      <c r="F222" s="45">
        <v>252500</v>
      </c>
      <c r="G222" s="45">
        <v>252500</v>
      </c>
      <c r="H222" s="46">
        <v>252501</v>
      </c>
      <c r="I222" s="47">
        <f t="shared" si="57"/>
        <v>1.0000039603960396</v>
      </c>
      <c r="J222" s="48">
        <v>252500</v>
      </c>
      <c r="K222" s="49">
        <v>252500</v>
      </c>
      <c r="L222" s="50">
        <v>252499.85</v>
      </c>
      <c r="M222" s="50">
        <v>252500.01</v>
      </c>
      <c r="N222" s="51">
        <v>239299.84</v>
      </c>
      <c r="O222" s="52">
        <v>1500</v>
      </c>
      <c r="P222" s="53">
        <v>0</v>
      </c>
      <c r="Q222" s="54">
        <v>0</v>
      </c>
      <c r="R222" s="1"/>
      <c r="S222" s="1"/>
      <c r="T222" s="1"/>
    </row>
    <row r="223" spans="1:20" ht="13.5" customHeight="1" x14ac:dyDescent="0.25">
      <c r="A223" s="1"/>
      <c r="B223" s="1" t="s">
        <v>362</v>
      </c>
      <c r="C223" s="1" t="s">
        <v>363</v>
      </c>
      <c r="D223" s="42">
        <v>80000</v>
      </c>
      <c r="E223" s="70">
        <v>0</v>
      </c>
      <c r="F223" s="45">
        <v>80000</v>
      </c>
      <c r="G223" s="45">
        <v>80000</v>
      </c>
      <c r="H223" s="68">
        <v>83836.990000000005</v>
      </c>
      <c r="I223" s="47">
        <f t="shared" si="57"/>
        <v>1.0817676129032259</v>
      </c>
      <c r="J223" s="48">
        <v>77500</v>
      </c>
      <c r="K223" s="49">
        <v>77500</v>
      </c>
      <c r="L223" s="50">
        <v>78964.88</v>
      </c>
      <c r="M223" s="50">
        <v>75036.7</v>
      </c>
      <c r="N223" s="51">
        <v>75751.199999999997</v>
      </c>
      <c r="O223" s="52">
        <v>229050</v>
      </c>
      <c r="P223" s="53">
        <v>250999.79</v>
      </c>
      <c r="Q223" s="54">
        <v>251000.02</v>
      </c>
      <c r="R223" s="1"/>
      <c r="S223" s="1"/>
      <c r="T223" s="1"/>
    </row>
    <row r="224" spans="1:20" ht="13.5" customHeight="1" x14ac:dyDescent="0.25">
      <c r="A224" s="1"/>
      <c r="B224" s="1" t="s">
        <v>364</v>
      </c>
      <c r="C224" s="1" t="s">
        <v>365</v>
      </c>
      <c r="D224" s="42">
        <v>72500</v>
      </c>
      <c r="E224" s="43">
        <v>72500</v>
      </c>
      <c r="F224" s="45">
        <v>72500</v>
      </c>
      <c r="G224" s="45">
        <v>72500</v>
      </c>
      <c r="H224" s="66">
        <v>72500</v>
      </c>
      <c r="I224" s="47">
        <f t="shared" si="57"/>
        <v>1</v>
      </c>
      <c r="J224" s="48">
        <v>72500</v>
      </c>
      <c r="K224" s="49">
        <v>72500</v>
      </c>
      <c r="L224" s="50">
        <v>62276</v>
      </c>
      <c r="M224" s="50">
        <v>62276</v>
      </c>
      <c r="N224" s="51">
        <v>62276</v>
      </c>
      <c r="O224" s="52">
        <v>75150</v>
      </c>
      <c r="P224" s="53">
        <v>112500</v>
      </c>
      <c r="Q224" s="54">
        <v>52432.15</v>
      </c>
      <c r="R224" s="1"/>
      <c r="S224" s="1"/>
      <c r="T224" s="1"/>
    </row>
    <row r="225" spans="1:20" ht="13.5" customHeight="1" x14ac:dyDescent="0.25">
      <c r="A225" s="1"/>
      <c r="B225" s="1" t="s">
        <v>366</v>
      </c>
      <c r="C225" s="1" t="s">
        <v>367</v>
      </c>
      <c r="D225" s="42">
        <v>44700</v>
      </c>
      <c r="E225" s="43">
        <v>22350</v>
      </c>
      <c r="F225" s="45">
        <v>44700</v>
      </c>
      <c r="G225" s="45">
        <v>44700</v>
      </c>
      <c r="H225" s="46">
        <v>44700</v>
      </c>
      <c r="I225" s="47">
        <f t="shared" si="57"/>
        <v>1</v>
      </c>
      <c r="J225" s="48">
        <v>44700</v>
      </c>
      <c r="K225" s="49">
        <v>44700</v>
      </c>
      <c r="L225" s="50">
        <v>44700</v>
      </c>
      <c r="M225" s="50">
        <v>37050</v>
      </c>
      <c r="N225" s="51">
        <v>34500</v>
      </c>
      <c r="O225" s="52">
        <v>62276</v>
      </c>
      <c r="P225" s="53">
        <v>62276</v>
      </c>
      <c r="Q225" s="54">
        <v>62276</v>
      </c>
      <c r="R225" s="1"/>
      <c r="S225" s="1"/>
      <c r="T225" s="1"/>
    </row>
    <row r="226" spans="1:20" ht="13.5" customHeight="1" x14ac:dyDescent="0.25">
      <c r="A226" s="1"/>
      <c r="B226" s="1" t="s">
        <v>368</v>
      </c>
      <c r="C226" s="1" t="s">
        <v>369</v>
      </c>
      <c r="D226" s="42">
        <v>12000</v>
      </c>
      <c r="E226" s="70">
        <v>0</v>
      </c>
      <c r="F226" s="45">
        <v>12000</v>
      </c>
      <c r="G226" s="45">
        <v>12000</v>
      </c>
      <c r="H226" s="68">
        <v>0</v>
      </c>
      <c r="I226" s="47">
        <f t="shared" si="57"/>
        <v>0</v>
      </c>
      <c r="J226" s="48">
        <v>12000</v>
      </c>
      <c r="K226" s="49">
        <v>12000</v>
      </c>
      <c r="L226" s="50">
        <v>15000</v>
      </c>
      <c r="M226" s="77">
        <v>0</v>
      </c>
      <c r="N226" s="51">
        <v>7500</v>
      </c>
      <c r="O226" s="52">
        <v>34500</v>
      </c>
      <c r="P226" s="53">
        <v>34500</v>
      </c>
      <c r="Q226" s="54">
        <v>34500</v>
      </c>
      <c r="R226" s="1"/>
      <c r="S226" s="1"/>
      <c r="T226" s="1"/>
    </row>
    <row r="227" spans="1:20" ht="13.5" customHeight="1" x14ac:dyDescent="0.25">
      <c r="A227" s="1"/>
      <c r="B227" s="1" t="s">
        <v>370</v>
      </c>
      <c r="C227" s="1" t="s">
        <v>371</v>
      </c>
      <c r="D227" s="42">
        <v>2000</v>
      </c>
      <c r="E227" s="43">
        <v>1500</v>
      </c>
      <c r="F227" s="45">
        <v>2000</v>
      </c>
      <c r="G227" s="45">
        <v>2000</v>
      </c>
      <c r="H227" s="66">
        <v>2000</v>
      </c>
      <c r="I227" s="47">
        <f t="shared" si="57"/>
        <v>1</v>
      </c>
      <c r="J227" s="48">
        <v>2000</v>
      </c>
      <c r="K227" s="49">
        <v>2000</v>
      </c>
      <c r="L227" s="50">
        <v>2000</v>
      </c>
      <c r="M227" s="77">
        <v>0</v>
      </c>
      <c r="N227" s="53" t="s">
        <v>16</v>
      </c>
      <c r="O227" s="52">
        <v>7500</v>
      </c>
      <c r="P227" s="53">
        <v>7500</v>
      </c>
      <c r="Q227" s="54">
        <v>0</v>
      </c>
      <c r="R227" s="1"/>
      <c r="S227" s="1"/>
      <c r="T227" s="1"/>
    </row>
    <row r="228" spans="1:20" ht="13.5" customHeight="1" x14ac:dyDescent="0.25">
      <c r="A228" s="1"/>
      <c r="B228" s="1" t="s">
        <v>372</v>
      </c>
      <c r="C228" s="1" t="s">
        <v>373</v>
      </c>
      <c r="D228" s="42">
        <v>15000</v>
      </c>
      <c r="E228" s="43">
        <v>1595</v>
      </c>
      <c r="F228" s="45">
        <v>15000</v>
      </c>
      <c r="G228" s="45">
        <v>15000</v>
      </c>
      <c r="H228" s="46">
        <v>3020.7</v>
      </c>
      <c r="I228" s="47">
        <f t="shared" si="57"/>
        <v>0.20137999999999998</v>
      </c>
      <c r="J228" s="48">
        <v>15000</v>
      </c>
      <c r="K228" s="49">
        <v>15000</v>
      </c>
      <c r="L228" s="50">
        <v>7044.3</v>
      </c>
      <c r="M228" s="50">
        <v>23324</v>
      </c>
      <c r="N228" s="51">
        <v>36417.29</v>
      </c>
      <c r="O228" s="52">
        <v>14041.49</v>
      </c>
      <c r="P228" s="53">
        <v>8416.58</v>
      </c>
      <c r="Q228" s="54">
        <v>15350.04</v>
      </c>
      <c r="R228" s="1"/>
      <c r="S228" s="1"/>
      <c r="T228" s="1"/>
    </row>
    <row r="229" spans="1:20" ht="13.5" customHeight="1" x14ac:dyDescent="0.25">
      <c r="A229" s="1"/>
      <c r="B229" s="1" t="s">
        <v>374</v>
      </c>
      <c r="C229" s="1" t="s">
        <v>375</v>
      </c>
      <c r="D229" s="42">
        <v>11800</v>
      </c>
      <c r="E229" s="43">
        <v>11780</v>
      </c>
      <c r="F229" s="45">
        <v>11800</v>
      </c>
      <c r="G229" s="45">
        <v>11800</v>
      </c>
      <c r="H229" s="66">
        <v>11780</v>
      </c>
      <c r="I229" s="47">
        <f t="shared" si="57"/>
        <v>0.99830508474576274</v>
      </c>
      <c r="J229" s="48">
        <v>11800</v>
      </c>
      <c r="K229" s="49">
        <v>11800</v>
      </c>
      <c r="L229" s="50">
        <v>11780</v>
      </c>
      <c r="M229" s="50">
        <v>11780</v>
      </c>
      <c r="N229" s="51">
        <v>11780</v>
      </c>
      <c r="O229" s="52">
        <v>11780</v>
      </c>
      <c r="P229" s="53">
        <v>11780</v>
      </c>
      <c r="Q229" s="54">
        <v>11780</v>
      </c>
      <c r="R229" s="1"/>
      <c r="S229" s="1"/>
      <c r="T229" s="1"/>
    </row>
    <row r="230" spans="1:20" ht="13.5" customHeight="1" x14ac:dyDescent="0.25">
      <c r="A230" s="1"/>
      <c r="B230" s="1" t="s">
        <v>376</v>
      </c>
      <c r="C230" s="1" t="s">
        <v>377</v>
      </c>
      <c r="D230" s="42">
        <v>346000</v>
      </c>
      <c r="E230" s="43">
        <v>93166.69</v>
      </c>
      <c r="F230" s="45">
        <v>20000</v>
      </c>
      <c r="G230" s="45">
        <v>20000</v>
      </c>
      <c r="H230" s="46">
        <v>20000.04</v>
      </c>
      <c r="I230" s="47">
        <f t="shared" si="57"/>
        <v>1.0000020000000001</v>
      </c>
      <c r="J230" s="48">
        <v>20000</v>
      </c>
      <c r="K230" s="49">
        <v>20000</v>
      </c>
      <c r="L230" s="50">
        <v>20000.04</v>
      </c>
      <c r="M230" s="50">
        <v>82083.289999999994</v>
      </c>
      <c r="N230" s="51">
        <v>74999.88</v>
      </c>
      <c r="O230" s="52">
        <v>66333.240000000005</v>
      </c>
      <c r="P230" s="53">
        <v>52000</v>
      </c>
      <c r="Q230" s="54">
        <v>51999.96</v>
      </c>
      <c r="R230" s="1"/>
      <c r="S230" s="1"/>
      <c r="T230" s="1"/>
    </row>
    <row r="231" spans="1:20" ht="13.5" customHeight="1" x14ac:dyDescent="0.25">
      <c r="A231" s="1"/>
      <c r="B231" s="1" t="s">
        <v>378</v>
      </c>
      <c r="C231" s="1" t="s">
        <v>379</v>
      </c>
      <c r="D231" s="42">
        <v>3667</v>
      </c>
      <c r="E231" s="70">
        <v>0</v>
      </c>
      <c r="F231" s="45">
        <v>3667</v>
      </c>
      <c r="G231" s="45">
        <v>3667</v>
      </c>
      <c r="H231" s="68">
        <v>3888.91</v>
      </c>
      <c r="I231" s="47">
        <f t="shared" si="57"/>
        <v>1.0605154076902099</v>
      </c>
      <c r="J231" s="48">
        <v>3667</v>
      </c>
      <c r="K231" s="49">
        <v>3667</v>
      </c>
      <c r="L231" s="50">
        <v>3888.91</v>
      </c>
      <c r="M231" s="50">
        <v>3666.67</v>
      </c>
      <c r="N231" s="51">
        <v>3333.33</v>
      </c>
      <c r="O231" s="52">
        <v>3333.33</v>
      </c>
      <c r="P231" s="53">
        <v>3333.34</v>
      </c>
      <c r="Q231" s="54">
        <v>3333.33</v>
      </c>
      <c r="R231" s="1"/>
      <c r="S231" s="1"/>
      <c r="T231" s="1"/>
    </row>
    <row r="232" spans="1:20" ht="13.5" customHeight="1" x14ac:dyDescent="0.25">
      <c r="A232" s="1"/>
      <c r="B232" s="1" t="s">
        <v>380</v>
      </c>
      <c r="C232" s="1" t="s">
        <v>381</v>
      </c>
      <c r="D232" s="42">
        <v>22500</v>
      </c>
      <c r="E232" s="43">
        <v>22500</v>
      </c>
      <c r="F232" s="45">
        <v>22500</v>
      </c>
      <c r="G232" s="45">
        <v>22500</v>
      </c>
      <c r="H232" s="66">
        <v>22500</v>
      </c>
      <c r="I232" s="47">
        <f t="shared" si="57"/>
        <v>1</v>
      </c>
      <c r="J232" s="48">
        <v>22500</v>
      </c>
      <c r="K232" s="49">
        <v>22500</v>
      </c>
      <c r="L232" s="50">
        <v>22500</v>
      </c>
      <c r="M232" s="50">
        <v>22500</v>
      </c>
      <c r="N232" s="51">
        <v>22500</v>
      </c>
      <c r="O232" s="52">
        <v>0</v>
      </c>
      <c r="P232" s="53">
        <v>0</v>
      </c>
      <c r="Q232" s="54">
        <v>0</v>
      </c>
      <c r="R232" s="1"/>
      <c r="S232" s="1"/>
      <c r="T232" s="1"/>
    </row>
    <row r="233" spans="1:20" ht="13.5" customHeight="1" x14ac:dyDescent="0.25">
      <c r="A233" s="1"/>
      <c r="B233" s="1" t="s">
        <v>382</v>
      </c>
      <c r="C233" s="1" t="s">
        <v>383</v>
      </c>
      <c r="D233" s="42">
        <v>1000</v>
      </c>
      <c r="E233" s="43">
        <v>60.81</v>
      </c>
      <c r="F233" s="45">
        <v>1000</v>
      </c>
      <c r="G233" s="45">
        <v>1000</v>
      </c>
      <c r="H233" s="46">
        <v>345.78</v>
      </c>
      <c r="I233" s="47">
        <f t="shared" si="57"/>
        <v>0.34577999999999998</v>
      </c>
      <c r="J233" s="48">
        <v>1000</v>
      </c>
      <c r="K233" s="49">
        <v>1000</v>
      </c>
      <c r="L233" s="77">
        <v>0</v>
      </c>
      <c r="M233" s="50">
        <v>4557.53</v>
      </c>
      <c r="N233" s="51">
        <v>769</v>
      </c>
      <c r="O233" s="52">
        <v>997.72</v>
      </c>
      <c r="P233" s="53">
        <v>5379.29</v>
      </c>
      <c r="Q233" s="54">
        <v>5700.41</v>
      </c>
      <c r="R233" s="1"/>
      <c r="S233" s="1"/>
      <c r="T233" s="1"/>
    </row>
    <row r="234" spans="1:20" ht="13.5" customHeight="1" x14ac:dyDescent="0.25">
      <c r="A234" s="1"/>
      <c r="B234" s="1" t="s">
        <v>384</v>
      </c>
      <c r="C234" s="1" t="s">
        <v>385</v>
      </c>
      <c r="D234" s="42">
        <v>5403</v>
      </c>
      <c r="E234" s="43">
        <v>0</v>
      </c>
      <c r="F234" s="45">
        <v>5403</v>
      </c>
      <c r="G234" s="45">
        <v>5403</v>
      </c>
      <c r="H234" s="66">
        <v>5403</v>
      </c>
      <c r="I234" s="47">
        <f t="shared" si="57"/>
        <v>1</v>
      </c>
      <c r="J234" s="48">
        <v>5403</v>
      </c>
      <c r="K234" s="49">
        <v>5403</v>
      </c>
      <c r="L234" s="50">
        <v>5403</v>
      </c>
      <c r="M234" s="50">
        <v>5403</v>
      </c>
      <c r="N234" s="51">
        <v>5403</v>
      </c>
      <c r="O234" s="52">
        <v>5403</v>
      </c>
      <c r="P234" s="53">
        <v>0</v>
      </c>
      <c r="Q234" s="54">
        <v>5403</v>
      </c>
      <c r="R234" s="1"/>
      <c r="S234" s="1"/>
      <c r="T234" s="1"/>
    </row>
    <row r="235" spans="1:20" ht="13.5" customHeight="1" x14ac:dyDescent="0.25">
      <c r="A235" s="1"/>
      <c r="B235" s="55" t="s">
        <v>386</v>
      </c>
      <c r="C235" s="55" t="s">
        <v>387</v>
      </c>
      <c r="D235" s="42">
        <v>0</v>
      </c>
      <c r="E235" s="43">
        <v>39608.870000000003</v>
      </c>
      <c r="F235" s="71">
        <v>0</v>
      </c>
      <c r="G235" s="71">
        <v>0</v>
      </c>
      <c r="H235" s="46">
        <v>0</v>
      </c>
      <c r="I235" s="47">
        <f t="shared" si="57"/>
        <v>0</v>
      </c>
      <c r="J235" s="48">
        <v>5403</v>
      </c>
      <c r="K235" s="49">
        <v>5403</v>
      </c>
      <c r="L235" s="69">
        <v>0</v>
      </c>
      <c r="M235" s="69">
        <v>0</v>
      </c>
      <c r="N235" s="79">
        <v>0</v>
      </c>
      <c r="O235" s="80">
        <v>0</v>
      </c>
      <c r="P235" s="53">
        <v>0</v>
      </c>
      <c r="Q235" s="84">
        <v>0</v>
      </c>
      <c r="R235" s="1"/>
      <c r="S235" s="1"/>
      <c r="T235" s="1"/>
    </row>
    <row r="236" spans="1:20" ht="13.5" customHeight="1" x14ac:dyDescent="0.25">
      <c r="A236" s="1"/>
      <c r="B236" s="1"/>
      <c r="C236" s="1"/>
      <c r="D236" s="56">
        <v>1492070</v>
      </c>
      <c r="E236" s="57">
        <f t="shared" ref="E236" si="58">SUM(E210:E235)</f>
        <v>607156.30000000005</v>
      </c>
      <c r="F236" s="58">
        <f>SUM(F209:F235)</f>
        <v>1157070</v>
      </c>
      <c r="G236" s="58">
        <v>1157070</v>
      </c>
      <c r="H236" s="59">
        <f>SUM(H210:H235)</f>
        <v>1038145.3200000001</v>
      </c>
      <c r="I236" s="59"/>
      <c r="J236" s="60">
        <f t="shared" ref="J236:Q236" si="59">SUM(J210:J235)</f>
        <v>1039973</v>
      </c>
      <c r="K236" s="61">
        <f t="shared" si="59"/>
        <v>1039973</v>
      </c>
      <c r="L236" s="62">
        <f t="shared" si="59"/>
        <v>1167593.1299999999</v>
      </c>
      <c r="M236" s="62">
        <f t="shared" si="59"/>
        <v>1131623.18</v>
      </c>
      <c r="N236" s="63">
        <f t="shared" si="59"/>
        <v>950445.37999999989</v>
      </c>
      <c r="O236" s="64">
        <f t="shared" si="59"/>
        <v>921420.40999999992</v>
      </c>
      <c r="P236" s="63">
        <f t="shared" si="59"/>
        <v>941426.07</v>
      </c>
      <c r="Q236" s="65">
        <f t="shared" si="59"/>
        <v>895624.18</v>
      </c>
      <c r="R236" s="1"/>
      <c r="S236" s="1"/>
      <c r="T236" s="1"/>
    </row>
    <row r="237" spans="1:20" ht="13.5" customHeight="1" x14ac:dyDescent="0.25">
      <c r="A237" s="1"/>
      <c r="B237" s="1"/>
      <c r="C237" s="1"/>
      <c r="D237" s="42"/>
      <c r="E237" s="44"/>
      <c r="F237" s="45"/>
      <c r="G237" s="45"/>
      <c r="H237" s="66"/>
      <c r="I237" s="66"/>
      <c r="J237" s="48"/>
      <c r="K237" s="49"/>
      <c r="L237" s="50"/>
      <c r="M237" s="50"/>
      <c r="N237" s="51"/>
      <c r="O237" s="52"/>
      <c r="P237" s="53"/>
      <c r="Q237" s="54"/>
      <c r="R237" s="1"/>
      <c r="S237" s="1"/>
      <c r="T237" s="1"/>
    </row>
    <row r="238" spans="1:20" ht="13.5" customHeight="1" x14ac:dyDescent="0.25">
      <c r="A238" s="1"/>
      <c r="B238" s="1" t="s">
        <v>388</v>
      </c>
      <c r="C238" s="1" t="s">
        <v>389</v>
      </c>
      <c r="D238" s="85">
        <v>0</v>
      </c>
      <c r="E238" s="70">
        <v>0</v>
      </c>
      <c r="F238" s="73" t="s">
        <v>16</v>
      </c>
      <c r="G238" s="86">
        <v>0</v>
      </c>
      <c r="H238" s="68">
        <v>0</v>
      </c>
      <c r="I238" s="74"/>
      <c r="J238" s="75" t="s">
        <v>16</v>
      </c>
      <c r="K238" s="76" t="s">
        <v>16</v>
      </c>
      <c r="L238" s="83">
        <v>0</v>
      </c>
      <c r="M238" s="83">
        <v>0</v>
      </c>
      <c r="N238" s="51">
        <v>-12110.71</v>
      </c>
      <c r="O238" s="52">
        <v>532719.56000000006</v>
      </c>
      <c r="P238" s="53">
        <v>439586.36</v>
      </c>
      <c r="Q238" s="54">
        <v>0</v>
      </c>
      <c r="R238" s="1"/>
      <c r="S238" s="1"/>
      <c r="T238" s="1"/>
    </row>
    <row r="239" spans="1:20" ht="13.5" customHeight="1" x14ac:dyDescent="0.25">
      <c r="A239" s="1"/>
      <c r="B239" s="1" t="s">
        <v>390</v>
      </c>
      <c r="C239" s="1" t="s">
        <v>391</v>
      </c>
      <c r="D239" s="42">
        <v>2400000</v>
      </c>
      <c r="E239" s="70">
        <v>0</v>
      </c>
      <c r="F239" s="45">
        <f>2032819-92206-1500000</f>
        <v>440613</v>
      </c>
      <c r="G239" s="45">
        <v>2032819</v>
      </c>
      <c r="H239" s="74">
        <v>0</v>
      </c>
      <c r="I239" s="47">
        <f>H239/J239</f>
        <v>0</v>
      </c>
      <c r="J239" s="48">
        <v>2063780</v>
      </c>
      <c r="K239" s="49">
        <v>2776190</v>
      </c>
      <c r="L239" s="77">
        <v>0</v>
      </c>
      <c r="M239" s="77">
        <v>0</v>
      </c>
      <c r="N239" s="53">
        <v>0</v>
      </c>
      <c r="O239" s="52">
        <v>0</v>
      </c>
      <c r="P239" s="53">
        <v>0</v>
      </c>
      <c r="Q239" s="54">
        <v>0</v>
      </c>
      <c r="R239" s="1"/>
      <c r="S239" s="1"/>
      <c r="T239" s="1"/>
    </row>
    <row r="240" spans="1:20" ht="13.5" customHeight="1" x14ac:dyDescent="0.25">
      <c r="A240" s="1"/>
      <c r="B240" s="1"/>
      <c r="C240" s="1"/>
      <c r="D240" s="56">
        <v>2400000</v>
      </c>
      <c r="E240" s="57">
        <f t="shared" ref="E240" si="60">SUM(E238:E239)</f>
        <v>0</v>
      </c>
      <c r="F240" s="58">
        <f>SUM(F237:F239)</f>
        <v>440613</v>
      </c>
      <c r="G240" s="58">
        <v>2032819</v>
      </c>
      <c r="H240" s="59">
        <f>SUM(H238:H239)</f>
        <v>0</v>
      </c>
      <c r="I240" s="59"/>
      <c r="J240" s="60">
        <f t="shared" ref="J240:Q240" si="61">SUM(J238:J239)</f>
        <v>2063780</v>
      </c>
      <c r="K240" s="61">
        <f t="shared" si="61"/>
        <v>2776190</v>
      </c>
      <c r="L240" s="62">
        <f t="shared" si="61"/>
        <v>0</v>
      </c>
      <c r="M240" s="62">
        <f t="shared" si="61"/>
        <v>0</v>
      </c>
      <c r="N240" s="63">
        <f t="shared" si="61"/>
        <v>-12110.71</v>
      </c>
      <c r="O240" s="64">
        <f t="shared" si="61"/>
        <v>532719.56000000006</v>
      </c>
      <c r="P240" s="63">
        <f t="shared" si="61"/>
        <v>439586.36</v>
      </c>
      <c r="Q240" s="65">
        <f t="shared" si="61"/>
        <v>0</v>
      </c>
      <c r="R240" s="1"/>
      <c r="S240" s="1"/>
      <c r="T240" s="1"/>
    </row>
    <row r="241" spans="1:20" ht="13.5" customHeight="1" thickBot="1" x14ac:dyDescent="0.3">
      <c r="A241" s="116"/>
      <c r="B241" s="116"/>
      <c r="C241" s="116" t="s">
        <v>392</v>
      </c>
      <c r="D241" s="117">
        <v>6737315</v>
      </c>
      <c r="E241" s="118">
        <f t="shared" ref="E241" si="62">SUM(E176+E182+E205+E208+E236+E240)</f>
        <v>2116492.5</v>
      </c>
      <c r="F241" s="119">
        <f>SUM(F176,F182,F205,F208,F236,F240)</f>
        <v>4088456</v>
      </c>
      <c r="G241" s="119">
        <v>5680662</v>
      </c>
      <c r="H241" s="120">
        <f>SUM(H176+H182+H205+H208+H236+H240)</f>
        <v>4105312.1799999997</v>
      </c>
      <c r="I241" s="120"/>
      <c r="J241" s="121">
        <f t="shared" ref="J241:Q241" si="63">SUM(J176+J182+J205+J208+J236+J240)</f>
        <v>6176757</v>
      </c>
      <c r="K241" s="122">
        <f t="shared" si="63"/>
        <v>6238315</v>
      </c>
      <c r="L241" s="123">
        <f t="shared" si="63"/>
        <v>3495593.53</v>
      </c>
      <c r="M241" s="123">
        <f t="shared" si="63"/>
        <v>3343968.92</v>
      </c>
      <c r="N241" s="124">
        <f t="shared" si="63"/>
        <v>3001051.7</v>
      </c>
      <c r="O241" s="125">
        <f t="shared" si="63"/>
        <v>3598271.93</v>
      </c>
      <c r="P241" s="124">
        <f t="shared" si="63"/>
        <v>3516528.54</v>
      </c>
      <c r="Q241" s="126">
        <f t="shared" si="63"/>
        <v>3124699.1400000006</v>
      </c>
      <c r="R241" s="116"/>
      <c r="S241" s="116"/>
      <c r="T241" s="116"/>
    </row>
    <row r="242" spans="1:20" ht="13.5" customHeight="1" thickTop="1" x14ac:dyDescent="0.25">
      <c r="A242" s="1"/>
      <c r="B242" s="1"/>
      <c r="C242" s="1"/>
      <c r="D242" s="42"/>
      <c r="E242" s="67"/>
      <c r="F242" s="45"/>
      <c r="G242" s="45"/>
      <c r="H242" s="74"/>
      <c r="I242" s="66"/>
      <c r="J242" s="48"/>
      <c r="K242" s="49"/>
      <c r="L242" s="77"/>
      <c r="M242" s="77"/>
      <c r="N242" s="53"/>
      <c r="O242" s="52"/>
      <c r="P242" s="53"/>
      <c r="Q242" s="54"/>
      <c r="R242" s="1"/>
      <c r="S242" s="1"/>
      <c r="T242" s="1"/>
    </row>
    <row r="243" spans="1:20" ht="13.5" customHeight="1" x14ac:dyDescent="0.25">
      <c r="A243" s="114" t="s">
        <v>230</v>
      </c>
      <c r="B243" s="1"/>
      <c r="C243" s="1"/>
      <c r="D243" s="42"/>
      <c r="E243" s="67"/>
      <c r="F243" s="45"/>
      <c r="G243" s="45"/>
      <c r="H243" s="74"/>
      <c r="I243" s="66"/>
      <c r="J243" s="48"/>
      <c r="K243" s="49"/>
      <c r="L243" s="77"/>
      <c r="M243" s="77"/>
      <c r="N243" s="53"/>
      <c r="O243" s="52"/>
      <c r="P243" s="53"/>
      <c r="Q243" s="54"/>
      <c r="R243" s="1"/>
      <c r="S243" s="1"/>
      <c r="T243" s="1"/>
    </row>
    <row r="244" spans="1:20" ht="13.5" customHeight="1" x14ac:dyDescent="0.25">
      <c r="A244" s="1"/>
      <c r="B244" s="1"/>
      <c r="C244" s="116" t="s">
        <v>393</v>
      </c>
      <c r="D244" s="42"/>
      <c r="E244" s="67"/>
      <c r="F244" s="45"/>
      <c r="G244" s="45"/>
      <c r="H244" s="74"/>
      <c r="I244" s="66"/>
      <c r="J244" s="48"/>
      <c r="K244" s="49"/>
      <c r="L244" s="77"/>
      <c r="M244" s="77"/>
      <c r="N244" s="53"/>
      <c r="O244" s="52"/>
      <c r="P244" s="53"/>
      <c r="Q244" s="54"/>
      <c r="R244" s="1"/>
      <c r="S244" s="1"/>
      <c r="T244" s="1"/>
    </row>
    <row r="245" spans="1:20" ht="13.5" customHeight="1" x14ac:dyDescent="0.25">
      <c r="A245" s="1"/>
      <c r="B245" s="1" t="s">
        <v>394</v>
      </c>
      <c r="C245" s="1" t="s">
        <v>395</v>
      </c>
      <c r="D245" s="42">
        <v>30000</v>
      </c>
      <c r="E245" s="43">
        <v>4000</v>
      </c>
      <c r="F245" s="45">
        <v>30000</v>
      </c>
      <c r="G245" s="45">
        <v>30000</v>
      </c>
      <c r="H245" s="46">
        <v>22381.25</v>
      </c>
      <c r="I245" s="47">
        <f t="shared" ref="I245:I246" si="64">H245/J245</f>
        <v>0.74604166666666671</v>
      </c>
      <c r="J245" s="48">
        <v>30000</v>
      </c>
      <c r="K245" s="49">
        <v>30000</v>
      </c>
      <c r="L245" s="50">
        <v>13600</v>
      </c>
      <c r="M245" s="50">
        <v>25417.5</v>
      </c>
      <c r="N245" s="51">
        <v>12980</v>
      </c>
      <c r="O245" s="52">
        <v>16474.189999999999</v>
      </c>
      <c r="P245" s="53">
        <v>12961.25</v>
      </c>
      <c r="Q245" s="54">
        <v>24921.75</v>
      </c>
      <c r="R245" s="1"/>
      <c r="S245" s="1"/>
      <c r="T245" s="1"/>
    </row>
    <row r="246" spans="1:20" ht="13.5" customHeight="1" x14ac:dyDescent="0.25">
      <c r="A246" s="1"/>
      <c r="B246" s="1" t="s">
        <v>396</v>
      </c>
      <c r="C246" s="55" t="s">
        <v>310</v>
      </c>
      <c r="D246" s="42">
        <v>230000</v>
      </c>
      <c r="E246" s="43">
        <v>115080.85</v>
      </c>
      <c r="F246" s="45">
        <v>180000</v>
      </c>
      <c r="G246" s="45">
        <v>180000</v>
      </c>
      <c r="H246" s="46">
        <v>194014.44</v>
      </c>
      <c r="I246" s="47">
        <f t="shared" si="64"/>
        <v>1.2934296000000001</v>
      </c>
      <c r="J246" s="48">
        <v>150000</v>
      </c>
      <c r="K246" s="49">
        <v>150000</v>
      </c>
      <c r="L246" s="50">
        <v>181626.41</v>
      </c>
      <c r="M246" s="50">
        <v>153005.6</v>
      </c>
      <c r="N246" s="51">
        <v>150397.99</v>
      </c>
      <c r="O246" s="52">
        <v>92235.09</v>
      </c>
      <c r="P246" s="53">
        <v>102393.87</v>
      </c>
      <c r="Q246" s="54">
        <v>83028.009999999995</v>
      </c>
      <c r="R246" s="1"/>
      <c r="S246" s="1"/>
      <c r="T246" s="1"/>
    </row>
    <row r="247" spans="1:20" ht="13.5" customHeight="1" x14ac:dyDescent="0.25">
      <c r="A247" s="1"/>
      <c r="B247" s="1"/>
      <c r="C247" s="132" t="s">
        <v>397</v>
      </c>
      <c r="D247" s="133">
        <v>260000</v>
      </c>
      <c r="E247" s="134">
        <f t="shared" ref="E247" si="65">SUM(E245:E246)</f>
        <v>119080.85</v>
      </c>
      <c r="F247" s="135">
        <f>SUM(F244:F246)</f>
        <v>210000</v>
      </c>
      <c r="G247" s="135">
        <v>210000</v>
      </c>
      <c r="H247" s="136">
        <f>SUM(H245:H246)</f>
        <v>216395.69</v>
      </c>
      <c r="I247" s="136"/>
      <c r="J247" s="137">
        <f t="shared" ref="J247:Q247" si="66">SUM(J245:J246)</f>
        <v>180000</v>
      </c>
      <c r="K247" s="138">
        <f t="shared" si="66"/>
        <v>180000</v>
      </c>
      <c r="L247" s="139">
        <f t="shared" si="66"/>
        <v>195226.41</v>
      </c>
      <c r="M247" s="139">
        <f t="shared" si="66"/>
        <v>178423.1</v>
      </c>
      <c r="N247" s="140">
        <f t="shared" si="66"/>
        <v>163377.99</v>
      </c>
      <c r="O247" s="141">
        <f t="shared" si="66"/>
        <v>108709.28</v>
      </c>
      <c r="P247" s="140">
        <f t="shared" si="66"/>
        <v>115355.12</v>
      </c>
      <c r="Q247" s="142">
        <f t="shared" si="66"/>
        <v>107949.75999999999</v>
      </c>
      <c r="R247" s="1"/>
      <c r="S247" s="1"/>
      <c r="T247" s="1"/>
    </row>
    <row r="248" spans="1:20" ht="13.5" customHeight="1" x14ac:dyDescent="0.25">
      <c r="A248" s="1"/>
      <c r="B248" s="1"/>
      <c r="C248" s="116"/>
      <c r="D248" s="143"/>
      <c r="E248" s="128"/>
      <c r="F248" s="144"/>
      <c r="G248" s="144"/>
      <c r="H248" s="129"/>
      <c r="I248" s="129"/>
      <c r="J248" s="145"/>
      <c r="K248" s="146"/>
      <c r="L248" s="147"/>
      <c r="M248" s="147"/>
      <c r="N248" s="148"/>
      <c r="O248" s="149"/>
      <c r="P248" s="148"/>
      <c r="Q248" s="150"/>
      <c r="R248" s="1"/>
      <c r="S248" s="1"/>
      <c r="T248" s="1"/>
    </row>
    <row r="249" spans="1:20" ht="13.5" customHeight="1" x14ac:dyDescent="0.25">
      <c r="A249" s="1"/>
      <c r="B249" s="1"/>
      <c r="C249" s="116"/>
      <c r="D249" s="143"/>
      <c r="E249" s="128"/>
      <c r="F249" s="144"/>
      <c r="G249" s="144"/>
      <c r="H249" s="129"/>
      <c r="I249" s="129"/>
      <c r="J249" s="145"/>
      <c r="K249" s="146"/>
      <c r="L249" s="147"/>
      <c r="M249" s="147"/>
      <c r="N249" s="148"/>
      <c r="O249" s="149"/>
      <c r="P249" s="148"/>
      <c r="Q249" s="150"/>
      <c r="R249" s="1"/>
      <c r="S249" s="1"/>
      <c r="T249" s="1"/>
    </row>
    <row r="250" spans="1:20" ht="13.5" customHeight="1" x14ac:dyDescent="0.25">
      <c r="A250" s="1"/>
      <c r="B250" s="1"/>
      <c r="C250" s="41" t="s">
        <v>398</v>
      </c>
      <c r="D250" s="42"/>
      <c r="E250" s="44"/>
      <c r="F250" s="45"/>
      <c r="G250" s="45"/>
      <c r="H250" s="66"/>
      <c r="I250" s="66"/>
      <c r="J250" s="48"/>
      <c r="K250" s="49"/>
      <c r="L250" s="50"/>
      <c r="M250" s="50"/>
      <c r="N250" s="51"/>
      <c r="O250" s="52"/>
      <c r="P250" s="53"/>
      <c r="Q250" s="54"/>
      <c r="R250" s="1"/>
      <c r="S250" s="1"/>
      <c r="T250" s="1"/>
    </row>
    <row r="251" spans="1:20" ht="13.5" customHeight="1" x14ac:dyDescent="0.25">
      <c r="A251" s="1"/>
      <c r="B251" s="1" t="s">
        <v>399</v>
      </c>
      <c r="C251" s="55" t="s">
        <v>265</v>
      </c>
      <c r="D251" s="42">
        <v>750</v>
      </c>
      <c r="E251" s="70">
        <v>1817.79</v>
      </c>
      <c r="F251" s="45">
        <v>750</v>
      </c>
      <c r="G251" s="45">
        <v>750</v>
      </c>
      <c r="H251" s="68">
        <v>11060.67</v>
      </c>
      <c r="I251" s="47">
        <f t="shared" ref="I251:I252" si="67">H251/J251</f>
        <v>1.2289633333333334</v>
      </c>
      <c r="J251" s="48">
        <v>9000</v>
      </c>
      <c r="K251" s="49">
        <v>750</v>
      </c>
      <c r="L251" s="50">
        <v>749.99</v>
      </c>
      <c r="M251" s="50">
        <v>34018.629999999997</v>
      </c>
      <c r="N251" s="51">
        <v>1540.36</v>
      </c>
      <c r="O251" s="151">
        <v>0</v>
      </c>
      <c r="P251" s="53">
        <v>0</v>
      </c>
      <c r="Q251" s="152">
        <v>0</v>
      </c>
      <c r="R251" s="1"/>
      <c r="S251" s="1"/>
      <c r="T251" s="1"/>
    </row>
    <row r="252" spans="1:20" ht="13.5" customHeight="1" x14ac:dyDescent="0.25">
      <c r="A252" s="1"/>
      <c r="B252" s="1" t="s">
        <v>400</v>
      </c>
      <c r="C252" s="1" t="s">
        <v>267</v>
      </c>
      <c r="D252" s="42">
        <v>4650</v>
      </c>
      <c r="E252" s="43">
        <v>1001.81</v>
      </c>
      <c r="F252" s="45">
        <v>4650</v>
      </c>
      <c r="G252" s="45">
        <v>4650</v>
      </c>
      <c r="H252" s="46">
        <v>3199.03</v>
      </c>
      <c r="I252" s="47">
        <f t="shared" si="67"/>
        <v>0.6879634408602151</v>
      </c>
      <c r="J252" s="48">
        <v>4650</v>
      </c>
      <c r="K252" s="49">
        <v>4650</v>
      </c>
      <c r="L252" s="50">
        <v>3954.26</v>
      </c>
      <c r="M252" s="50">
        <v>2429.92</v>
      </c>
      <c r="N252" s="51">
        <v>118</v>
      </c>
      <c r="O252" s="52">
        <v>0</v>
      </c>
      <c r="P252" s="53">
        <v>1943.94</v>
      </c>
      <c r="Q252" s="54">
        <v>399.98</v>
      </c>
      <c r="R252" s="1"/>
      <c r="S252" s="1"/>
      <c r="T252" s="1"/>
    </row>
    <row r="253" spans="1:20" ht="13.5" customHeight="1" x14ac:dyDescent="0.25">
      <c r="A253" s="1"/>
      <c r="B253" s="1"/>
      <c r="C253" s="1"/>
      <c r="D253" s="56">
        <v>5400</v>
      </c>
      <c r="E253" s="57">
        <f t="shared" ref="E253" si="68">SUM(E251:E252)</f>
        <v>2819.6</v>
      </c>
      <c r="F253" s="58">
        <f>SUM(F250:F252)</f>
        <v>5400</v>
      </c>
      <c r="G253" s="58">
        <v>5400</v>
      </c>
      <c r="H253" s="59">
        <f>SUM(H251:H252)</f>
        <v>14259.7</v>
      </c>
      <c r="I253" s="59"/>
      <c r="J253" s="60">
        <f t="shared" ref="J253:Q253" si="69">SUM(J251:J252)</f>
        <v>13650</v>
      </c>
      <c r="K253" s="61">
        <f t="shared" si="69"/>
        <v>5400</v>
      </c>
      <c r="L253" s="62">
        <f t="shared" si="69"/>
        <v>4704.25</v>
      </c>
      <c r="M253" s="62">
        <f t="shared" si="69"/>
        <v>36448.549999999996</v>
      </c>
      <c r="N253" s="63">
        <f t="shared" si="69"/>
        <v>1658.36</v>
      </c>
      <c r="O253" s="64">
        <f t="shared" si="69"/>
        <v>0</v>
      </c>
      <c r="P253" s="63">
        <f t="shared" si="69"/>
        <v>1943.94</v>
      </c>
      <c r="Q253" s="65">
        <f t="shared" si="69"/>
        <v>399.98</v>
      </c>
      <c r="R253" s="1"/>
      <c r="S253" s="1"/>
      <c r="T253" s="1"/>
    </row>
    <row r="254" spans="1:20" ht="13.5" customHeight="1" x14ac:dyDescent="0.25">
      <c r="A254" s="1"/>
      <c r="B254" s="1"/>
      <c r="C254" s="1"/>
      <c r="D254" s="42"/>
      <c r="E254" s="44"/>
      <c r="F254" s="45"/>
      <c r="G254" s="45"/>
      <c r="H254" s="66"/>
      <c r="I254" s="66"/>
      <c r="J254" s="48"/>
      <c r="K254" s="49"/>
      <c r="L254" s="50"/>
      <c r="M254" s="50"/>
      <c r="N254" s="51"/>
      <c r="O254" s="52"/>
      <c r="P254" s="53"/>
      <c r="Q254" s="54"/>
      <c r="R254" s="1"/>
      <c r="S254" s="1"/>
      <c r="T254" s="1"/>
    </row>
    <row r="255" spans="1:20" ht="13.5" customHeight="1" x14ac:dyDescent="0.25">
      <c r="A255" s="1"/>
      <c r="B255" s="1" t="s">
        <v>401</v>
      </c>
      <c r="C255" s="1" t="s">
        <v>271</v>
      </c>
      <c r="D255" s="42">
        <v>2500</v>
      </c>
      <c r="E255" s="70">
        <v>200</v>
      </c>
      <c r="F255" s="45">
        <v>2500</v>
      </c>
      <c r="G255" s="45">
        <v>2500</v>
      </c>
      <c r="H255" s="68">
        <v>750</v>
      </c>
      <c r="I255" s="47">
        <f>H255/J255</f>
        <v>0.3</v>
      </c>
      <c r="J255" s="48">
        <v>2500</v>
      </c>
      <c r="K255" s="49">
        <v>2500</v>
      </c>
      <c r="L255" s="77">
        <v>0</v>
      </c>
      <c r="M255" s="50">
        <v>3385</v>
      </c>
      <c r="N255" s="53" t="s">
        <v>16</v>
      </c>
      <c r="O255" s="52">
        <v>1875</v>
      </c>
      <c r="P255" s="53">
        <v>0</v>
      </c>
      <c r="Q255" s="54">
        <v>2662.5</v>
      </c>
      <c r="R255" s="1"/>
      <c r="S255" s="1"/>
      <c r="T255" s="1"/>
    </row>
    <row r="256" spans="1:20" ht="13.5" customHeight="1" x14ac:dyDescent="0.25">
      <c r="A256" s="1"/>
      <c r="B256" s="1" t="s">
        <v>402</v>
      </c>
      <c r="C256" s="55" t="s">
        <v>273</v>
      </c>
      <c r="D256" s="42">
        <v>0</v>
      </c>
      <c r="E256" s="70">
        <v>0</v>
      </c>
      <c r="F256" s="73">
        <v>0</v>
      </c>
      <c r="G256" s="73">
        <v>0</v>
      </c>
      <c r="H256" s="68">
        <v>347.83</v>
      </c>
      <c r="I256" s="115" t="s">
        <v>3</v>
      </c>
      <c r="J256" s="75" t="s">
        <v>16</v>
      </c>
      <c r="K256" s="76" t="s">
        <v>16</v>
      </c>
      <c r="L256" s="50">
        <v>566.25</v>
      </c>
      <c r="M256" s="50">
        <v>164.51</v>
      </c>
      <c r="N256" s="53" t="s">
        <v>16</v>
      </c>
      <c r="O256" s="52">
        <v>0</v>
      </c>
      <c r="P256" s="53">
        <v>0</v>
      </c>
      <c r="Q256" s="54">
        <v>0</v>
      </c>
      <c r="R256" s="1"/>
      <c r="S256" s="1"/>
      <c r="T256" s="1"/>
    </row>
    <row r="257" spans="1:20" ht="13.5" customHeight="1" x14ac:dyDescent="0.25">
      <c r="A257" s="1"/>
      <c r="B257" s="1" t="s">
        <v>403</v>
      </c>
      <c r="C257" s="1" t="s">
        <v>404</v>
      </c>
      <c r="D257" s="42">
        <v>2000</v>
      </c>
      <c r="E257" s="70">
        <v>0</v>
      </c>
      <c r="F257" s="45">
        <v>2000</v>
      </c>
      <c r="G257" s="45">
        <v>2000</v>
      </c>
      <c r="H257" s="68">
        <v>0</v>
      </c>
      <c r="I257" s="47">
        <f t="shared" ref="I257:I260" si="70">H257/J257</f>
        <v>0</v>
      </c>
      <c r="J257" s="48">
        <v>2000</v>
      </c>
      <c r="K257" s="49">
        <v>2000</v>
      </c>
      <c r="L257" s="77">
        <v>0</v>
      </c>
      <c r="M257" s="77">
        <v>0</v>
      </c>
      <c r="N257" s="51">
        <v>1134.54</v>
      </c>
      <c r="O257" s="52">
        <v>0</v>
      </c>
      <c r="P257" s="53">
        <v>0</v>
      </c>
      <c r="Q257" s="54">
        <v>1259.06</v>
      </c>
      <c r="R257" s="1"/>
      <c r="S257" s="1"/>
      <c r="T257" s="1"/>
    </row>
    <row r="258" spans="1:20" ht="13.5" customHeight="1" x14ac:dyDescent="0.25">
      <c r="A258" s="1"/>
      <c r="B258" s="1" t="s">
        <v>405</v>
      </c>
      <c r="C258" s="1" t="s">
        <v>406</v>
      </c>
      <c r="D258" s="42">
        <v>135000</v>
      </c>
      <c r="E258" s="70">
        <v>38858.300000000003</v>
      </c>
      <c r="F258" s="45">
        <v>135000</v>
      </c>
      <c r="G258" s="45">
        <v>135000</v>
      </c>
      <c r="H258" s="68">
        <v>95611.12</v>
      </c>
      <c r="I258" s="47">
        <f t="shared" si="70"/>
        <v>0.75432836291913208</v>
      </c>
      <c r="J258" s="48">
        <v>126750</v>
      </c>
      <c r="K258" s="49">
        <v>135000</v>
      </c>
      <c r="L258" s="50">
        <v>7686.47</v>
      </c>
      <c r="M258" s="50">
        <v>30563.200000000001</v>
      </c>
      <c r="N258" s="51">
        <v>11365.56</v>
      </c>
      <c r="O258" s="52">
        <v>16335.45</v>
      </c>
      <c r="P258" s="53">
        <v>31688.97</v>
      </c>
      <c r="Q258" s="54">
        <v>46973.98</v>
      </c>
      <c r="R258" s="1"/>
      <c r="S258" s="1"/>
      <c r="T258" s="1"/>
    </row>
    <row r="259" spans="1:20" ht="13.5" customHeight="1" x14ac:dyDescent="0.25">
      <c r="A259" s="1"/>
      <c r="B259" s="1" t="s">
        <v>407</v>
      </c>
      <c r="C259" s="1" t="s">
        <v>408</v>
      </c>
      <c r="D259" s="42">
        <v>435000</v>
      </c>
      <c r="E259" s="43">
        <v>53688.92</v>
      </c>
      <c r="F259" s="45">
        <v>435000</v>
      </c>
      <c r="G259" s="45">
        <v>435000</v>
      </c>
      <c r="H259" s="46">
        <v>415810.33</v>
      </c>
      <c r="I259" s="47">
        <f t="shared" si="70"/>
        <v>0.95588581609195411</v>
      </c>
      <c r="J259" s="48">
        <v>435000</v>
      </c>
      <c r="K259" s="49">
        <v>435000</v>
      </c>
      <c r="L259" s="50">
        <v>438525.75</v>
      </c>
      <c r="M259" s="50">
        <v>405994.38</v>
      </c>
      <c r="N259" s="51">
        <v>410826.17</v>
      </c>
      <c r="O259" s="52">
        <v>419494.93</v>
      </c>
      <c r="P259" s="53">
        <v>300896.73</v>
      </c>
      <c r="Q259" s="54">
        <v>299837.43</v>
      </c>
      <c r="R259" s="1"/>
      <c r="S259" s="1"/>
      <c r="T259" s="1"/>
    </row>
    <row r="260" spans="1:20" ht="13.5" customHeight="1" x14ac:dyDescent="0.25">
      <c r="A260" s="1"/>
      <c r="B260" s="1" t="s">
        <v>409</v>
      </c>
      <c r="C260" s="1" t="s">
        <v>410</v>
      </c>
      <c r="D260" s="42">
        <v>61676</v>
      </c>
      <c r="E260" s="43">
        <v>23542.97</v>
      </c>
      <c r="F260" s="45">
        <v>61676</v>
      </c>
      <c r="G260" s="45">
        <v>61676</v>
      </c>
      <c r="H260" s="46">
        <v>54737.8</v>
      </c>
      <c r="I260" s="47">
        <f t="shared" si="70"/>
        <v>0.88750567481678455</v>
      </c>
      <c r="J260" s="48">
        <v>61676</v>
      </c>
      <c r="K260" s="49">
        <v>61676</v>
      </c>
      <c r="L260" s="50">
        <v>42966.54</v>
      </c>
      <c r="M260" s="50">
        <v>64956.67</v>
      </c>
      <c r="N260" s="51">
        <v>63795.6</v>
      </c>
      <c r="O260" s="52">
        <v>62895.4</v>
      </c>
      <c r="P260" s="53">
        <v>51325.49</v>
      </c>
      <c r="Q260" s="54">
        <v>53294</v>
      </c>
      <c r="R260" s="1"/>
      <c r="S260" s="1"/>
      <c r="T260" s="1"/>
    </row>
    <row r="261" spans="1:20" ht="13.5" customHeight="1" x14ac:dyDescent="0.25">
      <c r="A261" s="1"/>
      <c r="B261" s="1"/>
      <c r="C261" s="1"/>
      <c r="D261" s="56">
        <v>636176</v>
      </c>
      <c r="E261" s="57">
        <f t="shared" ref="E261" si="71">SUM(E255:E260)</f>
        <v>116290.19</v>
      </c>
      <c r="F261" s="58">
        <f>SUM(F254:F260)</f>
        <v>636176</v>
      </c>
      <c r="G261" s="58">
        <v>636176</v>
      </c>
      <c r="H261" s="59">
        <f>SUM(H255:H260)</f>
        <v>567257.08000000007</v>
      </c>
      <c r="I261" s="59"/>
      <c r="J261" s="60">
        <f t="shared" ref="J261:Q261" si="72">SUM(J255:J260)</f>
        <v>627926</v>
      </c>
      <c r="K261" s="61">
        <f t="shared" si="72"/>
        <v>636176</v>
      </c>
      <c r="L261" s="62">
        <f t="shared" si="72"/>
        <v>489745.00999999995</v>
      </c>
      <c r="M261" s="62">
        <f t="shared" si="72"/>
        <v>505063.76</v>
      </c>
      <c r="N261" s="63">
        <f t="shared" si="72"/>
        <v>487121.86999999994</v>
      </c>
      <c r="O261" s="64">
        <f t="shared" si="72"/>
        <v>500600.78</v>
      </c>
      <c r="P261" s="63">
        <f t="shared" si="72"/>
        <v>383911.18999999994</v>
      </c>
      <c r="Q261" s="65">
        <f t="shared" si="72"/>
        <v>404026.97</v>
      </c>
      <c r="R261" s="1"/>
      <c r="S261" s="1"/>
      <c r="T261" s="1"/>
    </row>
    <row r="262" spans="1:20" ht="13.5" hidden="1" customHeight="1" x14ac:dyDescent="0.25">
      <c r="A262" s="1"/>
      <c r="B262" s="1"/>
      <c r="C262" s="1"/>
      <c r="D262" s="42"/>
      <c r="E262" s="44"/>
      <c r="F262" s="45"/>
      <c r="G262" s="45"/>
      <c r="H262" s="66"/>
      <c r="I262" s="66"/>
      <c r="J262" s="48"/>
      <c r="K262" s="49"/>
      <c r="L262" s="50"/>
      <c r="M262" s="50"/>
      <c r="N262" s="51"/>
      <c r="O262" s="52"/>
      <c r="P262" s="53"/>
      <c r="Q262" s="54"/>
      <c r="R262" s="1"/>
      <c r="S262" s="1"/>
      <c r="T262" s="1"/>
    </row>
    <row r="263" spans="1:20" ht="13.5" hidden="1" customHeight="1" x14ac:dyDescent="0.25">
      <c r="A263" s="1"/>
      <c r="B263" s="1" t="s">
        <v>411</v>
      </c>
      <c r="C263" s="1" t="s">
        <v>412</v>
      </c>
      <c r="D263" s="72" t="s">
        <v>16</v>
      </c>
      <c r="E263" s="67" t="s">
        <v>16</v>
      </c>
      <c r="F263" s="73" t="s">
        <v>16</v>
      </c>
      <c r="G263" s="73" t="s">
        <v>16</v>
      </c>
      <c r="H263" s="74" t="s">
        <v>16</v>
      </c>
      <c r="I263" s="74"/>
      <c r="J263" s="75" t="s">
        <v>16</v>
      </c>
      <c r="K263" s="76" t="s">
        <v>16</v>
      </c>
      <c r="L263" s="77" t="s">
        <v>16</v>
      </c>
      <c r="M263" s="50">
        <v>7507</v>
      </c>
      <c r="N263" s="51">
        <v>73200.28</v>
      </c>
      <c r="O263" s="52">
        <v>53698.9</v>
      </c>
      <c r="P263" s="53">
        <v>168336.75</v>
      </c>
      <c r="Q263" s="54">
        <v>157470.85</v>
      </c>
      <c r="R263" s="1"/>
      <c r="S263" s="1"/>
      <c r="T263" s="1"/>
    </row>
    <row r="264" spans="1:20" ht="13.5" hidden="1" customHeight="1" x14ac:dyDescent="0.25">
      <c r="A264" s="1"/>
      <c r="B264" s="1" t="s">
        <v>413</v>
      </c>
      <c r="C264" s="1" t="s">
        <v>414</v>
      </c>
      <c r="D264" s="72" t="s">
        <v>16</v>
      </c>
      <c r="E264" s="67" t="s">
        <v>16</v>
      </c>
      <c r="F264" s="73" t="s">
        <v>16</v>
      </c>
      <c r="G264" s="73" t="s">
        <v>16</v>
      </c>
      <c r="H264" s="74" t="s">
        <v>16</v>
      </c>
      <c r="I264" s="74"/>
      <c r="J264" s="75" t="s">
        <v>16</v>
      </c>
      <c r="K264" s="76" t="s">
        <v>16</v>
      </c>
      <c r="L264" s="77" t="s">
        <v>16</v>
      </c>
      <c r="M264" s="77" t="s">
        <v>16</v>
      </c>
      <c r="N264" s="51">
        <v>9680</v>
      </c>
      <c r="O264" s="52">
        <v>6567.66</v>
      </c>
      <c r="P264" s="53">
        <v>11509.13</v>
      </c>
      <c r="Q264" s="54">
        <v>32310.44</v>
      </c>
      <c r="R264" s="1"/>
      <c r="S264" s="1"/>
      <c r="T264" s="1"/>
    </row>
    <row r="265" spans="1:20" ht="13.5" hidden="1" customHeight="1" x14ac:dyDescent="0.25">
      <c r="A265" s="1"/>
      <c r="B265" s="1"/>
      <c r="C265" s="1"/>
      <c r="D265" s="88">
        <v>0</v>
      </c>
      <c r="E265" s="89">
        <f t="shared" ref="E265" si="73">SUM(E263:E264)</f>
        <v>0</v>
      </c>
      <c r="F265" s="90">
        <v>0</v>
      </c>
      <c r="G265" s="90">
        <v>0</v>
      </c>
      <c r="H265" s="91">
        <f>SUM(H263:H264)</f>
        <v>0</v>
      </c>
      <c r="I265" s="91"/>
      <c r="J265" s="92">
        <f t="shared" ref="J265:Q265" si="74">SUM(J263:J264)</f>
        <v>0</v>
      </c>
      <c r="K265" s="93">
        <f t="shared" si="74"/>
        <v>0</v>
      </c>
      <c r="L265" s="94">
        <f t="shared" si="74"/>
        <v>0</v>
      </c>
      <c r="M265" s="94">
        <f t="shared" si="74"/>
        <v>7507</v>
      </c>
      <c r="N265" s="95">
        <f t="shared" si="74"/>
        <v>82880.28</v>
      </c>
      <c r="O265" s="96">
        <f t="shared" si="74"/>
        <v>60266.559999999998</v>
      </c>
      <c r="P265" s="95">
        <f t="shared" si="74"/>
        <v>179845.88</v>
      </c>
      <c r="Q265" s="97">
        <f t="shared" si="74"/>
        <v>189781.29</v>
      </c>
      <c r="R265" s="1"/>
      <c r="S265" s="1"/>
      <c r="T265" s="1"/>
    </row>
    <row r="266" spans="1:20" ht="13.5" customHeight="1" thickBot="1" x14ac:dyDescent="0.3">
      <c r="A266" s="116"/>
      <c r="B266" s="116"/>
      <c r="C266" s="116" t="s">
        <v>415</v>
      </c>
      <c r="D266" s="153">
        <v>641576</v>
      </c>
      <c r="E266" s="154">
        <f t="shared" ref="E266" si="75">SUM(E253+E261+E265)</f>
        <v>119109.79000000001</v>
      </c>
      <c r="F266" s="155">
        <f>SUM(F253,F261)</f>
        <v>641576</v>
      </c>
      <c r="G266" s="155">
        <v>641576</v>
      </c>
      <c r="H266" s="156">
        <f>SUM(H253+H261+H265)</f>
        <v>581516.78</v>
      </c>
      <c r="I266" s="156"/>
      <c r="J266" s="157">
        <f t="shared" ref="J266:Q266" si="76">SUM(J253+J261+J265)</f>
        <v>641576</v>
      </c>
      <c r="K266" s="158">
        <f t="shared" si="76"/>
        <v>641576</v>
      </c>
      <c r="L266" s="159">
        <f t="shared" si="76"/>
        <v>494449.25999999995</v>
      </c>
      <c r="M266" s="159">
        <f t="shared" si="76"/>
        <v>549019.31000000006</v>
      </c>
      <c r="N266" s="160">
        <f t="shared" si="76"/>
        <v>571660.50999999989</v>
      </c>
      <c r="O266" s="161">
        <f t="shared" si="76"/>
        <v>560867.34000000008</v>
      </c>
      <c r="P266" s="160">
        <f t="shared" si="76"/>
        <v>565701.01</v>
      </c>
      <c r="Q266" s="162">
        <f t="shared" si="76"/>
        <v>594208.24</v>
      </c>
      <c r="R266" s="116"/>
      <c r="S266" s="116"/>
      <c r="T266" s="116"/>
    </row>
    <row r="267" spans="1:20" ht="13.5" customHeight="1" thickTop="1" x14ac:dyDescent="0.25">
      <c r="A267" s="116"/>
      <c r="B267" s="116"/>
      <c r="C267" s="116"/>
      <c r="D267" s="163"/>
      <c r="E267" s="164"/>
      <c r="F267" s="165"/>
      <c r="G267" s="165"/>
      <c r="H267" s="166"/>
      <c r="I267" s="166"/>
      <c r="J267" s="167"/>
      <c r="K267" s="168"/>
      <c r="L267" s="169"/>
      <c r="M267" s="169"/>
      <c r="N267" s="170"/>
      <c r="O267" s="171"/>
      <c r="P267" s="170"/>
      <c r="Q267" s="172"/>
      <c r="R267" s="116"/>
      <c r="S267" s="116"/>
      <c r="T267" s="116"/>
    </row>
    <row r="268" spans="1:20" ht="13.5" customHeight="1" x14ac:dyDescent="0.25">
      <c r="A268" s="116"/>
      <c r="B268" s="116"/>
      <c r="C268" s="116"/>
      <c r="D268" s="163"/>
      <c r="E268" s="164"/>
      <c r="F268" s="165"/>
      <c r="G268" s="165"/>
      <c r="H268" s="166"/>
      <c r="I268" s="166"/>
      <c r="J268" s="167"/>
      <c r="K268" s="168"/>
      <c r="L268" s="169"/>
      <c r="M268" s="169"/>
      <c r="N268" s="170"/>
      <c r="O268" s="171"/>
      <c r="P268" s="170"/>
      <c r="Q268" s="172"/>
      <c r="R268" s="116"/>
      <c r="S268" s="116"/>
      <c r="T268" s="116"/>
    </row>
    <row r="269" spans="1:20" ht="13.5" customHeight="1" x14ac:dyDescent="0.25">
      <c r="A269" s="1"/>
      <c r="B269" s="1"/>
      <c r="C269" s="41" t="s">
        <v>416</v>
      </c>
      <c r="D269" s="72"/>
      <c r="E269" s="67"/>
      <c r="F269" s="73"/>
      <c r="G269" s="73"/>
      <c r="H269" s="74"/>
      <c r="I269" s="74"/>
      <c r="J269" s="75"/>
      <c r="K269" s="76"/>
      <c r="L269" s="77"/>
      <c r="M269" s="77"/>
      <c r="N269" s="51"/>
      <c r="O269" s="52"/>
      <c r="P269" s="53"/>
      <c r="Q269" s="54"/>
      <c r="R269" s="1"/>
      <c r="S269" s="1"/>
      <c r="T269" s="1"/>
    </row>
    <row r="270" spans="1:20" ht="13.5" customHeight="1" x14ac:dyDescent="0.25">
      <c r="A270" s="1"/>
      <c r="B270" s="1" t="s">
        <v>417</v>
      </c>
      <c r="C270" s="1" t="s">
        <v>418</v>
      </c>
      <c r="D270" s="42">
        <v>57393</v>
      </c>
      <c r="E270" s="43">
        <v>27151.27</v>
      </c>
      <c r="F270" s="45">
        <v>57393</v>
      </c>
      <c r="G270" s="45">
        <v>57393</v>
      </c>
      <c r="H270" s="46">
        <v>54724.35</v>
      </c>
      <c r="I270" s="47">
        <f t="shared" ref="I270:I275" si="77">H270/J270</f>
        <v>1.0036009022887324</v>
      </c>
      <c r="J270" s="48">
        <v>54528</v>
      </c>
      <c r="K270" s="49">
        <v>54528</v>
      </c>
      <c r="L270" s="50">
        <v>53522.83</v>
      </c>
      <c r="M270" s="50">
        <v>52375.95</v>
      </c>
      <c r="N270" s="51">
        <v>51550.28</v>
      </c>
      <c r="O270" s="52">
        <v>50116.42</v>
      </c>
      <c r="P270" s="53">
        <v>20436.7</v>
      </c>
      <c r="Q270" s="54">
        <v>47664.02</v>
      </c>
      <c r="R270" s="1"/>
      <c r="S270" s="1"/>
      <c r="T270" s="1"/>
    </row>
    <row r="271" spans="1:20" ht="13.5" customHeight="1" x14ac:dyDescent="0.25">
      <c r="A271" s="1"/>
      <c r="B271" s="1" t="s">
        <v>419</v>
      </c>
      <c r="C271" s="1" t="s">
        <v>420</v>
      </c>
      <c r="D271" s="42">
        <v>455738</v>
      </c>
      <c r="E271" s="43">
        <v>208874.89</v>
      </c>
      <c r="F271" s="45">
        <v>456879</v>
      </c>
      <c r="G271" s="45">
        <v>456879</v>
      </c>
      <c r="H271" s="46">
        <v>414514.63</v>
      </c>
      <c r="I271" s="47">
        <f t="shared" si="77"/>
        <v>0.99328241293210451</v>
      </c>
      <c r="J271" s="48">
        <v>417318</v>
      </c>
      <c r="K271" s="49">
        <v>417318</v>
      </c>
      <c r="L271" s="50">
        <v>400981.43</v>
      </c>
      <c r="M271" s="50">
        <v>396628.83</v>
      </c>
      <c r="N271" s="51">
        <v>388694.29</v>
      </c>
      <c r="O271" s="52">
        <v>357100.19</v>
      </c>
      <c r="P271" s="53">
        <v>376232.18</v>
      </c>
      <c r="Q271" s="54">
        <v>341922.42</v>
      </c>
      <c r="R271" s="1"/>
      <c r="S271" s="1"/>
      <c r="T271" s="1"/>
    </row>
    <row r="272" spans="1:20" ht="13.5" customHeight="1" x14ac:dyDescent="0.25">
      <c r="A272" s="1"/>
      <c r="B272" s="1" t="s">
        <v>421</v>
      </c>
      <c r="C272" s="1" t="s">
        <v>237</v>
      </c>
      <c r="D272" s="42">
        <v>6000</v>
      </c>
      <c r="E272" s="70">
        <v>0</v>
      </c>
      <c r="F272" s="45">
        <v>6000</v>
      </c>
      <c r="G272" s="45">
        <v>6000</v>
      </c>
      <c r="H272" s="74">
        <v>0</v>
      </c>
      <c r="I272" s="47">
        <f t="shared" si="77"/>
        <v>0</v>
      </c>
      <c r="J272" s="48">
        <v>6000</v>
      </c>
      <c r="K272" s="49">
        <v>6000</v>
      </c>
      <c r="L272" s="50">
        <v>36.869999999999997</v>
      </c>
      <c r="M272" s="50">
        <v>1847.13</v>
      </c>
      <c r="N272" s="51">
        <v>4135</v>
      </c>
      <c r="O272" s="52">
        <v>0</v>
      </c>
      <c r="P272" s="53">
        <v>3660.25</v>
      </c>
      <c r="Q272" s="54">
        <v>0</v>
      </c>
      <c r="R272" s="1"/>
      <c r="S272" s="1"/>
      <c r="T272" s="1"/>
    </row>
    <row r="273" spans="1:20" ht="13.5" customHeight="1" x14ac:dyDescent="0.25">
      <c r="A273" s="1"/>
      <c r="B273" s="1" t="s">
        <v>422</v>
      </c>
      <c r="C273" s="1" t="s">
        <v>423</v>
      </c>
      <c r="D273" s="42">
        <v>0</v>
      </c>
      <c r="E273" s="43">
        <v>0</v>
      </c>
      <c r="F273" s="45">
        <v>0</v>
      </c>
      <c r="G273" s="45">
        <v>0</v>
      </c>
      <c r="H273" s="46">
        <v>27549.07</v>
      </c>
      <c r="I273" s="47">
        <f t="shared" si="77"/>
        <v>0.88770606431655608</v>
      </c>
      <c r="J273" s="48">
        <v>31034</v>
      </c>
      <c r="K273" s="49">
        <v>31034</v>
      </c>
      <c r="L273" s="50">
        <v>27376.03</v>
      </c>
      <c r="M273" s="50">
        <v>24687.66</v>
      </c>
      <c r="N273" s="51">
        <v>24590.58</v>
      </c>
      <c r="O273" s="52">
        <v>21633.279999999999</v>
      </c>
      <c r="P273" s="53">
        <v>25583.48</v>
      </c>
      <c r="Q273" s="54">
        <v>31804.54</v>
      </c>
      <c r="R273" s="1"/>
      <c r="S273" s="1"/>
      <c r="T273" s="1"/>
    </row>
    <row r="274" spans="1:20" ht="13.5" hidden="1" customHeight="1" x14ac:dyDescent="0.25">
      <c r="A274" s="1"/>
      <c r="B274" s="1" t="s">
        <v>424</v>
      </c>
      <c r="C274" s="1" t="s">
        <v>425</v>
      </c>
      <c r="D274" s="42">
        <v>0</v>
      </c>
      <c r="E274" s="43">
        <v>37.69</v>
      </c>
      <c r="F274" s="73">
        <v>0</v>
      </c>
      <c r="G274" s="73">
        <v>0</v>
      </c>
      <c r="H274" s="66" t="s">
        <v>3</v>
      </c>
      <c r="I274" s="47" t="e">
        <f t="shared" si="77"/>
        <v>#VALUE!</v>
      </c>
      <c r="J274" s="48" t="s">
        <v>3</v>
      </c>
      <c r="K274" s="76" t="s">
        <v>16</v>
      </c>
      <c r="L274" s="50" t="s">
        <v>3</v>
      </c>
      <c r="M274" s="50" t="s">
        <v>3</v>
      </c>
      <c r="N274" s="51">
        <v>678.95</v>
      </c>
      <c r="O274" s="52">
        <v>81.569999999999993</v>
      </c>
      <c r="P274" s="53">
        <v>1258.94</v>
      </c>
      <c r="Q274" s="54">
        <v>2194.3000000000002</v>
      </c>
      <c r="R274" s="1"/>
      <c r="S274" s="1"/>
      <c r="T274" s="1"/>
    </row>
    <row r="275" spans="1:20" ht="13.5" customHeight="1" x14ac:dyDescent="0.25">
      <c r="A275" s="1"/>
      <c r="B275" s="1" t="s">
        <v>426</v>
      </c>
      <c r="C275" s="1" t="s">
        <v>241</v>
      </c>
      <c r="D275" s="42">
        <v>6000</v>
      </c>
      <c r="E275" s="43">
        <v>37.69</v>
      </c>
      <c r="F275" s="45">
        <v>6000</v>
      </c>
      <c r="G275" s="45">
        <v>6000</v>
      </c>
      <c r="H275" s="66">
        <f>118.29+15.12</f>
        <v>133.41</v>
      </c>
      <c r="I275" s="47">
        <f t="shared" si="77"/>
        <v>2.2234999999999998E-2</v>
      </c>
      <c r="J275" s="48">
        <v>6000</v>
      </c>
      <c r="K275" s="49">
        <v>6000</v>
      </c>
      <c r="L275" s="50">
        <f>1392.95+648.93</f>
        <v>2041.88</v>
      </c>
      <c r="M275" s="77">
        <v>125.24</v>
      </c>
      <c r="N275" s="51">
        <v>2701.44</v>
      </c>
      <c r="O275" s="52">
        <v>686.94</v>
      </c>
      <c r="P275" s="53">
        <v>6197.89</v>
      </c>
      <c r="Q275" s="54">
        <v>8845.85</v>
      </c>
      <c r="R275" s="1"/>
      <c r="S275" s="1"/>
      <c r="T275" s="1"/>
    </row>
    <row r="276" spans="1:20" ht="13.5" customHeight="1" x14ac:dyDescent="0.25">
      <c r="A276" s="1"/>
      <c r="B276" s="1"/>
      <c r="C276" s="1"/>
      <c r="D276" s="56">
        <v>525131</v>
      </c>
      <c r="E276" s="57">
        <f t="shared" ref="E276" si="78">SUM(E270:E275)</f>
        <v>236101.54</v>
      </c>
      <c r="F276" s="58">
        <f>SUM(F269:F275)</f>
        <v>526272</v>
      </c>
      <c r="G276" s="58">
        <v>526272</v>
      </c>
      <c r="H276" s="59">
        <f>SUM(H270:H275)</f>
        <v>496921.45999999996</v>
      </c>
      <c r="I276" s="59"/>
      <c r="J276" s="60">
        <f t="shared" ref="J276:Q276" si="79">SUM(J270:J275)</f>
        <v>514880</v>
      </c>
      <c r="K276" s="61">
        <f t="shared" si="79"/>
        <v>514880</v>
      </c>
      <c r="L276" s="62">
        <f t="shared" si="79"/>
        <v>483959.04000000004</v>
      </c>
      <c r="M276" s="62">
        <f t="shared" si="79"/>
        <v>475664.81</v>
      </c>
      <c r="N276" s="63">
        <f t="shared" si="79"/>
        <v>472350.54</v>
      </c>
      <c r="O276" s="64">
        <f t="shared" si="79"/>
        <v>429618.4</v>
      </c>
      <c r="P276" s="63">
        <f t="shared" si="79"/>
        <v>433369.44</v>
      </c>
      <c r="Q276" s="65">
        <f t="shared" si="79"/>
        <v>432431.12999999995</v>
      </c>
      <c r="R276" s="1"/>
      <c r="S276" s="1"/>
      <c r="T276" s="1"/>
    </row>
    <row r="277" spans="1:20" ht="13.5" customHeight="1" x14ac:dyDescent="0.25">
      <c r="A277" s="1"/>
      <c r="B277" s="1"/>
      <c r="C277" s="1"/>
      <c r="D277" s="42"/>
      <c r="E277" s="44"/>
      <c r="F277" s="45"/>
      <c r="G277" s="45"/>
      <c r="H277" s="66"/>
      <c r="I277" s="66"/>
      <c r="J277" s="48"/>
      <c r="K277" s="49"/>
      <c r="L277" s="50"/>
      <c r="M277" s="77"/>
      <c r="N277" s="51"/>
      <c r="O277" s="52"/>
      <c r="P277" s="53"/>
      <c r="Q277" s="54"/>
      <c r="R277" s="1"/>
      <c r="S277" s="1"/>
      <c r="T277" s="1"/>
    </row>
    <row r="278" spans="1:20" ht="13.5" customHeight="1" x14ac:dyDescent="0.25">
      <c r="A278" s="1"/>
      <c r="B278" s="1" t="s">
        <v>427</v>
      </c>
      <c r="C278" s="1" t="s">
        <v>247</v>
      </c>
      <c r="D278" s="42">
        <v>40172.521500000003</v>
      </c>
      <c r="E278" s="43">
        <v>16458.29</v>
      </c>
      <c r="F278" s="45">
        <v>40259.807999999997</v>
      </c>
      <c r="G278" s="45">
        <v>40259.807999999997</v>
      </c>
      <c r="H278" s="46">
        <v>33976.82</v>
      </c>
      <c r="I278" s="47">
        <f t="shared" ref="I278:I282" si="80">H278/J278</f>
        <v>0.86259666404326085</v>
      </c>
      <c r="J278" s="48">
        <v>39389</v>
      </c>
      <c r="K278" s="49">
        <v>39389</v>
      </c>
      <c r="L278" s="50">
        <v>32423.52</v>
      </c>
      <c r="M278" s="50">
        <v>31419.39</v>
      </c>
      <c r="N278" s="51">
        <v>31706.85</v>
      </c>
      <c r="O278" s="52">
        <v>29904.14</v>
      </c>
      <c r="P278" s="53">
        <v>30126.51</v>
      </c>
      <c r="Q278" s="54">
        <v>29871.08</v>
      </c>
      <c r="R278" s="1"/>
      <c r="S278" s="1"/>
      <c r="T278" s="1"/>
    </row>
    <row r="279" spans="1:20" ht="13.5" customHeight="1" x14ac:dyDescent="0.25">
      <c r="A279" s="1"/>
      <c r="B279" s="1" t="s">
        <v>428</v>
      </c>
      <c r="C279" s="1" t="s">
        <v>249</v>
      </c>
      <c r="D279" s="42">
        <v>146488.08719999998</v>
      </c>
      <c r="E279" s="43">
        <v>73445.89</v>
      </c>
      <c r="F279" s="45">
        <v>146485.83039999998</v>
      </c>
      <c r="G279" s="45">
        <v>146485.83039999998</v>
      </c>
      <c r="H279" s="46">
        <v>137901.82999999999</v>
      </c>
      <c r="I279" s="47">
        <f t="shared" si="80"/>
        <v>0.96149088373714475</v>
      </c>
      <c r="J279" s="48">
        <v>143425</v>
      </c>
      <c r="K279" s="49">
        <v>143425</v>
      </c>
      <c r="L279" s="50">
        <v>130994.88</v>
      </c>
      <c r="M279" s="50">
        <v>136032.44</v>
      </c>
      <c r="N279" s="51">
        <v>141470.82</v>
      </c>
      <c r="O279" s="52">
        <v>134995.04</v>
      </c>
      <c r="P279" s="53">
        <v>123893.3</v>
      </c>
      <c r="Q279" s="54">
        <v>129826.8</v>
      </c>
      <c r="R279" s="1"/>
      <c r="S279" s="1"/>
      <c r="T279" s="1"/>
    </row>
    <row r="280" spans="1:20" ht="13.5" customHeight="1" x14ac:dyDescent="0.25">
      <c r="A280" s="1"/>
      <c r="B280" s="1" t="s">
        <v>429</v>
      </c>
      <c r="C280" s="1" t="s">
        <v>251</v>
      </c>
      <c r="D280" s="42">
        <v>78874.676199999987</v>
      </c>
      <c r="E280" s="43">
        <v>35456.81</v>
      </c>
      <c r="F280" s="45">
        <v>79046.054399999994</v>
      </c>
      <c r="G280" s="45">
        <v>79046.054399999994</v>
      </c>
      <c r="H280" s="46">
        <v>72199.5</v>
      </c>
      <c r="I280" s="47">
        <f t="shared" si="80"/>
        <v>0.96573748344725185</v>
      </c>
      <c r="J280" s="48">
        <v>74761</v>
      </c>
      <c r="K280" s="49">
        <v>74761</v>
      </c>
      <c r="L280" s="50">
        <v>70064.13</v>
      </c>
      <c r="M280" s="50">
        <v>66028.759999999995</v>
      </c>
      <c r="N280" s="51">
        <v>64349.3</v>
      </c>
      <c r="O280" s="52">
        <v>58775.85</v>
      </c>
      <c r="P280" s="53">
        <v>58328.46</v>
      </c>
      <c r="Q280" s="54">
        <v>55268.02</v>
      </c>
      <c r="R280" s="1"/>
      <c r="S280" s="1"/>
      <c r="T280" s="1"/>
    </row>
    <row r="281" spans="1:20" ht="13.5" customHeight="1" x14ac:dyDescent="0.25">
      <c r="A281" s="1"/>
      <c r="B281" s="1" t="s">
        <v>430</v>
      </c>
      <c r="C281" s="1" t="s">
        <v>253</v>
      </c>
      <c r="D281" s="42">
        <v>840.20960000000002</v>
      </c>
      <c r="E281" s="43">
        <v>377.71</v>
      </c>
      <c r="F281" s="45">
        <v>842.03520000000015</v>
      </c>
      <c r="G281" s="45">
        <v>842.03520000000015</v>
      </c>
      <c r="H281" s="46">
        <v>794.81</v>
      </c>
      <c r="I281" s="47">
        <f t="shared" si="80"/>
        <v>0.96457524271844652</v>
      </c>
      <c r="J281" s="48">
        <v>824</v>
      </c>
      <c r="K281" s="49">
        <v>824</v>
      </c>
      <c r="L281" s="50">
        <v>885.1</v>
      </c>
      <c r="M281" s="50">
        <v>900.03</v>
      </c>
      <c r="N281" s="51">
        <v>1118.6199999999999</v>
      </c>
      <c r="O281" s="52">
        <v>1154.6600000000001</v>
      </c>
      <c r="P281" s="53">
        <v>1062.3</v>
      </c>
      <c r="Q281" s="54">
        <v>1037.48</v>
      </c>
      <c r="R281" s="1"/>
      <c r="S281" s="1"/>
      <c r="T281" s="1"/>
    </row>
    <row r="282" spans="1:20" ht="13.5" customHeight="1" x14ac:dyDescent="0.25">
      <c r="A282" s="1"/>
      <c r="B282" s="1" t="s">
        <v>431</v>
      </c>
      <c r="C282" s="1" t="s">
        <v>255</v>
      </c>
      <c r="D282" s="42">
        <v>4915.6799999999994</v>
      </c>
      <c r="E282" s="43">
        <v>2314.04</v>
      </c>
      <c r="F282" s="45">
        <v>4690</v>
      </c>
      <c r="G282" s="45">
        <v>4690</v>
      </c>
      <c r="H282" s="46">
        <v>4390.6099999999997</v>
      </c>
      <c r="I282" s="47">
        <f t="shared" si="80"/>
        <v>0.9739596273291925</v>
      </c>
      <c r="J282" s="48">
        <v>4508</v>
      </c>
      <c r="K282" s="49">
        <v>4508</v>
      </c>
      <c r="L282" s="50">
        <v>4280.66</v>
      </c>
      <c r="M282" s="50">
        <v>4129.6000000000004</v>
      </c>
      <c r="N282" s="51">
        <v>4585.6099999999997</v>
      </c>
      <c r="O282" s="52">
        <v>4499.95</v>
      </c>
      <c r="P282" s="53">
        <v>4164.55</v>
      </c>
      <c r="Q282" s="54">
        <v>4324.05</v>
      </c>
      <c r="R282" s="1"/>
      <c r="S282" s="1"/>
      <c r="T282" s="1"/>
    </row>
    <row r="283" spans="1:20" ht="13.5" customHeight="1" x14ac:dyDescent="0.25">
      <c r="A283" s="1"/>
      <c r="B283" s="1"/>
      <c r="C283" s="1"/>
      <c r="D283" s="56">
        <v>271291.17449999996</v>
      </c>
      <c r="E283" s="57">
        <f t="shared" ref="E283" si="81">SUM(E278:E282)</f>
        <v>128052.73999999999</v>
      </c>
      <c r="F283" s="58">
        <f>SUM(F277:F282)</f>
        <v>271323.72799999994</v>
      </c>
      <c r="G283" s="58">
        <v>271323.72799999994</v>
      </c>
      <c r="H283" s="59">
        <f>SUM(H278:H282)</f>
        <v>249263.56999999998</v>
      </c>
      <c r="I283" s="59"/>
      <c r="J283" s="60">
        <f t="shared" ref="J283:Q283" si="82">SUM(J278:J282)</f>
        <v>262907</v>
      </c>
      <c r="K283" s="61">
        <f t="shared" si="82"/>
        <v>262907</v>
      </c>
      <c r="L283" s="62">
        <f t="shared" si="82"/>
        <v>238648.29</v>
      </c>
      <c r="M283" s="62">
        <f t="shared" si="82"/>
        <v>238510.22000000003</v>
      </c>
      <c r="N283" s="63">
        <f t="shared" si="82"/>
        <v>243231.2</v>
      </c>
      <c r="O283" s="64">
        <f t="shared" si="82"/>
        <v>229329.64</v>
      </c>
      <c r="P283" s="63">
        <f t="shared" si="82"/>
        <v>217575.11999999997</v>
      </c>
      <c r="Q283" s="65">
        <f t="shared" si="82"/>
        <v>220327.43</v>
      </c>
      <c r="R283" s="1"/>
      <c r="S283" s="1"/>
      <c r="T283" s="1"/>
    </row>
    <row r="284" spans="1:20" ht="13.5" customHeight="1" x14ac:dyDescent="0.25">
      <c r="A284" s="1"/>
      <c r="B284" s="1"/>
      <c r="C284" s="1"/>
      <c r="D284" s="42"/>
      <c r="E284" s="44"/>
      <c r="F284" s="45"/>
      <c r="G284" s="45"/>
      <c r="H284" s="66"/>
      <c r="I284" s="66"/>
      <c r="J284" s="48"/>
      <c r="K284" s="49"/>
      <c r="L284" s="50"/>
      <c r="M284" s="50"/>
      <c r="N284" s="51"/>
      <c r="O284" s="52"/>
      <c r="P284" s="53"/>
      <c r="Q284" s="54"/>
      <c r="R284" s="1"/>
      <c r="S284" s="1"/>
      <c r="T284" s="1"/>
    </row>
    <row r="285" spans="1:20" ht="13.5" customHeight="1" x14ac:dyDescent="0.25">
      <c r="A285" s="1"/>
      <c r="B285" s="1" t="s">
        <v>432</v>
      </c>
      <c r="C285" s="1" t="s">
        <v>259</v>
      </c>
      <c r="D285" s="42">
        <v>14495</v>
      </c>
      <c r="E285" s="43">
        <v>7525.03</v>
      </c>
      <c r="F285" s="45">
        <v>14495</v>
      </c>
      <c r="G285" s="45">
        <v>14495</v>
      </c>
      <c r="H285" s="46">
        <v>13264.95</v>
      </c>
      <c r="I285" s="47">
        <f t="shared" ref="I285:I286" si="83">H285/J285</f>
        <v>0.91513970334598138</v>
      </c>
      <c r="J285" s="48">
        <v>14495</v>
      </c>
      <c r="K285" s="49">
        <v>14495</v>
      </c>
      <c r="L285" s="50">
        <v>10097.67</v>
      </c>
      <c r="M285" s="50">
        <v>12531.09</v>
      </c>
      <c r="N285" s="51">
        <v>14183.15</v>
      </c>
      <c r="O285" s="52">
        <v>11123.83</v>
      </c>
      <c r="P285" s="53">
        <v>17643.79</v>
      </c>
      <c r="Q285" s="54">
        <v>9249</v>
      </c>
      <c r="R285" s="1"/>
      <c r="S285" s="1"/>
      <c r="T285" s="1"/>
    </row>
    <row r="286" spans="1:20" ht="13.5" customHeight="1" x14ac:dyDescent="0.25">
      <c r="A286" s="1"/>
      <c r="B286" s="1" t="s">
        <v>433</v>
      </c>
      <c r="C286" s="1" t="s">
        <v>261</v>
      </c>
      <c r="D286" s="42">
        <v>5218</v>
      </c>
      <c r="E286" s="43">
        <v>990.85</v>
      </c>
      <c r="F286" s="45">
        <v>5218</v>
      </c>
      <c r="G286" s="45">
        <v>5218</v>
      </c>
      <c r="H286" s="46">
        <v>5345.44</v>
      </c>
      <c r="I286" s="47">
        <f t="shared" si="83"/>
        <v>1.0244231506324262</v>
      </c>
      <c r="J286" s="48">
        <v>5218</v>
      </c>
      <c r="K286" s="49">
        <v>5218</v>
      </c>
      <c r="L286" s="50">
        <v>4551.83</v>
      </c>
      <c r="M286" s="50">
        <v>4597.41</v>
      </c>
      <c r="N286" s="51">
        <v>4111.76</v>
      </c>
      <c r="O286" s="52">
        <v>5249.02</v>
      </c>
      <c r="P286" s="53">
        <v>6961.69</v>
      </c>
      <c r="Q286" s="54">
        <v>8438.8700000000008</v>
      </c>
      <c r="R286" s="1"/>
      <c r="S286" s="1"/>
      <c r="T286" s="1"/>
    </row>
    <row r="287" spans="1:20" ht="13.5" customHeight="1" x14ac:dyDescent="0.25">
      <c r="A287" s="1"/>
      <c r="B287" s="1" t="s">
        <v>434</v>
      </c>
      <c r="C287" s="1" t="s">
        <v>435</v>
      </c>
      <c r="D287" s="42">
        <v>0</v>
      </c>
      <c r="E287" s="70">
        <v>0</v>
      </c>
      <c r="F287" s="73">
        <v>0</v>
      </c>
      <c r="G287" s="73">
        <v>0</v>
      </c>
      <c r="H287" s="74">
        <v>0</v>
      </c>
      <c r="I287" s="115" t="s">
        <v>3</v>
      </c>
      <c r="J287" s="75">
        <v>0</v>
      </c>
      <c r="K287" s="76">
        <v>0</v>
      </c>
      <c r="L287" s="50">
        <v>80.5</v>
      </c>
      <c r="M287" s="50">
        <v>443</v>
      </c>
      <c r="N287" s="53">
        <v>0</v>
      </c>
      <c r="O287" s="52">
        <v>0</v>
      </c>
      <c r="P287" s="53">
        <v>0</v>
      </c>
      <c r="Q287" s="54">
        <v>0</v>
      </c>
      <c r="R287" s="1"/>
      <c r="S287" s="1"/>
      <c r="T287" s="1"/>
    </row>
    <row r="288" spans="1:20" ht="13.5" customHeight="1" x14ac:dyDescent="0.25">
      <c r="A288" s="1"/>
      <c r="B288" s="1" t="s">
        <v>436</v>
      </c>
      <c r="C288" s="55" t="s">
        <v>265</v>
      </c>
      <c r="D288" s="42">
        <v>0</v>
      </c>
      <c r="E288" s="70">
        <v>0</v>
      </c>
      <c r="F288" s="73">
        <v>0</v>
      </c>
      <c r="G288" s="73">
        <v>0</v>
      </c>
      <c r="H288" s="74">
        <v>0</v>
      </c>
      <c r="I288" s="115" t="s">
        <v>3</v>
      </c>
      <c r="J288" s="75">
        <v>0</v>
      </c>
      <c r="K288" s="76">
        <v>0</v>
      </c>
      <c r="L288" s="77">
        <v>0</v>
      </c>
      <c r="M288" s="50">
        <v>749</v>
      </c>
      <c r="N288" s="53">
        <v>0</v>
      </c>
      <c r="O288" s="52">
        <v>0</v>
      </c>
      <c r="P288" s="53">
        <v>0</v>
      </c>
      <c r="Q288" s="54">
        <v>0</v>
      </c>
      <c r="R288" s="1"/>
      <c r="S288" s="1"/>
      <c r="T288" s="1"/>
    </row>
    <row r="289" spans="1:20" ht="13.5" customHeight="1" x14ac:dyDescent="0.25">
      <c r="A289" s="1"/>
      <c r="B289" s="1" t="s">
        <v>437</v>
      </c>
      <c r="C289" s="1" t="s">
        <v>438</v>
      </c>
      <c r="D289" s="42">
        <v>120</v>
      </c>
      <c r="E289" s="70">
        <v>0</v>
      </c>
      <c r="F289" s="45">
        <v>120</v>
      </c>
      <c r="G289" s="45">
        <v>120</v>
      </c>
      <c r="H289" s="68">
        <v>1190.6300000000001</v>
      </c>
      <c r="I289" s="47">
        <f t="shared" ref="I289:I290" si="84">H289/J289</f>
        <v>9.921916666666668</v>
      </c>
      <c r="J289" s="48">
        <v>120</v>
      </c>
      <c r="K289" s="49">
        <v>120</v>
      </c>
      <c r="L289" s="50">
        <v>359.97</v>
      </c>
      <c r="M289" s="77">
        <v>0</v>
      </c>
      <c r="N289" s="53">
        <v>0</v>
      </c>
      <c r="O289" s="52">
        <v>0</v>
      </c>
      <c r="P289" s="53">
        <v>0</v>
      </c>
      <c r="Q289" s="54">
        <v>0</v>
      </c>
      <c r="R289" s="1"/>
      <c r="S289" s="1"/>
      <c r="T289" s="1"/>
    </row>
    <row r="290" spans="1:20" ht="13.5" customHeight="1" x14ac:dyDescent="0.25">
      <c r="A290" s="1"/>
      <c r="B290" s="1" t="s">
        <v>439</v>
      </c>
      <c r="C290" s="1" t="s">
        <v>267</v>
      </c>
      <c r="D290" s="42">
        <v>600</v>
      </c>
      <c r="E290" s="70">
        <v>92.96</v>
      </c>
      <c r="F290" s="45">
        <v>600</v>
      </c>
      <c r="G290" s="45">
        <v>600</v>
      </c>
      <c r="H290" s="68">
        <v>29.99</v>
      </c>
      <c r="I290" s="47">
        <f t="shared" si="84"/>
        <v>4.9983333333333331E-2</v>
      </c>
      <c r="J290" s="48">
        <v>600</v>
      </c>
      <c r="K290" s="49">
        <v>600</v>
      </c>
      <c r="L290" s="50">
        <v>470.64</v>
      </c>
      <c r="M290" s="77">
        <v>0</v>
      </c>
      <c r="N290" s="51">
        <v>495.18</v>
      </c>
      <c r="O290" s="52">
        <v>519.99</v>
      </c>
      <c r="P290" s="53">
        <v>0</v>
      </c>
      <c r="Q290" s="54">
        <v>0</v>
      </c>
      <c r="R290" s="1"/>
      <c r="S290" s="1"/>
      <c r="T290" s="1"/>
    </row>
    <row r="291" spans="1:20" ht="13.5" customHeight="1" x14ac:dyDescent="0.25">
      <c r="A291" s="1"/>
      <c r="B291" s="1"/>
      <c r="C291" s="1"/>
      <c r="D291" s="56">
        <v>20433</v>
      </c>
      <c r="E291" s="57">
        <f t="shared" ref="E291" si="85">SUM(E285:E290)</f>
        <v>8608.8399999999983</v>
      </c>
      <c r="F291" s="58">
        <f>SUM(F284:F290)</f>
        <v>20433</v>
      </c>
      <c r="G291" s="58">
        <v>20433</v>
      </c>
      <c r="H291" s="59">
        <f>SUM(H285:H290)</f>
        <v>19831.010000000002</v>
      </c>
      <c r="I291" s="59"/>
      <c r="J291" s="60">
        <f t="shared" ref="J291:Q291" si="86">SUM(J285:J290)</f>
        <v>20433</v>
      </c>
      <c r="K291" s="61">
        <f t="shared" si="86"/>
        <v>20433</v>
      </c>
      <c r="L291" s="62">
        <f t="shared" si="86"/>
        <v>15560.609999999999</v>
      </c>
      <c r="M291" s="62">
        <f t="shared" si="86"/>
        <v>18320.5</v>
      </c>
      <c r="N291" s="63">
        <f t="shared" si="86"/>
        <v>18790.09</v>
      </c>
      <c r="O291" s="64">
        <f t="shared" si="86"/>
        <v>16892.84</v>
      </c>
      <c r="P291" s="63">
        <f t="shared" si="86"/>
        <v>24605.48</v>
      </c>
      <c r="Q291" s="65">
        <f t="shared" si="86"/>
        <v>17687.870000000003</v>
      </c>
      <c r="R291" s="1"/>
      <c r="S291" s="1"/>
      <c r="T291" s="1"/>
    </row>
    <row r="292" spans="1:20" ht="13.5" customHeight="1" x14ac:dyDescent="0.25">
      <c r="A292" s="1"/>
      <c r="B292" s="1"/>
      <c r="C292" s="1"/>
      <c r="D292" s="42"/>
      <c r="E292" s="67"/>
      <c r="F292" s="45"/>
      <c r="G292" s="45"/>
      <c r="H292" s="74"/>
      <c r="I292" s="66"/>
      <c r="J292" s="48"/>
      <c r="K292" s="49"/>
      <c r="L292" s="50"/>
      <c r="M292" s="77"/>
      <c r="N292" s="51"/>
      <c r="O292" s="52"/>
      <c r="P292" s="53"/>
      <c r="Q292" s="54"/>
      <c r="R292" s="1"/>
      <c r="S292" s="1"/>
      <c r="T292" s="1"/>
    </row>
    <row r="293" spans="1:20" ht="13.5" customHeight="1" x14ac:dyDescent="0.25">
      <c r="A293" s="1"/>
      <c r="B293" s="1" t="s">
        <v>440</v>
      </c>
      <c r="C293" s="55" t="s">
        <v>273</v>
      </c>
      <c r="D293" s="42">
        <v>200</v>
      </c>
      <c r="E293" s="70">
        <v>0</v>
      </c>
      <c r="F293" s="45">
        <v>200</v>
      </c>
      <c r="G293" s="45">
        <v>200</v>
      </c>
      <c r="H293" s="74">
        <v>0</v>
      </c>
      <c r="I293" s="47">
        <f t="shared" ref="I293:I296" si="87">H293/J293</f>
        <v>0</v>
      </c>
      <c r="J293" s="48">
        <v>200</v>
      </c>
      <c r="K293" s="49">
        <v>200</v>
      </c>
      <c r="L293" s="77">
        <v>0</v>
      </c>
      <c r="M293" s="50">
        <v>70.13</v>
      </c>
      <c r="N293" s="53" t="s">
        <v>16</v>
      </c>
      <c r="O293" s="52">
        <v>0</v>
      </c>
      <c r="P293" s="53">
        <v>41.44</v>
      </c>
      <c r="Q293" s="54">
        <v>0</v>
      </c>
      <c r="R293" s="1"/>
      <c r="S293" s="1"/>
      <c r="T293" s="1"/>
    </row>
    <row r="294" spans="1:20" ht="13.5" customHeight="1" x14ac:dyDescent="0.25">
      <c r="A294" s="1"/>
      <c r="B294" s="1" t="s">
        <v>441</v>
      </c>
      <c r="C294" s="1" t="s">
        <v>404</v>
      </c>
      <c r="D294" s="42">
        <v>6000</v>
      </c>
      <c r="E294" s="43">
        <v>1863.26</v>
      </c>
      <c r="F294" s="45">
        <v>6000</v>
      </c>
      <c r="G294" s="45">
        <v>6000</v>
      </c>
      <c r="H294" s="46">
        <v>4848.34</v>
      </c>
      <c r="I294" s="47">
        <f t="shared" si="87"/>
        <v>0.80805666666666665</v>
      </c>
      <c r="J294" s="48">
        <v>6000</v>
      </c>
      <c r="K294" s="49">
        <v>6000</v>
      </c>
      <c r="L294" s="50">
        <v>6930.66</v>
      </c>
      <c r="M294" s="50">
        <v>3971.66</v>
      </c>
      <c r="N294" s="51">
        <v>3672.41</v>
      </c>
      <c r="O294" s="52">
        <v>2417.73</v>
      </c>
      <c r="P294" s="53">
        <v>974.85</v>
      </c>
      <c r="Q294" s="54">
        <v>355.38</v>
      </c>
      <c r="R294" s="1"/>
      <c r="S294" s="1"/>
      <c r="T294" s="1"/>
    </row>
    <row r="295" spans="1:20" ht="13.5" customHeight="1" x14ac:dyDescent="0.25">
      <c r="A295" s="1"/>
      <c r="B295" s="1" t="s">
        <v>442</v>
      </c>
      <c r="C295" s="1" t="s">
        <v>277</v>
      </c>
      <c r="D295" s="42">
        <v>150</v>
      </c>
      <c r="E295" s="70">
        <v>0</v>
      </c>
      <c r="F295" s="45">
        <v>150</v>
      </c>
      <c r="G295" s="45">
        <v>150</v>
      </c>
      <c r="H295" s="68">
        <v>125</v>
      </c>
      <c r="I295" s="47">
        <f t="shared" si="87"/>
        <v>0.83333333333333337</v>
      </c>
      <c r="J295" s="48">
        <v>150</v>
      </c>
      <c r="K295" s="49">
        <v>150</v>
      </c>
      <c r="L295" s="50">
        <v>125</v>
      </c>
      <c r="M295" s="77">
        <v>0</v>
      </c>
      <c r="N295" s="51">
        <v>125</v>
      </c>
      <c r="O295" s="52">
        <v>125</v>
      </c>
      <c r="P295" s="53">
        <v>125</v>
      </c>
      <c r="Q295" s="54">
        <v>95</v>
      </c>
      <c r="R295" s="1"/>
      <c r="S295" s="1"/>
      <c r="T295" s="1"/>
    </row>
    <row r="296" spans="1:20" ht="13.5" customHeight="1" x14ac:dyDescent="0.25">
      <c r="A296" s="1"/>
      <c r="B296" s="1" t="s">
        <v>443</v>
      </c>
      <c r="C296" s="1" t="s">
        <v>444</v>
      </c>
      <c r="D296" s="42">
        <v>500</v>
      </c>
      <c r="E296" s="70">
        <v>0</v>
      </c>
      <c r="F296" s="45">
        <v>500</v>
      </c>
      <c r="G296" s="45">
        <v>500</v>
      </c>
      <c r="H296" s="74">
        <v>0</v>
      </c>
      <c r="I296" s="47">
        <f t="shared" si="87"/>
        <v>0</v>
      </c>
      <c r="J296" s="48">
        <v>500</v>
      </c>
      <c r="K296" s="49">
        <v>500</v>
      </c>
      <c r="L296" s="50">
        <v>280</v>
      </c>
      <c r="M296" s="50">
        <v>386.87</v>
      </c>
      <c r="N296" s="53">
        <v>0</v>
      </c>
      <c r="O296" s="52">
        <v>242.95</v>
      </c>
      <c r="P296" s="53">
        <v>162.83000000000001</v>
      </c>
      <c r="Q296" s="54">
        <v>85</v>
      </c>
      <c r="R296" s="1"/>
      <c r="S296" s="1"/>
      <c r="T296" s="1"/>
    </row>
    <row r="297" spans="1:20" ht="13.5" customHeight="1" x14ac:dyDescent="0.25">
      <c r="A297" s="1"/>
      <c r="B297" s="1" t="s">
        <v>445</v>
      </c>
      <c r="C297" s="55" t="s">
        <v>408</v>
      </c>
      <c r="D297" s="42">
        <v>0</v>
      </c>
      <c r="E297" s="70">
        <v>0</v>
      </c>
      <c r="F297" s="73">
        <v>0</v>
      </c>
      <c r="G297" s="73">
        <v>0</v>
      </c>
      <c r="H297" s="74">
        <v>0</v>
      </c>
      <c r="I297" s="115" t="s">
        <v>3</v>
      </c>
      <c r="J297" s="75">
        <v>0</v>
      </c>
      <c r="K297" s="76">
        <v>0</v>
      </c>
      <c r="L297" s="77">
        <v>0</v>
      </c>
      <c r="M297" s="77">
        <v>0</v>
      </c>
      <c r="N297" s="51">
        <v>3600</v>
      </c>
      <c r="O297" s="52">
        <v>0</v>
      </c>
      <c r="P297" s="53">
        <v>0</v>
      </c>
      <c r="Q297" s="54">
        <v>0</v>
      </c>
      <c r="R297" s="1"/>
      <c r="S297" s="1"/>
      <c r="T297" s="1"/>
    </row>
    <row r="298" spans="1:20" ht="13.5" customHeight="1" x14ac:dyDescent="0.25">
      <c r="A298" s="1"/>
      <c r="B298" s="1" t="s">
        <v>446</v>
      </c>
      <c r="C298" s="1" t="s">
        <v>279</v>
      </c>
      <c r="D298" s="42">
        <v>200</v>
      </c>
      <c r="E298" s="43">
        <v>0</v>
      </c>
      <c r="F298" s="45">
        <v>200</v>
      </c>
      <c r="G298" s="45">
        <v>200</v>
      </c>
      <c r="H298" s="66">
        <v>3106.25</v>
      </c>
      <c r="I298" s="47">
        <f t="shared" ref="I298:I299" si="88">H298/J298</f>
        <v>0.99975860959124563</v>
      </c>
      <c r="J298" s="48">
        <v>3107</v>
      </c>
      <c r="K298" s="49">
        <v>200</v>
      </c>
      <c r="L298" s="77">
        <v>0</v>
      </c>
      <c r="M298" s="77">
        <v>0</v>
      </c>
      <c r="N298" s="53">
        <v>0</v>
      </c>
      <c r="O298" s="52">
        <v>3106.25</v>
      </c>
      <c r="P298" s="53">
        <v>875</v>
      </c>
      <c r="Q298" s="54">
        <v>0</v>
      </c>
      <c r="R298" s="1"/>
      <c r="S298" s="1"/>
      <c r="T298" s="1"/>
    </row>
    <row r="299" spans="1:20" ht="13.5" customHeight="1" x14ac:dyDescent="0.25">
      <c r="A299" s="1"/>
      <c r="B299" s="1" t="s">
        <v>447</v>
      </c>
      <c r="C299" s="1" t="s">
        <v>281</v>
      </c>
      <c r="D299" s="42">
        <v>7250</v>
      </c>
      <c r="E299" s="43">
        <v>2954.78</v>
      </c>
      <c r="F299" s="45">
        <v>7250</v>
      </c>
      <c r="G299" s="45">
        <v>7250</v>
      </c>
      <c r="H299" s="46">
        <v>7001.92</v>
      </c>
      <c r="I299" s="47">
        <f t="shared" si="88"/>
        <v>0.96578206896551722</v>
      </c>
      <c r="J299" s="48">
        <v>7250</v>
      </c>
      <c r="K299" s="49">
        <v>7250</v>
      </c>
      <c r="L299" s="50">
        <v>6936.36</v>
      </c>
      <c r="M299" s="50">
        <v>7276.16</v>
      </c>
      <c r="N299" s="51">
        <v>6647.04</v>
      </c>
      <c r="O299" s="52">
        <v>7317.43</v>
      </c>
      <c r="P299" s="53">
        <v>7553.08</v>
      </c>
      <c r="Q299" s="54">
        <v>8000.37</v>
      </c>
      <c r="R299" s="1"/>
      <c r="S299" s="1"/>
      <c r="T299" s="1"/>
    </row>
    <row r="300" spans="1:20" ht="13.5" customHeight="1" x14ac:dyDescent="0.25">
      <c r="A300" s="1"/>
      <c r="B300" s="1"/>
      <c r="C300" s="1"/>
      <c r="D300" s="56">
        <v>14300</v>
      </c>
      <c r="E300" s="57">
        <f t="shared" ref="E300" si="89">SUM(E293:E299)</f>
        <v>4818.04</v>
      </c>
      <c r="F300" s="58">
        <f>SUM(F292:F299)</f>
        <v>14300</v>
      </c>
      <c r="G300" s="58">
        <v>14300</v>
      </c>
      <c r="H300" s="59">
        <f>SUM(H293:H299)</f>
        <v>15081.51</v>
      </c>
      <c r="I300" s="59"/>
      <c r="J300" s="60">
        <f t="shared" ref="J300:Q300" si="90">SUM(J293:J299)</f>
        <v>17207</v>
      </c>
      <c r="K300" s="61">
        <f t="shared" si="90"/>
        <v>14300</v>
      </c>
      <c r="L300" s="62">
        <f t="shared" si="90"/>
        <v>14272.02</v>
      </c>
      <c r="M300" s="62">
        <f t="shared" si="90"/>
        <v>11704.82</v>
      </c>
      <c r="N300" s="63">
        <f t="shared" si="90"/>
        <v>14044.45</v>
      </c>
      <c r="O300" s="64">
        <f t="shared" si="90"/>
        <v>13209.36</v>
      </c>
      <c r="P300" s="63">
        <f t="shared" si="90"/>
        <v>9732.2000000000007</v>
      </c>
      <c r="Q300" s="65">
        <f t="shared" si="90"/>
        <v>8535.75</v>
      </c>
      <c r="R300" s="1"/>
      <c r="S300" s="1"/>
      <c r="T300" s="1"/>
    </row>
    <row r="301" spans="1:20" ht="13.5" customHeight="1" thickBot="1" x14ac:dyDescent="0.3">
      <c r="A301" s="1"/>
      <c r="B301" s="1"/>
      <c r="C301" s="116" t="s">
        <v>448</v>
      </c>
      <c r="D301" s="267">
        <v>831155.17449999996</v>
      </c>
      <c r="E301" s="173">
        <f t="shared" ref="E301" si="91">SUM(E276+E283+E291+E300)</f>
        <v>377581.16000000003</v>
      </c>
      <c r="F301" s="174">
        <f>SUM(F276,F283,F291,F300)</f>
        <v>832328.72799999989</v>
      </c>
      <c r="G301" s="174">
        <v>832328.72799999989</v>
      </c>
      <c r="H301" s="175">
        <f>SUM(H276+H283+H291+H300)</f>
        <v>781097.54999999993</v>
      </c>
      <c r="I301" s="175"/>
      <c r="J301" s="176">
        <f t="shared" ref="J301:Q301" si="92">SUM(J276+J283+J291+J300)</f>
        <v>815427</v>
      </c>
      <c r="K301" s="177">
        <f t="shared" si="92"/>
        <v>812520</v>
      </c>
      <c r="L301" s="178">
        <f t="shared" si="92"/>
        <v>752439.96000000008</v>
      </c>
      <c r="M301" s="178">
        <f t="shared" si="92"/>
        <v>744200.35</v>
      </c>
      <c r="N301" s="179">
        <f t="shared" si="92"/>
        <v>748416.27999999991</v>
      </c>
      <c r="O301" s="180">
        <f t="shared" si="92"/>
        <v>689050.24</v>
      </c>
      <c r="P301" s="179">
        <f t="shared" si="92"/>
        <v>685282.23999999987</v>
      </c>
      <c r="Q301" s="181">
        <f t="shared" si="92"/>
        <v>678982.17999999993</v>
      </c>
      <c r="R301" s="1"/>
      <c r="S301" s="1"/>
      <c r="T301" s="1"/>
    </row>
    <row r="302" spans="1:20" ht="13.5" customHeight="1" thickTop="1" x14ac:dyDescent="0.25">
      <c r="A302" s="1"/>
      <c r="B302" s="1"/>
      <c r="C302" s="1"/>
      <c r="D302" s="42"/>
      <c r="E302" s="44"/>
      <c r="F302" s="45"/>
      <c r="G302" s="45"/>
      <c r="H302" s="66"/>
      <c r="I302" s="66"/>
      <c r="J302" s="48"/>
      <c r="K302" s="49"/>
      <c r="L302" s="50"/>
      <c r="M302" s="50"/>
      <c r="N302" s="51"/>
      <c r="O302" s="52"/>
      <c r="P302" s="53"/>
      <c r="Q302" s="54"/>
      <c r="R302" s="1"/>
      <c r="S302" s="1"/>
      <c r="T302" s="1"/>
    </row>
    <row r="303" spans="1:20" ht="13.5" customHeight="1" x14ac:dyDescent="0.25">
      <c r="A303" s="1"/>
      <c r="B303" s="1"/>
      <c r="C303" s="41" t="s">
        <v>449</v>
      </c>
      <c r="D303" s="42"/>
      <c r="E303" s="44"/>
      <c r="F303" s="45"/>
      <c r="G303" s="45"/>
      <c r="H303" s="66"/>
      <c r="I303" s="66"/>
      <c r="J303" s="48"/>
      <c r="K303" s="49"/>
      <c r="L303" s="50"/>
      <c r="M303" s="50"/>
      <c r="N303" s="51"/>
      <c r="O303" s="52"/>
      <c r="P303" s="53"/>
      <c r="Q303" s="54"/>
      <c r="R303" s="1"/>
      <c r="S303" s="1"/>
      <c r="T303" s="1"/>
    </row>
    <row r="304" spans="1:20" ht="13.5" customHeight="1" x14ac:dyDescent="0.25">
      <c r="A304" s="1"/>
      <c r="B304" s="1" t="s">
        <v>450</v>
      </c>
      <c r="C304" s="1" t="s">
        <v>438</v>
      </c>
      <c r="D304" s="42">
        <v>500</v>
      </c>
      <c r="E304" s="70">
        <v>0</v>
      </c>
      <c r="F304" s="45">
        <v>500</v>
      </c>
      <c r="G304" s="45">
        <v>500</v>
      </c>
      <c r="H304" s="74">
        <v>0</v>
      </c>
      <c r="I304" s="47">
        <f t="shared" ref="I304:I307" si="93">H304/J304</f>
        <v>0</v>
      </c>
      <c r="J304" s="48">
        <v>500</v>
      </c>
      <c r="K304" s="49">
        <v>500</v>
      </c>
      <c r="L304" s="77">
        <v>0</v>
      </c>
      <c r="M304" s="77">
        <v>0</v>
      </c>
      <c r="N304" s="53">
        <v>0</v>
      </c>
      <c r="O304" s="52">
        <v>0</v>
      </c>
      <c r="P304" s="53">
        <v>0</v>
      </c>
      <c r="Q304" s="54">
        <v>0</v>
      </c>
      <c r="R304" s="1"/>
      <c r="S304" s="1"/>
      <c r="T304" s="1"/>
    </row>
    <row r="305" spans="1:20" ht="13.5" customHeight="1" x14ac:dyDescent="0.25">
      <c r="A305" s="1"/>
      <c r="B305" s="1" t="s">
        <v>451</v>
      </c>
      <c r="C305" s="1" t="s">
        <v>267</v>
      </c>
      <c r="D305" s="42">
        <v>500</v>
      </c>
      <c r="E305" s="70">
        <v>0</v>
      </c>
      <c r="F305" s="45">
        <v>500</v>
      </c>
      <c r="G305" s="45">
        <v>500</v>
      </c>
      <c r="H305" s="74">
        <v>0</v>
      </c>
      <c r="I305" s="47">
        <f t="shared" si="93"/>
        <v>0</v>
      </c>
      <c r="J305" s="48">
        <v>500</v>
      </c>
      <c r="K305" s="49">
        <v>500</v>
      </c>
      <c r="L305" s="77">
        <v>0</v>
      </c>
      <c r="M305" s="77">
        <v>0</v>
      </c>
      <c r="N305" s="53">
        <v>0</v>
      </c>
      <c r="O305" s="52">
        <v>0</v>
      </c>
      <c r="P305" s="53">
        <v>0</v>
      </c>
      <c r="Q305" s="54">
        <v>0</v>
      </c>
      <c r="R305" s="1"/>
      <c r="S305" s="1"/>
      <c r="T305" s="1"/>
    </row>
    <row r="306" spans="1:20" ht="13.5" customHeight="1" x14ac:dyDescent="0.25">
      <c r="A306" s="1"/>
      <c r="B306" s="1" t="s">
        <v>452</v>
      </c>
      <c r="C306" s="1" t="s">
        <v>453</v>
      </c>
      <c r="D306" s="42">
        <v>20000</v>
      </c>
      <c r="E306" s="70">
        <v>0</v>
      </c>
      <c r="F306" s="45">
        <v>20000</v>
      </c>
      <c r="G306" s="45">
        <v>20000</v>
      </c>
      <c r="H306" s="74">
        <v>0</v>
      </c>
      <c r="I306" s="47">
        <f t="shared" si="93"/>
        <v>0</v>
      </c>
      <c r="J306" s="48">
        <v>20000</v>
      </c>
      <c r="K306" s="49">
        <v>20000</v>
      </c>
      <c r="L306" s="50">
        <v>6300</v>
      </c>
      <c r="M306" s="77">
        <v>0</v>
      </c>
      <c r="N306" s="53">
        <v>0</v>
      </c>
      <c r="O306" s="52">
        <v>71898.75</v>
      </c>
      <c r="P306" s="53">
        <v>71865.58</v>
      </c>
      <c r="Q306" s="54">
        <v>75001.34</v>
      </c>
      <c r="R306" s="1"/>
      <c r="S306" s="1"/>
      <c r="T306" s="1"/>
    </row>
    <row r="307" spans="1:20" ht="13.5" customHeight="1" x14ac:dyDescent="0.25">
      <c r="A307" s="1"/>
      <c r="B307" s="1" t="s">
        <v>454</v>
      </c>
      <c r="C307" s="1" t="s">
        <v>281</v>
      </c>
      <c r="D307" s="42">
        <v>5531</v>
      </c>
      <c r="E307" s="43">
        <v>2765.28</v>
      </c>
      <c r="F307" s="45">
        <v>5531</v>
      </c>
      <c r="G307" s="45">
        <v>5531</v>
      </c>
      <c r="H307" s="46">
        <v>5530.56</v>
      </c>
      <c r="I307" s="47">
        <f t="shared" si="93"/>
        <v>0.99992044838184779</v>
      </c>
      <c r="J307" s="48">
        <v>5531</v>
      </c>
      <c r="K307" s="49">
        <v>5531</v>
      </c>
      <c r="L307" s="50">
        <v>5530.56</v>
      </c>
      <c r="M307" s="50">
        <v>5530.56</v>
      </c>
      <c r="N307" s="51">
        <v>5530.56</v>
      </c>
      <c r="O307" s="52">
        <v>5530.56</v>
      </c>
      <c r="P307" s="53">
        <v>5235.68</v>
      </c>
      <c r="Q307" s="54">
        <v>5530.56</v>
      </c>
      <c r="R307" s="1"/>
      <c r="S307" s="1"/>
      <c r="T307" s="1"/>
    </row>
    <row r="308" spans="1:20" ht="13.5" customHeight="1" x14ac:dyDescent="0.25">
      <c r="A308" s="1"/>
      <c r="B308" s="1"/>
      <c r="C308" s="116" t="s">
        <v>455</v>
      </c>
      <c r="D308" s="56">
        <v>26531</v>
      </c>
      <c r="E308" s="57">
        <f t="shared" ref="E308" si="94">SUM(E304:E307)</f>
        <v>2765.28</v>
      </c>
      <c r="F308" s="58">
        <f>SUM(F303:F307)</f>
        <v>26531</v>
      </c>
      <c r="G308" s="58">
        <v>26531</v>
      </c>
      <c r="H308" s="59">
        <f>SUM(H304:H307)</f>
        <v>5530.56</v>
      </c>
      <c r="I308" s="59"/>
      <c r="J308" s="60">
        <f t="shared" ref="J308:Q308" si="95">SUM(J304:J307)</f>
        <v>26531</v>
      </c>
      <c r="K308" s="61">
        <f t="shared" si="95"/>
        <v>26531</v>
      </c>
      <c r="L308" s="62">
        <f t="shared" si="95"/>
        <v>11830.560000000001</v>
      </c>
      <c r="M308" s="62">
        <f t="shared" si="95"/>
        <v>5530.56</v>
      </c>
      <c r="N308" s="63">
        <f t="shared" si="95"/>
        <v>5530.56</v>
      </c>
      <c r="O308" s="64">
        <f t="shared" si="95"/>
        <v>77429.31</v>
      </c>
      <c r="P308" s="63">
        <f t="shared" si="95"/>
        <v>77101.260000000009</v>
      </c>
      <c r="Q308" s="65">
        <f t="shared" si="95"/>
        <v>80531.899999999994</v>
      </c>
      <c r="R308" s="1"/>
      <c r="S308" s="1"/>
      <c r="T308" s="1"/>
    </row>
    <row r="309" spans="1:20" ht="13.5" customHeight="1" x14ac:dyDescent="0.25">
      <c r="A309" s="1"/>
      <c r="B309" s="1"/>
      <c r="C309" s="1"/>
      <c r="D309" s="42"/>
      <c r="E309" s="44"/>
      <c r="F309" s="45"/>
      <c r="G309" s="45"/>
      <c r="H309" s="66"/>
      <c r="I309" s="66"/>
      <c r="J309" s="48"/>
      <c r="K309" s="49"/>
      <c r="L309" s="50"/>
      <c r="M309" s="50"/>
      <c r="N309" s="51"/>
      <c r="O309" s="52"/>
      <c r="P309" s="53"/>
      <c r="Q309" s="54"/>
      <c r="R309" s="1"/>
      <c r="S309" s="1"/>
      <c r="T309" s="1"/>
    </row>
    <row r="310" spans="1:20" ht="13.5" customHeight="1" x14ac:dyDescent="0.25">
      <c r="A310" s="1"/>
      <c r="B310" s="1"/>
      <c r="C310" s="1"/>
      <c r="D310" s="42"/>
      <c r="E310" s="44"/>
      <c r="F310" s="45"/>
      <c r="G310" s="45"/>
      <c r="H310" s="66"/>
      <c r="I310" s="66"/>
      <c r="J310" s="48"/>
      <c r="K310" s="49"/>
      <c r="L310" s="50"/>
      <c r="M310" s="50"/>
      <c r="N310" s="51"/>
      <c r="O310" s="52"/>
      <c r="P310" s="53"/>
      <c r="Q310" s="54"/>
      <c r="R310" s="1"/>
      <c r="S310" s="1"/>
      <c r="T310" s="1"/>
    </row>
    <row r="311" spans="1:20" ht="13.5" customHeight="1" x14ac:dyDescent="0.25">
      <c r="A311" s="1"/>
      <c r="B311" s="1"/>
      <c r="C311" s="41" t="s">
        <v>456</v>
      </c>
      <c r="D311" s="42"/>
      <c r="E311" s="44"/>
      <c r="F311" s="45"/>
      <c r="G311" s="45"/>
      <c r="H311" s="66"/>
      <c r="I311" s="66"/>
      <c r="J311" s="48"/>
      <c r="K311" s="49"/>
      <c r="L311" s="50"/>
      <c r="M311" s="50"/>
      <c r="N311" s="51"/>
      <c r="O311" s="52"/>
      <c r="P311" s="53"/>
      <c r="Q311" s="54"/>
      <c r="R311" s="1"/>
      <c r="S311" s="1"/>
      <c r="T311" s="1"/>
    </row>
    <row r="312" spans="1:20" ht="13.5" customHeight="1" x14ac:dyDescent="0.25">
      <c r="A312" s="1"/>
      <c r="B312" s="1" t="s">
        <v>457</v>
      </c>
      <c r="C312" s="55" t="s">
        <v>420</v>
      </c>
      <c r="D312" s="42">
        <v>194692</v>
      </c>
      <c r="E312" s="43">
        <v>89177.16</v>
      </c>
      <c r="F312" s="73">
        <v>191930</v>
      </c>
      <c r="G312" s="73">
        <v>191930</v>
      </c>
      <c r="H312" s="46">
        <v>125530.35</v>
      </c>
      <c r="I312" s="47">
        <f t="shared" ref="I312:I314" si="96">H312/J312</f>
        <v>0.85785792387070325</v>
      </c>
      <c r="J312" s="48">
        <v>146330</v>
      </c>
      <c r="K312" s="49">
        <v>146330</v>
      </c>
      <c r="L312" s="50">
        <v>130688.52</v>
      </c>
      <c r="M312" s="50">
        <v>138138.88</v>
      </c>
      <c r="N312" s="51">
        <v>131242.42000000001</v>
      </c>
      <c r="O312" s="52">
        <v>120448.94</v>
      </c>
      <c r="P312" s="53">
        <v>98574.6</v>
      </c>
      <c r="Q312" s="54">
        <v>95303.86</v>
      </c>
      <c r="R312" s="1"/>
      <c r="S312" s="1"/>
      <c r="T312" s="1"/>
    </row>
    <row r="313" spans="1:20" ht="13.5" customHeight="1" x14ac:dyDescent="0.25">
      <c r="A313" s="1"/>
      <c r="B313" s="1" t="s">
        <v>458</v>
      </c>
      <c r="C313" s="55" t="s">
        <v>237</v>
      </c>
      <c r="D313" s="42">
        <v>60000</v>
      </c>
      <c r="E313" s="43">
        <v>40006.839999999997</v>
      </c>
      <c r="F313" s="73">
        <v>60000</v>
      </c>
      <c r="G313" s="73">
        <v>60000</v>
      </c>
      <c r="H313" s="46">
        <v>61703.78</v>
      </c>
      <c r="I313" s="47">
        <f t="shared" si="96"/>
        <v>1.0283963333333332</v>
      </c>
      <c r="J313" s="48">
        <v>60000</v>
      </c>
      <c r="K313" s="49">
        <v>60000</v>
      </c>
      <c r="L313" s="50">
        <v>83688.27</v>
      </c>
      <c r="M313" s="50">
        <v>21675.83</v>
      </c>
      <c r="N313" s="51">
        <v>92071.14</v>
      </c>
      <c r="O313" s="52">
        <v>30082.55</v>
      </c>
      <c r="P313" s="53">
        <v>55680.65</v>
      </c>
      <c r="Q313" s="54">
        <v>22322.45</v>
      </c>
      <c r="R313" s="1"/>
      <c r="S313" s="1"/>
      <c r="T313" s="1"/>
    </row>
    <row r="314" spans="1:20" ht="13.5" customHeight="1" x14ac:dyDescent="0.25">
      <c r="A314" s="1"/>
      <c r="B314" s="1" t="s">
        <v>459</v>
      </c>
      <c r="C314" s="1" t="s">
        <v>423</v>
      </c>
      <c r="D314" s="42">
        <v>0</v>
      </c>
      <c r="E314" s="43">
        <v>0</v>
      </c>
      <c r="F314" s="45">
        <v>0</v>
      </c>
      <c r="G314" s="45">
        <v>0</v>
      </c>
      <c r="H314" s="46">
        <v>4876.42</v>
      </c>
      <c r="I314" s="47">
        <f t="shared" si="96"/>
        <v>0.97528400000000004</v>
      </c>
      <c r="J314" s="48">
        <v>5000</v>
      </c>
      <c r="K314" s="49">
        <v>5000</v>
      </c>
      <c r="L314" s="50">
        <v>7788.75</v>
      </c>
      <c r="M314" s="50">
        <v>9509.0300000000007</v>
      </c>
      <c r="N314" s="51">
        <v>8049.9</v>
      </c>
      <c r="O314" s="52">
        <v>5918.97</v>
      </c>
      <c r="P314" s="53">
        <v>6996.73</v>
      </c>
      <c r="Q314" s="54">
        <v>7363.48</v>
      </c>
      <c r="R314" s="1"/>
      <c r="S314" s="1"/>
      <c r="T314" s="1"/>
    </row>
    <row r="315" spans="1:20" ht="13.5" hidden="1" customHeight="1" x14ac:dyDescent="0.25">
      <c r="A315" s="1"/>
      <c r="B315" s="1" t="s">
        <v>460</v>
      </c>
      <c r="C315" s="1" t="s">
        <v>425</v>
      </c>
      <c r="D315" s="42">
        <v>0</v>
      </c>
      <c r="E315" s="70">
        <v>0</v>
      </c>
      <c r="F315" s="73">
        <v>0</v>
      </c>
      <c r="G315" s="73">
        <v>0</v>
      </c>
      <c r="H315" s="74">
        <v>0</v>
      </c>
      <c r="I315" s="47"/>
      <c r="J315" s="75">
        <v>0</v>
      </c>
      <c r="K315" s="76">
        <v>0</v>
      </c>
      <c r="L315" s="50">
        <v>964.71</v>
      </c>
      <c r="M315" s="50">
        <v>30.18</v>
      </c>
      <c r="N315" s="51">
        <v>673.27</v>
      </c>
      <c r="O315" s="52">
        <v>109.62</v>
      </c>
      <c r="P315" s="53">
        <v>821.25</v>
      </c>
      <c r="Q315" s="54">
        <v>0</v>
      </c>
      <c r="R315" s="1"/>
      <c r="S315" s="1"/>
      <c r="T315" s="1"/>
    </row>
    <row r="316" spans="1:20" ht="13.5" customHeight="1" x14ac:dyDescent="0.25">
      <c r="A316" s="1"/>
      <c r="B316" s="1" t="s">
        <v>461</v>
      </c>
      <c r="C316" s="1" t="s">
        <v>462</v>
      </c>
      <c r="D316" s="42">
        <v>15000</v>
      </c>
      <c r="E316" s="43">
        <f>29470.5+169.51</f>
        <v>29640.01</v>
      </c>
      <c r="F316" s="45">
        <v>15000</v>
      </c>
      <c r="G316" s="45">
        <v>15000</v>
      </c>
      <c r="H316" s="46">
        <v>21154.52</v>
      </c>
      <c r="I316" s="47">
        <f>H316/J316</f>
        <v>1.4103013333333334</v>
      </c>
      <c r="J316" s="48">
        <v>15000</v>
      </c>
      <c r="K316" s="49">
        <v>15000</v>
      </c>
      <c r="L316" s="50">
        <v>28186.36</v>
      </c>
      <c r="M316" s="50">
        <v>7028.69</v>
      </c>
      <c r="N316" s="51">
        <v>33999.68</v>
      </c>
      <c r="O316" s="52">
        <v>8805.84</v>
      </c>
      <c r="P316" s="53">
        <v>17542.849999999999</v>
      </c>
      <c r="Q316" s="54">
        <v>7263.36</v>
      </c>
      <c r="R316" s="1"/>
      <c r="S316" s="1"/>
      <c r="T316" s="1"/>
    </row>
    <row r="317" spans="1:20" ht="13.5" customHeight="1" x14ac:dyDescent="0.25">
      <c r="A317" s="1"/>
      <c r="B317" s="1"/>
      <c r="C317" s="1"/>
      <c r="D317" s="56">
        <v>269692</v>
      </c>
      <c r="E317" s="57">
        <f t="shared" ref="E317" si="97">SUM(E312:E316)</f>
        <v>158824.01</v>
      </c>
      <c r="F317" s="58">
        <f>SUM(F311:F316)</f>
        <v>266930</v>
      </c>
      <c r="G317" s="58">
        <v>266930</v>
      </c>
      <c r="H317" s="59">
        <f>SUM(H312:H316)</f>
        <v>213265.07</v>
      </c>
      <c r="I317" s="59"/>
      <c r="J317" s="60">
        <f t="shared" ref="J317:Q317" si="98">SUM(J312:J316)</f>
        <v>226330</v>
      </c>
      <c r="K317" s="61">
        <f t="shared" si="98"/>
        <v>226330</v>
      </c>
      <c r="L317" s="62">
        <f t="shared" si="98"/>
        <v>251316.61</v>
      </c>
      <c r="M317" s="62">
        <f t="shared" si="98"/>
        <v>176382.61000000002</v>
      </c>
      <c r="N317" s="63">
        <f t="shared" si="98"/>
        <v>266036.40999999997</v>
      </c>
      <c r="O317" s="64">
        <f t="shared" si="98"/>
        <v>165365.91999999998</v>
      </c>
      <c r="P317" s="63">
        <f t="shared" si="98"/>
        <v>179616.08000000002</v>
      </c>
      <c r="Q317" s="65">
        <f t="shared" si="98"/>
        <v>132253.15</v>
      </c>
      <c r="R317" s="1"/>
      <c r="S317" s="1"/>
      <c r="T317" s="1"/>
    </row>
    <row r="318" spans="1:20" ht="13.5" customHeight="1" x14ac:dyDescent="0.25">
      <c r="A318" s="1"/>
      <c r="B318" s="1"/>
      <c r="C318" s="1"/>
      <c r="D318" s="42"/>
      <c r="E318" s="44"/>
      <c r="F318" s="45"/>
      <c r="G318" s="45"/>
      <c r="H318" s="66"/>
      <c r="I318" s="66"/>
      <c r="J318" s="48"/>
      <c r="K318" s="49"/>
      <c r="L318" s="50"/>
      <c r="M318" s="50"/>
      <c r="N318" s="51"/>
      <c r="O318" s="52"/>
      <c r="P318" s="53"/>
      <c r="Q318" s="54"/>
      <c r="R318" s="1"/>
      <c r="S318" s="1"/>
      <c r="T318" s="1"/>
    </row>
    <row r="319" spans="1:20" ht="13.5" customHeight="1" x14ac:dyDescent="0.25">
      <c r="A319" s="1"/>
      <c r="B319" s="1" t="s">
        <v>463</v>
      </c>
      <c r="C319" s="1" t="s">
        <v>247</v>
      </c>
      <c r="D319" s="42">
        <v>20631.437999999998</v>
      </c>
      <c r="E319" s="43">
        <v>11603.74</v>
      </c>
      <c r="F319" s="45">
        <v>20420.145</v>
      </c>
      <c r="G319" s="45">
        <v>20420.145</v>
      </c>
      <c r="H319" s="46">
        <v>15234.29</v>
      </c>
      <c r="I319" s="47">
        <f t="shared" ref="I319:I323" si="99">H319/J319</f>
        <v>0.8798319376263356</v>
      </c>
      <c r="J319" s="48">
        <v>17315</v>
      </c>
      <c r="K319" s="49">
        <v>17315</v>
      </c>
      <c r="L319" s="50">
        <v>17298.43</v>
      </c>
      <c r="M319" s="50">
        <v>11529.67</v>
      </c>
      <c r="N319" s="51">
        <v>19194.009999999998</v>
      </c>
      <c r="O319" s="52">
        <v>10697.79</v>
      </c>
      <c r="P319" s="53">
        <v>11501</v>
      </c>
      <c r="Q319" s="54">
        <v>9622.2199999999993</v>
      </c>
      <c r="R319" s="1"/>
      <c r="S319" s="1"/>
      <c r="T319" s="1"/>
    </row>
    <row r="320" spans="1:20" ht="13.5" customHeight="1" x14ac:dyDescent="0.25">
      <c r="A320" s="1"/>
      <c r="B320" s="1" t="s">
        <v>464</v>
      </c>
      <c r="C320" s="1" t="s">
        <v>249</v>
      </c>
      <c r="D320" s="42">
        <v>52317.174000000006</v>
      </c>
      <c r="E320" s="43">
        <v>20644.09</v>
      </c>
      <c r="F320" s="182">
        <v>52316.368000000002</v>
      </c>
      <c r="G320" s="182">
        <v>52316.368000000002</v>
      </c>
      <c r="H320" s="46">
        <v>31821.32</v>
      </c>
      <c r="I320" s="47">
        <f t="shared" si="99"/>
        <v>0.62121895986256437</v>
      </c>
      <c r="J320" s="48">
        <v>51224</v>
      </c>
      <c r="K320" s="49">
        <v>51224</v>
      </c>
      <c r="L320" s="50">
        <v>34645</v>
      </c>
      <c r="M320" s="50">
        <v>40556</v>
      </c>
      <c r="N320" s="51">
        <v>38119.660000000003</v>
      </c>
      <c r="O320" s="52">
        <v>37958.58</v>
      </c>
      <c r="P320" s="53">
        <v>29933.4</v>
      </c>
      <c r="Q320" s="54">
        <v>28850.400000000001</v>
      </c>
      <c r="R320" s="1"/>
      <c r="S320" s="1"/>
      <c r="T320" s="1"/>
    </row>
    <row r="321" spans="1:20" ht="13.5" customHeight="1" x14ac:dyDescent="0.25">
      <c r="A321" s="1"/>
      <c r="B321" s="1" t="s">
        <v>465</v>
      </c>
      <c r="C321" s="1" t="s">
        <v>251</v>
      </c>
      <c r="D321" s="42">
        <v>31495.738400000002</v>
      </c>
      <c r="E321" s="43">
        <v>16506.53</v>
      </c>
      <c r="F321" s="45">
        <v>31080.885999999999</v>
      </c>
      <c r="G321" s="45">
        <v>31080.885999999999</v>
      </c>
      <c r="H321" s="46">
        <v>22377.66</v>
      </c>
      <c r="I321" s="47">
        <f t="shared" si="99"/>
        <v>0.92653444849287847</v>
      </c>
      <c r="J321" s="48">
        <v>24152</v>
      </c>
      <c r="K321" s="49">
        <v>24152</v>
      </c>
      <c r="L321" s="50">
        <v>23011</v>
      </c>
      <c r="M321" s="50">
        <v>21319.47</v>
      </c>
      <c r="N321" s="51">
        <v>22457.25</v>
      </c>
      <c r="O321" s="52">
        <v>18044.759999999998</v>
      </c>
      <c r="P321" s="53">
        <v>16074.98</v>
      </c>
      <c r="Q321" s="54">
        <v>13571.98</v>
      </c>
      <c r="R321" s="1"/>
      <c r="S321" s="1"/>
      <c r="T321" s="1"/>
    </row>
    <row r="322" spans="1:20" ht="13.5" customHeight="1" x14ac:dyDescent="0.25">
      <c r="A322" s="1"/>
      <c r="B322" s="1" t="s">
        <v>466</v>
      </c>
      <c r="C322" s="1" t="s">
        <v>253</v>
      </c>
      <c r="D322" s="42">
        <v>335.50720000000001</v>
      </c>
      <c r="E322" s="43">
        <v>175.83</v>
      </c>
      <c r="F322" s="45">
        <v>331.08800000000002</v>
      </c>
      <c r="G322" s="45">
        <v>331.08800000000002</v>
      </c>
      <c r="H322" s="46">
        <v>246.38</v>
      </c>
      <c r="I322" s="47">
        <f t="shared" si="99"/>
        <v>0.92277153558052438</v>
      </c>
      <c r="J322" s="48">
        <v>267</v>
      </c>
      <c r="K322" s="49">
        <v>267</v>
      </c>
      <c r="L322" s="50">
        <v>290.58999999999997</v>
      </c>
      <c r="M322" s="50">
        <v>290.77</v>
      </c>
      <c r="N322" s="51">
        <v>390</v>
      </c>
      <c r="O322" s="52">
        <v>354.76</v>
      </c>
      <c r="P322" s="53">
        <v>290.36</v>
      </c>
      <c r="Q322" s="54">
        <v>254.41</v>
      </c>
      <c r="R322" s="1"/>
      <c r="S322" s="1"/>
      <c r="T322" s="1"/>
    </row>
    <row r="323" spans="1:20" ht="13.5" customHeight="1" x14ac:dyDescent="0.25">
      <c r="A323" s="1"/>
      <c r="B323" s="1" t="s">
        <v>467</v>
      </c>
      <c r="C323" s="1" t="s">
        <v>255</v>
      </c>
      <c r="D323" s="42">
        <v>1755.6</v>
      </c>
      <c r="E323" s="43">
        <v>655.16999999999996</v>
      </c>
      <c r="F323" s="45">
        <v>1675</v>
      </c>
      <c r="G323" s="45">
        <v>1675</v>
      </c>
      <c r="H323" s="46">
        <v>1013.9</v>
      </c>
      <c r="I323" s="47">
        <f t="shared" si="99"/>
        <v>0.62975155279503103</v>
      </c>
      <c r="J323" s="48">
        <v>1610</v>
      </c>
      <c r="K323" s="49">
        <v>1610</v>
      </c>
      <c r="L323" s="50">
        <v>1069.52</v>
      </c>
      <c r="M323" s="50">
        <v>1208.48</v>
      </c>
      <c r="N323" s="51">
        <v>1234.31</v>
      </c>
      <c r="O323" s="52">
        <v>1257.75</v>
      </c>
      <c r="P323" s="53">
        <v>1006.2</v>
      </c>
      <c r="Q323" s="54">
        <v>960.9</v>
      </c>
      <c r="R323" s="1"/>
      <c r="S323" s="1"/>
      <c r="T323" s="1"/>
    </row>
    <row r="324" spans="1:20" ht="13.5" customHeight="1" x14ac:dyDescent="0.25">
      <c r="A324" s="1"/>
      <c r="B324" s="1"/>
      <c r="C324" s="1"/>
      <c r="D324" s="56">
        <v>106535.45760000002</v>
      </c>
      <c r="E324" s="57">
        <f t="shared" ref="E324" si="100">SUM(E319:E323)</f>
        <v>49585.36</v>
      </c>
      <c r="F324" s="58">
        <f>SUM(F318:F323)</f>
        <v>105823.48700000001</v>
      </c>
      <c r="G324" s="58">
        <v>105823.48700000001</v>
      </c>
      <c r="H324" s="59">
        <f>SUM(H319:H323)</f>
        <v>70693.55</v>
      </c>
      <c r="I324" s="59"/>
      <c r="J324" s="60">
        <f t="shared" ref="J324:Q324" si="101">SUM(J319:J323)</f>
        <v>94568</v>
      </c>
      <c r="K324" s="61">
        <f t="shared" si="101"/>
        <v>94568</v>
      </c>
      <c r="L324" s="62">
        <f t="shared" si="101"/>
        <v>76314.539999999994</v>
      </c>
      <c r="M324" s="62">
        <f t="shared" si="101"/>
        <v>74904.39</v>
      </c>
      <c r="N324" s="63">
        <f t="shared" si="101"/>
        <v>81395.23</v>
      </c>
      <c r="O324" s="64">
        <f t="shared" si="101"/>
        <v>68313.64</v>
      </c>
      <c r="P324" s="63">
        <f t="shared" si="101"/>
        <v>58805.94</v>
      </c>
      <c r="Q324" s="65">
        <f t="shared" si="101"/>
        <v>53259.910000000011</v>
      </c>
      <c r="R324" s="1"/>
      <c r="S324" s="1"/>
      <c r="T324" s="1"/>
    </row>
    <row r="325" spans="1:20" ht="13.5" customHeight="1" x14ac:dyDescent="0.25">
      <c r="A325" s="1"/>
      <c r="B325" s="1"/>
      <c r="C325" s="1"/>
      <c r="D325" s="42"/>
      <c r="E325" s="44"/>
      <c r="F325" s="45"/>
      <c r="G325" s="45"/>
      <c r="H325" s="66"/>
      <c r="I325" s="66"/>
      <c r="J325" s="48"/>
      <c r="K325" s="49"/>
      <c r="L325" s="50"/>
      <c r="M325" s="50"/>
      <c r="N325" s="51"/>
      <c r="O325" s="52"/>
      <c r="P325" s="53"/>
      <c r="Q325" s="54"/>
      <c r="R325" s="1"/>
      <c r="S325" s="1"/>
      <c r="T325" s="1"/>
    </row>
    <row r="326" spans="1:20" ht="13.5" customHeight="1" x14ac:dyDescent="0.25">
      <c r="A326" s="1"/>
      <c r="B326" s="1" t="s">
        <v>468</v>
      </c>
      <c r="C326" s="1" t="s">
        <v>259</v>
      </c>
      <c r="D326" s="42">
        <v>2500</v>
      </c>
      <c r="E326" s="43">
        <v>1680.28</v>
      </c>
      <c r="F326" s="45">
        <v>2500</v>
      </c>
      <c r="G326" s="45">
        <v>2500</v>
      </c>
      <c r="H326" s="46">
        <v>2433.6999999999998</v>
      </c>
      <c r="I326" s="47">
        <f t="shared" ref="I326:I328" si="102">H326/J326</f>
        <v>0.9734799999999999</v>
      </c>
      <c r="J326" s="48">
        <v>2500</v>
      </c>
      <c r="K326" s="49">
        <v>2500</v>
      </c>
      <c r="L326" s="50">
        <v>2480.75</v>
      </c>
      <c r="M326" s="50">
        <v>739.7</v>
      </c>
      <c r="N326" s="51">
        <v>3037.69</v>
      </c>
      <c r="O326" s="52">
        <v>555.71</v>
      </c>
      <c r="P326" s="53">
        <v>2325.02</v>
      </c>
      <c r="Q326" s="54">
        <v>1621.39</v>
      </c>
      <c r="R326" s="1"/>
      <c r="S326" s="1"/>
      <c r="T326" s="1"/>
    </row>
    <row r="327" spans="1:20" ht="13.5" customHeight="1" x14ac:dyDescent="0.25">
      <c r="A327" s="1"/>
      <c r="B327" s="1" t="s">
        <v>469</v>
      </c>
      <c r="C327" s="1" t="s">
        <v>261</v>
      </c>
      <c r="D327" s="42">
        <v>12500</v>
      </c>
      <c r="E327" s="43">
        <v>2995.86</v>
      </c>
      <c r="F327" s="45">
        <v>12500</v>
      </c>
      <c r="G327" s="45">
        <v>12500</v>
      </c>
      <c r="H327" s="46">
        <v>23318.58</v>
      </c>
      <c r="I327" s="47">
        <f t="shared" si="102"/>
        <v>1.165929</v>
      </c>
      <c r="J327" s="48">
        <v>20000</v>
      </c>
      <c r="K327" s="49">
        <v>20000</v>
      </c>
      <c r="L327" s="50">
        <v>11425.13</v>
      </c>
      <c r="M327" s="50">
        <v>6507.28</v>
      </c>
      <c r="N327" s="51">
        <v>8216.02</v>
      </c>
      <c r="O327" s="52">
        <v>17644.18</v>
      </c>
      <c r="P327" s="53">
        <v>8917.43</v>
      </c>
      <c r="Q327" s="54">
        <v>16107.23</v>
      </c>
      <c r="R327" s="1"/>
      <c r="S327" s="1"/>
      <c r="T327" s="1"/>
    </row>
    <row r="328" spans="1:20" ht="13.5" customHeight="1" x14ac:dyDescent="0.25">
      <c r="A328" s="1"/>
      <c r="B328" s="1" t="s">
        <v>470</v>
      </c>
      <c r="C328" s="1" t="s">
        <v>471</v>
      </c>
      <c r="D328" s="42">
        <v>750</v>
      </c>
      <c r="E328" s="43">
        <v>367.86</v>
      </c>
      <c r="F328" s="45">
        <v>750</v>
      </c>
      <c r="G328" s="45">
        <v>750</v>
      </c>
      <c r="H328" s="46">
        <v>741.14</v>
      </c>
      <c r="I328" s="47">
        <f t="shared" si="102"/>
        <v>1.8528499999999999</v>
      </c>
      <c r="J328" s="48">
        <v>400</v>
      </c>
      <c r="K328" s="49">
        <v>400</v>
      </c>
      <c r="L328" s="50">
        <v>744.7</v>
      </c>
      <c r="M328" s="50">
        <v>244.41</v>
      </c>
      <c r="N328" s="51">
        <v>371.83</v>
      </c>
      <c r="O328" s="52">
        <v>270.69</v>
      </c>
      <c r="P328" s="53">
        <v>0</v>
      </c>
      <c r="Q328" s="54">
        <v>0</v>
      </c>
      <c r="R328" s="1"/>
      <c r="S328" s="1"/>
      <c r="T328" s="1"/>
    </row>
    <row r="329" spans="1:20" ht="13.5" customHeight="1" x14ac:dyDescent="0.25">
      <c r="A329" s="1"/>
      <c r="B329" s="1" t="s">
        <v>472</v>
      </c>
      <c r="C329" s="1" t="s">
        <v>473</v>
      </c>
      <c r="D329" s="42">
        <v>400</v>
      </c>
      <c r="E329" s="70">
        <v>0</v>
      </c>
      <c r="F329" s="45">
        <v>400</v>
      </c>
      <c r="G329" s="45">
        <v>400</v>
      </c>
      <c r="H329" s="74">
        <v>557.32000000000005</v>
      </c>
      <c r="I329" s="47"/>
      <c r="J329" s="75">
        <v>558</v>
      </c>
      <c r="K329" s="76">
        <v>0</v>
      </c>
      <c r="L329" s="77">
        <v>0</v>
      </c>
      <c r="M329" s="50">
        <v>672</v>
      </c>
      <c r="N329" s="53">
        <v>0</v>
      </c>
      <c r="O329" s="52">
        <v>0</v>
      </c>
      <c r="P329" s="53">
        <v>0</v>
      </c>
      <c r="Q329" s="54">
        <v>0</v>
      </c>
      <c r="R329" s="1"/>
      <c r="S329" s="1"/>
      <c r="T329" s="1"/>
    </row>
    <row r="330" spans="1:20" ht="13.5" customHeight="1" x14ac:dyDescent="0.25">
      <c r="A330" s="1"/>
      <c r="B330" s="1" t="s">
        <v>474</v>
      </c>
      <c r="C330" s="1" t="s">
        <v>435</v>
      </c>
      <c r="D330" s="42">
        <v>150</v>
      </c>
      <c r="E330" s="70">
        <v>0</v>
      </c>
      <c r="F330" s="45">
        <v>150</v>
      </c>
      <c r="G330" s="45">
        <v>150</v>
      </c>
      <c r="H330" s="68">
        <v>151.55000000000001</v>
      </c>
      <c r="I330" s="47"/>
      <c r="J330" s="75">
        <v>0</v>
      </c>
      <c r="K330" s="76">
        <v>0</v>
      </c>
      <c r="L330" s="77">
        <v>0</v>
      </c>
      <c r="M330" s="77">
        <v>0</v>
      </c>
      <c r="N330" s="53">
        <v>0</v>
      </c>
      <c r="O330" s="52">
        <v>0</v>
      </c>
      <c r="P330" s="53">
        <v>0</v>
      </c>
      <c r="Q330" s="54">
        <v>185</v>
      </c>
      <c r="R330" s="1"/>
      <c r="S330" s="1"/>
      <c r="T330" s="1"/>
    </row>
    <row r="331" spans="1:20" ht="13.5" customHeight="1" x14ac:dyDescent="0.25">
      <c r="A331" s="1"/>
      <c r="B331" s="1" t="s">
        <v>475</v>
      </c>
      <c r="C331" s="55" t="s">
        <v>265</v>
      </c>
      <c r="D331" s="42">
        <v>0</v>
      </c>
      <c r="E331" s="70">
        <v>0</v>
      </c>
      <c r="F331" s="73">
        <v>0</v>
      </c>
      <c r="G331" s="73">
        <v>0</v>
      </c>
      <c r="H331" s="68">
        <v>0</v>
      </c>
      <c r="I331" s="47">
        <f>H331/J331</f>
        <v>0</v>
      </c>
      <c r="J331" s="48">
        <v>15000</v>
      </c>
      <c r="K331" s="49">
        <v>15000</v>
      </c>
      <c r="L331" s="50">
        <v>361.08</v>
      </c>
      <c r="M331" s="50">
        <v>25257.360000000001</v>
      </c>
      <c r="N331" s="51">
        <v>16912.009999999998</v>
      </c>
      <c r="O331" s="52">
        <v>30000</v>
      </c>
      <c r="P331" s="53">
        <v>0</v>
      </c>
      <c r="Q331" s="54">
        <v>0</v>
      </c>
      <c r="R331" s="1"/>
      <c r="S331" s="1"/>
      <c r="T331" s="1"/>
    </row>
    <row r="332" spans="1:20" ht="13.5" customHeight="1" x14ac:dyDescent="0.25">
      <c r="A332" s="1"/>
      <c r="B332" s="1" t="s">
        <v>476</v>
      </c>
      <c r="C332" s="1" t="s">
        <v>438</v>
      </c>
      <c r="D332" s="42">
        <v>0</v>
      </c>
      <c r="E332" s="70">
        <v>89.91</v>
      </c>
      <c r="F332" s="73">
        <v>0</v>
      </c>
      <c r="G332" s="73">
        <v>0</v>
      </c>
      <c r="H332" s="68">
        <v>173.18</v>
      </c>
      <c r="I332" s="47"/>
      <c r="J332" s="75">
        <v>0</v>
      </c>
      <c r="K332" s="76">
        <v>0</v>
      </c>
      <c r="L332" s="50">
        <v>89.99</v>
      </c>
      <c r="M332" s="77">
        <v>0</v>
      </c>
      <c r="N332" s="51">
        <v>219.97</v>
      </c>
      <c r="O332" s="52">
        <v>0</v>
      </c>
      <c r="P332" s="53">
        <v>660</v>
      </c>
      <c r="Q332" s="54">
        <v>0</v>
      </c>
      <c r="R332" s="1"/>
      <c r="S332" s="1"/>
      <c r="T332" s="1"/>
    </row>
    <row r="333" spans="1:20" ht="13.5" customHeight="1" x14ac:dyDescent="0.25">
      <c r="A333" s="1"/>
      <c r="B333" s="1" t="s">
        <v>477</v>
      </c>
      <c r="C333" s="1" t="s">
        <v>267</v>
      </c>
      <c r="D333" s="42">
        <v>0</v>
      </c>
      <c r="E333" s="70">
        <v>43.31</v>
      </c>
      <c r="F333" s="73">
        <v>0</v>
      </c>
      <c r="G333" s="73">
        <v>0</v>
      </c>
      <c r="H333" s="68">
        <v>1366.2</v>
      </c>
      <c r="I333" s="47"/>
      <c r="J333" s="75">
        <v>-558</v>
      </c>
      <c r="K333" s="76">
        <v>0</v>
      </c>
      <c r="L333" s="77">
        <v>0</v>
      </c>
      <c r="M333" s="77">
        <v>0</v>
      </c>
      <c r="N333" s="51">
        <v>4386.6400000000003</v>
      </c>
      <c r="O333" s="52">
        <v>48470.58</v>
      </c>
      <c r="P333" s="53">
        <v>11902.45</v>
      </c>
      <c r="Q333" s="54">
        <v>17913.62</v>
      </c>
      <c r="R333" s="1"/>
      <c r="S333" s="1"/>
      <c r="T333" s="1"/>
    </row>
    <row r="334" spans="1:20" ht="13.5" customHeight="1" x14ac:dyDescent="0.25">
      <c r="A334" s="1"/>
      <c r="B334" s="1"/>
      <c r="C334" s="1"/>
      <c r="D334" s="88">
        <v>16300</v>
      </c>
      <c r="E334" s="89">
        <f t="shared" ref="E334" si="103">SUM(E326:E333)</f>
        <v>5177.22</v>
      </c>
      <c r="F334" s="90">
        <f>SUM(F325:F333)</f>
        <v>16300</v>
      </c>
      <c r="G334" s="90">
        <v>16300</v>
      </c>
      <c r="H334" s="91">
        <f>SUM(H326:H333)</f>
        <v>28741.670000000002</v>
      </c>
      <c r="I334" s="91"/>
      <c r="J334" s="92">
        <f t="shared" ref="J334:Q334" si="104">SUM(J326:J333)</f>
        <v>37900</v>
      </c>
      <c r="K334" s="93">
        <f t="shared" si="104"/>
        <v>37900</v>
      </c>
      <c r="L334" s="94">
        <f t="shared" si="104"/>
        <v>15101.65</v>
      </c>
      <c r="M334" s="94">
        <f t="shared" si="104"/>
        <v>33420.75</v>
      </c>
      <c r="N334" s="95">
        <f t="shared" si="104"/>
        <v>33144.160000000003</v>
      </c>
      <c r="O334" s="96">
        <f t="shared" si="104"/>
        <v>96941.16</v>
      </c>
      <c r="P334" s="95">
        <f t="shared" si="104"/>
        <v>23804.9</v>
      </c>
      <c r="Q334" s="97">
        <f t="shared" si="104"/>
        <v>35827.24</v>
      </c>
      <c r="R334" s="1"/>
      <c r="S334" s="1"/>
      <c r="T334" s="1"/>
    </row>
    <row r="335" spans="1:20" ht="13.5" customHeight="1" x14ac:dyDescent="0.25">
      <c r="A335" s="1"/>
      <c r="B335" s="1"/>
      <c r="C335" s="1"/>
      <c r="D335" s="72"/>
      <c r="E335" s="67"/>
      <c r="F335" s="73"/>
      <c r="G335" s="73"/>
      <c r="H335" s="74"/>
      <c r="I335" s="74"/>
      <c r="J335" s="75"/>
      <c r="K335" s="76"/>
      <c r="L335" s="77"/>
      <c r="M335" s="77"/>
      <c r="N335" s="51"/>
      <c r="O335" s="52"/>
      <c r="P335" s="53"/>
      <c r="Q335" s="54"/>
      <c r="R335" s="1"/>
      <c r="S335" s="1"/>
      <c r="T335" s="1"/>
    </row>
    <row r="336" spans="1:20" ht="13.5" customHeight="1" x14ac:dyDescent="0.25">
      <c r="A336" s="1"/>
      <c r="B336" s="1" t="s">
        <v>478</v>
      </c>
      <c r="C336" s="1" t="s">
        <v>318</v>
      </c>
      <c r="D336" s="42">
        <v>400</v>
      </c>
      <c r="E336" s="43">
        <v>169.41</v>
      </c>
      <c r="F336" s="45">
        <v>400</v>
      </c>
      <c r="G336" s="45">
        <v>400</v>
      </c>
      <c r="H336" s="46">
        <v>388.36</v>
      </c>
      <c r="I336" s="47">
        <f t="shared" ref="I336:I344" si="105">H336/J336</f>
        <v>0.97089999999999999</v>
      </c>
      <c r="J336" s="48">
        <v>400</v>
      </c>
      <c r="K336" s="49">
        <v>400</v>
      </c>
      <c r="L336" s="50">
        <v>412</v>
      </c>
      <c r="M336" s="50">
        <v>382.23</v>
      </c>
      <c r="N336" s="51">
        <v>451.48</v>
      </c>
      <c r="O336" s="52">
        <v>0</v>
      </c>
      <c r="P336" s="53">
        <v>0</v>
      </c>
      <c r="Q336" s="54">
        <v>0</v>
      </c>
      <c r="R336" s="1"/>
      <c r="S336" s="1"/>
      <c r="T336" s="1"/>
    </row>
    <row r="337" spans="1:20" ht="13.5" customHeight="1" x14ac:dyDescent="0.25">
      <c r="A337" s="1"/>
      <c r="B337" s="1" t="s">
        <v>479</v>
      </c>
      <c r="C337" s="55" t="s">
        <v>273</v>
      </c>
      <c r="D337" s="42">
        <v>600</v>
      </c>
      <c r="E337" s="70">
        <v>0</v>
      </c>
      <c r="F337" s="45">
        <v>600</v>
      </c>
      <c r="G337" s="45">
        <v>600</v>
      </c>
      <c r="H337" s="68">
        <v>369.99</v>
      </c>
      <c r="I337" s="47">
        <f t="shared" si="105"/>
        <v>0.61665000000000003</v>
      </c>
      <c r="J337" s="48">
        <v>600</v>
      </c>
      <c r="K337" s="49">
        <v>600</v>
      </c>
      <c r="L337" s="50">
        <v>474.74</v>
      </c>
      <c r="M337" s="50">
        <v>428.98</v>
      </c>
      <c r="N337" s="51">
        <v>575.49</v>
      </c>
      <c r="O337" s="52">
        <v>338.21</v>
      </c>
      <c r="P337" s="53">
        <v>0</v>
      </c>
      <c r="Q337" s="54">
        <v>60.94</v>
      </c>
      <c r="R337" s="1"/>
      <c r="S337" s="1"/>
      <c r="T337" s="1"/>
    </row>
    <row r="338" spans="1:20" ht="13.5" customHeight="1" x14ac:dyDescent="0.25">
      <c r="A338" s="1"/>
      <c r="B338" s="1" t="s">
        <v>480</v>
      </c>
      <c r="C338" s="1" t="s">
        <v>275</v>
      </c>
      <c r="D338" s="42">
        <v>4000</v>
      </c>
      <c r="E338" s="43">
        <v>2693.59</v>
      </c>
      <c r="F338" s="45">
        <v>4000</v>
      </c>
      <c r="G338" s="45">
        <v>4000</v>
      </c>
      <c r="H338" s="46">
        <v>1115.17</v>
      </c>
      <c r="I338" s="47">
        <f t="shared" si="105"/>
        <v>0.2787925</v>
      </c>
      <c r="J338" s="48">
        <v>4000</v>
      </c>
      <c r="K338" s="49">
        <v>4000</v>
      </c>
      <c r="L338" s="50">
        <v>2315.9</v>
      </c>
      <c r="M338" s="50">
        <v>5622.48</v>
      </c>
      <c r="N338" s="51">
        <v>2998.11</v>
      </c>
      <c r="O338" s="52">
        <v>395.62</v>
      </c>
      <c r="P338" s="53">
        <v>614.66999999999996</v>
      </c>
      <c r="Q338" s="54">
        <v>315.52</v>
      </c>
      <c r="R338" s="1"/>
      <c r="S338" s="1"/>
      <c r="T338" s="1"/>
    </row>
    <row r="339" spans="1:20" ht="13.5" customHeight="1" x14ac:dyDescent="0.25">
      <c r="A339" s="1"/>
      <c r="B339" s="1" t="s">
        <v>481</v>
      </c>
      <c r="C339" s="1" t="s">
        <v>482</v>
      </c>
      <c r="D339" s="42">
        <v>1000</v>
      </c>
      <c r="E339" s="43">
        <v>450</v>
      </c>
      <c r="F339" s="45">
        <v>1000</v>
      </c>
      <c r="G339" s="45">
        <v>1000</v>
      </c>
      <c r="H339" s="46">
        <v>250</v>
      </c>
      <c r="I339" s="47">
        <f t="shared" si="105"/>
        <v>0.33333333333333331</v>
      </c>
      <c r="J339" s="48">
        <v>750</v>
      </c>
      <c r="K339" s="49">
        <v>450</v>
      </c>
      <c r="L339" s="50">
        <v>650</v>
      </c>
      <c r="M339" s="50">
        <v>450</v>
      </c>
      <c r="N339" s="51">
        <v>350</v>
      </c>
      <c r="O339" s="52">
        <v>2908.91</v>
      </c>
      <c r="P339" s="53">
        <v>2673.4</v>
      </c>
      <c r="Q339" s="54">
        <v>3060.73</v>
      </c>
      <c r="R339" s="1"/>
      <c r="S339" s="1"/>
      <c r="T339" s="1"/>
    </row>
    <row r="340" spans="1:20" ht="13.5" customHeight="1" x14ac:dyDescent="0.25">
      <c r="A340" s="1"/>
      <c r="B340" s="1" t="s">
        <v>483</v>
      </c>
      <c r="C340" s="1" t="s">
        <v>484</v>
      </c>
      <c r="D340" s="42">
        <v>600</v>
      </c>
      <c r="E340" s="70">
        <v>0</v>
      </c>
      <c r="F340" s="45">
        <v>600</v>
      </c>
      <c r="G340" s="45">
        <v>600</v>
      </c>
      <c r="H340" s="74">
        <v>0</v>
      </c>
      <c r="I340" s="47">
        <f t="shared" si="105"/>
        <v>0</v>
      </c>
      <c r="J340" s="48">
        <v>600</v>
      </c>
      <c r="K340" s="49">
        <v>600</v>
      </c>
      <c r="L340" s="77">
        <v>0</v>
      </c>
      <c r="M340" s="50">
        <v>622.20000000000005</v>
      </c>
      <c r="N340" s="51">
        <v>502.45</v>
      </c>
      <c r="O340" s="52">
        <v>100</v>
      </c>
      <c r="P340" s="53">
        <v>200</v>
      </c>
      <c r="Q340" s="54">
        <v>0</v>
      </c>
      <c r="R340" s="1"/>
      <c r="S340" s="1"/>
      <c r="T340" s="1"/>
    </row>
    <row r="341" spans="1:20" ht="13.5" customHeight="1" x14ac:dyDescent="0.25">
      <c r="A341" s="1"/>
      <c r="B341" s="1" t="s">
        <v>485</v>
      </c>
      <c r="C341" s="1" t="s">
        <v>435</v>
      </c>
      <c r="D341" s="42">
        <v>150</v>
      </c>
      <c r="E341" s="70">
        <v>0</v>
      </c>
      <c r="F341" s="45">
        <v>150</v>
      </c>
      <c r="G341" s="45">
        <v>150</v>
      </c>
      <c r="H341" s="74">
        <v>0</v>
      </c>
      <c r="I341" s="47">
        <f t="shared" si="105"/>
        <v>0</v>
      </c>
      <c r="J341" s="48">
        <v>150</v>
      </c>
      <c r="K341" s="49">
        <v>150</v>
      </c>
      <c r="L341" s="77">
        <v>0</v>
      </c>
      <c r="M341" s="77">
        <v>0</v>
      </c>
      <c r="N341" s="53">
        <v>0</v>
      </c>
      <c r="O341" s="52">
        <v>0</v>
      </c>
      <c r="P341" s="53">
        <v>101.5</v>
      </c>
      <c r="Q341" s="54">
        <v>0</v>
      </c>
      <c r="R341" s="1"/>
      <c r="S341" s="1"/>
      <c r="T341" s="1"/>
    </row>
    <row r="342" spans="1:20" ht="13.5" customHeight="1" x14ac:dyDescent="0.25">
      <c r="A342" s="1"/>
      <c r="B342" s="1" t="s">
        <v>486</v>
      </c>
      <c r="C342" s="1" t="s">
        <v>487</v>
      </c>
      <c r="D342" s="42">
        <v>1200</v>
      </c>
      <c r="E342" s="70">
        <v>0</v>
      </c>
      <c r="F342" s="45">
        <v>1200</v>
      </c>
      <c r="G342" s="45">
        <v>1200</v>
      </c>
      <c r="H342" s="74">
        <v>0</v>
      </c>
      <c r="I342" s="47">
        <f t="shared" si="105"/>
        <v>0</v>
      </c>
      <c r="J342" s="48">
        <v>900</v>
      </c>
      <c r="K342" s="49">
        <v>1200</v>
      </c>
      <c r="L342" s="50">
        <v>2202.37</v>
      </c>
      <c r="M342" s="50">
        <v>1250.75</v>
      </c>
      <c r="N342" s="51">
        <v>1219.08</v>
      </c>
      <c r="O342" s="52">
        <v>0</v>
      </c>
      <c r="P342" s="53">
        <v>0</v>
      </c>
      <c r="Q342" s="54">
        <v>0</v>
      </c>
      <c r="R342" s="1"/>
      <c r="S342" s="1"/>
      <c r="T342" s="1"/>
    </row>
    <row r="343" spans="1:20" ht="13.5" customHeight="1" x14ac:dyDescent="0.25">
      <c r="A343" s="1"/>
      <c r="B343" s="1" t="s">
        <v>488</v>
      </c>
      <c r="C343" s="1" t="s">
        <v>489</v>
      </c>
      <c r="D343" s="42">
        <v>250</v>
      </c>
      <c r="E343" s="70">
        <v>65.42</v>
      </c>
      <c r="F343" s="45">
        <v>250</v>
      </c>
      <c r="G343" s="45">
        <v>250</v>
      </c>
      <c r="H343" s="74">
        <v>44.93</v>
      </c>
      <c r="I343" s="47">
        <f t="shared" si="105"/>
        <v>0.17971999999999999</v>
      </c>
      <c r="J343" s="48">
        <v>250</v>
      </c>
      <c r="K343" s="49">
        <v>250</v>
      </c>
      <c r="L343" s="50">
        <v>501.08</v>
      </c>
      <c r="M343" s="50">
        <v>47.79</v>
      </c>
      <c r="N343" s="51">
        <v>14.5</v>
      </c>
      <c r="O343" s="52">
        <v>459.9</v>
      </c>
      <c r="P343" s="53">
        <v>0</v>
      </c>
      <c r="Q343" s="54">
        <v>0</v>
      </c>
      <c r="R343" s="1"/>
      <c r="S343" s="1"/>
      <c r="T343" s="1"/>
    </row>
    <row r="344" spans="1:20" ht="13.5" customHeight="1" x14ac:dyDescent="0.25">
      <c r="A344" s="1"/>
      <c r="B344" s="1" t="s">
        <v>490</v>
      </c>
      <c r="C344" s="1" t="s">
        <v>408</v>
      </c>
      <c r="D344" s="42">
        <v>97194</v>
      </c>
      <c r="E344" s="70">
        <v>43545</v>
      </c>
      <c r="F344" s="45">
        <v>83598.92</v>
      </c>
      <c r="G344" s="45">
        <v>83598.92</v>
      </c>
      <c r="H344" s="68">
        <v>34618.46</v>
      </c>
      <c r="I344" s="47">
        <f t="shared" si="105"/>
        <v>1.2187881988452329</v>
      </c>
      <c r="J344" s="48">
        <v>28404</v>
      </c>
      <c r="K344" s="49">
        <v>28404</v>
      </c>
      <c r="L344" s="50">
        <v>85962.39</v>
      </c>
      <c r="M344" s="50">
        <v>46802.1</v>
      </c>
      <c r="N344" s="51">
        <v>52861.4</v>
      </c>
      <c r="O344" s="52">
        <v>17</v>
      </c>
      <c r="P344" s="53">
        <v>0</v>
      </c>
      <c r="Q344" s="54">
        <v>0</v>
      </c>
      <c r="R344" s="1"/>
      <c r="S344" s="1"/>
      <c r="T344" s="1"/>
    </row>
    <row r="345" spans="1:20" ht="13.5" customHeight="1" x14ac:dyDescent="0.25">
      <c r="A345" s="1"/>
      <c r="B345" s="1" t="s">
        <v>491</v>
      </c>
      <c r="C345" s="1" t="s">
        <v>492</v>
      </c>
      <c r="D345" s="42">
        <v>0</v>
      </c>
      <c r="E345" s="70">
        <v>5274.7</v>
      </c>
      <c r="F345" s="73">
        <v>0</v>
      </c>
      <c r="G345" s="73">
        <v>0</v>
      </c>
      <c r="H345" s="68">
        <v>24103.599999999999</v>
      </c>
      <c r="I345" s="47"/>
      <c r="J345" s="75">
        <v>0</v>
      </c>
      <c r="K345" s="76">
        <v>0</v>
      </c>
      <c r="L345" s="50">
        <v>4750</v>
      </c>
      <c r="M345" s="50">
        <v>4775</v>
      </c>
      <c r="N345" s="53">
        <v>0</v>
      </c>
      <c r="O345" s="52">
        <v>38252</v>
      </c>
      <c r="P345" s="53">
        <v>38776</v>
      </c>
      <c r="Q345" s="54">
        <v>46116</v>
      </c>
      <c r="R345" s="1"/>
      <c r="S345" s="1"/>
      <c r="T345" s="1"/>
    </row>
    <row r="346" spans="1:20" ht="13.5" customHeight="1" x14ac:dyDescent="0.25">
      <c r="A346" s="1"/>
      <c r="B346" s="1" t="s">
        <v>493</v>
      </c>
      <c r="C346" s="1" t="s">
        <v>494</v>
      </c>
      <c r="D346" s="42">
        <v>45000</v>
      </c>
      <c r="E346" s="43">
        <f>8466.65+12309.49</f>
        <v>20776.14</v>
      </c>
      <c r="F346" s="45">
        <v>25000</v>
      </c>
      <c r="G346" s="45">
        <v>25000</v>
      </c>
      <c r="H346" s="46">
        <v>44398.86</v>
      </c>
      <c r="I346" s="47">
        <f t="shared" ref="I346:I348" si="106">H346/J346</f>
        <v>1.7759544</v>
      </c>
      <c r="J346" s="48">
        <v>25000</v>
      </c>
      <c r="K346" s="49">
        <v>25000</v>
      </c>
      <c r="L346" s="50">
        <v>15941.82</v>
      </c>
      <c r="M346" s="50">
        <v>30258.58</v>
      </c>
      <c r="N346" s="51">
        <v>21622.18</v>
      </c>
      <c r="O346" s="52">
        <v>0</v>
      </c>
      <c r="P346" s="53">
        <v>0</v>
      </c>
      <c r="Q346" s="54">
        <v>0</v>
      </c>
      <c r="R346" s="1"/>
      <c r="S346" s="1"/>
      <c r="T346" s="1"/>
    </row>
    <row r="347" spans="1:20" ht="13.5" customHeight="1" x14ac:dyDescent="0.25">
      <c r="A347" s="1"/>
      <c r="B347" s="1" t="s">
        <v>495</v>
      </c>
      <c r="C347" s="1" t="s">
        <v>279</v>
      </c>
      <c r="D347" s="42">
        <v>50</v>
      </c>
      <c r="E347" s="43">
        <v>50</v>
      </c>
      <c r="F347" s="45">
        <v>50</v>
      </c>
      <c r="G347" s="45">
        <v>50</v>
      </c>
      <c r="H347" s="66">
        <v>50</v>
      </c>
      <c r="I347" s="47">
        <f t="shared" si="106"/>
        <v>1</v>
      </c>
      <c r="J347" s="48">
        <v>50</v>
      </c>
      <c r="K347" s="49">
        <v>50</v>
      </c>
      <c r="L347" s="50">
        <v>121</v>
      </c>
      <c r="M347" s="50">
        <v>50</v>
      </c>
      <c r="N347" s="51">
        <v>50</v>
      </c>
      <c r="O347" s="52">
        <v>11755.83</v>
      </c>
      <c r="P347" s="53">
        <v>64877.29</v>
      </c>
      <c r="Q347" s="54">
        <v>24732.75</v>
      </c>
      <c r="R347" s="1"/>
      <c r="S347" s="1"/>
      <c r="T347" s="1"/>
    </row>
    <row r="348" spans="1:20" ht="13.5" customHeight="1" x14ac:dyDescent="0.25">
      <c r="A348" s="1"/>
      <c r="B348" s="1" t="s">
        <v>496</v>
      </c>
      <c r="C348" s="1" t="s">
        <v>281</v>
      </c>
      <c r="D348" s="42">
        <v>1200</v>
      </c>
      <c r="E348" s="43">
        <v>686.61</v>
      </c>
      <c r="F348" s="45">
        <v>1200</v>
      </c>
      <c r="G348" s="45">
        <v>1200</v>
      </c>
      <c r="H348" s="46">
        <v>1566.85</v>
      </c>
      <c r="I348" s="47">
        <f t="shared" si="106"/>
        <v>1.3057083333333332</v>
      </c>
      <c r="J348" s="48">
        <v>1200</v>
      </c>
      <c r="K348" s="49">
        <v>1200</v>
      </c>
      <c r="L348" s="50">
        <v>1492.47</v>
      </c>
      <c r="M348" s="50">
        <v>1453.68</v>
      </c>
      <c r="N348" s="51">
        <v>1123.32</v>
      </c>
      <c r="O348" s="52">
        <v>50</v>
      </c>
      <c r="P348" s="53">
        <v>121</v>
      </c>
      <c r="Q348" s="54">
        <v>0</v>
      </c>
      <c r="R348" s="1"/>
      <c r="S348" s="1"/>
      <c r="T348" s="1"/>
    </row>
    <row r="349" spans="1:20" ht="13.5" customHeight="1" x14ac:dyDescent="0.25">
      <c r="A349" s="1"/>
      <c r="B349" s="1"/>
      <c r="C349" s="1"/>
      <c r="D349" s="56">
        <v>151644</v>
      </c>
      <c r="E349" s="57">
        <f t="shared" ref="E349" si="107">SUM(E336:E348)</f>
        <v>73710.87</v>
      </c>
      <c r="F349" s="58">
        <f>SUM(F335:F348)</f>
        <v>118048.92</v>
      </c>
      <c r="G349" s="58">
        <v>118048.92</v>
      </c>
      <c r="H349" s="59">
        <f>SUM(H336:H348)</f>
        <v>106906.22</v>
      </c>
      <c r="I349" s="59"/>
      <c r="J349" s="60">
        <f t="shared" ref="J349:Q349" si="108">SUM(J336:J348)</f>
        <v>62304</v>
      </c>
      <c r="K349" s="61">
        <f t="shared" si="108"/>
        <v>62304</v>
      </c>
      <c r="L349" s="62">
        <f t="shared" si="108"/>
        <v>114823.76999999999</v>
      </c>
      <c r="M349" s="62">
        <f t="shared" si="108"/>
        <v>92143.79</v>
      </c>
      <c r="N349" s="63">
        <f t="shared" si="108"/>
        <v>81768.010000000009</v>
      </c>
      <c r="O349" s="64">
        <f t="shared" si="108"/>
        <v>54277.47</v>
      </c>
      <c r="P349" s="63">
        <f t="shared" si="108"/>
        <v>107363.86</v>
      </c>
      <c r="Q349" s="65">
        <f t="shared" si="108"/>
        <v>74285.94</v>
      </c>
      <c r="R349" s="1"/>
      <c r="S349" s="1"/>
      <c r="T349" s="1"/>
    </row>
    <row r="350" spans="1:20" ht="13.5" customHeight="1" x14ac:dyDescent="0.25">
      <c r="A350" s="1"/>
      <c r="B350" s="1"/>
      <c r="C350" s="1"/>
      <c r="D350" s="42"/>
      <c r="E350" s="44"/>
      <c r="F350" s="45"/>
      <c r="G350" s="45"/>
      <c r="H350" s="66"/>
      <c r="I350" s="66"/>
      <c r="J350" s="48"/>
      <c r="K350" s="49"/>
      <c r="L350" s="50"/>
      <c r="M350" s="50"/>
      <c r="N350" s="51"/>
      <c r="O350" s="52"/>
      <c r="P350" s="53"/>
      <c r="Q350" s="54"/>
      <c r="R350" s="1"/>
      <c r="S350" s="1"/>
      <c r="T350" s="1"/>
    </row>
    <row r="351" spans="1:20" ht="13.5" customHeight="1" x14ac:dyDescent="0.25">
      <c r="A351" s="1"/>
      <c r="B351" s="1" t="s">
        <v>497</v>
      </c>
      <c r="C351" s="1" t="s">
        <v>335</v>
      </c>
      <c r="D351" s="42">
        <v>31000</v>
      </c>
      <c r="E351" s="70">
        <v>143105.28</v>
      </c>
      <c r="F351" s="45">
        <f>50000+92206</f>
        <v>142206</v>
      </c>
      <c r="G351" s="45">
        <v>50000</v>
      </c>
      <c r="H351" s="68">
        <v>26825</v>
      </c>
      <c r="I351" s="74"/>
      <c r="J351" s="75">
        <v>0</v>
      </c>
      <c r="K351" s="76">
        <v>0</v>
      </c>
      <c r="L351" s="77">
        <v>0</v>
      </c>
      <c r="M351" s="77">
        <v>0</v>
      </c>
      <c r="N351" s="53">
        <v>0</v>
      </c>
      <c r="O351" s="52">
        <v>5140</v>
      </c>
      <c r="P351" s="53">
        <v>88143.33</v>
      </c>
      <c r="Q351" s="54">
        <v>10315.67</v>
      </c>
      <c r="R351" s="1"/>
      <c r="S351" s="1"/>
      <c r="T351" s="1"/>
    </row>
    <row r="352" spans="1:20" ht="13.5" customHeight="1" x14ac:dyDescent="0.25">
      <c r="A352" s="1"/>
      <c r="B352" s="1"/>
      <c r="C352" s="1"/>
      <c r="D352" s="56">
        <v>31000</v>
      </c>
      <c r="E352" s="57">
        <f t="shared" ref="E352" si="109">SUM(E351)</f>
        <v>143105.28</v>
      </c>
      <c r="F352" s="58">
        <f>SUM(F350:F351)</f>
        <v>142206</v>
      </c>
      <c r="G352" s="58">
        <v>50000</v>
      </c>
      <c r="H352" s="59">
        <f>SUM(H351)</f>
        <v>26825</v>
      </c>
      <c r="I352" s="59"/>
      <c r="J352" s="60">
        <f t="shared" ref="J352:Q352" si="110">SUM(J351)</f>
        <v>0</v>
      </c>
      <c r="K352" s="61">
        <f t="shared" si="110"/>
        <v>0</v>
      </c>
      <c r="L352" s="62">
        <f t="shared" si="110"/>
        <v>0</v>
      </c>
      <c r="M352" s="62">
        <f t="shared" si="110"/>
        <v>0</v>
      </c>
      <c r="N352" s="63">
        <f t="shared" si="110"/>
        <v>0</v>
      </c>
      <c r="O352" s="64">
        <f t="shared" si="110"/>
        <v>5140</v>
      </c>
      <c r="P352" s="63">
        <f t="shared" si="110"/>
        <v>88143.33</v>
      </c>
      <c r="Q352" s="65">
        <f t="shared" si="110"/>
        <v>10315.67</v>
      </c>
      <c r="R352" s="1"/>
      <c r="S352" s="1"/>
      <c r="T352" s="1"/>
    </row>
    <row r="353" spans="1:20" ht="13.5" customHeight="1" thickBot="1" x14ac:dyDescent="0.3">
      <c r="A353" s="1"/>
      <c r="B353" s="1"/>
      <c r="C353" s="116" t="s">
        <v>498</v>
      </c>
      <c r="D353" s="267">
        <v>575171.45760000008</v>
      </c>
      <c r="E353" s="173">
        <f t="shared" ref="E353" si="111">SUM(E317+E324+E334+E349+E352)</f>
        <v>430402.74</v>
      </c>
      <c r="F353" s="174">
        <f>SUM(F317,F324,F334,F349,F352)</f>
        <v>649308.40700000001</v>
      </c>
      <c r="G353" s="174">
        <v>557102.40700000001</v>
      </c>
      <c r="H353" s="175">
        <f>SUM(H317+H324+H334+H349+H352)</f>
        <v>446431.51</v>
      </c>
      <c r="I353" s="175"/>
      <c r="J353" s="176">
        <f t="shared" ref="J353:Q353" si="112">SUM(J317+J324+J334+J349+J352)</f>
        <v>421102</v>
      </c>
      <c r="K353" s="177">
        <f t="shared" si="112"/>
        <v>421102</v>
      </c>
      <c r="L353" s="178">
        <f t="shared" si="112"/>
        <v>457556.56999999995</v>
      </c>
      <c r="M353" s="178">
        <f t="shared" si="112"/>
        <v>376851.54</v>
      </c>
      <c r="N353" s="179">
        <f t="shared" si="112"/>
        <v>462343.80999999994</v>
      </c>
      <c r="O353" s="180">
        <f t="shared" si="112"/>
        <v>390038.18999999994</v>
      </c>
      <c r="P353" s="179">
        <f t="shared" si="112"/>
        <v>457734.11000000004</v>
      </c>
      <c r="Q353" s="181">
        <f t="shared" si="112"/>
        <v>305941.90999999997</v>
      </c>
      <c r="R353" s="1"/>
      <c r="S353" s="1"/>
      <c r="T353" s="1"/>
    </row>
    <row r="354" spans="1:20" ht="13.5" customHeight="1" thickTop="1" x14ac:dyDescent="0.25">
      <c r="A354" s="1"/>
      <c r="B354" s="1"/>
      <c r="C354" s="1"/>
      <c r="D354" s="42"/>
      <c r="E354" s="44"/>
      <c r="F354" s="45"/>
      <c r="G354" s="45"/>
      <c r="H354" s="66"/>
      <c r="I354" s="66"/>
      <c r="J354" s="48"/>
      <c r="K354" s="49"/>
      <c r="L354" s="50"/>
      <c r="M354" s="50"/>
      <c r="N354" s="51"/>
      <c r="O354" s="151"/>
      <c r="P354" s="51"/>
      <c r="Q354" s="152"/>
      <c r="R354" s="1"/>
      <c r="S354" s="1"/>
      <c r="T354" s="1"/>
    </row>
    <row r="355" spans="1:20" ht="13.5" customHeight="1" x14ac:dyDescent="0.25">
      <c r="A355" s="1"/>
      <c r="B355" s="1"/>
      <c r="C355" s="1"/>
      <c r="D355" s="42"/>
      <c r="E355" s="44"/>
      <c r="F355" s="45"/>
      <c r="G355" s="45"/>
      <c r="H355" s="66"/>
      <c r="I355" s="66"/>
      <c r="J355" s="48"/>
      <c r="K355" s="49"/>
      <c r="L355" s="50"/>
      <c r="M355" s="50"/>
      <c r="N355" s="51"/>
      <c r="O355" s="151"/>
      <c r="P355" s="51"/>
      <c r="Q355" s="152"/>
      <c r="R355" s="1"/>
      <c r="S355" s="1"/>
      <c r="T355" s="1"/>
    </row>
    <row r="356" spans="1:20" ht="13.5" customHeight="1" x14ac:dyDescent="0.25">
      <c r="A356" s="1"/>
      <c r="B356" s="1"/>
      <c r="C356" s="41" t="s">
        <v>499</v>
      </c>
      <c r="D356" s="72"/>
      <c r="E356" s="44"/>
      <c r="F356" s="73"/>
      <c r="G356" s="73"/>
      <c r="H356" s="66"/>
      <c r="I356" s="47"/>
      <c r="J356" s="48"/>
      <c r="K356" s="49"/>
      <c r="L356" s="77"/>
      <c r="M356" s="77"/>
      <c r="N356" s="53"/>
      <c r="O356" s="52"/>
      <c r="P356" s="53"/>
      <c r="Q356" s="54"/>
      <c r="R356" s="1"/>
      <c r="S356" s="1"/>
      <c r="T356" s="1"/>
    </row>
    <row r="357" spans="1:20" ht="13.5" customHeight="1" x14ac:dyDescent="0.25">
      <c r="A357" s="1"/>
      <c r="B357" s="1" t="s">
        <v>500</v>
      </c>
      <c r="C357" s="55" t="s">
        <v>237</v>
      </c>
      <c r="D357" s="42">
        <v>16500</v>
      </c>
      <c r="E357" s="43">
        <v>7337.2</v>
      </c>
      <c r="F357" s="73">
        <v>16500</v>
      </c>
      <c r="G357" s="73">
        <v>16500</v>
      </c>
      <c r="H357" s="46">
        <v>6195.8</v>
      </c>
      <c r="I357" s="47"/>
      <c r="J357" s="48">
        <v>2305</v>
      </c>
      <c r="K357" s="49">
        <v>0</v>
      </c>
      <c r="L357" s="50">
        <v>11377</v>
      </c>
      <c r="M357" s="50">
        <v>18940.53</v>
      </c>
      <c r="N357" s="51">
        <v>16555.48</v>
      </c>
      <c r="O357" s="151">
        <v>17353.8</v>
      </c>
      <c r="P357" s="51">
        <v>16220.46</v>
      </c>
      <c r="Q357" s="152">
        <v>15299.34</v>
      </c>
      <c r="R357" s="1"/>
      <c r="S357" s="1"/>
      <c r="T357" s="1"/>
    </row>
    <row r="358" spans="1:20" ht="13.5" customHeight="1" x14ac:dyDescent="0.25">
      <c r="A358" s="1"/>
      <c r="B358" s="1"/>
      <c r="C358" s="1"/>
      <c r="D358" s="56">
        <v>16500</v>
      </c>
      <c r="E358" s="57">
        <f t="shared" ref="E358" si="113">SUM(E355:E357)</f>
        <v>7337.2</v>
      </c>
      <c r="F358" s="58">
        <f>SUM(F356:F357)</f>
        <v>16500</v>
      </c>
      <c r="G358" s="58">
        <v>16500</v>
      </c>
      <c r="H358" s="59">
        <f>SUM(H355:H357)</f>
        <v>6195.8</v>
      </c>
      <c r="I358" s="59"/>
      <c r="J358" s="60">
        <f t="shared" ref="J358:Q358" si="114">SUM(J355:J357)</f>
        <v>2305</v>
      </c>
      <c r="K358" s="61">
        <f t="shared" si="114"/>
        <v>0</v>
      </c>
      <c r="L358" s="62">
        <f t="shared" si="114"/>
        <v>11377</v>
      </c>
      <c r="M358" s="62">
        <f t="shared" si="114"/>
        <v>18940.53</v>
      </c>
      <c r="N358" s="63">
        <f t="shared" si="114"/>
        <v>16555.48</v>
      </c>
      <c r="O358" s="64">
        <f t="shared" si="114"/>
        <v>17353.8</v>
      </c>
      <c r="P358" s="63">
        <f t="shared" si="114"/>
        <v>16220.46</v>
      </c>
      <c r="Q358" s="65">
        <f t="shared" si="114"/>
        <v>15299.34</v>
      </c>
      <c r="R358" s="1"/>
      <c r="S358" s="1"/>
      <c r="T358" s="1"/>
    </row>
    <row r="359" spans="1:20" ht="13.5" customHeight="1" x14ac:dyDescent="0.25">
      <c r="A359" s="1"/>
      <c r="B359" s="1"/>
      <c r="C359" s="1"/>
      <c r="D359" s="42"/>
      <c r="E359" s="44"/>
      <c r="F359" s="45"/>
      <c r="G359" s="45"/>
      <c r="H359" s="66"/>
      <c r="I359" s="66"/>
      <c r="J359" s="48"/>
      <c r="K359" s="49"/>
      <c r="L359" s="50"/>
      <c r="M359" s="50"/>
      <c r="N359" s="51"/>
      <c r="O359" s="151"/>
      <c r="P359" s="51"/>
      <c r="Q359" s="152"/>
      <c r="R359" s="1"/>
      <c r="S359" s="1"/>
      <c r="T359" s="1"/>
    </row>
    <row r="360" spans="1:20" ht="13.5" customHeight="1" x14ac:dyDescent="0.25">
      <c r="A360" s="1"/>
      <c r="B360" s="1" t="s">
        <v>501</v>
      </c>
      <c r="C360" s="1" t="s">
        <v>247</v>
      </c>
      <c r="D360" s="42">
        <v>1262.25</v>
      </c>
      <c r="E360" s="43">
        <v>561.29</v>
      </c>
      <c r="F360" s="45">
        <v>1262.25</v>
      </c>
      <c r="G360" s="45">
        <v>1262.25</v>
      </c>
      <c r="H360" s="46">
        <v>473.99</v>
      </c>
      <c r="I360" s="47"/>
      <c r="J360" s="48">
        <v>177</v>
      </c>
      <c r="K360" s="49">
        <v>0</v>
      </c>
      <c r="L360" s="50">
        <v>870.33</v>
      </c>
      <c r="M360" s="50">
        <v>3031</v>
      </c>
      <c r="N360" s="51">
        <v>1217.58</v>
      </c>
      <c r="O360" s="151">
        <v>1313.11</v>
      </c>
      <c r="P360" s="51">
        <v>1255.33</v>
      </c>
      <c r="Q360" s="152">
        <v>1166.1600000000001</v>
      </c>
      <c r="R360" s="1"/>
      <c r="S360" s="1"/>
      <c r="T360" s="1"/>
    </row>
    <row r="361" spans="1:20" ht="13.5" customHeight="1" x14ac:dyDescent="0.25">
      <c r="A361" s="1"/>
      <c r="B361" s="1" t="s">
        <v>502</v>
      </c>
      <c r="C361" s="1" t="s">
        <v>251</v>
      </c>
      <c r="D361" s="42">
        <v>2478.3000000000002</v>
      </c>
      <c r="E361" s="43">
        <v>1102.05</v>
      </c>
      <c r="F361" s="45">
        <v>2478.3000000000002</v>
      </c>
      <c r="G361" s="45">
        <v>2478.3000000000002</v>
      </c>
      <c r="H361" s="46">
        <v>869.07</v>
      </c>
      <c r="I361" s="47"/>
      <c r="J361" s="48">
        <v>335</v>
      </c>
      <c r="K361" s="49">
        <v>0</v>
      </c>
      <c r="L361" s="50">
        <v>1647.42</v>
      </c>
      <c r="M361" s="50">
        <v>1653.85</v>
      </c>
      <c r="N361" s="51">
        <v>2275.39</v>
      </c>
      <c r="O361" s="151">
        <v>2348.37</v>
      </c>
      <c r="P361" s="51">
        <v>2327.56</v>
      </c>
      <c r="Q361" s="152">
        <v>1849.32</v>
      </c>
      <c r="R361" s="1"/>
      <c r="S361" s="1"/>
      <c r="T361" s="1"/>
    </row>
    <row r="362" spans="1:20" ht="13.5" customHeight="1" x14ac:dyDescent="0.25">
      <c r="A362" s="1"/>
      <c r="B362" s="1" t="s">
        <v>503</v>
      </c>
      <c r="C362" s="1" t="s">
        <v>253</v>
      </c>
      <c r="D362" s="42">
        <v>26.400000000000002</v>
      </c>
      <c r="E362" s="43">
        <v>11.75</v>
      </c>
      <c r="F362" s="45">
        <v>26.400000000000002</v>
      </c>
      <c r="G362" s="45">
        <v>26.400000000000002</v>
      </c>
      <c r="H362" s="46">
        <v>9.5399999999999991</v>
      </c>
      <c r="I362" s="47"/>
      <c r="J362" s="48">
        <v>4</v>
      </c>
      <c r="K362" s="49">
        <v>0</v>
      </c>
      <c r="L362" s="50">
        <v>21</v>
      </c>
      <c r="M362" s="50">
        <v>8.16</v>
      </c>
      <c r="N362" s="51">
        <v>39.26</v>
      </c>
      <c r="O362" s="151">
        <v>46.16</v>
      </c>
      <c r="P362" s="51">
        <v>40.53</v>
      </c>
      <c r="Q362" s="152">
        <v>3650</v>
      </c>
      <c r="R362" s="1"/>
      <c r="S362" s="1"/>
      <c r="T362" s="1"/>
    </row>
    <row r="363" spans="1:20" ht="13.5" customHeight="1" x14ac:dyDescent="0.25">
      <c r="A363" s="1"/>
      <c r="B363" s="1"/>
      <c r="C363" s="1"/>
      <c r="D363" s="56">
        <v>3766.9500000000003</v>
      </c>
      <c r="E363" s="57">
        <f t="shared" ref="E363" si="115">SUM(E360:E362)</f>
        <v>1675.09</v>
      </c>
      <c r="F363" s="58">
        <f>SUM(F359:F362)</f>
        <v>3766.9500000000003</v>
      </c>
      <c r="G363" s="58">
        <v>3766.9500000000003</v>
      </c>
      <c r="H363" s="59">
        <f>SUM(H360:H362)</f>
        <v>1352.6</v>
      </c>
      <c r="I363" s="59"/>
      <c r="J363" s="60">
        <f t="shared" ref="J363:Q363" si="116">SUM(J360:J362)</f>
        <v>516</v>
      </c>
      <c r="K363" s="61">
        <f t="shared" si="116"/>
        <v>0</v>
      </c>
      <c r="L363" s="62">
        <f t="shared" si="116"/>
        <v>2538.75</v>
      </c>
      <c r="M363" s="62">
        <f t="shared" si="116"/>
        <v>4693.01</v>
      </c>
      <c r="N363" s="63">
        <f t="shared" si="116"/>
        <v>3532.23</v>
      </c>
      <c r="O363" s="64">
        <f t="shared" si="116"/>
        <v>3707.6399999999994</v>
      </c>
      <c r="P363" s="63">
        <f t="shared" si="116"/>
        <v>3623.42</v>
      </c>
      <c r="Q363" s="65">
        <f t="shared" si="116"/>
        <v>6665.48</v>
      </c>
      <c r="R363" s="1"/>
      <c r="S363" s="1"/>
      <c r="T363" s="1"/>
    </row>
    <row r="364" spans="1:20" ht="13.5" customHeight="1" x14ac:dyDescent="0.25">
      <c r="A364" s="1"/>
      <c r="B364" s="1"/>
      <c r="C364" s="1"/>
      <c r="D364" s="42"/>
      <c r="E364" s="44"/>
      <c r="F364" s="45"/>
      <c r="G364" s="45"/>
      <c r="H364" s="66"/>
      <c r="I364" s="66"/>
      <c r="J364" s="48"/>
      <c r="K364" s="49"/>
      <c r="L364" s="50"/>
      <c r="M364" s="50"/>
      <c r="N364" s="51"/>
      <c r="O364" s="151"/>
      <c r="P364" s="51"/>
      <c r="Q364" s="152"/>
      <c r="R364" s="1"/>
      <c r="S364" s="1"/>
      <c r="T364" s="1"/>
    </row>
    <row r="365" spans="1:20" ht="13.5" customHeight="1" x14ac:dyDescent="0.25">
      <c r="A365" s="1"/>
      <c r="B365" s="1" t="s">
        <v>504</v>
      </c>
      <c r="C365" s="1" t="s">
        <v>259</v>
      </c>
      <c r="D365" s="42">
        <v>300</v>
      </c>
      <c r="E365" s="43">
        <v>78.989999999999995</v>
      </c>
      <c r="F365" s="45">
        <v>300</v>
      </c>
      <c r="G365" s="45">
        <v>300</v>
      </c>
      <c r="H365" s="46">
        <v>37.94</v>
      </c>
      <c r="I365" s="47"/>
      <c r="J365" s="48">
        <v>34</v>
      </c>
      <c r="K365" s="49">
        <v>0</v>
      </c>
      <c r="L365" s="50">
        <v>260.48</v>
      </c>
      <c r="M365" s="50">
        <v>602.16</v>
      </c>
      <c r="N365" s="51">
        <v>81.14</v>
      </c>
      <c r="O365" s="151">
        <v>91.7</v>
      </c>
      <c r="P365" s="51">
        <v>136.99</v>
      </c>
      <c r="Q365" s="152">
        <v>158.38999999999999</v>
      </c>
      <c r="R365" s="1"/>
      <c r="S365" s="1"/>
      <c r="T365" s="1"/>
    </row>
    <row r="366" spans="1:20" ht="13.5" customHeight="1" x14ac:dyDescent="0.25">
      <c r="A366" s="1"/>
      <c r="B366" s="1" t="s">
        <v>505</v>
      </c>
      <c r="C366" s="1" t="s">
        <v>261</v>
      </c>
      <c r="D366" s="42">
        <v>300</v>
      </c>
      <c r="E366" s="43">
        <v>0</v>
      </c>
      <c r="F366" s="45">
        <v>300</v>
      </c>
      <c r="G366" s="45">
        <v>300</v>
      </c>
      <c r="H366" s="66">
        <v>16.55</v>
      </c>
      <c r="I366" s="47"/>
      <c r="J366" s="48">
        <v>17</v>
      </c>
      <c r="K366" s="49">
        <v>0</v>
      </c>
      <c r="L366" s="50">
        <v>107.18</v>
      </c>
      <c r="M366" s="50">
        <v>293.39</v>
      </c>
      <c r="N366" s="51">
        <v>140.86000000000001</v>
      </c>
      <c r="O366" s="151">
        <v>0</v>
      </c>
      <c r="P366" s="51">
        <v>0</v>
      </c>
      <c r="Q366" s="152">
        <v>0</v>
      </c>
      <c r="R366" s="1"/>
      <c r="S366" s="1"/>
      <c r="T366" s="1"/>
    </row>
    <row r="367" spans="1:20" ht="13.5" customHeight="1" x14ac:dyDescent="0.25">
      <c r="A367" s="1"/>
      <c r="B367" s="1" t="s">
        <v>506</v>
      </c>
      <c r="C367" s="1" t="s">
        <v>435</v>
      </c>
      <c r="D367" s="42">
        <v>250</v>
      </c>
      <c r="E367" s="70">
        <v>0</v>
      </c>
      <c r="F367" s="45">
        <v>250</v>
      </c>
      <c r="G367" s="45">
        <v>250</v>
      </c>
      <c r="H367" s="74">
        <v>0</v>
      </c>
      <c r="I367" s="47"/>
      <c r="J367" s="75">
        <v>0</v>
      </c>
      <c r="K367" s="76">
        <v>0</v>
      </c>
      <c r="L367" s="77">
        <v>0</v>
      </c>
      <c r="M367" s="77">
        <v>656.62</v>
      </c>
      <c r="N367" s="53">
        <v>0</v>
      </c>
      <c r="O367" s="52">
        <v>0</v>
      </c>
      <c r="P367" s="53">
        <v>0</v>
      </c>
      <c r="Q367" s="54">
        <v>0</v>
      </c>
      <c r="R367" s="1"/>
      <c r="S367" s="1"/>
      <c r="T367" s="1"/>
    </row>
    <row r="368" spans="1:20" ht="13.5" customHeight="1" x14ac:dyDescent="0.25">
      <c r="A368" s="1"/>
      <c r="B368" s="1" t="s">
        <v>507</v>
      </c>
      <c r="C368" s="55" t="s">
        <v>265</v>
      </c>
      <c r="D368" s="42">
        <v>0</v>
      </c>
      <c r="E368" s="70">
        <v>0</v>
      </c>
      <c r="F368" s="73">
        <v>0</v>
      </c>
      <c r="G368" s="73">
        <v>0</v>
      </c>
      <c r="H368" s="74">
        <v>0</v>
      </c>
      <c r="I368" s="47"/>
      <c r="J368" s="48">
        <v>0</v>
      </c>
      <c r="K368" s="49">
        <v>0</v>
      </c>
      <c r="L368" s="50">
        <v>0</v>
      </c>
      <c r="M368" s="50">
        <v>0</v>
      </c>
      <c r="N368" s="51">
        <v>0</v>
      </c>
      <c r="O368" s="151">
        <v>0</v>
      </c>
      <c r="P368" s="51">
        <v>0</v>
      </c>
      <c r="Q368" s="152">
        <v>0</v>
      </c>
      <c r="R368" s="1"/>
      <c r="S368" s="1"/>
      <c r="T368" s="1"/>
    </row>
    <row r="369" spans="1:20" ht="13.5" customHeight="1" x14ac:dyDescent="0.25">
      <c r="A369" s="1"/>
      <c r="B369" s="1" t="s">
        <v>508</v>
      </c>
      <c r="C369" s="1" t="s">
        <v>438</v>
      </c>
      <c r="D369" s="42">
        <v>0</v>
      </c>
      <c r="E369" s="70">
        <v>0</v>
      </c>
      <c r="F369" s="73">
        <v>0</v>
      </c>
      <c r="G369" s="73">
        <v>0</v>
      </c>
      <c r="H369" s="74">
        <v>0</v>
      </c>
      <c r="I369" s="47"/>
      <c r="J369" s="75">
        <v>0</v>
      </c>
      <c r="K369" s="76">
        <v>0</v>
      </c>
      <c r="L369" s="77">
        <v>0</v>
      </c>
      <c r="M369" s="77">
        <v>0</v>
      </c>
      <c r="N369" s="53">
        <v>0</v>
      </c>
      <c r="O369" s="52">
        <v>0</v>
      </c>
      <c r="P369" s="53">
        <v>0</v>
      </c>
      <c r="Q369" s="54">
        <v>0</v>
      </c>
      <c r="R369" s="1"/>
      <c r="S369" s="1"/>
      <c r="T369" s="1"/>
    </row>
    <row r="370" spans="1:20" ht="13.5" customHeight="1" x14ac:dyDescent="0.25">
      <c r="A370" s="1"/>
      <c r="B370" s="1" t="s">
        <v>509</v>
      </c>
      <c r="C370" s="1" t="s">
        <v>267</v>
      </c>
      <c r="D370" s="42">
        <v>200</v>
      </c>
      <c r="E370" s="70">
        <v>0</v>
      </c>
      <c r="F370" s="73">
        <v>200</v>
      </c>
      <c r="G370" s="73">
        <v>200</v>
      </c>
      <c r="H370" s="74">
        <v>0</v>
      </c>
      <c r="I370" s="47"/>
      <c r="J370" s="75">
        <v>0</v>
      </c>
      <c r="K370" s="76">
        <v>0</v>
      </c>
      <c r="L370" s="77">
        <v>0</v>
      </c>
      <c r="M370" s="77">
        <v>284.99</v>
      </c>
      <c r="N370" s="53">
        <v>0</v>
      </c>
      <c r="O370" s="52">
        <v>0</v>
      </c>
      <c r="P370" s="53">
        <v>0</v>
      </c>
      <c r="Q370" s="54">
        <v>0</v>
      </c>
      <c r="R370" s="1"/>
      <c r="S370" s="1"/>
      <c r="T370" s="1"/>
    </row>
    <row r="371" spans="1:20" ht="13.5" customHeight="1" x14ac:dyDescent="0.25">
      <c r="A371" s="1"/>
      <c r="B371" s="1"/>
      <c r="C371" s="1"/>
      <c r="D371" s="88">
        <v>1050</v>
      </c>
      <c r="E371" s="89">
        <f t="shared" ref="E371" si="117">SUM(E365:E370)</f>
        <v>78.989999999999995</v>
      </c>
      <c r="F371" s="90">
        <f>SUM(F364:F370)</f>
        <v>1050</v>
      </c>
      <c r="G371" s="90">
        <v>1050</v>
      </c>
      <c r="H371" s="91">
        <f>SUM(H365:H370)</f>
        <v>54.489999999999995</v>
      </c>
      <c r="I371" s="91"/>
      <c r="J371" s="92">
        <f t="shared" ref="J371:Q371" si="118">SUM(J365:J370)</f>
        <v>51</v>
      </c>
      <c r="K371" s="93">
        <f t="shared" si="118"/>
        <v>0</v>
      </c>
      <c r="L371" s="94">
        <f t="shared" si="118"/>
        <v>367.66</v>
      </c>
      <c r="M371" s="94">
        <f t="shared" si="118"/>
        <v>1837.16</v>
      </c>
      <c r="N371" s="95">
        <f t="shared" si="118"/>
        <v>222</v>
      </c>
      <c r="O371" s="96">
        <f t="shared" si="118"/>
        <v>91.7</v>
      </c>
      <c r="P371" s="95">
        <f t="shared" si="118"/>
        <v>136.99</v>
      </c>
      <c r="Q371" s="97">
        <f t="shared" si="118"/>
        <v>158.38999999999999</v>
      </c>
      <c r="R371" s="1"/>
      <c r="S371" s="1"/>
      <c r="T371" s="1"/>
    </row>
    <row r="372" spans="1:20" ht="13.5" customHeight="1" x14ac:dyDescent="0.25">
      <c r="A372" s="1"/>
      <c r="B372" s="1"/>
      <c r="C372" s="1"/>
      <c r="D372" s="72"/>
      <c r="E372" s="67"/>
      <c r="F372" s="73"/>
      <c r="G372" s="73"/>
      <c r="H372" s="74"/>
      <c r="I372" s="74"/>
      <c r="J372" s="75"/>
      <c r="K372" s="76"/>
      <c r="L372" s="77"/>
      <c r="M372" s="77"/>
      <c r="N372" s="53"/>
      <c r="O372" s="52"/>
      <c r="P372" s="53"/>
      <c r="Q372" s="54"/>
      <c r="R372" s="1"/>
      <c r="S372" s="1"/>
      <c r="T372" s="1"/>
    </row>
    <row r="373" spans="1:20" ht="13.5" customHeight="1" x14ac:dyDescent="0.25">
      <c r="A373" s="1"/>
      <c r="B373" s="1" t="s">
        <v>510</v>
      </c>
      <c r="C373" s="55" t="s">
        <v>273</v>
      </c>
      <c r="D373" s="42">
        <v>280</v>
      </c>
      <c r="E373" s="70">
        <v>134.55000000000001</v>
      </c>
      <c r="F373" s="45">
        <v>0</v>
      </c>
      <c r="G373" s="45">
        <v>0</v>
      </c>
      <c r="H373" s="74">
        <v>0</v>
      </c>
      <c r="I373" s="47"/>
      <c r="J373" s="48">
        <v>0</v>
      </c>
      <c r="K373" s="49">
        <v>0</v>
      </c>
      <c r="L373" s="50">
        <v>0</v>
      </c>
      <c r="M373" s="50">
        <v>0</v>
      </c>
      <c r="N373" s="51">
        <v>0</v>
      </c>
      <c r="O373" s="151">
        <v>0</v>
      </c>
      <c r="P373" s="51">
        <v>0</v>
      </c>
      <c r="Q373" s="152">
        <v>0</v>
      </c>
      <c r="R373" s="1"/>
      <c r="S373" s="1"/>
      <c r="T373" s="1"/>
    </row>
    <row r="374" spans="1:20" ht="13.5" customHeight="1" x14ac:dyDescent="0.25">
      <c r="A374" s="1"/>
      <c r="B374" s="1" t="s">
        <v>511</v>
      </c>
      <c r="C374" s="1" t="s">
        <v>275</v>
      </c>
      <c r="D374" s="42">
        <v>1100</v>
      </c>
      <c r="E374" s="43">
        <v>571.4</v>
      </c>
      <c r="F374" s="45">
        <v>1100</v>
      </c>
      <c r="G374" s="45">
        <v>1100</v>
      </c>
      <c r="H374" s="46">
        <v>647.32000000000005</v>
      </c>
      <c r="I374" s="47"/>
      <c r="J374" s="48">
        <v>0</v>
      </c>
      <c r="K374" s="49">
        <v>0</v>
      </c>
      <c r="L374" s="50">
        <v>1073.05</v>
      </c>
      <c r="M374" s="50">
        <v>0</v>
      </c>
      <c r="N374" s="51">
        <v>0</v>
      </c>
      <c r="O374" s="151">
        <v>0</v>
      </c>
      <c r="P374" s="51">
        <v>0</v>
      </c>
      <c r="Q374" s="152">
        <v>0</v>
      </c>
      <c r="R374" s="1"/>
      <c r="S374" s="1"/>
      <c r="T374" s="1"/>
    </row>
    <row r="375" spans="1:20" ht="13.5" customHeight="1" x14ac:dyDescent="0.25">
      <c r="A375" s="1"/>
      <c r="B375" s="1" t="s">
        <v>512</v>
      </c>
      <c r="C375" s="1" t="s">
        <v>482</v>
      </c>
      <c r="D375" s="42">
        <v>450</v>
      </c>
      <c r="E375" s="43">
        <v>0</v>
      </c>
      <c r="F375" s="45">
        <v>0</v>
      </c>
      <c r="G375" s="45">
        <v>0</v>
      </c>
      <c r="H375" s="66">
        <v>0</v>
      </c>
      <c r="I375" s="47"/>
      <c r="J375" s="48">
        <v>0</v>
      </c>
      <c r="K375" s="49">
        <v>0</v>
      </c>
      <c r="L375" s="50">
        <v>0</v>
      </c>
      <c r="M375" s="50">
        <v>0</v>
      </c>
      <c r="N375" s="51">
        <v>0</v>
      </c>
      <c r="O375" s="151">
        <v>0</v>
      </c>
      <c r="P375" s="51">
        <v>0</v>
      </c>
      <c r="Q375" s="152">
        <v>0</v>
      </c>
      <c r="R375" s="1"/>
      <c r="S375" s="1"/>
      <c r="T375" s="1"/>
    </row>
    <row r="376" spans="1:20" ht="13.5" customHeight="1" x14ac:dyDescent="0.25">
      <c r="A376" s="1"/>
      <c r="B376" s="1" t="s">
        <v>513</v>
      </c>
      <c r="C376" s="1" t="s">
        <v>484</v>
      </c>
      <c r="D376" s="42">
        <v>0</v>
      </c>
      <c r="E376" s="70">
        <v>0</v>
      </c>
      <c r="F376" s="45">
        <v>0</v>
      </c>
      <c r="G376" s="45">
        <v>0</v>
      </c>
      <c r="H376" s="74">
        <v>0</v>
      </c>
      <c r="I376" s="47"/>
      <c r="J376" s="48">
        <v>0</v>
      </c>
      <c r="K376" s="49">
        <v>0</v>
      </c>
      <c r="L376" s="50">
        <v>0</v>
      </c>
      <c r="M376" s="50">
        <v>0</v>
      </c>
      <c r="N376" s="51">
        <v>0</v>
      </c>
      <c r="O376" s="151">
        <v>0</v>
      </c>
      <c r="P376" s="51">
        <v>0</v>
      </c>
      <c r="Q376" s="152">
        <v>0</v>
      </c>
      <c r="R376" s="1"/>
      <c r="S376" s="1"/>
      <c r="T376" s="1"/>
    </row>
    <row r="377" spans="1:20" ht="13.5" customHeight="1" x14ac:dyDescent="0.25">
      <c r="A377" s="1"/>
      <c r="B377" s="1" t="s">
        <v>514</v>
      </c>
      <c r="C377" s="1" t="s">
        <v>435</v>
      </c>
      <c r="D377" s="42">
        <v>0</v>
      </c>
      <c r="E377" s="70">
        <v>0</v>
      </c>
      <c r="F377" s="45">
        <v>0</v>
      </c>
      <c r="G377" s="45">
        <v>0</v>
      </c>
      <c r="H377" s="74">
        <v>0</v>
      </c>
      <c r="I377" s="47"/>
      <c r="J377" s="48">
        <v>0</v>
      </c>
      <c r="K377" s="49">
        <v>0</v>
      </c>
      <c r="L377" s="50">
        <v>0</v>
      </c>
      <c r="M377" s="50">
        <v>0</v>
      </c>
      <c r="N377" s="51">
        <v>0</v>
      </c>
      <c r="O377" s="151">
        <v>0</v>
      </c>
      <c r="P377" s="51">
        <v>0</v>
      </c>
      <c r="Q377" s="152">
        <v>0</v>
      </c>
      <c r="R377" s="1"/>
      <c r="S377" s="1"/>
      <c r="T377" s="1"/>
    </row>
    <row r="378" spans="1:20" ht="13.5" customHeight="1" x14ac:dyDescent="0.25">
      <c r="A378" s="1"/>
      <c r="B378" s="1" t="s">
        <v>515</v>
      </c>
      <c r="C378" s="1" t="s">
        <v>279</v>
      </c>
      <c r="D378" s="42">
        <v>0</v>
      </c>
      <c r="E378" s="43">
        <v>0</v>
      </c>
      <c r="F378" s="45">
        <v>0</v>
      </c>
      <c r="G378" s="45">
        <v>0</v>
      </c>
      <c r="H378" s="66">
        <v>0</v>
      </c>
      <c r="I378" s="47"/>
      <c r="J378" s="48">
        <v>0</v>
      </c>
      <c r="K378" s="49">
        <v>0</v>
      </c>
      <c r="L378" s="50">
        <v>0</v>
      </c>
      <c r="M378" s="50">
        <v>0</v>
      </c>
      <c r="N378" s="51">
        <v>0</v>
      </c>
      <c r="O378" s="151">
        <v>0</v>
      </c>
      <c r="P378" s="51">
        <v>0</v>
      </c>
      <c r="Q378" s="152">
        <v>0</v>
      </c>
      <c r="R378" s="1"/>
      <c r="S378" s="1"/>
      <c r="T378" s="1"/>
    </row>
    <row r="379" spans="1:20" ht="13.5" customHeight="1" x14ac:dyDescent="0.25">
      <c r="A379" s="1"/>
      <c r="B379" s="1" t="s">
        <v>516</v>
      </c>
      <c r="C379" s="1" t="s">
        <v>281</v>
      </c>
      <c r="D379" s="42">
        <v>565</v>
      </c>
      <c r="E379" s="43">
        <v>69.52</v>
      </c>
      <c r="F379" s="45">
        <v>565</v>
      </c>
      <c r="G379" s="45">
        <v>565</v>
      </c>
      <c r="H379" s="66">
        <v>0</v>
      </c>
      <c r="I379" s="47"/>
      <c r="J379" s="48">
        <v>0</v>
      </c>
      <c r="K379" s="49">
        <v>0</v>
      </c>
      <c r="L379" s="50">
        <v>0</v>
      </c>
      <c r="M379" s="50">
        <v>0</v>
      </c>
      <c r="N379" s="51">
        <v>0</v>
      </c>
      <c r="O379" s="151">
        <v>0</v>
      </c>
      <c r="P379" s="51">
        <v>0</v>
      </c>
      <c r="Q379" s="152">
        <v>0</v>
      </c>
      <c r="R379" s="1"/>
      <c r="S379" s="1"/>
      <c r="T379" s="1"/>
    </row>
    <row r="380" spans="1:20" ht="13.5" customHeight="1" x14ac:dyDescent="0.25">
      <c r="A380" s="1"/>
      <c r="B380" s="1"/>
      <c r="C380" s="1"/>
      <c r="D380" s="56">
        <v>2395</v>
      </c>
      <c r="E380" s="57">
        <f t="shared" ref="E380" si="119">SUM(E373:E379)</f>
        <v>775.47</v>
      </c>
      <c r="F380" s="58">
        <f>SUM(F372:F379)</f>
        <v>1665</v>
      </c>
      <c r="G380" s="58">
        <v>1665</v>
      </c>
      <c r="H380" s="59">
        <f>SUM(H373:H379)</f>
        <v>647.32000000000005</v>
      </c>
      <c r="I380" s="59"/>
      <c r="J380" s="60">
        <f t="shared" ref="J380:Q380" si="120">SUM(J373:J379)</f>
        <v>0</v>
      </c>
      <c r="K380" s="61">
        <f t="shared" si="120"/>
        <v>0</v>
      </c>
      <c r="L380" s="62">
        <f t="shared" si="120"/>
        <v>1073.05</v>
      </c>
      <c r="M380" s="62">
        <f t="shared" si="120"/>
        <v>0</v>
      </c>
      <c r="N380" s="63">
        <f t="shared" si="120"/>
        <v>0</v>
      </c>
      <c r="O380" s="64">
        <f t="shared" si="120"/>
        <v>0</v>
      </c>
      <c r="P380" s="63">
        <f t="shared" si="120"/>
        <v>0</v>
      </c>
      <c r="Q380" s="65">
        <f t="shared" si="120"/>
        <v>0</v>
      </c>
      <c r="R380" s="1"/>
      <c r="S380" s="1"/>
      <c r="T380" s="1"/>
    </row>
    <row r="381" spans="1:20" ht="13.5" customHeight="1" x14ac:dyDescent="0.25">
      <c r="A381" s="1"/>
      <c r="B381" s="1"/>
      <c r="C381" s="1"/>
      <c r="D381" s="42"/>
      <c r="E381" s="44"/>
      <c r="F381" s="45"/>
      <c r="G381" s="45"/>
      <c r="H381" s="66"/>
      <c r="I381" s="66"/>
      <c r="J381" s="48"/>
      <c r="K381" s="49"/>
      <c r="L381" s="50"/>
      <c r="M381" s="50"/>
      <c r="N381" s="51"/>
      <c r="O381" s="151"/>
      <c r="P381" s="51"/>
      <c r="Q381" s="152"/>
      <c r="R381" s="1"/>
      <c r="S381" s="1"/>
      <c r="T381" s="1"/>
    </row>
    <row r="382" spans="1:20" ht="13.5" customHeight="1" x14ac:dyDescent="0.25">
      <c r="A382" s="1"/>
      <c r="B382" s="1" t="s">
        <v>517</v>
      </c>
      <c r="C382" s="1" t="s">
        <v>335</v>
      </c>
      <c r="D382" s="42">
        <v>0</v>
      </c>
      <c r="E382" s="70">
        <v>0</v>
      </c>
      <c r="F382" s="45">
        <v>0</v>
      </c>
      <c r="G382" s="45">
        <v>0</v>
      </c>
      <c r="H382" s="74">
        <v>0</v>
      </c>
      <c r="I382" s="74"/>
      <c r="J382" s="75">
        <v>0</v>
      </c>
      <c r="K382" s="76">
        <v>0</v>
      </c>
      <c r="L382" s="77">
        <v>0</v>
      </c>
      <c r="M382" s="77">
        <v>0</v>
      </c>
      <c r="N382" s="53">
        <v>0</v>
      </c>
      <c r="O382" s="52">
        <v>0</v>
      </c>
      <c r="P382" s="53">
        <v>0</v>
      </c>
      <c r="Q382" s="54">
        <v>0</v>
      </c>
      <c r="R382" s="1"/>
      <c r="S382" s="1"/>
      <c r="T382" s="1"/>
    </row>
    <row r="383" spans="1:20" ht="13.5" customHeight="1" x14ac:dyDescent="0.25">
      <c r="A383" s="1"/>
      <c r="B383" s="1"/>
      <c r="C383" s="1"/>
      <c r="D383" s="56">
        <v>0</v>
      </c>
      <c r="E383" s="57">
        <f t="shared" ref="E383" si="121">SUM(E382)</f>
        <v>0</v>
      </c>
      <c r="F383" s="58">
        <v>0</v>
      </c>
      <c r="G383" s="58">
        <v>0</v>
      </c>
      <c r="H383" s="59">
        <f>SUM(H382)</f>
        <v>0</v>
      </c>
      <c r="I383" s="59"/>
      <c r="J383" s="60">
        <f t="shared" ref="J383:Q383" si="122">SUM(J382)</f>
        <v>0</v>
      </c>
      <c r="K383" s="61">
        <f t="shared" si="122"/>
        <v>0</v>
      </c>
      <c r="L383" s="62">
        <f t="shared" si="122"/>
        <v>0</v>
      </c>
      <c r="M383" s="62">
        <f t="shared" si="122"/>
        <v>0</v>
      </c>
      <c r="N383" s="63">
        <f t="shared" si="122"/>
        <v>0</v>
      </c>
      <c r="O383" s="64">
        <f t="shared" si="122"/>
        <v>0</v>
      </c>
      <c r="P383" s="63">
        <f t="shared" si="122"/>
        <v>0</v>
      </c>
      <c r="Q383" s="65">
        <f t="shared" si="122"/>
        <v>0</v>
      </c>
      <c r="R383" s="1"/>
      <c r="S383" s="1"/>
      <c r="T383" s="1"/>
    </row>
    <row r="384" spans="1:20" ht="13.5" customHeight="1" thickBot="1" x14ac:dyDescent="0.3">
      <c r="A384" s="1"/>
      <c r="B384" s="1"/>
      <c r="C384" s="116" t="s">
        <v>518</v>
      </c>
      <c r="D384" s="267">
        <v>23711.95</v>
      </c>
      <c r="E384" s="173">
        <f t="shared" ref="E384" si="123">SUM(E358+E363+E371+E380+E383)</f>
        <v>9866.7499999999982</v>
      </c>
      <c r="F384" s="174">
        <f>SUM(F358,F363,F371,F380)</f>
        <v>22981.95</v>
      </c>
      <c r="G384" s="174">
        <v>22981.95</v>
      </c>
      <c r="H384" s="175">
        <f>SUM(H358+H363+H371+H380+H383)</f>
        <v>8250.2099999999991</v>
      </c>
      <c r="I384" s="175"/>
      <c r="J384" s="176">
        <f t="shared" ref="J384:Q384" si="124">SUM(J358+J363+J371+J380+J383)</f>
        <v>2872</v>
      </c>
      <c r="K384" s="177">
        <f t="shared" si="124"/>
        <v>0</v>
      </c>
      <c r="L384" s="178">
        <f t="shared" si="124"/>
        <v>15356.46</v>
      </c>
      <c r="M384" s="178">
        <f t="shared" si="124"/>
        <v>25470.7</v>
      </c>
      <c r="N384" s="179">
        <f t="shared" si="124"/>
        <v>20309.71</v>
      </c>
      <c r="O384" s="180">
        <f t="shared" si="124"/>
        <v>21153.14</v>
      </c>
      <c r="P384" s="179">
        <f t="shared" si="124"/>
        <v>19980.87</v>
      </c>
      <c r="Q384" s="181">
        <f t="shared" si="124"/>
        <v>22123.21</v>
      </c>
      <c r="R384" s="1"/>
      <c r="S384" s="1"/>
      <c r="T384" s="1"/>
    </row>
    <row r="385" spans="1:20" ht="13.5" customHeight="1" thickTop="1" x14ac:dyDescent="0.25">
      <c r="A385" s="1"/>
      <c r="B385" s="1"/>
      <c r="C385" s="41"/>
      <c r="D385" s="42"/>
      <c r="E385" s="67"/>
      <c r="F385" s="45"/>
      <c r="G385" s="45"/>
      <c r="H385" s="74"/>
      <c r="I385" s="74"/>
      <c r="J385" s="75"/>
      <c r="K385" s="76"/>
      <c r="L385" s="77"/>
      <c r="M385" s="77"/>
      <c r="N385" s="53"/>
      <c r="O385" s="52"/>
      <c r="P385" s="53"/>
      <c r="Q385" s="54"/>
      <c r="R385" s="1"/>
      <c r="S385" s="1"/>
      <c r="T385" s="1"/>
    </row>
    <row r="386" spans="1:20" ht="13.5" customHeight="1" x14ac:dyDescent="0.25">
      <c r="A386" s="1"/>
      <c r="B386" s="1"/>
      <c r="C386" s="41"/>
      <c r="D386" s="42"/>
      <c r="E386" s="67"/>
      <c r="F386" s="45"/>
      <c r="G386" s="45"/>
      <c r="H386" s="74"/>
      <c r="I386" s="74"/>
      <c r="J386" s="75"/>
      <c r="K386" s="76"/>
      <c r="L386" s="77"/>
      <c r="M386" s="77"/>
      <c r="N386" s="53"/>
      <c r="O386" s="52"/>
      <c r="P386" s="53"/>
      <c r="Q386" s="54"/>
      <c r="R386" s="1"/>
      <c r="S386" s="1"/>
      <c r="T386" s="1"/>
    </row>
    <row r="387" spans="1:20" ht="13.5" customHeight="1" x14ac:dyDescent="0.25">
      <c r="A387" s="1"/>
      <c r="B387" s="1"/>
      <c r="C387" s="41"/>
      <c r="D387" s="42"/>
      <c r="E387" s="67"/>
      <c r="F387" s="45"/>
      <c r="G387" s="45"/>
      <c r="H387" s="74"/>
      <c r="I387" s="74"/>
      <c r="J387" s="75"/>
      <c r="K387" s="76"/>
      <c r="L387" s="77"/>
      <c r="M387" s="77"/>
      <c r="N387" s="53"/>
      <c r="O387" s="52"/>
      <c r="P387" s="53"/>
      <c r="Q387" s="54"/>
      <c r="R387" s="1"/>
      <c r="S387" s="1"/>
      <c r="T387" s="1"/>
    </row>
    <row r="388" spans="1:20" ht="13.5" customHeight="1" x14ac:dyDescent="0.25">
      <c r="A388" s="1"/>
      <c r="B388" s="1"/>
      <c r="C388" s="41"/>
      <c r="D388" s="42"/>
      <c r="E388" s="67"/>
      <c r="F388" s="45"/>
      <c r="G388" s="45"/>
      <c r="H388" s="74"/>
      <c r="I388" s="74"/>
      <c r="J388" s="75"/>
      <c r="K388" s="76"/>
      <c r="L388" s="77"/>
      <c r="M388" s="77"/>
      <c r="N388" s="53"/>
      <c r="O388" s="52"/>
      <c r="P388" s="53"/>
      <c r="Q388" s="54"/>
      <c r="R388" s="1"/>
      <c r="S388" s="1"/>
      <c r="T388" s="1"/>
    </row>
    <row r="389" spans="1:20" ht="13.5" customHeight="1" x14ac:dyDescent="0.25">
      <c r="A389" s="1"/>
      <c r="B389" s="1"/>
      <c r="C389" s="41" t="s">
        <v>519</v>
      </c>
      <c r="D389" s="42"/>
      <c r="E389" s="67"/>
      <c r="F389" s="45"/>
      <c r="G389" s="45"/>
      <c r="H389" s="74"/>
      <c r="I389" s="74"/>
      <c r="J389" s="75"/>
      <c r="K389" s="76"/>
      <c r="L389" s="77"/>
      <c r="M389" s="77"/>
      <c r="N389" s="53"/>
      <c r="O389" s="52"/>
      <c r="P389" s="53"/>
      <c r="Q389" s="54"/>
      <c r="R389" s="1"/>
      <c r="S389" s="1"/>
      <c r="T389" s="1"/>
    </row>
    <row r="390" spans="1:20" ht="13.5" customHeight="1" x14ac:dyDescent="0.25">
      <c r="A390" s="1"/>
      <c r="B390" s="1" t="s">
        <v>520</v>
      </c>
      <c r="C390" s="1" t="s">
        <v>418</v>
      </c>
      <c r="D390" s="42">
        <v>94500</v>
      </c>
      <c r="E390" s="43">
        <v>44705.83</v>
      </c>
      <c r="F390" s="45">
        <v>94500</v>
      </c>
      <c r="G390" s="45">
        <v>94500</v>
      </c>
      <c r="H390" s="46">
        <v>79590.759999999995</v>
      </c>
      <c r="I390" s="47">
        <f t="shared" ref="I390:I391" si="125">H390/J390</f>
        <v>1.0074779746835443</v>
      </c>
      <c r="J390" s="48">
        <v>79000</v>
      </c>
      <c r="K390" s="49">
        <v>79000</v>
      </c>
      <c r="L390" s="50">
        <v>78453.429999999993</v>
      </c>
      <c r="M390" s="50">
        <v>76849.95</v>
      </c>
      <c r="N390" s="53">
        <v>75639.63</v>
      </c>
      <c r="O390" s="52">
        <v>139543.69</v>
      </c>
      <c r="P390" s="53">
        <v>140538.32999999999</v>
      </c>
      <c r="Q390" s="54">
        <v>130500.16</v>
      </c>
      <c r="R390" s="1"/>
      <c r="S390" s="1"/>
      <c r="T390" s="1"/>
    </row>
    <row r="391" spans="1:20" ht="13.5" customHeight="1" x14ac:dyDescent="0.25">
      <c r="A391" s="1"/>
      <c r="B391" s="1" t="s">
        <v>521</v>
      </c>
      <c r="C391" s="1" t="s">
        <v>420</v>
      </c>
      <c r="D391" s="42">
        <v>135461</v>
      </c>
      <c r="E391" s="43">
        <v>57916.38</v>
      </c>
      <c r="F391" s="45">
        <v>128772</v>
      </c>
      <c r="G391" s="45">
        <v>128772</v>
      </c>
      <c r="H391" s="46">
        <v>117337.38</v>
      </c>
      <c r="I391" s="47">
        <f t="shared" si="125"/>
        <v>0.97636322787864671</v>
      </c>
      <c r="J391" s="48">
        <v>120178</v>
      </c>
      <c r="K391" s="49">
        <v>120178</v>
      </c>
      <c r="L391" s="50">
        <v>115326.92</v>
      </c>
      <c r="M391" s="50">
        <v>107112.57</v>
      </c>
      <c r="N391" s="51">
        <v>107446.05</v>
      </c>
      <c r="O391" s="52">
        <v>105079.3</v>
      </c>
      <c r="P391" s="53">
        <v>101151.09</v>
      </c>
      <c r="Q391" s="54">
        <v>99055.31</v>
      </c>
      <c r="R391" s="1"/>
      <c r="S391" s="1"/>
      <c r="T391" s="1"/>
    </row>
    <row r="392" spans="1:20" ht="13.5" customHeight="1" x14ac:dyDescent="0.25">
      <c r="A392" s="1"/>
      <c r="B392" s="1" t="s">
        <v>522</v>
      </c>
      <c r="C392" s="1" t="s">
        <v>237</v>
      </c>
      <c r="D392" s="42">
        <v>0</v>
      </c>
      <c r="E392" s="70">
        <v>0</v>
      </c>
      <c r="F392" s="73">
        <v>0</v>
      </c>
      <c r="G392" s="73">
        <v>0</v>
      </c>
      <c r="H392" s="74">
        <v>0</v>
      </c>
      <c r="I392" s="47">
        <v>0</v>
      </c>
      <c r="J392" s="75">
        <v>0</v>
      </c>
      <c r="K392" s="76">
        <v>0</v>
      </c>
      <c r="L392" s="50">
        <v>450.72</v>
      </c>
      <c r="M392" s="77">
        <v>0</v>
      </c>
      <c r="N392" s="53" t="s">
        <v>16</v>
      </c>
      <c r="O392" s="52">
        <v>0</v>
      </c>
      <c r="P392" s="53">
        <v>4204.05</v>
      </c>
      <c r="Q392" s="54">
        <v>6244.62</v>
      </c>
      <c r="R392" s="1"/>
      <c r="S392" s="1"/>
      <c r="T392" s="1"/>
    </row>
    <row r="393" spans="1:20" ht="13.5" customHeight="1" x14ac:dyDescent="0.25">
      <c r="A393" s="1"/>
      <c r="B393" s="1" t="s">
        <v>523</v>
      </c>
      <c r="C393" s="1" t="s">
        <v>423</v>
      </c>
      <c r="D393" s="42">
        <v>0</v>
      </c>
      <c r="E393" s="43">
        <v>0</v>
      </c>
      <c r="F393" s="45">
        <v>0</v>
      </c>
      <c r="G393" s="45">
        <v>0</v>
      </c>
      <c r="H393" s="46">
        <v>4454.57</v>
      </c>
      <c r="I393" s="47">
        <f t="shared" ref="I393:I395" si="126">H393/J393</f>
        <v>0.97709366089054606</v>
      </c>
      <c r="J393" s="48">
        <v>4559</v>
      </c>
      <c r="K393" s="49">
        <v>4559</v>
      </c>
      <c r="L393" s="50">
        <v>4951.55</v>
      </c>
      <c r="M393" s="50">
        <v>6172.9</v>
      </c>
      <c r="N393" s="51">
        <v>5289.9</v>
      </c>
      <c r="O393" s="52">
        <v>4842.45</v>
      </c>
      <c r="P393" s="53">
        <v>8099.6</v>
      </c>
      <c r="Q393" s="54">
        <v>7863.3</v>
      </c>
      <c r="R393" s="1"/>
      <c r="S393" s="1"/>
      <c r="T393" s="1"/>
    </row>
    <row r="394" spans="1:20" ht="13.5" customHeight="1" x14ac:dyDescent="0.25">
      <c r="A394" s="1"/>
      <c r="B394" s="1" t="s">
        <v>524</v>
      </c>
      <c r="C394" s="1" t="s">
        <v>243</v>
      </c>
      <c r="D394" s="42">
        <v>9000</v>
      </c>
      <c r="E394" s="43">
        <v>4499.95</v>
      </c>
      <c r="F394" s="45">
        <v>9000</v>
      </c>
      <c r="G394" s="45">
        <v>9000</v>
      </c>
      <c r="H394" s="46">
        <v>8999.9</v>
      </c>
      <c r="I394" s="47">
        <f t="shared" si="126"/>
        <v>0.99998888888888882</v>
      </c>
      <c r="J394" s="48">
        <v>9000</v>
      </c>
      <c r="K394" s="49">
        <v>9000</v>
      </c>
      <c r="L394" s="50">
        <v>8999.9</v>
      </c>
      <c r="M394" s="50">
        <v>8999.9</v>
      </c>
      <c r="N394" s="51">
        <v>8999.9</v>
      </c>
      <c r="O394" s="52">
        <v>9242.3799999999992</v>
      </c>
      <c r="P394" s="53">
        <v>8999.9</v>
      </c>
      <c r="Q394" s="54">
        <v>8999.9</v>
      </c>
      <c r="R394" s="1"/>
      <c r="S394" s="1"/>
      <c r="T394" s="1"/>
    </row>
    <row r="395" spans="1:20" ht="13.5" customHeight="1" x14ac:dyDescent="0.25">
      <c r="A395" s="1"/>
      <c r="B395" s="1" t="s">
        <v>525</v>
      </c>
      <c r="C395" s="1" t="s">
        <v>245</v>
      </c>
      <c r="D395" s="42">
        <v>85500</v>
      </c>
      <c r="E395" s="43">
        <v>42749.98</v>
      </c>
      <c r="F395" s="45">
        <v>85500</v>
      </c>
      <c r="G395" s="45">
        <v>85500</v>
      </c>
      <c r="H395" s="46">
        <v>70000.06</v>
      </c>
      <c r="I395" s="47">
        <f t="shared" si="126"/>
        <v>1.0000008571428571</v>
      </c>
      <c r="J395" s="48">
        <v>70000</v>
      </c>
      <c r="K395" s="49">
        <v>70000</v>
      </c>
      <c r="L395" s="50">
        <v>70000.06</v>
      </c>
      <c r="M395" s="50">
        <v>70000.06</v>
      </c>
      <c r="N395" s="51">
        <v>70000.06</v>
      </c>
      <c r="O395" s="52">
        <v>0</v>
      </c>
      <c r="P395" s="53">
        <v>0</v>
      </c>
      <c r="Q395" s="54">
        <v>0</v>
      </c>
      <c r="R395" s="1"/>
      <c r="S395" s="1"/>
      <c r="T395" s="1"/>
    </row>
    <row r="396" spans="1:20" ht="13.5" customHeight="1" x14ac:dyDescent="0.25">
      <c r="A396" s="1"/>
      <c r="B396" s="1"/>
      <c r="C396" s="1"/>
      <c r="D396" s="56">
        <v>324461</v>
      </c>
      <c r="E396" s="57">
        <f t="shared" ref="E396" si="127">SUM(E390:E395)</f>
        <v>149872.13999999998</v>
      </c>
      <c r="F396" s="58">
        <f>SUM(F389:F395)</f>
        <v>317772</v>
      </c>
      <c r="G396" s="58">
        <v>317772</v>
      </c>
      <c r="H396" s="59">
        <f>SUM(H390:H395)</f>
        <v>280382.67000000004</v>
      </c>
      <c r="I396" s="59"/>
      <c r="J396" s="60">
        <f t="shared" ref="J396:N396" si="128">SUM(J390:J395)</f>
        <v>282737</v>
      </c>
      <c r="K396" s="61">
        <f t="shared" si="128"/>
        <v>282737</v>
      </c>
      <c r="L396" s="62">
        <f t="shared" si="128"/>
        <v>278182.57999999996</v>
      </c>
      <c r="M396" s="62">
        <f t="shared" si="128"/>
        <v>269135.38</v>
      </c>
      <c r="N396" s="63">
        <f t="shared" si="128"/>
        <v>267375.53999999998</v>
      </c>
      <c r="O396" s="64">
        <f t="shared" ref="O396:P396" si="129">SUM(O390:O394)</f>
        <v>258707.82</v>
      </c>
      <c r="P396" s="63">
        <f t="shared" si="129"/>
        <v>262992.96999999997</v>
      </c>
      <c r="Q396" s="65">
        <f>SUM(Q390:Q395)</f>
        <v>252663.28999999998</v>
      </c>
      <c r="R396" s="1"/>
      <c r="S396" s="1"/>
      <c r="T396" s="1"/>
    </row>
    <row r="397" spans="1:20" ht="13.5" customHeight="1" x14ac:dyDescent="0.25">
      <c r="A397" s="1"/>
      <c r="B397" s="1"/>
      <c r="C397" s="1"/>
      <c r="D397" s="42"/>
      <c r="E397" s="44"/>
      <c r="F397" s="45"/>
      <c r="G397" s="45"/>
      <c r="H397" s="66"/>
      <c r="I397" s="66"/>
      <c r="J397" s="48"/>
      <c r="K397" s="49"/>
      <c r="L397" s="50"/>
      <c r="M397" s="50"/>
      <c r="N397" s="51"/>
      <c r="O397" s="52"/>
      <c r="P397" s="53"/>
      <c r="Q397" s="54"/>
      <c r="R397" s="1"/>
      <c r="S397" s="1"/>
      <c r="T397" s="1"/>
    </row>
    <row r="398" spans="1:20" ht="13.5" customHeight="1" x14ac:dyDescent="0.25">
      <c r="A398" s="1"/>
      <c r="B398" s="1" t="s">
        <v>526</v>
      </c>
      <c r="C398" s="1" t="s">
        <v>247</v>
      </c>
      <c r="D398" s="42">
        <v>24821.266500000002</v>
      </c>
      <c r="E398" s="43">
        <v>10534.22</v>
      </c>
      <c r="F398" s="45">
        <v>24309.558000000001</v>
      </c>
      <c r="G398" s="45">
        <v>24309.558000000001</v>
      </c>
      <c r="H398" s="46">
        <v>18935.939999999999</v>
      </c>
      <c r="I398" s="47">
        <f t="shared" ref="I398:I402" si="130">H398/J398</f>
        <v>0.87544798890429953</v>
      </c>
      <c r="J398" s="48">
        <v>21630</v>
      </c>
      <c r="K398" s="49">
        <v>21630</v>
      </c>
      <c r="L398" s="50">
        <v>18642.05</v>
      </c>
      <c r="M398" s="50">
        <v>17874.14</v>
      </c>
      <c r="N398" s="51">
        <v>17398.97</v>
      </c>
      <c r="O398" s="52">
        <v>17235.96</v>
      </c>
      <c r="P398" s="53">
        <v>17548.23</v>
      </c>
      <c r="Q398" s="54">
        <v>17270.310000000001</v>
      </c>
      <c r="R398" s="1"/>
      <c r="S398" s="1"/>
      <c r="T398" s="1"/>
    </row>
    <row r="399" spans="1:20" ht="13.5" customHeight="1" x14ac:dyDescent="0.25">
      <c r="A399" s="1"/>
      <c r="B399" s="1" t="s">
        <v>527</v>
      </c>
      <c r="C399" s="1" t="s">
        <v>249</v>
      </c>
      <c r="D399" s="42">
        <v>31390.304400000001</v>
      </c>
      <c r="E399" s="43">
        <v>15534.54</v>
      </c>
      <c r="F399" s="45">
        <v>31389.820800000001</v>
      </c>
      <c r="G399" s="45">
        <v>31389.820800000001</v>
      </c>
      <c r="H399" s="46">
        <v>30528.18</v>
      </c>
      <c r="I399" s="47">
        <f t="shared" si="130"/>
        <v>0.9933031821435544</v>
      </c>
      <c r="J399" s="48">
        <v>30734</v>
      </c>
      <c r="K399" s="49">
        <v>30734</v>
      </c>
      <c r="L399" s="50">
        <v>29575</v>
      </c>
      <c r="M399" s="50">
        <v>30417</v>
      </c>
      <c r="N399" s="51">
        <v>30496.799999999999</v>
      </c>
      <c r="O399" s="52">
        <v>27000.880000000001</v>
      </c>
      <c r="P399" s="53">
        <v>29933.4</v>
      </c>
      <c r="Q399" s="54">
        <v>28850.400000000001</v>
      </c>
      <c r="R399" s="1"/>
      <c r="S399" s="1"/>
      <c r="T399" s="1"/>
    </row>
    <row r="400" spans="1:20" ht="13.5" customHeight="1" x14ac:dyDescent="0.25">
      <c r="A400" s="1"/>
      <c r="B400" s="1" t="s">
        <v>528</v>
      </c>
      <c r="C400" s="1" t="s">
        <v>251</v>
      </c>
      <c r="D400" s="42">
        <v>48734.042199999996</v>
      </c>
      <c r="E400" s="43">
        <v>22128.66</v>
      </c>
      <c r="F400" s="45">
        <v>47729.354399999997</v>
      </c>
      <c r="G400" s="45">
        <v>47729.354399999997</v>
      </c>
      <c r="H400" s="46">
        <v>40837.86</v>
      </c>
      <c r="I400" s="47">
        <f t="shared" si="130"/>
        <v>0.99473522677449211</v>
      </c>
      <c r="J400" s="48">
        <v>41054</v>
      </c>
      <c r="K400" s="49">
        <v>41054</v>
      </c>
      <c r="L400" s="50">
        <v>40346.6</v>
      </c>
      <c r="M400" s="50">
        <v>37493.78</v>
      </c>
      <c r="N400" s="51">
        <v>36955.279999999999</v>
      </c>
      <c r="O400" s="52">
        <v>35327.379999999997</v>
      </c>
      <c r="P400" s="53">
        <v>35799.08</v>
      </c>
      <c r="Q400" s="54">
        <v>32340.69</v>
      </c>
      <c r="R400" s="1"/>
      <c r="S400" s="1"/>
      <c r="T400" s="1"/>
    </row>
    <row r="401" spans="1:20" ht="13.5" customHeight="1" x14ac:dyDescent="0.25">
      <c r="A401" s="1"/>
      <c r="B401" s="1" t="s">
        <v>529</v>
      </c>
      <c r="C401" s="1" t="s">
        <v>253</v>
      </c>
      <c r="D401" s="42">
        <v>519.13760000000002</v>
      </c>
      <c r="E401" s="43">
        <v>235.73</v>
      </c>
      <c r="F401" s="45">
        <v>508.43520000000001</v>
      </c>
      <c r="G401" s="45">
        <v>508.43520000000001</v>
      </c>
      <c r="H401" s="46">
        <v>449.55</v>
      </c>
      <c r="I401" s="47">
        <f t="shared" si="130"/>
        <v>0.99238410596026494</v>
      </c>
      <c r="J401" s="48">
        <v>453</v>
      </c>
      <c r="K401" s="49">
        <v>453</v>
      </c>
      <c r="L401" s="50">
        <v>509.81</v>
      </c>
      <c r="M401" s="50">
        <v>511.17</v>
      </c>
      <c r="N401" s="51">
        <v>639.91</v>
      </c>
      <c r="O401" s="52">
        <v>697.85</v>
      </c>
      <c r="P401" s="53">
        <v>652.07000000000005</v>
      </c>
      <c r="Q401" s="54">
        <v>606.25</v>
      </c>
      <c r="R401" s="1"/>
      <c r="S401" s="1"/>
      <c r="T401" s="1"/>
    </row>
    <row r="402" spans="1:20" ht="13.5" customHeight="1" x14ac:dyDescent="0.25">
      <c r="A402" s="1"/>
      <c r="B402" s="1" t="s">
        <v>530</v>
      </c>
      <c r="C402" s="1" t="s">
        <v>255</v>
      </c>
      <c r="D402" s="42">
        <v>1053.3600000000001</v>
      </c>
      <c r="E402" s="43">
        <v>501.84</v>
      </c>
      <c r="F402" s="45">
        <v>1005</v>
      </c>
      <c r="G402" s="45">
        <v>1005</v>
      </c>
      <c r="H402" s="46">
        <v>971.88</v>
      </c>
      <c r="I402" s="47">
        <f t="shared" si="130"/>
        <v>1.0060869565217392</v>
      </c>
      <c r="J402" s="48">
        <v>966</v>
      </c>
      <c r="K402" s="49">
        <v>966</v>
      </c>
      <c r="L402" s="50">
        <v>913.76</v>
      </c>
      <c r="M402" s="50">
        <v>906.36</v>
      </c>
      <c r="N402" s="51">
        <v>988.62</v>
      </c>
      <c r="O402" s="52">
        <v>894.4</v>
      </c>
      <c r="P402" s="53">
        <v>1006.2</v>
      </c>
      <c r="Q402" s="54">
        <v>960.9</v>
      </c>
      <c r="R402" s="1"/>
      <c r="S402" s="1"/>
      <c r="T402" s="1"/>
    </row>
    <row r="403" spans="1:20" ht="13.5" customHeight="1" x14ac:dyDescent="0.25">
      <c r="A403" s="1"/>
      <c r="B403" s="1"/>
      <c r="C403" s="1"/>
      <c r="D403" s="56">
        <v>106518.1107</v>
      </c>
      <c r="E403" s="57">
        <f t="shared" ref="E403" si="131">SUM(E398:E402)</f>
        <v>48934.99</v>
      </c>
      <c r="F403" s="58">
        <f>SUM(F397:F402)</f>
        <v>104942.16840000001</v>
      </c>
      <c r="G403" s="58">
        <v>104942.16840000001</v>
      </c>
      <c r="H403" s="59">
        <f>SUM(H398:H402)</f>
        <v>91723.41</v>
      </c>
      <c r="I403" s="59"/>
      <c r="J403" s="60">
        <f t="shared" ref="J403:Q403" si="132">SUM(J398:J402)</f>
        <v>94837</v>
      </c>
      <c r="K403" s="61">
        <f t="shared" si="132"/>
        <v>94837</v>
      </c>
      <c r="L403" s="62">
        <f t="shared" si="132"/>
        <v>89987.219999999987</v>
      </c>
      <c r="M403" s="62">
        <f t="shared" si="132"/>
        <v>87202.45</v>
      </c>
      <c r="N403" s="63">
        <f t="shared" si="132"/>
        <v>86479.58</v>
      </c>
      <c r="O403" s="64">
        <f t="shared" si="132"/>
        <v>81156.47</v>
      </c>
      <c r="P403" s="63">
        <f t="shared" si="132"/>
        <v>84938.98000000001</v>
      </c>
      <c r="Q403" s="65">
        <f t="shared" si="132"/>
        <v>80028.55</v>
      </c>
      <c r="R403" s="1"/>
      <c r="S403" s="1"/>
      <c r="T403" s="1"/>
    </row>
    <row r="404" spans="1:20" ht="13.5" customHeight="1" x14ac:dyDescent="0.25">
      <c r="A404" s="1"/>
      <c r="B404" s="1"/>
      <c r="C404" s="1"/>
      <c r="D404" s="42"/>
      <c r="E404" s="44"/>
      <c r="F404" s="45"/>
      <c r="G404" s="45"/>
      <c r="H404" s="66"/>
      <c r="I404" s="66"/>
      <c r="J404" s="48"/>
      <c r="K404" s="49"/>
      <c r="L404" s="50"/>
      <c r="M404" s="50"/>
      <c r="N404" s="51"/>
      <c r="O404" s="52"/>
      <c r="P404" s="53"/>
      <c r="Q404" s="54"/>
      <c r="R404" s="1"/>
      <c r="S404" s="1"/>
      <c r="T404" s="1"/>
    </row>
    <row r="405" spans="1:20" ht="13.5" customHeight="1" x14ac:dyDescent="0.25">
      <c r="A405" s="1"/>
      <c r="B405" s="1" t="s">
        <v>531</v>
      </c>
      <c r="C405" s="1" t="s">
        <v>259</v>
      </c>
      <c r="D405" s="42">
        <v>1000</v>
      </c>
      <c r="E405" s="43">
        <v>434.29</v>
      </c>
      <c r="F405" s="45">
        <v>1000</v>
      </c>
      <c r="G405" s="45">
        <v>1000</v>
      </c>
      <c r="H405" s="46">
        <v>309.54000000000002</v>
      </c>
      <c r="I405" s="47">
        <f t="shared" ref="I405:I409" si="133">H405/J405</f>
        <v>0.7896428571428572</v>
      </c>
      <c r="J405" s="48">
        <v>392</v>
      </c>
      <c r="K405" s="49">
        <v>1000</v>
      </c>
      <c r="L405" s="50">
        <v>553.99</v>
      </c>
      <c r="M405" s="50">
        <v>509.21</v>
      </c>
      <c r="N405" s="51">
        <v>419.21</v>
      </c>
      <c r="O405" s="52">
        <v>866.14</v>
      </c>
      <c r="P405" s="53">
        <v>720.81</v>
      </c>
      <c r="Q405" s="54">
        <v>249.61</v>
      </c>
      <c r="R405" s="1"/>
      <c r="S405" s="1"/>
      <c r="T405" s="1"/>
    </row>
    <row r="406" spans="1:20" ht="13.5" customHeight="1" x14ac:dyDescent="0.25">
      <c r="A406" s="1"/>
      <c r="B406" s="1" t="s">
        <v>532</v>
      </c>
      <c r="C406" s="1" t="s">
        <v>261</v>
      </c>
      <c r="D406" s="42">
        <v>160</v>
      </c>
      <c r="E406" s="43">
        <v>13</v>
      </c>
      <c r="F406" s="45">
        <v>160</v>
      </c>
      <c r="G406" s="45">
        <v>160</v>
      </c>
      <c r="H406" s="46">
        <v>40.630000000000003</v>
      </c>
      <c r="I406" s="47">
        <f t="shared" si="133"/>
        <v>0.25393750000000004</v>
      </c>
      <c r="J406" s="48">
        <v>160</v>
      </c>
      <c r="K406" s="49">
        <v>160</v>
      </c>
      <c r="L406" s="50">
        <v>68.3</v>
      </c>
      <c r="M406" s="50">
        <v>16.600000000000001</v>
      </c>
      <c r="N406" s="51">
        <v>35.520000000000003</v>
      </c>
      <c r="O406" s="52">
        <v>46.15</v>
      </c>
      <c r="P406" s="53">
        <v>132.29</v>
      </c>
      <c r="Q406" s="54">
        <v>155.88</v>
      </c>
      <c r="R406" s="1"/>
      <c r="S406" s="1"/>
      <c r="T406" s="1"/>
    </row>
    <row r="407" spans="1:20" ht="13.5" customHeight="1" x14ac:dyDescent="0.25">
      <c r="A407" s="1"/>
      <c r="B407" s="1" t="s">
        <v>533</v>
      </c>
      <c r="C407" s="1" t="s">
        <v>435</v>
      </c>
      <c r="D407" s="42">
        <v>300</v>
      </c>
      <c r="E407" s="70">
        <v>0</v>
      </c>
      <c r="F407" s="45">
        <v>300</v>
      </c>
      <c r="G407" s="45">
        <v>300</v>
      </c>
      <c r="H407" s="74">
        <v>0</v>
      </c>
      <c r="I407" s="47">
        <f t="shared" si="133"/>
        <v>0</v>
      </c>
      <c r="J407" s="48">
        <v>300</v>
      </c>
      <c r="K407" s="49">
        <v>300</v>
      </c>
      <c r="L407" s="50">
        <v>136</v>
      </c>
      <c r="M407" s="50">
        <v>354</v>
      </c>
      <c r="N407" s="51">
        <v>343</v>
      </c>
      <c r="O407" s="52">
        <v>415</v>
      </c>
      <c r="P407" s="53">
        <v>217.5</v>
      </c>
      <c r="Q407" s="54">
        <v>370.5</v>
      </c>
      <c r="R407" s="1"/>
      <c r="S407" s="1"/>
      <c r="T407" s="1"/>
    </row>
    <row r="408" spans="1:20" ht="13.5" customHeight="1" x14ac:dyDescent="0.25">
      <c r="A408" s="1"/>
      <c r="B408" s="1" t="s">
        <v>534</v>
      </c>
      <c r="C408" s="1" t="s">
        <v>438</v>
      </c>
      <c r="D408" s="42">
        <v>500</v>
      </c>
      <c r="E408" s="43">
        <v>0</v>
      </c>
      <c r="F408" s="73">
        <v>0</v>
      </c>
      <c r="G408" s="73">
        <v>0</v>
      </c>
      <c r="H408" s="46">
        <v>539.1</v>
      </c>
      <c r="I408" s="47">
        <f t="shared" si="133"/>
        <v>0.94745166959578209</v>
      </c>
      <c r="J408" s="48">
        <v>569</v>
      </c>
      <c r="K408" s="76">
        <v>0</v>
      </c>
      <c r="L408" s="77">
        <v>0</v>
      </c>
      <c r="M408" s="50">
        <v>688.97</v>
      </c>
      <c r="N408" s="53" t="s">
        <v>16</v>
      </c>
      <c r="O408" s="52">
        <v>0</v>
      </c>
      <c r="P408" s="53">
        <v>0</v>
      </c>
      <c r="Q408" s="54">
        <v>0</v>
      </c>
      <c r="R408" s="1"/>
      <c r="S408" s="1"/>
      <c r="T408" s="1"/>
    </row>
    <row r="409" spans="1:20" ht="13.5" customHeight="1" x14ac:dyDescent="0.25">
      <c r="A409" s="1"/>
      <c r="B409" s="1" t="s">
        <v>535</v>
      </c>
      <c r="C409" s="1" t="s">
        <v>267</v>
      </c>
      <c r="D409" s="42">
        <v>0</v>
      </c>
      <c r="E409" s="43">
        <v>0</v>
      </c>
      <c r="F409" s="73">
        <v>0</v>
      </c>
      <c r="G409" s="73">
        <v>0</v>
      </c>
      <c r="H409" s="66">
        <v>38.39</v>
      </c>
      <c r="I409" s="47">
        <f t="shared" si="133"/>
        <v>0.98435897435897435</v>
      </c>
      <c r="J409" s="48">
        <v>39</v>
      </c>
      <c r="K409" s="76">
        <v>0</v>
      </c>
      <c r="L409" s="77">
        <v>0</v>
      </c>
      <c r="M409" s="77">
        <v>0</v>
      </c>
      <c r="N409" s="53" t="s">
        <v>16</v>
      </c>
      <c r="O409" s="52">
        <v>0</v>
      </c>
      <c r="P409" s="53">
        <v>0</v>
      </c>
      <c r="Q409" s="54">
        <v>0</v>
      </c>
      <c r="R409" s="1"/>
      <c r="S409" s="1"/>
      <c r="T409" s="1"/>
    </row>
    <row r="410" spans="1:20" ht="13.5" customHeight="1" x14ac:dyDescent="0.25">
      <c r="A410" s="1"/>
      <c r="B410" s="1"/>
      <c r="C410" s="1"/>
      <c r="D410" s="88">
        <v>1960</v>
      </c>
      <c r="E410" s="89">
        <f t="shared" ref="E410" si="134">SUM(E405:E409)</f>
        <v>447.29</v>
      </c>
      <c r="F410" s="90">
        <f>SUM(F404:F409)</f>
        <v>1460</v>
      </c>
      <c r="G410" s="90">
        <v>1460</v>
      </c>
      <c r="H410" s="91">
        <f>SUM(H405:H409)</f>
        <v>927.66</v>
      </c>
      <c r="I410" s="91"/>
      <c r="J410" s="92">
        <f t="shared" ref="J410:Q410" si="135">SUM(J405:J409)</f>
        <v>1460</v>
      </c>
      <c r="K410" s="93">
        <f t="shared" si="135"/>
        <v>1460</v>
      </c>
      <c r="L410" s="94">
        <f t="shared" si="135"/>
        <v>758.29</v>
      </c>
      <c r="M410" s="94">
        <f t="shared" si="135"/>
        <v>1568.78</v>
      </c>
      <c r="N410" s="95">
        <f t="shared" si="135"/>
        <v>797.73</v>
      </c>
      <c r="O410" s="96">
        <f t="shared" si="135"/>
        <v>1327.29</v>
      </c>
      <c r="P410" s="95">
        <f t="shared" si="135"/>
        <v>1070.5999999999999</v>
      </c>
      <c r="Q410" s="97">
        <f t="shared" si="135"/>
        <v>775.99</v>
      </c>
      <c r="R410" s="1"/>
      <c r="S410" s="1"/>
      <c r="T410" s="1"/>
    </row>
    <row r="411" spans="1:20" ht="13.5" customHeight="1" x14ac:dyDescent="0.25">
      <c r="A411" s="1"/>
      <c r="B411" s="1"/>
      <c r="C411" s="1"/>
      <c r="D411" s="72"/>
      <c r="E411" s="44"/>
      <c r="F411" s="73"/>
      <c r="G411" s="73"/>
      <c r="H411" s="66"/>
      <c r="I411" s="66"/>
      <c r="J411" s="48"/>
      <c r="K411" s="76"/>
      <c r="L411" s="77"/>
      <c r="M411" s="77"/>
      <c r="N411" s="53"/>
      <c r="O411" s="52"/>
      <c r="P411" s="53"/>
      <c r="Q411" s="54"/>
      <c r="R411" s="1"/>
      <c r="S411" s="1"/>
      <c r="T411" s="1"/>
    </row>
    <row r="412" spans="1:20" ht="13.5" customHeight="1" x14ac:dyDescent="0.25">
      <c r="A412" s="1"/>
      <c r="B412" s="1" t="s">
        <v>536</v>
      </c>
      <c r="C412" s="1" t="s">
        <v>275</v>
      </c>
      <c r="D412" s="42">
        <v>2000</v>
      </c>
      <c r="E412" s="70">
        <v>0</v>
      </c>
      <c r="F412" s="45">
        <v>2000</v>
      </c>
      <c r="G412" s="45">
        <v>2000</v>
      </c>
      <c r="H412" s="68">
        <v>2345.9499999999998</v>
      </c>
      <c r="I412" s="47">
        <f t="shared" ref="I412:I416" si="136">H412/J412</f>
        <v>1.1729749999999999</v>
      </c>
      <c r="J412" s="48">
        <v>2000</v>
      </c>
      <c r="K412" s="49">
        <v>2000</v>
      </c>
      <c r="L412" s="50">
        <v>1732.81</v>
      </c>
      <c r="M412" s="50">
        <v>1707.67</v>
      </c>
      <c r="N412" s="51">
        <v>2627.19</v>
      </c>
      <c r="O412" s="52">
        <v>2719.47</v>
      </c>
      <c r="P412" s="53">
        <v>1009.89</v>
      </c>
      <c r="Q412" s="54">
        <v>964.61</v>
      </c>
      <c r="R412" s="1"/>
      <c r="S412" s="1"/>
      <c r="T412" s="1"/>
    </row>
    <row r="413" spans="1:20" ht="13.5" customHeight="1" x14ac:dyDescent="0.25">
      <c r="A413" s="1"/>
      <c r="B413" s="1" t="s">
        <v>537</v>
      </c>
      <c r="C413" s="1" t="s">
        <v>482</v>
      </c>
      <c r="D413" s="42">
        <v>400</v>
      </c>
      <c r="E413" s="70">
        <v>240</v>
      </c>
      <c r="F413" s="45">
        <v>400</v>
      </c>
      <c r="G413" s="45">
        <v>400</v>
      </c>
      <c r="H413" s="68">
        <v>265</v>
      </c>
      <c r="I413" s="47">
        <f t="shared" si="136"/>
        <v>0.66249999999999998</v>
      </c>
      <c r="J413" s="48">
        <v>400</v>
      </c>
      <c r="K413" s="49">
        <v>400</v>
      </c>
      <c r="L413" s="50">
        <v>335</v>
      </c>
      <c r="M413" s="50">
        <v>265</v>
      </c>
      <c r="N413" s="51">
        <v>285</v>
      </c>
      <c r="O413" s="52">
        <v>260</v>
      </c>
      <c r="P413" s="53">
        <v>265</v>
      </c>
      <c r="Q413" s="54">
        <v>315</v>
      </c>
      <c r="R413" s="1"/>
      <c r="S413" s="1"/>
      <c r="T413" s="1"/>
    </row>
    <row r="414" spans="1:20" ht="13.5" customHeight="1" x14ac:dyDescent="0.25">
      <c r="A414" s="1"/>
      <c r="B414" s="1" t="s">
        <v>538</v>
      </c>
      <c r="C414" s="1" t="s">
        <v>539</v>
      </c>
      <c r="D414" s="42">
        <v>1500</v>
      </c>
      <c r="E414" s="43">
        <v>1500</v>
      </c>
      <c r="F414" s="45">
        <v>1500</v>
      </c>
      <c r="G414" s="45">
        <v>1500</v>
      </c>
      <c r="H414" s="66">
        <v>1500</v>
      </c>
      <c r="I414" s="47">
        <f t="shared" si="136"/>
        <v>1</v>
      </c>
      <c r="J414" s="48">
        <v>1500</v>
      </c>
      <c r="K414" s="49">
        <v>1500</v>
      </c>
      <c r="L414" s="50">
        <v>1500</v>
      </c>
      <c r="M414" s="50">
        <v>1500</v>
      </c>
      <c r="N414" s="51">
        <v>1500</v>
      </c>
      <c r="O414" s="52">
        <v>1500</v>
      </c>
      <c r="P414" s="53">
        <v>1500</v>
      </c>
      <c r="Q414" s="54">
        <v>1500</v>
      </c>
      <c r="R414" s="1"/>
      <c r="S414" s="1"/>
      <c r="T414" s="1"/>
    </row>
    <row r="415" spans="1:20" ht="13.5" customHeight="1" x14ac:dyDescent="0.25">
      <c r="A415" s="1"/>
      <c r="B415" s="1" t="s">
        <v>540</v>
      </c>
      <c r="C415" s="1" t="s">
        <v>541</v>
      </c>
      <c r="D415" s="42">
        <v>0</v>
      </c>
      <c r="E415" s="43">
        <v>0</v>
      </c>
      <c r="F415" s="73">
        <v>0</v>
      </c>
      <c r="G415" s="73">
        <v>0</v>
      </c>
      <c r="H415" s="66">
        <v>647.5</v>
      </c>
      <c r="I415" s="47">
        <f t="shared" si="136"/>
        <v>0.99922839506172845</v>
      </c>
      <c r="J415" s="48">
        <v>648</v>
      </c>
      <c r="K415" s="76">
        <v>0</v>
      </c>
      <c r="L415" s="50">
        <v>71</v>
      </c>
      <c r="M415" s="50">
        <v>647.5</v>
      </c>
      <c r="N415" s="53" t="s">
        <v>16</v>
      </c>
      <c r="O415" s="52"/>
      <c r="P415" s="53"/>
      <c r="Q415" s="54"/>
      <c r="R415" s="1"/>
      <c r="S415" s="1"/>
      <c r="T415" s="1"/>
    </row>
    <row r="416" spans="1:20" ht="13.5" customHeight="1" x14ac:dyDescent="0.25">
      <c r="A416" s="1"/>
      <c r="B416" s="1" t="s">
        <v>542</v>
      </c>
      <c r="C416" s="1" t="s">
        <v>543</v>
      </c>
      <c r="D416" s="42">
        <v>565</v>
      </c>
      <c r="E416" s="43">
        <v>228</v>
      </c>
      <c r="F416" s="45">
        <v>565</v>
      </c>
      <c r="G416" s="45">
        <v>565</v>
      </c>
      <c r="H416" s="46">
        <v>456</v>
      </c>
      <c r="I416" s="47">
        <f t="shared" si="136"/>
        <v>0.8070796460176991</v>
      </c>
      <c r="J416" s="48">
        <v>565</v>
      </c>
      <c r="K416" s="49">
        <v>565</v>
      </c>
      <c r="L416" s="50">
        <v>456</v>
      </c>
      <c r="M416" s="50">
        <v>456</v>
      </c>
      <c r="N416" s="51">
        <v>512.02</v>
      </c>
      <c r="O416" s="52">
        <v>504.73</v>
      </c>
      <c r="P416" s="53">
        <v>0</v>
      </c>
      <c r="Q416" s="54">
        <v>0</v>
      </c>
      <c r="R416" s="1"/>
      <c r="S416" s="1"/>
      <c r="T416" s="1"/>
    </row>
    <row r="417" spans="1:20" ht="13.5" customHeight="1" x14ac:dyDescent="0.25">
      <c r="A417" s="1"/>
      <c r="B417" s="1"/>
      <c r="C417" s="1"/>
      <c r="D417" s="56">
        <v>4465</v>
      </c>
      <c r="E417" s="57">
        <f t="shared" ref="E417" si="137">SUM(E412:E416)</f>
        <v>1968</v>
      </c>
      <c r="F417" s="58">
        <f>SUM(F411:F416)</f>
        <v>4465</v>
      </c>
      <c r="G417" s="58">
        <v>4965</v>
      </c>
      <c r="H417" s="59">
        <f>SUM(H412:H416)</f>
        <v>5214.45</v>
      </c>
      <c r="I417" s="59"/>
      <c r="J417" s="60">
        <f t="shared" ref="J417:Q417" si="138">SUM(J412:J416)</f>
        <v>5113</v>
      </c>
      <c r="K417" s="61">
        <f t="shared" si="138"/>
        <v>4465</v>
      </c>
      <c r="L417" s="62">
        <f t="shared" si="138"/>
        <v>4094.81</v>
      </c>
      <c r="M417" s="62">
        <f t="shared" si="138"/>
        <v>4576.17</v>
      </c>
      <c r="N417" s="63">
        <f t="shared" si="138"/>
        <v>4924.2100000000009</v>
      </c>
      <c r="O417" s="64">
        <f t="shared" si="138"/>
        <v>4984.1999999999989</v>
      </c>
      <c r="P417" s="63">
        <f t="shared" si="138"/>
        <v>2774.89</v>
      </c>
      <c r="Q417" s="65">
        <f t="shared" si="138"/>
        <v>2779.61</v>
      </c>
      <c r="R417" s="1"/>
      <c r="S417" s="1"/>
      <c r="T417" s="1"/>
    </row>
    <row r="418" spans="1:20" ht="13.5" customHeight="1" thickBot="1" x14ac:dyDescent="0.3">
      <c r="A418" s="1"/>
      <c r="B418" s="1"/>
      <c r="C418" s="116" t="s">
        <v>544</v>
      </c>
      <c r="D418" s="267">
        <v>437404.11070000002</v>
      </c>
      <c r="E418" s="173">
        <f t="shared" ref="E418" si="139">SUM(E396+E403+E410+E417)</f>
        <v>201222.41999999998</v>
      </c>
      <c r="F418" s="174">
        <f>SUM(F396,F403,F410,F417)</f>
        <v>428639.16840000002</v>
      </c>
      <c r="G418" s="174">
        <v>429139.16840000002</v>
      </c>
      <c r="H418" s="175">
        <f>SUM(H396+H403+H410+H417)</f>
        <v>378248.19000000006</v>
      </c>
      <c r="I418" s="175"/>
      <c r="J418" s="176">
        <f t="shared" ref="J418:Q418" si="140">SUM(J396+J403+J410+J417)</f>
        <v>384147</v>
      </c>
      <c r="K418" s="177">
        <f t="shared" si="140"/>
        <v>383499</v>
      </c>
      <c r="L418" s="178">
        <f t="shared" si="140"/>
        <v>373022.89999999991</v>
      </c>
      <c r="M418" s="178">
        <f t="shared" si="140"/>
        <v>362482.78</v>
      </c>
      <c r="N418" s="179">
        <f t="shared" si="140"/>
        <v>359577.06</v>
      </c>
      <c r="O418" s="180">
        <f t="shared" si="140"/>
        <v>346175.78</v>
      </c>
      <c r="P418" s="179">
        <f t="shared" si="140"/>
        <v>351777.43999999994</v>
      </c>
      <c r="Q418" s="181">
        <f t="shared" si="140"/>
        <v>336247.43999999994</v>
      </c>
      <c r="R418" s="1"/>
      <c r="S418" s="1"/>
      <c r="T418" s="1"/>
    </row>
    <row r="419" spans="1:20" ht="13.5" customHeight="1" thickTop="1" x14ac:dyDescent="0.25">
      <c r="A419" s="1"/>
      <c r="B419" s="1"/>
      <c r="C419" s="1"/>
      <c r="D419" s="42"/>
      <c r="E419" s="44"/>
      <c r="F419" s="45"/>
      <c r="G419" s="45"/>
      <c r="H419" s="66"/>
      <c r="I419" s="66"/>
      <c r="J419" s="48"/>
      <c r="K419" s="49"/>
      <c r="L419" s="50"/>
      <c r="M419" s="50"/>
      <c r="N419" s="51"/>
      <c r="O419" s="151"/>
      <c r="P419" s="51"/>
      <c r="Q419" s="152"/>
      <c r="R419" s="1"/>
      <c r="S419" s="1"/>
      <c r="T419" s="1"/>
    </row>
    <row r="420" spans="1:20" ht="13.5" customHeight="1" x14ac:dyDescent="0.25">
      <c r="A420" s="1"/>
      <c r="B420" s="1"/>
      <c r="C420" s="1"/>
      <c r="D420" s="42"/>
      <c r="E420" s="44"/>
      <c r="F420" s="45"/>
      <c r="G420" s="45"/>
      <c r="H420" s="66"/>
      <c r="I420" s="66"/>
      <c r="J420" s="48"/>
      <c r="K420" s="49"/>
      <c r="L420" s="50"/>
      <c r="M420" s="50"/>
      <c r="N420" s="51"/>
      <c r="O420" s="151"/>
      <c r="P420" s="51"/>
      <c r="Q420" s="152"/>
      <c r="R420" s="1"/>
      <c r="S420" s="1"/>
      <c r="T420" s="1"/>
    </row>
    <row r="421" spans="1:20" ht="13.5" customHeight="1" x14ac:dyDescent="0.25">
      <c r="A421" s="1"/>
      <c r="B421" s="1"/>
      <c r="C421" s="1"/>
      <c r="D421" s="42"/>
      <c r="E421" s="44"/>
      <c r="F421" s="45"/>
      <c r="G421" s="45"/>
      <c r="H421" s="66"/>
      <c r="I421" s="66"/>
      <c r="J421" s="48"/>
      <c r="K421" s="49"/>
      <c r="L421" s="50"/>
      <c r="M421" s="50"/>
      <c r="N421" s="51"/>
      <c r="O421" s="151"/>
      <c r="P421" s="51"/>
      <c r="Q421" s="152"/>
      <c r="R421" s="1"/>
      <c r="S421" s="1"/>
      <c r="T421" s="1"/>
    </row>
    <row r="422" spans="1:20" ht="13.5" customHeight="1" x14ac:dyDescent="0.25">
      <c r="A422" s="1"/>
      <c r="B422" s="1"/>
      <c r="C422" s="1"/>
      <c r="D422" s="42"/>
      <c r="E422" s="44"/>
      <c r="F422" s="45"/>
      <c r="G422" s="45"/>
      <c r="H422" s="66"/>
      <c r="I422" s="66"/>
      <c r="J422" s="48"/>
      <c r="K422" s="49"/>
      <c r="L422" s="50"/>
      <c r="M422" s="50"/>
      <c r="N422" s="51"/>
      <c r="O422" s="151"/>
      <c r="P422" s="51"/>
      <c r="Q422" s="152"/>
      <c r="R422" s="1"/>
      <c r="S422" s="1"/>
      <c r="T422" s="1"/>
    </row>
    <row r="423" spans="1:20" ht="13.5" customHeight="1" x14ac:dyDescent="0.25">
      <c r="A423" s="1"/>
      <c r="B423" s="1"/>
      <c r="C423" s="41" t="s">
        <v>545</v>
      </c>
      <c r="D423" s="42"/>
      <c r="E423" s="44"/>
      <c r="F423" s="45"/>
      <c r="G423" s="45"/>
      <c r="H423" s="66"/>
      <c r="I423" s="66"/>
      <c r="J423" s="48"/>
      <c r="K423" s="49"/>
      <c r="L423" s="50"/>
      <c r="M423" s="50"/>
      <c r="N423" s="51"/>
      <c r="O423" s="151"/>
      <c r="P423" s="51"/>
      <c r="Q423" s="152"/>
      <c r="R423" s="1"/>
      <c r="S423" s="1"/>
      <c r="T423" s="1"/>
    </row>
    <row r="424" spans="1:20" ht="13.5" customHeight="1" x14ac:dyDescent="0.25">
      <c r="A424" s="1"/>
      <c r="B424" s="1" t="s">
        <v>546</v>
      </c>
      <c r="C424" s="1" t="s">
        <v>418</v>
      </c>
      <c r="D424" s="42">
        <v>91900</v>
      </c>
      <c r="E424" s="43">
        <v>43475.83</v>
      </c>
      <c r="F424" s="45">
        <v>91900</v>
      </c>
      <c r="G424" s="45">
        <v>91900</v>
      </c>
      <c r="H424" s="46">
        <v>79520.759999999995</v>
      </c>
      <c r="I424" s="47">
        <f t="shared" ref="I424:I427" si="141">H424/J424</f>
        <v>1.0065918987341771</v>
      </c>
      <c r="J424" s="48">
        <v>79000</v>
      </c>
      <c r="K424" s="49">
        <v>79000</v>
      </c>
      <c r="L424" s="50">
        <v>78453.429999999993</v>
      </c>
      <c r="M424" s="50">
        <v>76849.95</v>
      </c>
      <c r="N424" s="51">
        <v>75639.63</v>
      </c>
      <c r="O424" s="52">
        <v>139543.25</v>
      </c>
      <c r="P424" s="53">
        <v>140538.32999999999</v>
      </c>
      <c r="Q424" s="54">
        <v>130500.16</v>
      </c>
      <c r="R424" s="1"/>
      <c r="S424" s="1"/>
      <c r="T424" s="1"/>
    </row>
    <row r="425" spans="1:20" ht="13.5" customHeight="1" x14ac:dyDescent="0.25">
      <c r="A425" s="1"/>
      <c r="B425" s="1" t="s">
        <v>547</v>
      </c>
      <c r="C425" s="1" t="s">
        <v>420</v>
      </c>
      <c r="D425" s="42">
        <v>137139</v>
      </c>
      <c r="E425" s="43">
        <v>60602.59</v>
      </c>
      <c r="F425" s="45">
        <v>128102</v>
      </c>
      <c r="G425" s="45">
        <v>128102</v>
      </c>
      <c r="H425" s="46">
        <v>114039.31</v>
      </c>
      <c r="I425" s="47">
        <f t="shared" si="141"/>
        <v>0.94892001863901876</v>
      </c>
      <c r="J425" s="48">
        <v>120178</v>
      </c>
      <c r="K425" s="49">
        <v>120178</v>
      </c>
      <c r="L425" s="50">
        <v>110734.86</v>
      </c>
      <c r="M425" s="50">
        <v>87254.74</v>
      </c>
      <c r="N425" s="51">
        <v>105047.17</v>
      </c>
      <c r="O425" s="52">
        <v>92742.85</v>
      </c>
      <c r="P425" s="53">
        <v>106443.5</v>
      </c>
      <c r="Q425" s="54">
        <v>99348.77</v>
      </c>
      <c r="R425" s="1"/>
      <c r="S425" s="1"/>
      <c r="T425" s="1"/>
    </row>
    <row r="426" spans="1:20" ht="13.5" customHeight="1" x14ac:dyDescent="0.25">
      <c r="A426" s="1"/>
      <c r="B426" s="1" t="s">
        <v>548</v>
      </c>
      <c r="C426" s="1" t="s">
        <v>237</v>
      </c>
      <c r="D426" s="42">
        <v>15600</v>
      </c>
      <c r="E426" s="43">
        <v>7737.2</v>
      </c>
      <c r="F426" s="45">
        <v>15600</v>
      </c>
      <c r="G426" s="45">
        <v>15600</v>
      </c>
      <c r="H426" s="46">
        <v>17276.3</v>
      </c>
      <c r="I426" s="47">
        <f t="shared" si="141"/>
        <v>1.1074551282051281</v>
      </c>
      <c r="J426" s="48">
        <v>15600</v>
      </c>
      <c r="K426" s="49">
        <v>15600</v>
      </c>
      <c r="L426" s="50">
        <v>16150.2</v>
      </c>
      <c r="M426" s="50">
        <v>15493.4</v>
      </c>
      <c r="N426" s="51">
        <v>16135.32</v>
      </c>
      <c r="O426" s="52">
        <v>15453.28</v>
      </c>
      <c r="P426" s="53">
        <v>14227.75</v>
      </c>
      <c r="Q426" s="54">
        <v>14707.87</v>
      </c>
      <c r="R426" s="1"/>
      <c r="S426" s="1"/>
      <c r="T426" s="1"/>
    </row>
    <row r="427" spans="1:20" ht="13.5" customHeight="1" x14ac:dyDescent="0.25">
      <c r="A427" s="1"/>
      <c r="B427" s="1" t="s">
        <v>549</v>
      </c>
      <c r="C427" s="1" t="s">
        <v>423</v>
      </c>
      <c r="D427" s="42">
        <v>0</v>
      </c>
      <c r="E427" s="43">
        <v>0</v>
      </c>
      <c r="F427" s="45">
        <v>0</v>
      </c>
      <c r="G427" s="45">
        <v>0</v>
      </c>
      <c r="H427" s="46">
        <v>3590.74</v>
      </c>
      <c r="I427" s="47">
        <f t="shared" si="141"/>
        <v>0.97707210884353735</v>
      </c>
      <c r="J427" s="48">
        <v>3675</v>
      </c>
      <c r="K427" s="49">
        <v>3675</v>
      </c>
      <c r="L427" s="50">
        <v>3435.63</v>
      </c>
      <c r="M427" s="50">
        <v>3152.86</v>
      </c>
      <c r="N427" s="51">
        <v>2898.87</v>
      </c>
      <c r="O427" s="52">
        <v>5221.37</v>
      </c>
      <c r="P427" s="53">
        <v>6786.42</v>
      </c>
      <c r="Q427" s="54">
        <v>6025.29</v>
      </c>
      <c r="R427" s="1"/>
      <c r="S427" s="1"/>
      <c r="T427" s="1"/>
    </row>
    <row r="428" spans="1:20" ht="13.5" hidden="1" customHeight="1" x14ac:dyDescent="0.25">
      <c r="A428" s="1"/>
      <c r="B428" s="1" t="s">
        <v>550</v>
      </c>
      <c r="C428" s="1" t="s">
        <v>241</v>
      </c>
      <c r="D428" s="42">
        <v>0</v>
      </c>
      <c r="E428" s="70">
        <v>0</v>
      </c>
      <c r="F428" s="73" t="s">
        <v>16</v>
      </c>
      <c r="G428" s="73" t="s">
        <v>16</v>
      </c>
      <c r="H428" s="74" t="s">
        <v>16</v>
      </c>
      <c r="I428" s="47"/>
      <c r="J428" s="75" t="s">
        <v>16</v>
      </c>
      <c r="K428" s="76" t="s">
        <v>16</v>
      </c>
      <c r="L428" s="77" t="s">
        <v>16</v>
      </c>
      <c r="M428" s="50">
        <v>159.30000000000001</v>
      </c>
      <c r="N428" s="53" t="s">
        <v>16</v>
      </c>
      <c r="O428" s="52">
        <v>0</v>
      </c>
      <c r="P428" s="53">
        <v>245.6</v>
      </c>
      <c r="Q428" s="54">
        <v>73.540000000000006</v>
      </c>
      <c r="R428" s="1"/>
      <c r="S428" s="1"/>
      <c r="T428" s="1"/>
    </row>
    <row r="429" spans="1:20" ht="13.5" customHeight="1" x14ac:dyDescent="0.25">
      <c r="A429" s="1"/>
      <c r="B429" s="1" t="s">
        <v>551</v>
      </c>
      <c r="C429" s="1" t="s">
        <v>243</v>
      </c>
      <c r="D429" s="42">
        <v>9000</v>
      </c>
      <c r="E429" s="43">
        <v>4499.95</v>
      </c>
      <c r="F429" s="45">
        <v>9000</v>
      </c>
      <c r="G429" s="45">
        <v>9000</v>
      </c>
      <c r="H429" s="46">
        <v>8999.9</v>
      </c>
      <c r="I429" s="47">
        <f t="shared" ref="I429:I430" si="142">H429/J429</f>
        <v>0.99998888888888882</v>
      </c>
      <c r="J429" s="48">
        <v>9000</v>
      </c>
      <c r="K429" s="49">
        <v>9000</v>
      </c>
      <c r="L429" s="50">
        <v>8999.9</v>
      </c>
      <c r="M429" s="50">
        <v>8999.9</v>
      </c>
      <c r="N429" s="51">
        <v>8999.9</v>
      </c>
      <c r="O429" s="52">
        <v>9346.0499999999993</v>
      </c>
      <c r="P429" s="53">
        <v>8999.9</v>
      </c>
      <c r="Q429" s="54">
        <v>8999.9</v>
      </c>
      <c r="R429" s="1"/>
      <c r="S429" s="1"/>
      <c r="T429" s="1"/>
    </row>
    <row r="430" spans="1:20" ht="13.5" customHeight="1" x14ac:dyDescent="0.25">
      <c r="A430" s="1"/>
      <c r="B430" s="1" t="s">
        <v>552</v>
      </c>
      <c r="C430" s="1" t="s">
        <v>245</v>
      </c>
      <c r="D430" s="42">
        <v>92500</v>
      </c>
      <c r="E430" s="43">
        <v>46249.97</v>
      </c>
      <c r="F430" s="45">
        <v>92500</v>
      </c>
      <c r="G430" s="45">
        <v>92500</v>
      </c>
      <c r="H430" s="46">
        <v>70000.06</v>
      </c>
      <c r="I430" s="47">
        <f t="shared" si="142"/>
        <v>1.0000008571428571</v>
      </c>
      <c r="J430" s="48">
        <v>70000</v>
      </c>
      <c r="K430" s="49">
        <v>70000</v>
      </c>
      <c r="L430" s="50">
        <v>70000.06</v>
      </c>
      <c r="M430" s="50">
        <v>70000.06</v>
      </c>
      <c r="N430" s="51">
        <v>70000.06</v>
      </c>
      <c r="O430" s="52">
        <v>0</v>
      </c>
      <c r="P430" s="53">
        <v>0</v>
      </c>
      <c r="Q430" s="54">
        <v>0</v>
      </c>
      <c r="R430" s="1"/>
      <c r="S430" s="1"/>
      <c r="T430" s="1"/>
    </row>
    <row r="431" spans="1:20" ht="13.5" customHeight="1" x14ac:dyDescent="0.25">
      <c r="A431" s="1"/>
      <c r="B431" s="1"/>
      <c r="C431" s="1"/>
      <c r="D431" s="56">
        <v>346139</v>
      </c>
      <c r="E431" s="57">
        <f t="shared" ref="E431" si="143">SUM(E424:E430)</f>
        <v>162565.53999999998</v>
      </c>
      <c r="F431" s="58">
        <f>SUM(F423:F430)</f>
        <v>337102</v>
      </c>
      <c r="G431" s="58">
        <v>337102</v>
      </c>
      <c r="H431" s="59">
        <f>SUM(H424:H430)</f>
        <v>293427.06999999995</v>
      </c>
      <c r="I431" s="59"/>
      <c r="J431" s="60">
        <f t="shared" ref="J431:Q431" si="144">SUM(J424:J430)</f>
        <v>297453</v>
      </c>
      <c r="K431" s="61">
        <f t="shared" si="144"/>
        <v>297453</v>
      </c>
      <c r="L431" s="62">
        <f t="shared" si="144"/>
        <v>287774.07999999996</v>
      </c>
      <c r="M431" s="62">
        <f t="shared" si="144"/>
        <v>261910.20999999996</v>
      </c>
      <c r="N431" s="63">
        <f t="shared" si="144"/>
        <v>278720.94999999995</v>
      </c>
      <c r="O431" s="64">
        <f t="shared" si="144"/>
        <v>262306.8</v>
      </c>
      <c r="P431" s="63">
        <f t="shared" si="144"/>
        <v>277241.5</v>
      </c>
      <c r="Q431" s="65">
        <f t="shared" si="144"/>
        <v>259655.53</v>
      </c>
      <c r="R431" s="1"/>
      <c r="S431" s="1"/>
      <c r="T431" s="1"/>
    </row>
    <row r="432" spans="1:20" ht="13.5" customHeight="1" x14ac:dyDescent="0.25">
      <c r="A432" s="1"/>
      <c r="B432" s="1"/>
      <c r="C432" s="1"/>
      <c r="D432" s="42"/>
      <c r="E432" s="44"/>
      <c r="F432" s="45"/>
      <c r="G432" s="45"/>
      <c r="H432" s="66"/>
      <c r="I432" s="66"/>
      <c r="J432" s="48"/>
      <c r="K432" s="49"/>
      <c r="L432" s="50"/>
      <c r="M432" s="50"/>
      <c r="N432" s="51"/>
      <c r="O432" s="52"/>
      <c r="P432" s="53"/>
      <c r="Q432" s="54"/>
      <c r="R432" s="1"/>
      <c r="S432" s="1"/>
      <c r="T432" s="1"/>
    </row>
    <row r="433" spans="1:20" ht="13.5" customHeight="1" x14ac:dyDescent="0.25">
      <c r="A433" s="1"/>
      <c r="B433" s="1" t="s">
        <v>553</v>
      </c>
      <c r="C433" s="1" t="s">
        <v>247</v>
      </c>
      <c r="D433" s="42">
        <v>26494.933499999999</v>
      </c>
      <c r="E433" s="43">
        <v>11729.49</v>
      </c>
      <c r="F433" s="45">
        <v>25498.68685946137</v>
      </c>
      <c r="G433" s="45">
        <v>25498.68685946137</v>
      </c>
      <c r="H433" s="46">
        <v>20073.77</v>
      </c>
      <c r="I433" s="47">
        <f t="shared" ref="I433:I438" si="145">H433/J433</f>
        <v>0.88154977822669189</v>
      </c>
      <c r="J433" s="48">
        <v>22771</v>
      </c>
      <c r="K433" s="49">
        <v>22771</v>
      </c>
      <c r="L433" s="50">
        <v>19489.05</v>
      </c>
      <c r="M433" s="50">
        <v>17791.78</v>
      </c>
      <c r="N433" s="51">
        <v>18622.439999999999</v>
      </c>
      <c r="O433" s="52">
        <v>17214.259999999998</v>
      </c>
      <c r="P433" s="53">
        <v>18408.72</v>
      </c>
      <c r="Q433" s="54">
        <v>17743.060000000001</v>
      </c>
      <c r="R433" s="1"/>
      <c r="S433" s="1"/>
      <c r="T433" s="1"/>
    </row>
    <row r="434" spans="1:20" ht="13.5" customHeight="1" x14ac:dyDescent="0.25">
      <c r="A434" s="1"/>
      <c r="B434" s="1" t="s">
        <v>554</v>
      </c>
      <c r="C434" s="1" t="s">
        <v>249</v>
      </c>
      <c r="D434" s="42">
        <v>31390.304400000001</v>
      </c>
      <c r="E434" s="43">
        <v>15534.54</v>
      </c>
      <c r="F434" s="45">
        <v>31389.820800000001</v>
      </c>
      <c r="G434" s="45">
        <v>31389.820800000001</v>
      </c>
      <c r="H434" s="46">
        <v>30528.18</v>
      </c>
      <c r="I434" s="47">
        <f t="shared" si="145"/>
        <v>0.9933031821435544</v>
      </c>
      <c r="J434" s="48">
        <v>30734</v>
      </c>
      <c r="K434" s="49">
        <v>30734</v>
      </c>
      <c r="L434" s="50">
        <v>30420</v>
      </c>
      <c r="M434" s="50">
        <v>26192.5</v>
      </c>
      <c r="N434" s="51">
        <v>30496.799999999999</v>
      </c>
      <c r="O434" s="52">
        <v>27000.880000000001</v>
      </c>
      <c r="P434" s="53">
        <v>29933.4</v>
      </c>
      <c r="Q434" s="54">
        <v>28850.400000000001</v>
      </c>
      <c r="R434" s="1"/>
      <c r="S434" s="1"/>
      <c r="T434" s="1"/>
    </row>
    <row r="435" spans="1:20" ht="13.5" customHeight="1" x14ac:dyDescent="0.25">
      <c r="A435" s="1"/>
      <c r="B435" s="1" t="s">
        <v>555</v>
      </c>
      <c r="C435" s="1" t="s">
        <v>251</v>
      </c>
      <c r="D435" s="42">
        <v>52020.117800000007</v>
      </c>
      <c r="E435" s="43">
        <v>24021.1</v>
      </c>
      <c r="F435" s="45">
        <v>50064.088448249648</v>
      </c>
      <c r="G435" s="45">
        <v>50064.088448249648</v>
      </c>
      <c r="H435" s="46">
        <v>42792.79</v>
      </c>
      <c r="I435" s="47">
        <f t="shared" si="145"/>
        <v>0.9901383650709179</v>
      </c>
      <c r="J435" s="48">
        <v>43219</v>
      </c>
      <c r="K435" s="49">
        <v>43219</v>
      </c>
      <c r="L435" s="50">
        <v>41750.85</v>
      </c>
      <c r="M435" s="50">
        <v>36488.18</v>
      </c>
      <c r="N435" s="51">
        <v>38514.78</v>
      </c>
      <c r="O435" s="52">
        <v>35797.300000000003</v>
      </c>
      <c r="P435" s="53">
        <v>37815.870000000003</v>
      </c>
      <c r="Q435" s="54">
        <v>33058.1</v>
      </c>
      <c r="R435" s="1"/>
      <c r="S435" s="1"/>
      <c r="T435" s="1"/>
    </row>
    <row r="436" spans="1:20" ht="13.5" customHeight="1" x14ac:dyDescent="0.25">
      <c r="A436" s="1"/>
      <c r="B436" s="1" t="s">
        <v>556</v>
      </c>
      <c r="C436" s="1" t="s">
        <v>253</v>
      </c>
      <c r="D436" s="42">
        <v>554.14239999999995</v>
      </c>
      <c r="E436" s="43">
        <v>255.88</v>
      </c>
      <c r="F436" s="45">
        <v>533.30586895605484</v>
      </c>
      <c r="G436" s="45">
        <v>533.30586895605484</v>
      </c>
      <c r="H436" s="46">
        <v>471.05</v>
      </c>
      <c r="I436" s="47">
        <f t="shared" si="145"/>
        <v>0.98752620545073377</v>
      </c>
      <c r="J436" s="48">
        <v>477</v>
      </c>
      <c r="K436" s="49">
        <v>477</v>
      </c>
      <c r="L436" s="50">
        <v>527.41999999999996</v>
      </c>
      <c r="M436" s="50">
        <v>497.95</v>
      </c>
      <c r="N436" s="51">
        <v>666.94</v>
      </c>
      <c r="O436" s="52">
        <v>716.41</v>
      </c>
      <c r="P436" s="53">
        <v>679.65</v>
      </c>
      <c r="Q436" s="54">
        <v>620.54</v>
      </c>
      <c r="R436" s="1"/>
      <c r="S436" s="1"/>
      <c r="T436" s="1"/>
    </row>
    <row r="437" spans="1:20" ht="13.5" customHeight="1" x14ac:dyDescent="0.25">
      <c r="A437" s="1"/>
      <c r="B437" s="1" t="s">
        <v>557</v>
      </c>
      <c r="C437" s="1" t="s">
        <v>255</v>
      </c>
      <c r="D437" s="42">
        <v>1053.3600000000001</v>
      </c>
      <c r="E437" s="43">
        <v>501.84</v>
      </c>
      <c r="F437" s="45">
        <v>1005</v>
      </c>
      <c r="G437" s="45">
        <v>1005</v>
      </c>
      <c r="H437" s="46">
        <v>971.88</v>
      </c>
      <c r="I437" s="47">
        <f t="shared" si="145"/>
        <v>1.0060869565217392</v>
      </c>
      <c r="J437" s="48">
        <v>966</v>
      </c>
      <c r="K437" s="49">
        <v>966</v>
      </c>
      <c r="L437" s="50">
        <v>939.72</v>
      </c>
      <c r="M437" s="50">
        <v>781.26</v>
      </c>
      <c r="N437" s="51">
        <v>988.62</v>
      </c>
      <c r="O437" s="52">
        <v>894.4</v>
      </c>
      <c r="P437" s="53">
        <v>1006.2</v>
      </c>
      <c r="Q437" s="54">
        <v>960.9</v>
      </c>
      <c r="R437" s="1"/>
      <c r="S437" s="1"/>
      <c r="T437" s="1"/>
    </row>
    <row r="438" spans="1:20" ht="13.5" customHeight="1" x14ac:dyDescent="0.25">
      <c r="A438" s="1"/>
      <c r="B438" s="1" t="s">
        <v>558</v>
      </c>
      <c r="C438" s="1" t="s">
        <v>559</v>
      </c>
      <c r="D438" s="42">
        <v>200</v>
      </c>
      <c r="E438" s="43">
        <v>99.97</v>
      </c>
      <c r="F438" s="45">
        <v>200</v>
      </c>
      <c r="G438" s="45">
        <v>200</v>
      </c>
      <c r="H438" s="46">
        <v>199.94</v>
      </c>
      <c r="I438" s="47">
        <f t="shared" si="145"/>
        <v>0.99970000000000003</v>
      </c>
      <c r="J438" s="48">
        <v>200</v>
      </c>
      <c r="K438" s="49">
        <v>200</v>
      </c>
      <c r="L438" s="50">
        <v>161.49</v>
      </c>
      <c r="M438" s="50">
        <v>199.94</v>
      </c>
      <c r="N438" s="51">
        <v>199.94</v>
      </c>
      <c r="O438" s="52">
        <v>207.63</v>
      </c>
      <c r="P438" s="53">
        <v>199.94</v>
      </c>
      <c r="Q438" s="54">
        <v>199.94</v>
      </c>
      <c r="R438" s="1"/>
      <c r="S438" s="1"/>
      <c r="T438" s="1"/>
    </row>
    <row r="439" spans="1:20" ht="13.5" customHeight="1" x14ac:dyDescent="0.25">
      <c r="A439" s="1"/>
      <c r="B439" s="1"/>
      <c r="C439" s="1"/>
      <c r="D439" s="56">
        <v>111712.85810000001</v>
      </c>
      <c r="E439" s="57">
        <f t="shared" ref="E439" si="146">SUM(E433:E438)</f>
        <v>52142.819999999992</v>
      </c>
      <c r="F439" s="58">
        <f>SUM(F432:F438)</f>
        <v>108690.90197666708</v>
      </c>
      <c r="G439" s="58">
        <v>108690.90197666708</v>
      </c>
      <c r="H439" s="59">
        <f>SUM(H433:H438)</f>
        <v>95037.61</v>
      </c>
      <c r="I439" s="59"/>
      <c r="J439" s="60">
        <f t="shared" ref="J439:Q439" si="147">SUM(J433:J438)</f>
        <v>98367</v>
      </c>
      <c r="K439" s="61">
        <f t="shared" si="147"/>
        <v>98367</v>
      </c>
      <c r="L439" s="62">
        <f t="shared" si="147"/>
        <v>93288.53</v>
      </c>
      <c r="M439" s="62">
        <f t="shared" si="147"/>
        <v>81951.609999999986</v>
      </c>
      <c r="N439" s="63">
        <f t="shared" si="147"/>
        <v>89489.51999999999</v>
      </c>
      <c r="O439" s="64">
        <f t="shared" si="147"/>
        <v>81830.880000000005</v>
      </c>
      <c r="P439" s="63">
        <f t="shared" si="147"/>
        <v>88043.78</v>
      </c>
      <c r="Q439" s="65">
        <f t="shared" si="147"/>
        <v>81432.939999999988</v>
      </c>
      <c r="R439" s="1"/>
      <c r="S439" s="1"/>
      <c r="T439" s="1"/>
    </row>
    <row r="440" spans="1:20" ht="13.5" customHeight="1" x14ac:dyDescent="0.25">
      <c r="A440" s="1"/>
      <c r="B440" s="1"/>
      <c r="C440" s="1"/>
      <c r="D440" s="42"/>
      <c r="E440" s="44"/>
      <c r="F440" s="45"/>
      <c r="G440" s="45"/>
      <c r="H440" s="66"/>
      <c r="I440" s="66"/>
      <c r="J440" s="48"/>
      <c r="K440" s="49"/>
      <c r="L440" s="50"/>
      <c r="M440" s="50"/>
      <c r="N440" s="51"/>
      <c r="O440" s="52"/>
      <c r="P440" s="53"/>
      <c r="Q440" s="54"/>
      <c r="R440" s="1"/>
      <c r="S440" s="1"/>
      <c r="T440" s="1"/>
    </row>
    <row r="441" spans="1:20" ht="13.5" customHeight="1" x14ac:dyDescent="0.25">
      <c r="A441" s="1"/>
      <c r="B441" s="1" t="s">
        <v>560</v>
      </c>
      <c r="C441" s="1" t="s">
        <v>259</v>
      </c>
      <c r="D441" s="42">
        <v>1500</v>
      </c>
      <c r="E441" s="43">
        <v>180.37</v>
      </c>
      <c r="F441" s="45">
        <v>1500</v>
      </c>
      <c r="G441" s="45">
        <v>1500</v>
      </c>
      <c r="H441" s="46">
        <v>958.24</v>
      </c>
      <c r="I441" s="47">
        <f t="shared" ref="I441:I443" si="148">H441/J441</f>
        <v>0.63882666666666665</v>
      </c>
      <c r="J441" s="48">
        <v>1500</v>
      </c>
      <c r="K441" s="49">
        <v>1500</v>
      </c>
      <c r="L441" s="50">
        <v>1060.98</v>
      </c>
      <c r="M441" s="50">
        <v>723.81</v>
      </c>
      <c r="N441" s="51">
        <v>575.41</v>
      </c>
      <c r="O441" s="52">
        <v>968.39</v>
      </c>
      <c r="P441" s="53">
        <v>709.19</v>
      </c>
      <c r="Q441" s="54">
        <v>354.75</v>
      </c>
      <c r="R441" s="1"/>
      <c r="S441" s="1"/>
      <c r="T441" s="1"/>
    </row>
    <row r="442" spans="1:20" ht="13.5" customHeight="1" x14ac:dyDescent="0.25">
      <c r="A442" s="1"/>
      <c r="B442" s="1" t="s">
        <v>561</v>
      </c>
      <c r="C442" s="1" t="s">
        <v>261</v>
      </c>
      <c r="D442" s="42">
        <v>340</v>
      </c>
      <c r="E442" s="43">
        <v>59.96</v>
      </c>
      <c r="F442" s="45">
        <v>340</v>
      </c>
      <c r="G442" s="45">
        <v>340</v>
      </c>
      <c r="H442" s="46">
        <v>265.86</v>
      </c>
      <c r="I442" s="47">
        <f t="shared" si="148"/>
        <v>0.78194117647058825</v>
      </c>
      <c r="J442" s="48">
        <v>340</v>
      </c>
      <c r="K442" s="49">
        <v>340</v>
      </c>
      <c r="L442" s="50">
        <v>125.92</v>
      </c>
      <c r="M442" s="50">
        <v>45.92</v>
      </c>
      <c r="N442" s="51">
        <v>80</v>
      </c>
      <c r="O442" s="52">
        <v>70.650000000000006</v>
      </c>
      <c r="P442" s="53">
        <v>252</v>
      </c>
      <c r="Q442" s="54">
        <v>440</v>
      </c>
      <c r="R442" s="1"/>
      <c r="S442" s="1"/>
      <c r="T442" s="1"/>
    </row>
    <row r="443" spans="1:20" ht="13.5" customHeight="1" x14ac:dyDescent="0.25">
      <c r="A443" s="1"/>
      <c r="B443" s="1" t="s">
        <v>562</v>
      </c>
      <c r="C443" s="1" t="s">
        <v>435</v>
      </c>
      <c r="D443" s="42">
        <v>750</v>
      </c>
      <c r="E443" s="70">
        <v>126</v>
      </c>
      <c r="F443" s="45">
        <v>750</v>
      </c>
      <c r="G443" s="45">
        <v>750</v>
      </c>
      <c r="H443" s="68">
        <v>507.6</v>
      </c>
      <c r="I443" s="47">
        <f t="shared" si="148"/>
        <v>1.0152000000000001</v>
      </c>
      <c r="J443" s="48">
        <v>500</v>
      </c>
      <c r="K443" s="49">
        <v>500</v>
      </c>
      <c r="L443" s="50">
        <v>34</v>
      </c>
      <c r="M443" s="50">
        <v>175.9</v>
      </c>
      <c r="N443" s="51">
        <v>504</v>
      </c>
      <c r="O443" s="52">
        <v>463</v>
      </c>
      <c r="P443" s="53">
        <v>660</v>
      </c>
      <c r="Q443" s="54">
        <v>580</v>
      </c>
      <c r="R443" s="1"/>
      <c r="S443" s="1"/>
      <c r="T443" s="1"/>
    </row>
    <row r="444" spans="1:20" ht="13.5" customHeight="1" x14ac:dyDescent="0.25">
      <c r="A444" s="1"/>
      <c r="B444" s="1" t="s">
        <v>563</v>
      </c>
      <c r="C444" s="1" t="s">
        <v>438</v>
      </c>
      <c r="D444" s="42">
        <v>1000</v>
      </c>
      <c r="E444" s="70">
        <v>0</v>
      </c>
      <c r="F444" s="45">
        <v>1000</v>
      </c>
      <c r="G444" s="45">
        <v>1000</v>
      </c>
      <c r="H444" s="68">
        <v>299.67</v>
      </c>
      <c r="I444" s="47">
        <v>0</v>
      </c>
      <c r="J444" s="75">
        <v>0</v>
      </c>
      <c r="K444" s="76">
        <v>0</v>
      </c>
      <c r="L444" s="50">
        <v>151.53</v>
      </c>
      <c r="M444" s="77">
        <v>0</v>
      </c>
      <c r="N444" s="53" t="s">
        <v>16</v>
      </c>
      <c r="O444" s="52">
        <v>0</v>
      </c>
      <c r="P444" s="53">
        <v>0</v>
      </c>
      <c r="Q444" s="54">
        <v>0</v>
      </c>
      <c r="R444" s="1"/>
      <c r="S444" s="1"/>
      <c r="T444" s="1"/>
    </row>
    <row r="445" spans="1:20" ht="13.5" customHeight="1" x14ac:dyDescent="0.25">
      <c r="A445" s="1"/>
      <c r="B445" s="1"/>
      <c r="C445" s="1"/>
      <c r="D445" s="56">
        <v>3590</v>
      </c>
      <c r="E445" s="57">
        <f t="shared" ref="E445" si="149">SUM(E441:E444)</f>
        <v>366.33000000000004</v>
      </c>
      <c r="F445" s="58">
        <f>SUM(F440:F444)</f>
        <v>3590</v>
      </c>
      <c r="G445" s="58">
        <v>3590</v>
      </c>
      <c r="H445" s="59">
        <f>SUM(H441:H444)</f>
        <v>2031.37</v>
      </c>
      <c r="I445" s="59"/>
      <c r="J445" s="60">
        <f t="shared" ref="J445:Q445" si="150">SUM(J441:J444)</f>
        <v>2340</v>
      </c>
      <c r="K445" s="61">
        <f t="shared" si="150"/>
        <v>2340</v>
      </c>
      <c r="L445" s="62">
        <f t="shared" si="150"/>
        <v>1372.43</v>
      </c>
      <c r="M445" s="62">
        <f t="shared" si="150"/>
        <v>945.62999999999988</v>
      </c>
      <c r="N445" s="63">
        <f t="shared" si="150"/>
        <v>1159.4099999999999</v>
      </c>
      <c r="O445" s="64">
        <f t="shared" si="150"/>
        <v>1502.04</v>
      </c>
      <c r="P445" s="63">
        <f t="shared" si="150"/>
        <v>1621.19</v>
      </c>
      <c r="Q445" s="65">
        <f t="shared" si="150"/>
        <v>1374.75</v>
      </c>
      <c r="R445" s="1"/>
      <c r="S445" s="1"/>
      <c r="T445" s="1"/>
    </row>
    <row r="446" spans="1:20" ht="13.5" customHeight="1" x14ac:dyDescent="0.25">
      <c r="A446" s="1"/>
      <c r="B446" s="1"/>
      <c r="C446" s="1"/>
      <c r="D446" s="42"/>
      <c r="E446" s="67"/>
      <c r="F446" s="45"/>
      <c r="G446" s="45"/>
      <c r="H446" s="74"/>
      <c r="I446" s="74"/>
      <c r="J446" s="75"/>
      <c r="K446" s="76"/>
      <c r="L446" s="50"/>
      <c r="M446" s="77"/>
      <c r="N446" s="53"/>
      <c r="O446" s="52"/>
      <c r="P446" s="53"/>
      <c r="Q446" s="54"/>
      <c r="R446" s="1"/>
      <c r="S446" s="1"/>
      <c r="T446" s="1"/>
    </row>
    <row r="447" spans="1:20" ht="13.5" customHeight="1" x14ac:dyDescent="0.25">
      <c r="A447" s="1"/>
      <c r="B447" s="1" t="s">
        <v>564</v>
      </c>
      <c r="C447" s="1" t="s">
        <v>269</v>
      </c>
      <c r="D447" s="42">
        <v>0</v>
      </c>
      <c r="E447" s="70">
        <v>0</v>
      </c>
      <c r="F447" s="73">
        <v>0</v>
      </c>
      <c r="G447" s="73">
        <v>0</v>
      </c>
      <c r="H447" s="74">
        <v>0</v>
      </c>
      <c r="I447" s="183">
        <v>0</v>
      </c>
      <c r="J447" s="75">
        <v>0</v>
      </c>
      <c r="K447" s="76">
        <v>0</v>
      </c>
      <c r="L447" s="77">
        <v>0</v>
      </c>
      <c r="M447" s="50">
        <v>6650.52</v>
      </c>
      <c r="N447" s="53" t="s">
        <v>16</v>
      </c>
      <c r="O447" s="52"/>
      <c r="P447" s="53"/>
      <c r="Q447" s="54"/>
      <c r="R447" s="1"/>
      <c r="S447" s="1"/>
      <c r="T447" s="1"/>
    </row>
    <row r="448" spans="1:20" ht="13.5" customHeight="1" x14ac:dyDescent="0.25">
      <c r="A448" s="1"/>
      <c r="B448" s="1" t="s">
        <v>565</v>
      </c>
      <c r="C448" s="1" t="s">
        <v>275</v>
      </c>
      <c r="D448" s="42">
        <v>2000</v>
      </c>
      <c r="E448" s="70">
        <v>0</v>
      </c>
      <c r="F448" s="45">
        <v>1200</v>
      </c>
      <c r="G448" s="45">
        <v>1200</v>
      </c>
      <c r="H448" s="68">
        <v>191.65</v>
      </c>
      <c r="I448" s="47">
        <f t="shared" ref="I448:I452" si="151">H448/J448</f>
        <v>0.15970833333333334</v>
      </c>
      <c r="J448" s="48">
        <v>1200</v>
      </c>
      <c r="K448" s="49">
        <v>1200</v>
      </c>
      <c r="L448" s="50">
        <v>1302.6600000000001</v>
      </c>
      <c r="M448" s="50">
        <v>595.63</v>
      </c>
      <c r="N448" s="51">
        <v>329.11</v>
      </c>
      <c r="O448" s="52">
        <v>181.19</v>
      </c>
      <c r="P448" s="53">
        <v>1651.92</v>
      </c>
      <c r="Q448" s="54">
        <v>368.68</v>
      </c>
      <c r="R448" s="1"/>
      <c r="S448" s="1"/>
      <c r="T448" s="1"/>
    </row>
    <row r="449" spans="1:20" ht="13.5" customHeight="1" x14ac:dyDescent="0.25">
      <c r="A449" s="1"/>
      <c r="B449" s="1" t="s">
        <v>566</v>
      </c>
      <c r="C449" s="1" t="s">
        <v>482</v>
      </c>
      <c r="D449" s="42">
        <v>400</v>
      </c>
      <c r="E449" s="43">
        <v>270</v>
      </c>
      <c r="F449" s="45">
        <v>300</v>
      </c>
      <c r="G449" s="45">
        <v>300</v>
      </c>
      <c r="H449" s="46">
        <v>307</v>
      </c>
      <c r="I449" s="47">
        <f t="shared" si="151"/>
        <v>1.0233333333333334</v>
      </c>
      <c r="J449" s="48">
        <v>300</v>
      </c>
      <c r="K449" s="49">
        <v>300</v>
      </c>
      <c r="L449" s="50">
        <v>305</v>
      </c>
      <c r="M449" s="50">
        <v>325</v>
      </c>
      <c r="N449" s="51">
        <v>265</v>
      </c>
      <c r="O449" s="52">
        <v>260</v>
      </c>
      <c r="P449" s="53">
        <v>270</v>
      </c>
      <c r="Q449" s="54">
        <v>462.94</v>
      </c>
      <c r="R449" s="1"/>
      <c r="S449" s="1"/>
      <c r="T449" s="1"/>
    </row>
    <row r="450" spans="1:20" ht="13.5" customHeight="1" x14ac:dyDescent="0.25">
      <c r="A450" s="1"/>
      <c r="B450" s="1" t="s">
        <v>567</v>
      </c>
      <c r="C450" s="1" t="s">
        <v>568</v>
      </c>
      <c r="D450" s="42">
        <v>1500</v>
      </c>
      <c r="E450" s="43">
        <v>1500</v>
      </c>
      <c r="F450" s="45">
        <v>1500</v>
      </c>
      <c r="G450" s="45">
        <v>1500</v>
      </c>
      <c r="H450" s="46">
        <v>1168.6500000000001</v>
      </c>
      <c r="I450" s="47">
        <f t="shared" si="151"/>
        <v>0.77910000000000001</v>
      </c>
      <c r="J450" s="48">
        <v>1500</v>
      </c>
      <c r="K450" s="49">
        <v>1500</v>
      </c>
      <c r="L450" s="50">
        <v>1500</v>
      </c>
      <c r="M450" s="50">
        <v>1142.47</v>
      </c>
      <c r="N450" s="51">
        <v>1500</v>
      </c>
      <c r="O450" s="52">
        <v>1139.04</v>
      </c>
      <c r="P450" s="53">
        <v>1500</v>
      </c>
      <c r="Q450" s="54">
        <v>1500</v>
      </c>
      <c r="R450" s="1"/>
      <c r="S450" s="1"/>
      <c r="T450" s="1"/>
    </row>
    <row r="451" spans="1:20" ht="13.5" customHeight="1" x14ac:dyDescent="0.25">
      <c r="A451" s="1"/>
      <c r="B451" s="1" t="s">
        <v>569</v>
      </c>
      <c r="C451" s="1" t="s">
        <v>279</v>
      </c>
      <c r="D451" s="42">
        <v>0</v>
      </c>
      <c r="E451" s="43">
        <v>0</v>
      </c>
      <c r="F451" s="73">
        <v>0</v>
      </c>
      <c r="G451" s="73">
        <v>0</v>
      </c>
      <c r="H451" s="66">
        <v>647.5</v>
      </c>
      <c r="I451" s="47">
        <f t="shared" si="151"/>
        <v>0.99922839506172845</v>
      </c>
      <c r="J451" s="48">
        <v>648</v>
      </c>
      <c r="K451" s="76">
        <v>0</v>
      </c>
      <c r="L451" s="77">
        <v>0</v>
      </c>
      <c r="M451" s="50">
        <v>718.5</v>
      </c>
      <c r="N451" s="53" t="s">
        <v>16</v>
      </c>
      <c r="O451" s="52">
        <v>0</v>
      </c>
      <c r="P451" s="53">
        <v>0</v>
      </c>
      <c r="Q451" s="54">
        <v>0</v>
      </c>
      <c r="R451" s="1"/>
      <c r="S451" s="1"/>
      <c r="T451" s="1"/>
    </row>
    <row r="452" spans="1:20" ht="13.5" customHeight="1" x14ac:dyDescent="0.25">
      <c r="A452" s="1"/>
      <c r="B452" s="1" t="s">
        <v>570</v>
      </c>
      <c r="C452" s="1" t="s">
        <v>281</v>
      </c>
      <c r="D452" s="42">
        <v>1635</v>
      </c>
      <c r="E452" s="43">
        <v>756.26</v>
      </c>
      <c r="F452" s="45">
        <v>1635</v>
      </c>
      <c r="G452" s="45">
        <v>1635</v>
      </c>
      <c r="H452" s="46">
        <v>1175.8800000000001</v>
      </c>
      <c r="I452" s="47">
        <f t="shared" si="151"/>
        <v>0.71919266055045883</v>
      </c>
      <c r="J452" s="48">
        <v>1635</v>
      </c>
      <c r="K452" s="49">
        <v>1635</v>
      </c>
      <c r="L452" s="50">
        <v>1700.48</v>
      </c>
      <c r="M452" s="50">
        <v>1617.65</v>
      </c>
      <c r="N452" s="51">
        <v>1499.31</v>
      </c>
      <c r="O452" s="52">
        <v>1588.05</v>
      </c>
      <c r="P452" s="53">
        <v>1585.68</v>
      </c>
      <c r="Q452" s="54">
        <v>1743.72</v>
      </c>
      <c r="R452" s="1"/>
      <c r="S452" s="1"/>
      <c r="T452" s="1"/>
    </row>
    <row r="453" spans="1:20" ht="13.5" customHeight="1" x14ac:dyDescent="0.25">
      <c r="A453" s="1"/>
      <c r="B453" s="1"/>
      <c r="C453" s="1"/>
      <c r="D453" s="56">
        <v>5535</v>
      </c>
      <c r="E453" s="57">
        <f t="shared" ref="E453" si="152">SUM(E447:E452)</f>
        <v>2526.2600000000002</v>
      </c>
      <c r="F453" s="58">
        <f>SUM(F446:F452)</f>
        <v>4635</v>
      </c>
      <c r="G453" s="58">
        <v>4635</v>
      </c>
      <c r="H453" s="59">
        <f>SUM(H447:H452)</f>
        <v>3490.6800000000003</v>
      </c>
      <c r="I453" s="59"/>
      <c r="J453" s="60">
        <f t="shared" ref="J453:N453" si="153">SUM(J447:J452)</f>
        <v>5283</v>
      </c>
      <c r="K453" s="61">
        <f t="shared" si="153"/>
        <v>4635</v>
      </c>
      <c r="L453" s="62">
        <f t="shared" si="153"/>
        <v>4808.1399999999994</v>
      </c>
      <c r="M453" s="62">
        <f t="shared" si="153"/>
        <v>11049.77</v>
      </c>
      <c r="N453" s="63">
        <f t="shared" si="153"/>
        <v>3593.42</v>
      </c>
      <c r="O453" s="64">
        <f t="shared" ref="O453:Q453" si="154">SUM(O448:O452)</f>
        <v>3168.2799999999997</v>
      </c>
      <c r="P453" s="63">
        <f t="shared" si="154"/>
        <v>5007.6000000000004</v>
      </c>
      <c r="Q453" s="65">
        <f t="shared" si="154"/>
        <v>4075.34</v>
      </c>
      <c r="R453" s="1"/>
      <c r="S453" s="1"/>
      <c r="T453" s="1"/>
    </row>
    <row r="454" spans="1:20" ht="13.5" customHeight="1" thickBot="1" x14ac:dyDescent="0.3">
      <c r="A454" s="1"/>
      <c r="B454" s="1"/>
      <c r="C454" s="116" t="s">
        <v>571</v>
      </c>
      <c r="D454" s="267">
        <v>466976.85810000001</v>
      </c>
      <c r="E454" s="173">
        <f t="shared" ref="E454" si="155">SUM(E431+E439+E445+E453)</f>
        <v>217600.94999999998</v>
      </c>
      <c r="F454" s="174">
        <f>SUM(F431+F439+F445+F453)</f>
        <v>454017.90197666711</v>
      </c>
      <c r="G454" s="174">
        <v>454017.90197666711</v>
      </c>
      <c r="H454" s="175">
        <f>SUM(H431+H439+H445+H453)</f>
        <v>393986.72999999992</v>
      </c>
      <c r="I454" s="175"/>
      <c r="J454" s="176">
        <f t="shared" ref="J454:Q454" si="156">SUM(J431+J439+J445+J453)</f>
        <v>403443</v>
      </c>
      <c r="K454" s="177">
        <f t="shared" si="156"/>
        <v>402795</v>
      </c>
      <c r="L454" s="178">
        <f t="shared" si="156"/>
        <v>387243.18</v>
      </c>
      <c r="M454" s="178">
        <f t="shared" si="156"/>
        <v>355857.22</v>
      </c>
      <c r="N454" s="179">
        <f t="shared" si="156"/>
        <v>372963.29999999993</v>
      </c>
      <c r="O454" s="180">
        <f t="shared" si="156"/>
        <v>348808</v>
      </c>
      <c r="P454" s="179">
        <f t="shared" si="156"/>
        <v>371914.07</v>
      </c>
      <c r="Q454" s="181">
        <f t="shared" si="156"/>
        <v>346538.56</v>
      </c>
      <c r="R454" s="1"/>
      <c r="S454" s="1"/>
      <c r="T454" s="1"/>
    </row>
    <row r="455" spans="1:20" ht="13.5" customHeight="1" thickTop="1" x14ac:dyDescent="0.25">
      <c r="A455" s="1"/>
      <c r="B455" s="1"/>
      <c r="C455" s="1"/>
      <c r="D455" s="42"/>
      <c r="E455" s="44"/>
      <c r="F455" s="45"/>
      <c r="G455" s="45"/>
      <c r="H455" s="66"/>
      <c r="I455" s="66"/>
      <c r="J455" s="48"/>
      <c r="K455" s="49"/>
      <c r="L455" s="50"/>
      <c r="M455" s="50"/>
      <c r="N455" s="51"/>
      <c r="O455" s="52"/>
      <c r="P455" s="53"/>
      <c r="Q455" s="54"/>
      <c r="R455" s="1"/>
      <c r="S455" s="1"/>
      <c r="T455" s="1"/>
    </row>
    <row r="456" spans="1:20" ht="13.5" customHeight="1" x14ac:dyDescent="0.25">
      <c r="A456" s="1"/>
      <c r="B456" s="1"/>
      <c r="C456" s="41"/>
      <c r="D456" s="42"/>
      <c r="E456" s="44"/>
      <c r="F456" s="45"/>
      <c r="G456" s="45"/>
      <c r="H456" s="66"/>
      <c r="I456" s="66"/>
      <c r="J456" s="48"/>
      <c r="K456" s="49"/>
      <c r="L456" s="50"/>
      <c r="M456" s="50"/>
      <c r="N456" s="51"/>
      <c r="O456" s="52"/>
      <c r="P456" s="53"/>
      <c r="Q456" s="54"/>
      <c r="R456" s="1"/>
      <c r="S456" s="1"/>
      <c r="T456" s="1"/>
    </row>
    <row r="457" spans="1:20" ht="13.5" customHeight="1" x14ac:dyDescent="0.25">
      <c r="A457" s="1"/>
      <c r="B457" s="1"/>
      <c r="C457" s="41" t="s">
        <v>572</v>
      </c>
      <c r="D457" s="42"/>
      <c r="E457" s="44"/>
      <c r="F457" s="45"/>
      <c r="G457" s="45"/>
      <c r="H457" s="66"/>
      <c r="I457" s="66"/>
      <c r="J457" s="48"/>
      <c r="K457" s="49"/>
      <c r="L457" s="50"/>
      <c r="M457" s="50"/>
      <c r="N457" s="51"/>
      <c r="O457" s="52"/>
      <c r="P457" s="53"/>
      <c r="Q457" s="54"/>
      <c r="R457" s="1"/>
      <c r="S457" s="1"/>
      <c r="T457" s="1"/>
    </row>
    <row r="458" spans="1:20" ht="13.5" customHeight="1" x14ac:dyDescent="0.25">
      <c r="A458" s="1"/>
      <c r="B458" s="1" t="s">
        <v>573</v>
      </c>
      <c r="C458" s="1" t="s">
        <v>574</v>
      </c>
      <c r="D458" s="42">
        <v>1500</v>
      </c>
      <c r="E458" s="43">
        <v>829.29</v>
      </c>
      <c r="F458" s="45">
        <v>1500</v>
      </c>
      <c r="G458" s="45">
        <v>1500</v>
      </c>
      <c r="H458" s="46">
        <v>1421.64</v>
      </c>
      <c r="I458" s="47">
        <f t="shared" ref="I458:I461" si="157">H458/J458</f>
        <v>0.94776000000000005</v>
      </c>
      <c r="J458" s="48">
        <v>1500</v>
      </c>
      <c r="K458" s="49">
        <v>1500</v>
      </c>
      <c r="L458" s="50">
        <v>1421.64</v>
      </c>
      <c r="M458" s="50">
        <v>1421.64</v>
      </c>
      <c r="N458" s="51">
        <v>1421.64</v>
      </c>
      <c r="O458" s="52">
        <v>1421.64</v>
      </c>
      <c r="P458" s="53">
        <v>1382.15</v>
      </c>
      <c r="Q458" s="54">
        <v>1421.64</v>
      </c>
      <c r="R458" s="1"/>
      <c r="S458" s="1"/>
      <c r="T458" s="1"/>
    </row>
    <row r="459" spans="1:20" ht="13.5" customHeight="1" x14ac:dyDescent="0.25">
      <c r="A459" s="1"/>
      <c r="B459" s="1" t="s">
        <v>575</v>
      </c>
      <c r="C459" s="1" t="s">
        <v>576</v>
      </c>
      <c r="D459" s="42">
        <v>7607</v>
      </c>
      <c r="E459" s="70">
        <v>0</v>
      </c>
      <c r="F459" s="45">
        <v>7607</v>
      </c>
      <c r="G459" s="45">
        <v>7607</v>
      </c>
      <c r="H459" s="68">
        <v>8650.65</v>
      </c>
      <c r="I459" s="47">
        <f t="shared" si="157"/>
        <v>1.1371960036808202</v>
      </c>
      <c r="J459" s="48">
        <v>7607</v>
      </c>
      <c r="K459" s="49">
        <v>7607</v>
      </c>
      <c r="L459" s="50">
        <v>7606.36</v>
      </c>
      <c r="M459" s="50">
        <v>7225.34</v>
      </c>
      <c r="N459" s="51">
        <v>5542.21</v>
      </c>
      <c r="O459" s="52">
        <v>5323.52</v>
      </c>
      <c r="P459" s="53">
        <v>4798.5600000000004</v>
      </c>
      <c r="Q459" s="54">
        <v>4798.4399999999996</v>
      </c>
      <c r="R459" s="1"/>
      <c r="S459" s="1"/>
      <c r="T459" s="1"/>
    </row>
    <row r="460" spans="1:20" ht="13.5" customHeight="1" x14ac:dyDescent="0.25">
      <c r="A460" s="1"/>
      <c r="B460" s="1" t="s">
        <v>577</v>
      </c>
      <c r="C460" s="1" t="s">
        <v>269</v>
      </c>
      <c r="D460" s="42">
        <v>1500</v>
      </c>
      <c r="E460" s="70">
        <v>0</v>
      </c>
      <c r="F460" s="45">
        <v>1500</v>
      </c>
      <c r="G460" s="45">
        <v>1500</v>
      </c>
      <c r="H460" s="74">
        <v>0</v>
      </c>
      <c r="I460" s="47">
        <f t="shared" si="157"/>
        <v>0</v>
      </c>
      <c r="J460" s="48">
        <v>2500</v>
      </c>
      <c r="K460" s="49">
        <v>2500</v>
      </c>
      <c r="L460" s="77">
        <v>0</v>
      </c>
      <c r="M460" s="50">
        <v>1100</v>
      </c>
      <c r="N460" s="51">
        <v>248</v>
      </c>
      <c r="O460" s="52">
        <v>2068</v>
      </c>
      <c r="P460" s="53">
        <v>825</v>
      </c>
      <c r="Q460" s="54">
        <v>250</v>
      </c>
      <c r="R460" s="1"/>
      <c r="S460" s="1"/>
      <c r="T460" s="1"/>
    </row>
    <row r="461" spans="1:20" ht="13.5" customHeight="1" x14ac:dyDescent="0.25">
      <c r="A461" s="1"/>
      <c r="B461" s="1" t="s">
        <v>578</v>
      </c>
      <c r="C461" s="1" t="s">
        <v>271</v>
      </c>
      <c r="D461" s="42">
        <v>75000</v>
      </c>
      <c r="E461" s="43">
        <v>4151.25</v>
      </c>
      <c r="F461" s="45">
        <v>75000</v>
      </c>
      <c r="G461" s="45">
        <v>75000</v>
      </c>
      <c r="H461" s="46">
        <v>66099.3</v>
      </c>
      <c r="I461" s="47">
        <f t="shared" si="157"/>
        <v>2.2033100000000001</v>
      </c>
      <c r="J461" s="48">
        <v>30000</v>
      </c>
      <c r="K461" s="49">
        <v>30000</v>
      </c>
      <c r="L461" s="50">
        <v>27985.68</v>
      </c>
      <c r="M461" s="50">
        <v>31743.24</v>
      </c>
      <c r="N461" s="51">
        <v>11579.94</v>
      </c>
      <c r="O461" s="52">
        <v>15986.75</v>
      </c>
      <c r="P461" s="53">
        <v>30970.25</v>
      </c>
      <c r="Q461" s="54">
        <v>25217.24</v>
      </c>
      <c r="R461" s="1"/>
      <c r="S461" s="1"/>
      <c r="T461" s="1"/>
    </row>
    <row r="462" spans="1:20" ht="13.5" customHeight="1" thickBot="1" x14ac:dyDescent="0.3">
      <c r="A462" s="1"/>
      <c r="B462" s="1"/>
      <c r="C462" s="116" t="s">
        <v>579</v>
      </c>
      <c r="D462" s="267">
        <v>85607</v>
      </c>
      <c r="E462" s="173">
        <f t="shared" ref="E462" si="158">SUM(E458:E461)</f>
        <v>4980.54</v>
      </c>
      <c r="F462" s="174">
        <f>SUM(F457:F461)</f>
        <v>85607</v>
      </c>
      <c r="G462" s="174">
        <v>85607</v>
      </c>
      <c r="H462" s="175">
        <f>SUM(H458:H461)</f>
        <v>76171.59</v>
      </c>
      <c r="I462" s="175"/>
      <c r="J462" s="176">
        <f t="shared" ref="J462:Q462" si="159">SUM(J458:J461)</f>
        <v>41607</v>
      </c>
      <c r="K462" s="177">
        <f t="shared" si="159"/>
        <v>41607</v>
      </c>
      <c r="L462" s="178">
        <f t="shared" si="159"/>
        <v>37013.68</v>
      </c>
      <c r="M462" s="178">
        <f t="shared" si="159"/>
        <v>41490.22</v>
      </c>
      <c r="N462" s="179">
        <f t="shared" si="159"/>
        <v>18791.79</v>
      </c>
      <c r="O462" s="180">
        <f t="shared" si="159"/>
        <v>24799.91</v>
      </c>
      <c r="P462" s="179">
        <f t="shared" si="159"/>
        <v>37975.96</v>
      </c>
      <c r="Q462" s="181">
        <f t="shared" si="159"/>
        <v>31687.32</v>
      </c>
      <c r="R462" s="1"/>
      <c r="S462" s="1"/>
      <c r="T462" s="1"/>
    </row>
    <row r="463" spans="1:20" ht="13.5" customHeight="1" thickTop="1" x14ac:dyDescent="0.25">
      <c r="A463" s="1"/>
      <c r="B463" s="1"/>
      <c r="C463" s="1"/>
      <c r="D463" s="42"/>
      <c r="E463" s="44"/>
      <c r="F463" s="45"/>
      <c r="G463" s="45"/>
      <c r="H463" s="66"/>
      <c r="I463" s="66"/>
      <c r="J463" s="48"/>
      <c r="K463" s="49"/>
      <c r="L463" s="50"/>
      <c r="M463" s="50"/>
      <c r="N463" s="51"/>
      <c r="O463" s="52"/>
      <c r="P463" s="53"/>
      <c r="Q463" s="54"/>
      <c r="R463" s="1"/>
      <c r="S463" s="1"/>
      <c r="T463" s="1"/>
    </row>
    <row r="464" spans="1:20" ht="13.5" customHeight="1" x14ac:dyDescent="0.25">
      <c r="A464" s="1"/>
      <c r="B464" s="1"/>
      <c r="C464" s="41"/>
      <c r="D464" s="42"/>
      <c r="E464" s="44"/>
      <c r="F464" s="45"/>
      <c r="G464" s="45"/>
      <c r="H464" s="66"/>
      <c r="I464" s="66"/>
      <c r="J464" s="48"/>
      <c r="K464" s="49"/>
      <c r="L464" s="50"/>
      <c r="M464" s="50"/>
      <c r="N464" s="51"/>
      <c r="O464" s="52"/>
      <c r="P464" s="53"/>
      <c r="Q464" s="54"/>
      <c r="R464" s="1"/>
      <c r="S464" s="1"/>
      <c r="T464" s="1"/>
    </row>
    <row r="465" spans="1:20" ht="13.5" customHeight="1" x14ac:dyDescent="0.25">
      <c r="A465" s="1"/>
      <c r="B465" s="1"/>
      <c r="C465" s="41" t="s">
        <v>580</v>
      </c>
      <c r="D465" s="42"/>
      <c r="E465" s="44"/>
      <c r="F465" s="45"/>
      <c r="G465" s="45"/>
      <c r="H465" s="66"/>
      <c r="I465" s="66"/>
      <c r="J465" s="48"/>
      <c r="K465" s="49"/>
      <c r="L465" s="50"/>
      <c r="M465" s="50"/>
      <c r="N465" s="51"/>
      <c r="O465" s="52"/>
      <c r="P465" s="53"/>
      <c r="Q465" s="54"/>
      <c r="R465" s="1"/>
      <c r="S465" s="1"/>
      <c r="T465" s="1"/>
    </row>
    <row r="466" spans="1:20" ht="13.5" customHeight="1" x14ac:dyDescent="0.25">
      <c r="A466" s="1"/>
      <c r="B466" s="1" t="s">
        <v>581</v>
      </c>
      <c r="C466" s="1" t="s">
        <v>420</v>
      </c>
      <c r="D466" s="42">
        <v>41050</v>
      </c>
      <c r="E466" s="43">
        <v>19070.16</v>
      </c>
      <c r="F466" s="45">
        <f>79184-32283</f>
        <v>46901</v>
      </c>
      <c r="G466" s="45">
        <v>79184</v>
      </c>
      <c r="H466" s="46">
        <v>37021.120000000003</v>
      </c>
      <c r="I466" s="47">
        <f>H466/J466</f>
        <v>1.0046982197134173</v>
      </c>
      <c r="J466" s="48">
        <v>36848</v>
      </c>
      <c r="K466" s="49">
        <v>36848</v>
      </c>
      <c r="L466" s="50">
        <v>35003.050000000003</v>
      </c>
      <c r="M466" s="50">
        <v>33182.82</v>
      </c>
      <c r="N466" s="51">
        <v>32659.7</v>
      </c>
      <c r="O466" s="52">
        <v>30248.69</v>
      </c>
      <c r="P466" s="53">
        <v>31775.41</v>
      </c>
      <c r="Q466" s="54">
        <v>29819.51</v>
      </c>
      <c r="R466" s="1"/>
      <c r="S466" s="1"/>
      <c r="T466" s="1"/>
    </row>
    <row r="467" spans="1:20" ht="13.5" customHeight="1" x14ac:dyDescent="0.25">
      <c r="A467" s="1"/>
      <c r="B467" s="1" t="s">
        <v>582</v>
      </c>
      <c r="C467" s="1" t="s">
        <v>237</v>
      </c>
      <c r="D467" s="42">
        <v>0</v>
      </c>
      <c r="E467" s="43">
        <v>0</v>
      </c>
      <c r="F467" s="45">
        <v>0</v>
      </c>
      <c r="G467" s="45">
        <v>0</v>
      </c>
      <c r="H467" s="46">
        <v>0</v>
      </c>
      <c r="I467" s="47"/>
      <c r="J467" s="48">
        <v>0</v>
      </c>
      <c r="K467" s="49">
        <v>0</v>
      </c>
      <c r="L467" s="50">
        <v>0</v>
      </c>
      <c r="M467" s="50">
        <v>0</v>
      </c>
      <c r="N467" s="51">
        <v>0</v>
      </c>
      <c r="O467" s="52">
        <v>0</v>
      </c>
      <c r="P467" s="53">
        <v>0</v>
      </c>
      <c r="Q467" s="54">
        <v>0</v>
      </c>
      <c r="R467" s="1"/>
      <c r="S467" s="1"/>
      <c r="T467" s="1"/>
    </row>
    <row r="468" spans="1:20" ht="13.5" customHeight="1" x14ac:dyDescent="0.25">
      <c r="A468" s="1"/>
      <c r="B468" s="1" t="s">
        <v>583</v>
      </c>
      <c r="C468" s="1" t="s">
        <v>423</v>
      </c>
      <c r="D468" s="42">
        <v>0</v>
      </c>
      <c r="E468" s="43">
        <v>0</v>
      </c>
      <c r="F468" s="45">
        <v>0</v>
      </c>
      <c r="G468" s="45">
        <v>0</v>
      </c>
      <c r="H468" s="46">
        <v>2540.65</v>
      </c>
      <c r="I468" s="47">
        <f>H468/J468</f>
        <v>0.97867873651771964</v>
      </c>
      <c r="J468" s="48">
        <v>2596</v>
      </c>
      <c r="K468" s="49">
        <v>2596</v>
      </c>
      <c r="L468" s="50">
        <v>2561.6</v>
      </c>
      <c r="M468" s="50">
        <v>2340.35</v>
      </c>
      <c r="N468" s="51">
        <v>2083.5700000000002</v>
      </c>
      <c r="O468" s="52">
        <v>1783.49</v>
      </c>
      <c r="P468" s="53">
        <v>4304.8100000000004</v>
      </c>
      <c r="Q468" s="54">
        <v>4053.45</v>
      </c>
      <c r="R468" s="1"/>
      <c r="S468" s="1"/>
      <c r="T468" s="1"/>
    </row>
    <row r="469" spans="1:20" ht="13.5" customHeight="1" x14ac:dyDescent="0.25">
      <c r="A469" s="1"/>
      <c r="B469" s="1"/>
      <c r="C469" s="1"/>
      <c r="D469" s="56">
        <v>41050</v>
      </c>
      <c r="E469" s="57">
        <f t="shared" ref="E469" si="160">SUM(E466:E468)</f>
        <v>19070.16</v>
      </c>
      <c r="F469" s="58">
        <f>SUM(F464:F468)</f>
        <v>46901</v>
      </c>
      <c r="G469" s="58">
        <v>79184</v>
      </c>
      <c r="H469" s="59">
        <f>SUM(H466:H468)</f>
        <v>39561.770000000004</v>
      </c>
      <c r="I469" s="59"/>
      <c r="J469" s="60">
        <f t="shared" ref="J469:Q469" si="161">SUM(J466:J468)</f>
        <v>39444</v>
      </c>
      <c r="K469" s="61">
        <f t="shared" si="161"/>
        <v>39444</v>
      </c>
      <c r="L469" s="62">
        <f t="shared" si="161"/>
        <v>37564.65</v>
      </c>
      <c r="M469" s="62">
        <f t="shared" si="161"/>
        <v>35523.17</v>
      </c>
      <c r="N469" s="63">
        <f t="shared" si="161"/>
        <v>34743.270000000004</v>
      </c>
      <c r="O469" s="64">
        <f t="shared" si="161"/>
        <v>32032.18</v>
      </c>
      <c r="P469" s="63">
        <f t="shared" si="161"/>
        <v>36080.22</v>
      </c>
      <c r="Q469" s="65">
        <f t="shared" si="161"/>
        <v>33872.959999999999</v>
      </c>
      <c r="R469" s="1"/>
      <c r="S469" s="1"/>
      <c r="T469" s="1"/>
    </row>
    <row r="470" spans="1:20" ht="13.5" customHeight="1" x14ac:dyDescent="0.25">
      <c r="A470" s="1"/>
      <c r="B470" s="1"/>
      <c r="C470" s="1"/>
      <c r="D470" s="42"/>
      <c r="E470" s="44"/>
      <c r="F470" s="45"/>
      <c r="G470" s="45"/>
      <c r="H470" s="66"/>
      <c r="I470" s="66"/>
      <c r="J470" s="48"/>
      <c r="K470" s="49"/>
      <c r="L470" s="50"/>
      <c r="M470" s="50"/>
      <c r="N470" s="51"/>
      <c r="O470" s="52"/>
      <c r="P470" s="53"/>
      <c r="Q470" s="54"/>
      <c r="R470" s="1"/>
      <c r="S470" s="1"/>
      <c r="T470" s="1"/>
    </row>
    <row r="471" spans="1:20" ht="13.5" customHeight="1" x14ac:dyDescent="0.25">
      <c r="A471" s="1"/>
      <c r="B471" s="1" t="s">
        <v>584</v>
      </c>
      <c r="C471" s="1" t="s">
        <v>247</v>
      </c>
      <c r="D471" s="42">
        <v>3140.3249999999998</v>
      </c>
      <c r="E471" s="43">
        <v>1230.6600000000001</v>
      </c>
      <c r="F471" s="45">
        <v>6057.5760000000009</v>
      </c>
      <c r="G471" s="45">
        <v>6057.5760000000009</v>
      </c>
      <c r="H471" s="46">
        <v>2550.29</v>
      </c>
      <c r="I471" s="47">
        <f t="shared" ref="I471:I475" si="162">H471/J471</f>
        <v>0.845026507620941</v>
      </c>
      <c r="J471" s="48">
        <v>3018</v>
      </c>
      <c r="K471" s="49">
        <v>3018</v>
      </c>
      <c r="L471" s="50">
        <v>2370.75</v>
      </c>
      <c r="M471" s="50">
        <v>2245.2600000000002</v>
      </c>
      <c r="N471" s="51">
        <v>2181.83</v>
      </c>
      <c r="O471" s="52">
        <v>2121.02</v>
      </c>
      <c r="P471" s="53">
        <v>2228.58</v>
      </c>
      <c r="Q471" s="54">
        <v>2176.62</v>
      </c>
      <c r="R471" s="1"/>
      <c r="S471" s="1"/>
      <c r="T471" s="1"/>
    </row>
    <row r="472" spans="1:20" ht="13.5" customHeight="1" x14ac:dyDescent="0.25">
      <c r="A472" s="1"/>
      <c r="B472" s="1" t="s">
        <v>585</v>
      </c>
      <c r="C472" s="1" t="s">
        <v>249</v>
      </c>
      <c r="D472" s="42">
        <v>10463.434800000001</v>
      </c>
      <c r="E472" s="43">
        <v>5541.06</v>
      </c>
      <c r="F472" s="45">
        <v>20926.547200000001</v>
      </c>
      <c r="G472" s="45">
        <v>20926.547200000001</v>
      </c>
      <c r="H472" s="46">
        <v>10176.06</v>
      </c>
      <c r="I472" s="47">
        <f t="shared" si="162"/>
        <v>0.99327086383601748</v>
      </c>
      <c r="J472" s="48">
        <v>10245</v>
      </c>
      <c r="K472" s="49">
        <v>10245</v>
      </c>
      <c r="L472" s="50">
        <v>10140</v>
      </c>
      <c r="M472" s="50">
        <v>10139</v>
      </c>
      <c r="N472" s="51">
        <v>10165.6</v>
      </c>
      <c r="O472" s="52">
        <v>10124.16</v>
      </c>
      <c r="P472" s="53">
        <v>9977.7999999999993</v>
      </c>
      <c r="Q472" s="54">
        <v>9616.7999999999993</v>
      </c>
      <c r="R472" s="1"/>
      <c r="S472" s="1"/>
      <c r="T472" s="1"/>
    </row>
    <row r="473" spans="1:20" ht="13.5" customHeight="1" x14ac:dyDescent="0.25">
      <c r="A473" s="1"/>
      <c r="B473" s="1" t="s">
        <v>586</v>
      </c>
      <c r="C473" s="1" t="s">
        <v>251</v>
      </c>
      <c r="D473" s="42">
        <v>6165.71</v>
      </c>
      <c r="E473" s="43">
        <v>2864.34</v>
      </c>
      <c r="F473" s="45">
        <v>11893.436799999999</v>
      </c>
      <c r="G473" s="45">
        <v>11893.436799999999</v>
      </c>
      <c r="H473" s="46">
        <v>5749.8</v>
      </c>
      <c r="I473" s="47">
        <f t="shared" si="162"/>
        <v>1.0038058659217877</v>
      </c>
      <c r="J473" s="48">
        <v>5728</v>
      </c>
      <c r="K473" s="49">
        <v>5728</v>
      </c>
      <c r="L473" s="50">
        <v>5439.65</v>
      </c>
      <c r="M473" s="50">
        <v>4948.6899999999996</v>
      </c>
      <c r="N473" s="51">
        <v>4774.9799999999996</v>
      </c>
      <c r="O473" s="52">
        <v>4489.01</v>
      </c>
      <c r="P473" s="53">
        <v>4792.16</v>
      </c>
      <c r="Q473" s="54">
        <v>4329.68</v>
      </c>
      <c r="R473" s="1"/>
      <c r="S473" s="1"/>
      <c r="T473" s="1"/>
    </row>
    <row r="474" spans="1:20" ht="13.5" customHeight="1" x14ac:dyDescent="0.25">
      <c r="A474" s="1"/>
      <c r="B474" s="1" t="s">
        <v>587</v>
      </c>
      <c r="C474" s="1" t="s">
        <v>253</v>
      </c>
      <c r="D474" s="42">
        <v>65.680000000000007</v>
      </c>
      <c r="E474" s="43">
        <v>30.51</v>
      </c>
      <c r="F474" s="45">
        <v>126.6944</v>
      </c>
      <c r="G474" s="45">
        <v>126.6944</v>
      </c>
      <c r="H474" s="46">
        <v>63.3</v>
      </c>
      <c r="I474" s="47">
        <f t="shared" si="162"/>
        <v>0.98906249999999996</v>
      </c>
      <c r="J474" s="48">
        <v>64</v>
      </c>
      <c r="K474" s="49">
        <v>64</v>
      </c>
      <c r="L474" s="50">
        <v>68.73</v>
      </c>
      <c r="M474" s="50">
        <v>67.52</v>
      </c>
      <c r="N474" s="51">
        <v>83.08</v>
      </c>
      <c r="O474" s="52">
        <v>88.48</v>
      </c>
      <c r="P474" s="53">
        <v>87.43</v>
      </c>
      <c r="Q474" s="54">
        <v>81.099999999999994</v>
      </c>
      <c r="R474" s="1"/>
      <c r="S474" s="1"/>
      <c r="T474" s="1"/>
    </row>
    <row r="475" spans="1:20" ht="13.5" customHeight="1" x14ac:dyDescent="0.25">
      <c r="A475" s="1"/>
      <c r="B475" s="1" t="s">
        <v>588</v>
      </c>
      <c r="C475" s="1" t="s">
        <v>255</v>
      </c>
      <c r="D475" s="42">
        <v>351.12</v>
      </c>
      <c r="E475" s="43">
        <v>167.28</v>
      </c>
      <c r="F475" s="45">
        <v>670</v>
      </c>
      <c r="G475" s="45">
        <v>670</v>
      </c>
      <c r="H475" s="46">
        <v>323.95999999999998</v>
      </c>
      <c r="I475" s="47">
        <f t="shared" si="162"/>
        <v>1.006086956521739</v>
      </c>
      <c r="J475" s="48">
        <v>322</v>
      </c>
      <c r="K475" s="49">
        <v>322</v>
      </c>
      <c r="L475" s="50">
        <v>313.24</v>
      </c>
      <c r="M475" s="50">
        <v>302.12</v>
      </c>
      <c r="N475" s="51">
        <v>329.54</v>
      </c>
      <c r="O475" s="52">
        <v>335.4</v>
      </c>
      <c r="P475" s="53">
        <v>335.4</v>
      </c>
      <c r="Q475" s="54">
        <v>320.3</v>
      </c>
      <c r="R475" s="1"/>
      <c r="S475" s="1"/>
      <c r="T475" s="1"/>
    </row>
    <row r="476" spans="1:20" ht="13.5" customHeight="1" x14ac:dyDescent="0.25">
      <c r="A476" s="1"/>
      <c r="B476" s="1"/>
      <c r="C476" s="1"/>
      <c r="D476" s="56">
        <v>20186.269799999998</v>
      </c>
      <c r="E476" s="57">
        <f t="shared" ref="E476" si="163">SUM(E471:E475)</f>
        <v>9833.8500000000022</v>
      </c>
      <c r="F476" s="58">
        <f>SUM(F470:F475)</f>
        <v>39674.254399999998</v>
      </c>
      <c r="G476" s="58">
        <v>39674.254399999998</v>
      </c>
      <c r="H476" s="59">
        <f>SUM(H471:H475)</f>
        <v>18863.409999999996</v>
      </c>
      <c r="I476" s="59"/>
      <c r="J476" s="60">
        <f t="shared" ref="J476:Q476" si="164">SUM(J471:J475)</f>
        <v>19377</v>
      </c>
      <c r="K476" s="61">
        <f t="shared" si="164"/>
        <v>19377</v>
      </c>
      <c r="L476" s="62">
        <f t="shared" si="164"/>
        <v>18332.370000000003</v>
      </c>
      <c r="M476" s="62">
        <f t="shared" si="164"/>
        <v>17702.59</v>
      </c>
      <c r="N476" s="63">
        <f t="shared" si="164"/>
        <v>17535.030000000002</v>
      </c>
      <c r="O476" s="64">
        <f t="shared" si="164"/>
        <v>17158.070000000003</v>
      </c>
      <c r="P476" s="63">
        <f t="shared" si="164"/>
        <v>17421.370000000003</v>
      </c>
      <c r="Q476" s="65">
        <f t="shared" si="164"/>
        <v>16524.5</v>
      </c>
      <c r="R476" s="1"/>
      <c r="S476" s="1"/>
      <c r="T476" s="1"/>
    </row>
    <row r="477" spans="1:20" ht="13.5" customHeight="1" x14ac:dyDescent="0.25">
      <c r="A477" s="1"/>
      <c r="B477" s="1"/>
      <c r="C477" s="1"/>
      <c r="D477" s="42"/>
      <c r="E477" s="44"/>
      <c r="F477" s="45"/>
      <c r="G477" s="45"/>
      <c r="H477" s="66"/>
      <c r="I477" s="66"/>
      <c r="J477" s="48"/>
      <c r="K477" s="49"/>
      <c r="L477" s="50"/>
      <c r="M477" s="50"/>
      <c r="N477" s="51"/>
      <c r="O477" s="52"/>
      <c r="P477" s="53"/>
      <c r="Q477" s="54"/>
      <c r="R477" s="1"/>
      <c r="S477" s="1"/>
      <c r="T477" s="1"/>
    </row>
    <row r="478" spans="1:20" ht="13.5" customHeight="1" x14ac:dyDescent="0.25">
      <c r="A478" s="1"/>
      <c r="B478" s="1" t="s">
        <v>589</v>
      </c>
      <c r="C478" s="1" t="s">
        <v>259</v>
      </c>
      <c r="D478" s="42">
        <v>434</v>
      </c>
      <c r="E478" s="43">
        <v>176.85</v>
      </c>
      <c r="F478" s="45">
        <v>434</v>
      </c>
      <c r="G478" s="45">
        <v>434</v>
      </c>
      <c r="H478" s="46">
        <v>195.56</v>
      </c>
      <c r="I478" s="47">
        <f t="shared" ref="I478:I479" si="165">H478/J478</f>
        <v>0.45059907834101381</v>
      </c>
      <c r="J478" s="48">
        <v>434</v>
      </c>
      <c r="K478" s="49">
        <v>434</v>
      </c>
      <c r="L478" s="50">
        <v>381.39</v>
      </c>
      <c r="M478" s="50">
        <v>516.63</v>
      </c>
      <c r="N478" s="51">
        <v>473.81</v>
      </c>
      <c r="O478" s="52">
        <v>477.29</v>
      </c>
      <c r="P478" s="53">
        <v>434.61</v>
      </c>
      <c r="Q478" s="54">
        <v>431.22</v>
      </c>
      <c r="R478" s="1"/>
      <c r="S478" s="1"/>
      <c r="T478" s="1"/>
    </row>
    <row r="479" spans="1:20" ht="13.5" customHeight="1" x14ac:dyDescent="0.25">
      <c r="A479" s="1"/>
      <c r="B479" s="1" t="s">
        <v>590</v>
      </c>
      <c r="C479" s="1" t="s">
        <v>591</v>
      </c>
      <c r="D479" s="42">
        <v>266</v>
      </c>
      <c r="E479" s="70">
        <v>0</v>
      </c>
      <c r="F479" s="45">
        <v>266</v>
      </c>
      <c r="G479" s="45">
        <v>266</v>
      </c>
      <c r="H479" s="74">
        <v>24.71</v>
      </c>
      <c r="I479" s="47">
        <f t="shared" si="165"/>
        <v>9.2894736842105266E-2</v>
      </c>
      <c r="J479" s="48">
        <v>266</v>
      </c>
      <c r="K479" s="49">
        <v>266</v>
      </c>
      <c r="L479" s="50">
        <v>155.28</v>
      </c>
      <c r="M479" s="77">
        <v>0</v>
      </c>
      <c r="N479" s="53" t="s">
        <v>16</v>
      </c>
      <c r="O479" s="52">
        <v>59.99</v>
      </c>
      <c r="P479" s="53">
        <v>0</v>
      </c>
      <c r="Q479" s="54" t="s">
        <v>592</v>
      </c>
      <c r="R479" s="1"/>
      <c r="S479" s="1"/>
      <c r="T479" s="1"/>
    </row>
    <row r="480" spans="1:20" ht="13.5" customHeight="1" x14ac:dyDescent="0.25">
      <c r="A480" s="1"/>
      <c r="B480" s="1"/>
      <c r="C480" s="1"/>
      <c r="D480" s="56">
        <v>700</v>
      </c>
      <c r="E480" s="57">
        <f t="shared" ref="E480" si="166">SUM(E478:E479)</f>
        <v>176.85</v>
      </c>
      <c r="F480" s="58">
        <f>SUM(F477:F479)</f>
        <v>700</v>
      </c>
      <c r="G480" s="58">
        <v>700</v>
      </c>
      <c r="H480" s="59">
        <f>SUM(H478:H479)</f>
        <v>220.27</v>
      </c>
      <c r="I480" s="59"/>
      <c r="J480" s="60">
        <f t="shared" ref="J480:Q480" si="167">SUM(J478:J479)</f>
        <v>700</v>
      </c>
      <c r="K480" s="61">
        <f t="shared" si="167"/>
        <v>700</v>
      </c>
      <c r="L480" s="62">
        <f t="shared" si="167"/>
        <v>536.66999999999996</v>
      </c>
      <c r="M480" s="62">
        <f t="shared" si="167"/>
        <v>516.63</v>
      </c>
      <c r="N480" s="63">
        <f t="shared" si="167"/>
        <v>473.81</v>
      </c>
      <c r="O480" s="64">
        <f t="shared" si="167"/>
        <v>537.28</v>
      </c>
      <c r="P480" s="63">
        <f t="shared" si="167"/>
        <v>434.61</v>
      </c>
      <c r="Q480" s="65">
        <f t="shared" si="167"/>
        <v>431.22</v>
      </c>
      <c r="R480" s="1"/>
      <c r="S480" s="1"/>
      <c r="T480" s="1"/>
    </row>
    <row r="481" spans="1:20" ht="13.5" customHeight="1" x14ac:dyDescent="0.25">
      <c r="A481" s="1"/>
      <c r="B481" s="1"/>
      <c r="C481" s="1"/>
      <c r="D481" s="42"/>
      <c r="E481" s="67"/>
      <c r="F481" s="45"/>
      <c r="G481" s="45"/>
      <c r="H481" s="74"/>
      <c r="I481" s="66"/>
      <c r="J481" s="48"/>
      <c r="K481" s="49"/>
      <c r="L481" s="50"/>
      <c r="M481" s="77"/>
      <c r="N481" s="53"/>
      <c r="O481" s="52"/>
      <c r="P481" s="53"/>
      <c r="Q481" s="54"/>
      <c r="R481" s="1"/>
      <c r="S481" s="1"/>
      <c r="T481" s="1"/>
    </row>
    <row r="482" spans="1:20" ht="13.5" customHeight="1" x14ac:dyDescent="0.25">
      <c r="A482" s="1"/>
      <c r="B482" s="1" t="s">
        <v>593</v>
      </c>
      <c r="C482" s="1" t="s">
        <v>275</v>
      </c>
      <c r="D482" s="42">
        <v>1000</v>
      </c>
      <c r="E482" s="70">
        <v>615.63</v>
      </c>
      <c r="F482" s="45">
        <v>1000</v>
      </c>
      <c r="G482" s="45">
        <v>1000</v>
      </c>
      <c r="H482" s="74">
        <v>0</v>
      </c>
      <c r="I482" s="47">
        <f t="shared" ref="I482:I486" si="168">H482/J482</f>
        <v>0</v>
      </c>
      <c r="J482" s="48">
        <v>1000</v>
      </c>
      <c r="K482" s="49">
        <v>1000</v>
      </c>
      <c r="L482" s="50">
        <v>740.52</v>
      </c>
      <c r="M482" s="50">
        <v>813.44</v>
      </c>
      <c r="N482" s="53" t="s">
        <v>16</v>
      </c>
      <c r="O482" s="52">
        <v>0</v>
      </c>
      <c r="P482" s="53">
        <v>855.5</v>
      </c>
      <c r="Q482" s="54">
        <v>581.98</v>
      </c>
      <c r="R482" s="1"/>
      <c r="S482" s="1"/>
      <c r="T482" s="1"/>
    </row>
    <row r="483" spans="1:20" ht="13.5" customHeight="1" x14ac:dyDescent="0.25">
      <c r="A483" s="1"/>
      <c r="B483" s="1" t="s">
        <v>594</v>
      </c>
      <c r="C483" s="1" t="s">
        <v>482</v>
      </c>
      <c r="D483" s="42">
        <v>1152</v>
      </c>
      <c r="E483" s="43">
        <v>480</v>
      </c>
      <c r="F483" s="45">
        <v>1152</v>
      </c>
      <c r="G483" s="45">
        <v>1152</v>
      </c>
      <c r="H483" s="46">
        <v>1152</v>
      </c>
      <c r="I483" s="47">
        <f t="shared" si="168"/>
        <v>1</v>
      </c>
      <c r="J483" s="48">
        <v>1152</v>
      </c>
      <c r="K483" s="49">
        <v>1152</v>
      </c>
      <c r="L483" s="50">
        <v>1152.75</v>
      </c>
      <c r="M483" s="50">
        <v>1177</v>
      </c>
      <c r="N483" s="51">
        <v>1162</v>
      </c>
      <c r="O483" s="52">
        <v>1157</v>
      </c>
      <c r="P483" s="53">
        <v>1162</v>
      </c>
      <c r="Q483" s="54">
        <v>1152</v>
      </c>
      <c r="R483" s="1"/>
      <c r="S483" s="1"/>
      <c r="T483" s="1"/>
    </row>
    <row r="484" spans="1:20" ht="13.5" customHeight="1" x14ac:dyDescent="0.25">
      <c r="A484" s="1"/>
      <c r="B484" s="1" t="s">
        <v>595</v>
      </c>
      <c r="C484" s="55" t="s">
        <v>408</v>
      </c>
      <c r="D484" s="42">
        <v>12686</v>
      </c>
      <c r="E484" s="43">
        <v>7193</v>
      </c>
      <c r="F484" s="45">
        <v>12686</v>
      </c>
      <c r="G484" s="45">
        <v>12686</v>
      </c>
      <c r="H484" s="46">
        <v>12842</v>
      </c>
      <c r="I484" s="47">
        <f t="shared" si="168"/>
        <v>1.0122970203373798</v>
      </c>
      <c r="J484" s="48">
        <v>12686</v>
      </c>
      <c r="K484" s="49">
        <v>12686</v>
      </c>
      <c r="L484" s="50">
        <v>12686</v>
      </c>
      <c r="M484" s="77">
        <v>0</v>
      </c>
      <c r="N484" s="53" t="s">
        <v>16</v>
      </c>
      <c r="O484" s="52"/>
      <c r="P484" s="53"/>
      <c r="Q484" s="54"/>
      <c r="R484" s="1"/>
      <c r="S484" s="1"/>
      <c r="T484" s="1"/>
    </row>
    <row r="485" spans="1:20" ht="13.5" customHeight="1" x14ac:dyDescent="0.25">
      <c r="A485" s="1"/>
      <c r="B485" s="1" t="s">
        <v>596</v>
      </c>
      <c r="C485" s="1" t="s">
        <v>279</v>
      </c>
      <c r="D485" s="42">
        <v>71</v>
      </c>
      <c r="E485" s="70">
        <v>0</v>
      </c>
      <c r="F485" s="45">
        <v>71</v>
      </c>
      <c r="G485" s="45">
        <v>71</v>
      </c>
      <c r="H485" s="74">
        <v>71</v>
      </c>
      <c r="I485" s="47">
        <f t="shared" si="168"/>
        <v>1</v>
      </c>
      <c r="J485" s="48">
        <v>71</v>
      </c>
      <c r="K485" s="49">
        <v>71</v>
      </c>
      <c r="L485" s="77">
        <v>0</v>
      </c>
      <c r="M485" s="77">
        <v>0</v>
      </c>
      <c r="N485" s="53" t="s">
        <v>16</v>
      </c>
      <c r="O485" s="52">
        <v>71</v>
      </c>
      <c r="P485" s="53">
        <v>0</v>
      </c>
      <c r="Q485" s="54">
        <v>0</v>
      </c>
      <c r="R485" s="1"/>
      <c r="S485" s="1"/>
      <c r="T485" s="1"/>
    </row>
    <row r="486" spans="1:20" ht="13.5" customHeight="1" x14ac:dyDescent="0.25">
      <c r="A486" s="1"/>
      <c r="B486" s="1" t="s">
        <v>597</v>
      </c>
      <c r="C486" s="1" t="s">
        <v>281</v>
      </c>
      <c r="D486" s="42">
        <v>825</v>
      </c>
      <c r="E486" s="43">
        <v>326.94</v>
      </c>
      <c r="F486" s="45">
        <v>825</v>
      </c>
      <c r="G486" s="45">
        <v>825</v>
      </c>
      <c r="H486" s="46">
        <v>653.88</v>
      </c>
      <c r="I486" s="47">
        <f t="shared" si="168"/>
        <v>0.79258181818181817</v>
      </c>
      <c r="J486" s="48">
        <v>825</v>
      </c>
      <c r="K486" s="49">
        <v>825</v>
      </c>
      <c r="L486" s="50">
        <v>653.88</v>
      </c>
      <c r="M486" s="50">
        <v>653.88</v>
      </c>
      <c r="N486" s="51">
        <v>736.42</v>
      </c>
      <c r="O486" s="52">
        <v>826.48</v>
      </c>
      <c r="P486" s="53">
        <v>696.75</v>
      </c>
      <c r="Q486" s="54">
        <v>666.31</v>
      </c>
      <c r="R486" s="1"/>
      <c r="S486" s="1"/>
      <c r="T486" s="1"/>
    </row>
    <row r="487" spans="1:20" ht="13.5" customHeight="1" x14ac:dyDescent="0.25">
      <c r="A487" s="1"/>
      <c r="B487" s="1"/>
      <c r="C487" s="1"/>
      <c r="D487" s="56">
        <v>15734</v>
      </c>
      <c r="E487" s="57">
        <f t="shared" ref="E487" si="169">SUM(E482:E486)</f>
        <v>8615.5700000000015</v>
      </c>
      <c r="F487" s="58">
        <f>SUM(F481:F486)</f>
        <v>15734</v>
      </c>
      <c r="G487" s="58">
        <v>15734</v>
      </c>
      <c r="H487" s="59">
        <f>SUM(H482:H486)</f>
        <v>14718.88</v>
      </c>
      <c r="I487" s="59"/>
      <c r="J487" s="60">
        <f t="shared" ref="J487:Q487" si="170">SUM(J482:J486)</f>
        <v>15734</v>
      </c>
      <c r="K487" s="61">
        <f t="shared" si="170"/>
        <v>15734</v>
      </c>
      <c r="L487" s="62">
        <f t="shared" si="170"/>
        <v>15233.15</v>
      </c>
      <c r="M487" s="62">
        <f t="shared" si="170"/>
        <v>2644.32</v>
      </c>
      <c r="N487" s="63">
        <f t="shared" si="170"/>
        <v>1898.42</v>
      </c>
      <c r="O487" s="64">
        <f t="shared" si="170"/>
        <v>2054.48</v>
      </c>
      <c r="P487" s="63">
        <f t="shared" si="170"/>
        <v>2714.25</v>
      </c>
      <c r="Q487" s="65">
        <f t="shared" si="170"/>
        <v>2400.29</v>
      </c>
      <c r="R487" s="1"/>
      <c r="S487" s="1"/>
      <c r="T487" s="1"/>
    </row>
    <row r="488" spans="1:20" ht="13.5" customHeight="1" thickBot="1" x14ac:dyDescent="0.3">
      <c r="A488" s="1"/>
      <c r="B488" s="1"/>
      <c r="C488" s="116" t="s">
        <v>598</v>
      </c>
      <c r="D488" s="267">
        <v>77670.269799999995</v>
      </c>
      <c r="E488" s="173">
        <f t="shared" ref="E488" si="171">SUM(E469+E476+E480+E487)</f>
        <v>37696.43</v>
      </c>
      <c r="F488" s="174">
        <f>SUM(F469+F476+F480+F487)</f>
        <v>103009.25440000001</v>
      </c>
      <c r="G488" s="174">
        <v>135292.25440000001</v>
      </c>
      <c r="H488" s="175">
        <f>SUM(H469+H476+H480+H487)</f>
        <v>73364.33</v>
      </c>
      <c r="I488" s="175"/>
      <c r="J488" s="176">
        <f t="shared" ref="J488:Q488" si="172">SUM(J469+J476+J480+J487)</f>
        <v>75255</v>
      </c>
      <c r="K488" s="177">
        <f t="shared" si="172"/>
        <v>75255</v>
      </c>
      <c r="L488" s="178">
        <f t="shared" si="172"/>
        <v>71666.84</v>
      </c>
      <c r="M488" s="178">
        <f t="shared" si="172"/>
        <v>56386.709999999992</v>
      </c>
      <c r="N488" s="179">
        <f t="shared" si="172"/>
        <v>54650.53</v>
      </c>
      <c r="O488" s="180">
        <f t="shared" si="172"/>
        <v>51782.01</v>
      </c>
      <c r="P488" s="179">
        <f t="shared" si="172"/>
        <v>56650.450000000004</v>
      </c>
      <c r="Q488" s="181">
        <f t="shared" si="172"/>
        <v>53228.97</v>
      </c>
      <c r="R488" s="1"/>
      <c r="S488" s="1"/>
      <c r="T488" s="1"/>
    </row>
    <row r="489" spans="1:20" ht="13.5" customHeight="1" thickTop="1" x14ac:dyDescent="0.25">
      <c r="A489" s="1"/>
      <c r="B489" s="1"/>
      <c r="C489" s="116"/>
      <c r="D489" s="42"/>
      <c r="E489" s="44"/>
      <c r="F489" s="45"/>
      <c r="G489" s="45"/>
      <c r="H489" s="66"/>
      <c r="I489" s="66"/>
      <c r="J489" s="48"/>
      <c r="K489" s="49"/>
      <c r="L489" s="50"/>
      <c r="M489" s="50"/>
      <c r="N489" s="51"/>
      <c r="O489" s="151"/>
      <c r="P489" s="51"/>
      <c r="Q489" s="152"/>
      <c r="R489" s="1"/>
      <c r="S489" s="1"/>
      <c r="T489" s="1"/>
    </row>
    <row r="490" spans="1:20" ht="13.5" customHeight="1" x14ac:dyDescent="0.25">
      <c r="A490" s="1"/>
      <c r="B490" s="1"/>
      <c r="C490" s="41"/>
      <c r="D490" s="42"/>
      <c r="E490" s="44"/>
      <c r="F490" s="45"/>
      <c r="G490" s="45"/>
      <c r="H490" s="66"/>
      <c r="I490" s="66"/>
      <c r="J490" s="48"/>
      <c r="K490" s="49"/>
      <c r="L490" s="50"/>
      <c r="M490" s="50"/>
      <c r="N490" s="51"/>
      <c r="O490" s="52"/>
      <c r="P490" s="53"/>
      <c r="Q490" s="54"/>
      <c r="R490" s="1"/>
      <c r="S490" s="1"/>
      <c r="T490" s="1"/>
    </row>
    <row r="491" spans="1:20" ht="13.5" customHeight="1" x14ac:dyDescent="0.25">
      <c r="A491" s="1"/>
      <c r="B491" s="1"/>
      <c r="C491" s="41" t="s">
        <v>599</v>
      </c>
      <c r="D491" s="42"/>
      <c r="E491" s="44"/>
      <c r="F491" s="45"/>
      <c r="G491" s="45"/>
      <c r="H491" s="66"/>
      <c r="I491" s="66"/>
      <c r="J491" s="48"/>
      <c r="K491" s="49"/>
      <c r="L491" s="50"/>
      <c r="M491" s="50"/>
      <c r="N491" s="51"/>
      <c r="O491" s="52"/>
      <c r="P491" s="53"/>
      <c r="Q491" s="54"/>
      <c r="R491" s="1"/>
      <c r="S491" s="1"/>
      <c r="T491" s="1"/>
    </row>
    <row r="492" spans="1:20" ht="13.5" customHeight="1" x14ac:dyDescent="0.25">
      <c r="A492" s="1"/>
      <c r="B492" s="1" t="s">
        <v>600</v>
      </c>
      <c r="C492" s="55" t="s">
        <v>418</v>
      </c>
      <c r="D492" s="42">
        <v>1405.07</v>
      </c>
      <c r="E492" s="43">
        <v>665.18</v>
      </c>
      <c r="F492" s="45">
        <v>1405.07</v>
      </c>
      <c r="G492" s="45">
        <v>1405.07</v>
      </c>
      <c r="H492" s="46">
        <v>1398.01</v>
      </c>
      <c r="I492" s="47">
        <f t="shared" ref="I492:I496" si="173">H492/J492</f>
        <v>0.99431721194879086</v>
      </c>
      <c r="J492" s="48">
        <v>1406</v>
      </c>
      <c r="K492" s="49">
        <v>1406</v>
      </c>
      <c r="L492" s="50">
        <v>1368.9</v>
      </c>
      <c r="M492" s="50">
        <v>1312.39</v>
      </c>
      <c r="N492" s="51">
        <v>1065.55</v>
      </c>
      <c r="O492" s="52">
        <v>16.32</v>
      </c>
      <c r="P492" s="53">
        <v>0</v>
      </c>
      <c r="Q492" s="54">
        <v>0</v>
      </c>
      <c r="R492" s="1"/>
      <c r="S492" s="1"/>
      <c r="T492" s="1"/>
    </row>
    <row r="493" spans="1:20" ht="13.5" customHeight="1" x14ac:dyDescent="0.25">
      <c r="A493" s="1"/>
      <c r="B493" s="1" t="s">
        <v>601</v>
      </c>
      <c r="C493" s="55" t="s">
        <v>420</v>
      </c>
      <c r="D493" s="42">
        <v>91317.43</v>
      </c>
      <c r="E493" s="43">
        <v>41741.03</v>
      </c>
      <c r="F493" s="45">
        <v>92620</v>
      </c>
      <c r="G493" s="45">
        <v>92620</v>
      </c>
      <c r="H493" s="46">
        <v>83624.960000000006</v>
      </c>
      <c r="I493" s="47">
        <f t="shared" si="173"/>
        <v>1.0166550361680142</v>
      </c>
      <c r="J493" s="48">
        <v>82255</v>
      </c>
      <c r="K493" s="49">
        <v>82255</v>
      </c>
      <c r="L493" s="50">
        <v>81774.25</v>
      </c>
      <c r="M493" s="50">
        <v>76402.47</v>
      </c>
      <c r="N493" s="51">
        <v>75857.97</v>
      </c>
      <c r="O493" s="52">
        <v>72401.539999999994</v>
      </c>
      <c r="P493" s="53">
        <v>72348.86</v>
      </c>
      <c r="Q493" s="54">
        <v>69587.210000000006</v>
      </c>
      <c r="R493" s="1"/>
      <c r="S493" s="1"/>
      <c r="T493" s="1"/>
    </row>
    <row r="494" spans="1:20" ht="13.5" customHeight="1" x14ac:dyDescent="0.25">
      <c r="A494" s="1"/>
      <c r="B494" s="1" t="s">
        <v>602</v>
      </c>
      <c r="C494" s="55" t="s">
        <v>237</v>
      </c>
      <c r="D494" s="42">
        <v>8320</v>
      </c>
      <c r="E494" s="43">
        <v>1600</v>
      </c>
      <c r="F494" s="45">
        <v>8320</v>
      </c>
      <c r="G494" s="45">
        <v>8320</v>
      </c>
      <c r="H494" s="46">
        <v>4700</v>
      </c>
      <c r="I494" s="47">
        <f t="shared" si="173"/>
        <v>0.56490384615384615</v>
      </c>
      <c r="J494" s="48">
        <v>8320</v>
      </c>
      <c r="K494" s="49">
        <v>8320</v>
      </c>
      <c r="L494" s="50">
        <v>3800</v>
      </c>
      <c r="M494" s="50">
        <v>5200</v>
      </c>
      <c r="N494" s="51">
        <v>5200</v>
      </c>
      <c r="O494" s="52">
        <v>6900</v>
      </c>
      <c r="P494" s="53">
        <v>5360</v>
      </c>
      <c r="Q494" s="54">
        <v>7240</v>
      </c>
      <c r="R494" s="1"/>
      <c r="S494" s="1"/>
      <c r="T494" s="1"/>
    </row>
    <row r="495" spans="1:20" ht="13.5" customHeight="1" x14ac:dyDescent="0.25">
      <c r="A495" s="1"/>
      <c r="B495" s="1" t="s">
        <v>603</v>
      </c>
      <c r="C495" s="1" t="s">
        <v>423</v>
      </c>
      <c r="D495" s="42">
        <v>0</v>
      </c>
      <c r="E495" s="43">
        <v>0</v>
      </c>
      <c r="F495" s="45">
        <v>0</v>
      </c>
      <c r="G495" s="45">
        <v>0</v>
      </c>
      <c r="H495" s="46">
        <v>6466.1</v>
      </c>
      <c r="I495" s="47">
        <f t="shared" si="173"/>
        <v>0.99708558211256748</v>
      </c>
      <c r="J495" s="48">
        <v>6485</v>
      </c>
      <c r="K495" s="49">
        <v>6485</v>
      </c>
      <c r="L495" s="50">
        <v>6524.76</v>
      </c>
      <c r="M495" s="50">
        <v>6346.18</v>
      </c>
      <c r="N495" s="51">
        <v>6227.17</v>
      </c>
      <c r="O495" s="52">
        <v>6152.69</v>
      </c>
      <c r="P495" s="53">
        <v>5870.7</v>
      </c>
      <c r="Q495" s="54">
        <v>5818.3</v>
      </c>
      <c r="R495" s="1"/>
      <c r="S495" s="1"/>
      <c r="T495" s="1"/>
    </row>
    <row r="496" spans="1:20" ht="13.5" customHeight="1" x14ac:dyDescent="0.25">
      <c r="A496" s="1"/>
      <c r="B496" s="1" t="s">
        <v>604</v>
      </c>
      <c r="C496" s="1" t="s">
        <v>243</v>
      </c>
      <c r="D496" s="42">
        <v>9000</v>
      </c>
      <c r="E496" s="43">
        <v>4499.95</v>
      </c>
      <c r="F496" s="45">
        <v>9000</v>
      </c>
      <c r="G496" s="45">
        <v>9000</v>
      </c>
      <c r="H496" s="46">
        <v>8999.9</v>
      </c>
      <c r="I496" s="47">
        <f t="shared" si="173"/>
        <v>0.99998888888888882</v>
      </c>
      <c r="J496" s="48">
        <v>9000</v>
      </c>
      <c r="K496" s="49">
        <v>9000</v>
      </c>
      <c r="L496" s="50">
        <v>8999.9</v>
      </c>
      <c r="M496" s="50">
        <v>8999.9</v>
      </c>
      <c r="N496" s="51">
        <v>8999.9</v>
      </c>
      <c r="O496" s="52">
        <v>3115.26</v>
      </c>
      <c r="P496" s="53">
        <v>2999.88</v>
      </c>
      <c r="Q496" s="54">
        <v>2999.88</v>
      </c>
      <c r="R496" s="1"/>
      <c r="S496" s="1"/>
      <c r="T496" s="1"/>
    </row>
    <row r="497" spans="1:20" ht="13.5" customHeight="1" x14ac:dyDescent="0.25">
      <c r="A497" s="1"/>
      <c r="B497" s="1"/>
      <c r="C497" s="1"/>
      <c r="D497" s="56">
        <v>110042.5</v>
      </c>
      <c r="E497" s="57">
        <f t="shared" ref="E497" si="174">SUM(E492:E496)</f>
        <v>48506.159999999996</v>
      </c>
      <c r="F497" s="58">
        <f>SUM(F491:F496)</f>
        <v>111345.07</v>
      </c>
      <c r="G497" s="58">
        <v>111345.07</v>
      </c>
      <c r="H497" s="59">
        <f>SUM(H492:H496)</f>
        <v>105188.97</v>
      </c>
      <c r="I497" s="59"/>
      <c r="J497" s="60">
        <f t="shared" ref="J497:Q497" si="175">SUM(J492:J496)</f>
        <v>107466</v>
      </c>
      <c r="K497" s="61">
        <f t="shared" si="175"/>
        <v>107466</v>
      </c>
      <c r="L497" s="62">
        <f t="shared" si="175"/>
        <v>102467.80999999998</v>
      </c>
      <c r="M497" s="62">
        <f t="shared" si="175"/>
        <v>98260.94</v>
      </c>
      <c r="N497" s="63">
        <f t="shared" si="175"/>
        <v>97350.59</v>
      </c>
      <c r="O497" s="64">
        <f t="shared" si="175"/>
        <v>88585.81</v>
      </c>
      <c r="P497" s="63">
        <f t="shared" si="175"/>
        <v>86579.44</v>
      </c>
      <c r="Q497" s="65">
        <f t="shared" si="175"/>
        <v>85645.390000000014</v>
      </c>
      <c r="R497" s="1"/>
      <c r="S497" s="1"/>
      <c r="T497" s="1"/>
    </row>
    <row r="498" spans="1:20" ht="13.5" customHeight="1" x14ac:dyDescent="0.25">
      <c r="A498" s="1"/>
      <c r="B498" s="1"/>
      <c r="C498" s="1"/>
      <c r="D498" s="42"/>
      <c r="E498" s="44"/>
      <c r="F498" s="45"/>
      <c r="G498" s="45"/>
      <c r="H498" s="66"/>
      <c r="I498" s="66"/>
      <c r="J498" s="48"/>
      <c r="K498" s="49"/>
      <c r="L498" s="50"/>
      <c r="M498" s="50"/>
      <c r="N498" s="51"/>
      <c r="O498" s="52"/>
      <c r="P498" s="53"/>
      <c r="Q498" s="54"/>
      <c r="R498" s="1"/>
      <c r="S498" s="1"/>
      <c r="T498" s="1"/>
    </row>
    <row r="499" spans="1:20" ht="13.5" customHeight="1" x14ac:dyDescent="0.25">
      <c r="A499" s="1"/>
      <c r="B499" s="1" t="s">
        <v>605</v>
      </c>
      <c r="C499" s="1" t="s">
        <v>247</v>
      </c>
      <c r="D499" s="42">
        <v>8418.2512500000012</v>
      </c>
      <c r="E499" s="43">
        <v>3390.57</v>
      </c>
      <c r="F499" s="45">
        <v>8517.8978550000011</v>
      </c>
      <c r="G499" s="45">
        <v>8517.8978550000011</v>
      </c>
      <c r="H499" s="46">
        <v>7297.34</v>
      </c>
      <c r="I499" s="47">
        <f t="shared" ref="I499:I503" si="176">H499/J499</f>
        <v>0.88905214424951273</v>
      </c>
      <c r="J499" s="48">
        <v>8208</v>
      </c>
      <c r="K499" s="49">
        <v>8208</v>
      </c>
      <c r="L499" s="50">
        <v>6988.11</v>
      </c>
      <c r="M499" s="50">
        <v>6897.88</v>
      </c>
      <c r="N499" s="51">
        <v>6844.61</v>
      </c>
      <c r="O499" s="52">
        <v>6183.43</v>
      </c>
      <c r="P499" s="53">
        <v>6321.91</v>
      </c>
      <c r="Q499" s="54">
        <v>6303.49</v>
      </c>
      <c r="R499" s="1"/>
      <c r="S499" s="1"/>
      <c r="T499" s="1"/>
    </row>
    <row r="500" spans="1:20" ht="13.5" customHeight="1" x14ac:dyDescent="0.25">
      <c r="A500" s="1"/>
      <c r="B500" s="1" t="s">
        <v>606</v>
      </c>
      <c r="C500" s="1" t="s">
        <v>249</v>
      </c>
      <c r="D500" s="42">
        <v>20926.869600000002</v>
      </c>
      <c r="E500" s="43">
        <v>10356.36</v>
      </c>
      <c r="F500" s="45">
        <v>20926.547200000001</v>
      </c>
      <c r="G500" s="45">
        <v>20926.547200000001</v>
      </c>
      <c r="H500" s="46">
        <v>20352.12</v>
      </c>
      <c r="I500" s="47">
        <f t="shared" si="176"/>
        <v>0.99327086383601748</v>
      </c>
      <c r="J500" s="48">
        <v>20490</v>
      </c>
      <c r="K500" s="49">
        <v>20490</v>
      </c>
      <c r="L500" s="50">
        <v>20280</v>
      </c>
      <c r="M500" s="50">
        <v>20278</v>
      </c>
      <c r="N500" s="51">
        <v>20331.2</v>
      </c>
      <c r="O500" s="52">
        <v>20248.32</v>
      </c>
      <c r="P500" s="53">
        <v>19955.599999999999</v>
      </c>
      <c r="Q500" s="54">
        <v>19233.599999999999</v>
      </c>
      <c r="R500" s="1"/>
      <c r="S500" s="1"/>
      <c r="T500" s="1"/>
    </row>
    <row r="501" spans="1:20" ht="13.5" customHeight="1" x14ac:dyDescent="0.25">
      <c r="A501" s="1"/>
      <c r="B501" s="1" t="s">
        <v>607</v>
      </c>
      <c r="C501" s="1" t="s">
        <v>251</v>
      </c>
      <c r="D501" s="42">
        <v>16528.3835</v>
      </c>
      <c r="E501" s="43">
        <v>7249.24</v>
      </c>
      <c r="F501" s="45">
        <v>16724.029513999998</v>
      </c>
      <c r="G501" s="45">
        <v>16724.029513999998</v>
      </c>
      <c r="H501" s="46">
        <v>15289.58</v>
      </c>
      <c r="I501" s="47">
        <f t="shared" si="176"/>
        <v>0.98148542816792916</v>
      </c>
      <c r="J501" s="48">
        <v>15578</v>
      </c>
      <c r="K501" s="49">
        <v>15578</v>
      </c>
      <c r="L501" s="50">
        <v>14845.62</v>
      </c>
      <c r="M501" s="50">
        <v>13688.49</v>
      </c>
      <c r="N501" s="51">
        <v>13403.13</v>
      </c>
      <c r="O501" s="52">
        <v>12068.66</v>
      </c>
      <c r="P501" s="53">
        <v>11836.71</v>
      </c>
      <c r="Q501" s="54">
        <v>10898.83</v>
      </c>
      <c r="R501" s="1"/>
      <c r="S501" s="1"/>
      <c r="T501" s="1"/>
    </row>
    <row r="502" spans="1:20" ht="13.5" customHeight="1" x14ac:dyDescent="0.25">
      <c r="A502" s="1"/>
      <c r="B502" s="1" t="s">
        <v>608</v>
      </c>
      <c r="C502" s="1" t="s">
        <v>253</v>
      </c>
      <c r="D502" s="42">
        <v>176.06800000000001</v>
      </c>
      <c r="E502" s="43">
        <v>77.22</v>
      </c>
      <c r="F502" s="45">
        <v>178.15211200000002</v>
      </c>
      <c r="G502" s="45">
        <v>178.15211200000002</v>
      </c>
      <c r="H502" s="46">
        <v>168.38</v>
      </c>
      <c r="I502" s="47">
        <f t="shared" si="176"/>
        <v>0.97895348837209295</v>
      </c>
      <c r="J502" s="48">
        <v>172</v>
      </c>
      <c r="K502" s="49">
        <v>172</v>
      </c>
      <c r="L502" s="50">
        <v>187.46</v>
      </c>
      <c r="M502" s="50">
        <v>186.69</v>
      </c>
      <c r="N502" s="51">
        <v>232.81</v>
      </c>
      <c r="O502" s="52">
        <v>238.43</v>
      </c>
      <c r="P502" s="53">
        <v>213.98</v>
      </c>
      <c r="Q502" s="54">
        <v>205.35</v>
      </c>
      <c r="R502" s="1"/>
      <c r="S502" s="1"/>
      <c r="T502" s="1"/>
    </row>
    <row r="503" spans="1:20" ht="13.5" customHeight="1" x14ac:dyDescent="0.25">
      <c r="A503" s="1"/>
      <c r="B503" s="1" t="s">
        <v>609</v>
      </c>
      <c r="C503" s="1" t="s">
        <v>255</v>
      </c>
      <c r="D503" s="42">
        <v>702.24</v>
      </c>
      <c r="E503" s="43">
        <v>334.56</v>
      </c>
      <c r="F503" s="45">
        <v>670</v>
      </c>
      <c r="G503" s="45">
        <v>670</v>
      </c>
      <c r="H503" s="46">
        <v>647.91999999999996</v>
      </c>
      <c r="I503" s="47">
        <f t="shared" si="176"/>
        <v>1.006086956521739</v>
      </c>
      <c r="J503" s="48">
        <v>644</v>
      </c>
      <c r="K503" s="49">
        <v>644</v>
      </c>
      <c r="L503" s="50">
        <v>626.48</v>
      </c>
      <c r="M503" s="50">
        <v>679.3</v>
      </c>
      <c r="N503" s="51">
        <v>946.62</v>
      </c>
      <c r="O503" s="52">
        <v>955.8</v>
      </c>
      <c r="P503" s="53">
        <v>955.8</v>
      </c>
      <c r="Q503" s="54">
        <v>910.5</v>
      </c>
      <c r="R503" s="1"/>
      <c r="S503" s="1"/>
      <c r="T503" s="1"/>
    </row>
    <row r="504" spans="1:20" ht="13.5" customHeight="1" x14ac:dyDescent="0.25">
      <c r="A504" s="1"/>
      <c r="B504" s="1"/>
      <c r="C504" s="1"/>
      <c r="D504" s="56">
        <v>46751.81235</v>
      </c>
      <c r="E504" s="57">
        <f t="shared" ref="E504" si="177">SUM(E499:E503)</f>
        <v>21407.95</v>
      </c>
      <c r="F504" s="58">
        <f>SUM(F498:F503)</f>
        <v>47016.626681000002</v>
      </c>
      <c r="G504" s="58">
        <v>47016.626681000002</v>
      </c>
      <c r="H504" s="59">
        <f>SUM(H499:H503)</f>
        <v>43755.34</v>
      </c>
      <c r="I504" s="59"/>
      <c r="J504" s="60">
        <f t="shared" ref="J504:Q504" si="178">SUM(J499:J503)</f>
        <v>45092</v>
      </c>
      <c r="K504" s="61">
        <f t="shared" si="178"/>
        <v>45092</v>
      </c>
      <c r="L504" s="62">
        <f t="shared" si="178"/>
        <v>42927.670000000006</v>
      </c>
      <c r="M504" s="62">
        <f t="shared" si="178"/>
        <v>41730.360000000008</v>
      </c>
      <c r="N504" s="63">
        <f t="shared" si="178"/>
        <v>41758.370000000003</v>
      </c>
      <c r="O504" s="64">
        <f t="shared" si="178"/>
        <v>39694.640000000007</v>
      </c>
      <c r="P504" s="63">
        <f t="shared" si="178"/>
        <v>39284.000000000007</v>
      </c>
      <c r="Q504" s="65">
        <f t="shared" si="178"/>
        <v>37551.769999999997</v>
      </c>
      <c r="R504" s="1"/>
      <c r="S504" s="1"/>
      <c r="T504" s="1"/>
    </row>
    <row r="505" spans="1:20" ht="13.5" customHeight="1" x14ac:dyDescent="0.25">
      <c r="A505" s="1"/>
      <c r="B505" s="1"/>
      <c r="C505" s="1"/>
      <c r="D505" s="42"/>
      <c r="E505" s="44"/>
      <c r="F505" s="45"/>
      <c r="G505" s="45"/>
      <c r="H505" s="66"/>
      <c r="I505" s="66"/>
      <c r="J505" s="48"/>
      <c r="K505" s="49"/>
      <c r="L505" s="50"/>
      <c r="M505" s="50"/>
      <c r="N505" s="51"/>
      <c r="O505" s="52"/>
      <c r="P505" s="53"/>
      <c r="Q505" s="54"/>
      <c r="R505" s="1"/>
      <c r="S505" s="1"/>
      <c r="T505" s="1"/>
    </row>
    <row r="506" spans="1:20" ht="13.5" customHeight="1" x14ac:dyDescent="0.25">
      <c r="A506" s="1"/>
      <c r="B506" s="1" t="s">
        <v>610</v>
      </c>
      <c r="C506" s="1" t="s">
        <v>259</v>
      </c>
      <c r="D506" s="42">
        <v>1000</v>
      </c>
      <c r="E506" s="43">
        <v>112.36</v>
      </c>
      <c r="F506" s="45">
        <v>1000</v>
      </c>
      <c r="G506" s="45">
        <v>1000</v>
      </c>
      <c r="H506" s="46">
        <v>284.43</v>
      </c>
      <c r="I506" s="47">
        <f t="shared" ref="I506:I508" si="179">H506/J506</f>
        <v>0.28443000000000002</v>
      </c>
      <c r="J506" s="48">
        <v>1000</v>
      </c>
      <c r="K506" s="49">
        <v>1000</v>
      </c>
      <c r="L506" s="50">
        <v>378.18</v>
      </c>
      <c r="M506" s="50">
        <v>409.17</v>
      </c>
      <c r="N506" s="51">
        <v>330.5</v>
      </c>
      <c r="O506" s="52">
        <v>530.27</v>
      </c>
      <c r="P506" s="53">
        <v>448.83</v>
      </c>
      <c r="Q506" s="54">
        <v>727.15</v>
      </c>
      <c r="R506" s="1"/>
      <c r="S506" s="1"/>
      <c r="T506" s="1"/>
    </row>
    <row r="507" spans="1:20" ht="13.5" customHeight="1" x14ac:dyDescent="0.25">
      <c r="A507" s="1"/>
      <c r="B507" s="1" t="s">
        <v>611</v>
      </c>
      <c r="C507" s="1" t="s">
        <v>261</v>
      </c>
      <c r="D507" s="42">
        <v>340</v>
      </c>
      <c r="E507" s="43">
        <v>59.96</v>
      </c>
      <c r="F507" s="45">
        <v>340</v>
      </c>
      <c r="G507" s="45">
        <v>340</v>
      </c>
      <c r="H507" s="46">
        <v>265.86</v>
      </c>
      <c r="I507" s="47">
        <f t="shared" si="179"/>
        <v>0.78194117647058825</v>
      </c>
      <c r="J507" s="48">
        <v>340</v>
      </c>
      <c r="K507" s="49">
        <v>340</v>
      </c>
      <c r="L507" s="50">
        <v>225.92</v>
      </c>
      <c r="M507" s="50">
        <v>45.92</v>
      </c>
      <c r="N507" s="51">
        <v>80</v>
      </c>
      <c r="O507" s="52">
        <v>70.650000000000006</v>
      </c>
      <c r="P507" s="53">
        <v>351</v>
      </c>
      <c r="Q507" s="54">
        <v>440</v>
      </c>
      <c r="R507" s="1"/>
      <c r="S507" s="1"/>
      <c r="T507" s="1"/>
    </row>
    <row r="508" spans="1:20" ht="13.5" customHeight="1" x14ac:dyDescent="0.25">
      <c r="A508" s="1"/>
      <c r="B508" s="1" t="s">
        <v>612</v>
      </c>
      <c r="C508" s="1" t="s">
        <v>435</v>
      </c>
      <c r="D508" s="42">
        <v>300</v>
      </c>
      <c r="E508" s="70">
        <v>0</v>
      </c>
      <c r="F508" s="45">
        <v>300</v>
      </c>
      <c r="G508" s="45">
        <v>300</v>
      </c>
      <c r="H508" s="68">
        <v>336</v>
      </c>
      <c r="I508" s="47">
        <f t="shared" si="179"/>
        <v>1.1200000000000001</v>
      </c>
      <c r="J508" s="48">
        <v>300</v>
      </c>
      <c r="K508" s="49">
        <v>300</v>
      </c>
      <c r="L508" s="50">
        <v>214</v>
      </c>
      <c r="M508" s="50">
        <v>226</v>
      </c>
      <c r="N508" s="51">
        <v>315</v>
      </c>
      <c r="O508" s="52">
        <v>315</v>
      </c>
      <c r="P508" s="53">
        <v>182</v>
      </c>
      <c r="Q508" s="54">
        <v>273</v>
      </c>
      <c r="R508" s="1"/>
      <c r="S508" s="1"/>
      <c r="T508" s="1"/>
    </row>
    <row r="509" spans="1:20" ht="13.5" customHeight="1" x14ac:dyDescent="0.25">
      <c r="A509" s="1"/>
      <c r="B509" s="1"/>
      <c r="C509" s="1"/>
      <c r="D509" s="56">
        <v>1640</v>
      </c>
      <c r="E509" s="57">
        <f t="shared" ref="E509" si="180">SUM(E506:E508)</f>
        <v>172.32</v>
      </c>
      <c r="F509" s="58">
        <f>SUM(F505:F508)</f>
        <v>1640</v>
      </c>
      <c r="G509" s="58">
        <v>1640</v>
      </c>
      <c r="H509" s="59">
        <f>SUM(H506:H508)</f>
        <v>886.29</v>
      </c>
      <c r="I509" s="59"/>
      <c r="J509" s="60">
        <f t="shared" ref="J509:Q509" si="181">SUM(J506:J508)</f>
        <v>1640</v>
      </c>
      <c r="K509" s="61">
        <f t="shared" si="181"/>
        <v>1640</v>
      </c>
      <c r="L509" s="62">
        <f t="shared" si="181"/>
        <v>818.1</v>
      </c>
      <c r="M509" s="62">
        <f t="shared" si="181"/>
        <v>681.09</v>
      </c>
      <c r="N509" s="63">
        <f t="shared" si="181"/>
        <v>725.5</v>
      </c>
      <c r="O509" s="64">
        <f t="shared" si="181"/>
        <v>915.92</v>
      </c>
      <c r="P509" s="63">
        <f t="shared" si="181"/>
        <v>981.82999999999993</v>
      </c>
      <c r="Q509" s="65">
        <f t="shared" si="181"/>
        <v>1440.15</v>
      </c>
      <c r="R509" s="1"/>
      <c r="S509" s="1"/>
      <c r="T509" s="1"/>
    </row>
    <row r="510" spans="1:20" ht="13.5" customHeight="1" x14ac:dyDescent="0.25">
      <c r="A510" s="1"/>
      <c r="B510" s="1"/>
      <c r="C510" s="1"/>
      <c r="D510" s="42"/>
      <c r="E510" s="67"/>
      <c r="F510" s="45"/>
      <c r="G510" s="45"/>
      <c r="H510" s="74"/>
      <c r="I510" s="66"/>
      <c r="J510" s="48"/>
      <c r="K510" s="49"/>
      <c r="L510" s="50"/>
      <c r="M510" s="50"/>
      <c r="N510" s="51"/>
      <c r="O510" s="52"/>
      <c r="P510" s="53"/>
      <c r="Q510" s="54"/>
      <c r="R510" s="1"/>
      <c r="S510" s="1"/>
      <c r="T510" s="1"/>
    </row>
    <row r="511" spans="1:20" ht="13.5" hidden="1" customHeight="1" x14ac:dyDescent="0.25">
      <c r="A511" s="1"/>
      <c r="B511" s="1" t="s">
        <v>613</v>
      </c>
      <c r="C511" s="1" t="s">
        <v>614</v>
      </c>
      <c r="D511" s="72" t="s">
        <v>16</v>
      </c>
      <c r="E511" s="67"/>
      <c r="F511" s="73" t="s">
        <v>16</v>
      </c>
      <c r="G511" s="73" t="s">
        <v>16</v>
      </c>
      <c r="H511" s="74" t="s">
        <v>16</v>
      </c>
      <c r="I511" s="74"/>
      <c r="J511" s="75" t="s">
        <v>16</v>
      </c>
      <c r="K511" s="76" t="s">
        <v>16</v>
      </c>
      <c r="L511" s="77" t="s">
        <v>16</v>
      </c>
      <c r="M511" s="77" t="s">
        <v>16</v>
      </c>
      <c r="N511" s="51">
        <v>292.68</v>
      </c>
      <c r="O511" s="52"/>
      <c r="P511" s="53"/>
      <c r="Q511" s="54"/>
      <c r="R511" s="1"/>
      <c r="S511" s="1"/>
      <c r="T511" s="1"/>
    </row>
    <row r="512" spans="1:20" ht="13.5" customHeight="1" x14ac:dyDescent="0.25">
      <c r="A512" s="1"/>
      <c r="B512" s="1" t="s">
        <v>615</v>
      </c>
      <c r="C512" s="1" t="s">
        <v>275</v>
      </c>
      <c r="D512" s="42">
        <v>900</v>
      </c>
      <c r="E512" s="70">
        <v>0</v>
      </c>
      <c r="F512" s="45">
        <v>900</v>
      </c>
      <c r="G512" s="45">
        <v>900</v>
      </c>
      <c r="H512" s="68">
        <v>620.74</v>
      </c>
      <c r="I512" s="47">
        <f t="shared" ref="I512:I515" si="182">H512/J512</f>
        <v>0.68971111111111116</v>
      </c>
      <c r="J512" s="48">
        <v>900</v>
      </c>
      <c r="K512" s="49">
        <v>900</v>
      </c>
      <c r="L512" s="50">
        <v>1631.15</v>
      </c>
      <c r="M512" s="50">
        <v>949.05</v>
      </c>
      <c r="N512" s="51">
        <v>815.81</v>
      </c>
      <c r="O512" s="52">
        <v>668.02</v>
      </c>
      <c r="P512" s="53">
        <v>1256.8399999999999</v>
      </c>
      <c r="Q512" s="54">
        <v>327.01</v>
      </c>
      <c r="R512" s="1"/>
      <c r="S512" s="1"/>
      <c r="T512" s="1"/>
    </row>
    <row r="513" spans="1:20" ht="13.5" customHeight="1" x14ac:dyDescent="0.25">
      <c r="A513" s="1"/>
      <c r="B513" s="1" t="s">
        <v>616</v>
      </c>
      <c r="C513" s="1" t="s">
        <v>482</v>
      </c>
      <c r="D513" s="42">
        <v>50</v>
      </c>
      <c r="E513" s="70">
        <v>0</v>
      </c>
      <c r="F513" s="45">
        <v>50</v>
      </c>
      <c r="G513" s="45">
        <v>50</v>
      </c>
      <c r="H513" s="74">
        <v>0</v>
      </c>
      <c r="I513" s="47">
        <f t="shared" si="182"/>
        <v>0</v>
      </c>
      <c r="J513" s="48">
        <v>50</v>
      </c>
      <c r="K513" s="49">
        <v>50</v>
      </c>
      <c r="L513" s="77">
        <v>0</v>
      </c>
      <c r="M513" s="50">
        <v>138</v>
      </c>
      <c r="N513" s="51">
        <v>25</v>
      </c>
      <c r="O513" s="52">
        <v>25</v>
      </c>
      <c r="P513" s="53">
        <v>25</v>
      </c>
      <c r="Q513" s="54">
        <v>25</v>
      </c>
      <c r="R513" s="1"/>
      <c r="S513" s="1"/>
      <c r="T513" s="1"/>
    </row>
    <row r="514" spans="1:20" ht="13.5" customHeight="1" x14ac:dyDescent="0.25">
      <c r="A514" s="1"/>
      <c r="B514" s="1" t="s">
        <v>617</v>
      </c>
      <c r="C514" s="1" t="s">
        <v>618</v>
      </c>
      <c r="D514" s="42">
        <v>1500</v>
      </c>
      <c r="E514" s="70">
        <v>0</v>
      </c>
      <c r="F514" s="45">
        <v>1500</v>
      </c>
      <c r="G514" s="45">
        <v>1500</v>
      </c>
      <c r="H514" s="74">
        <v>0</v>
      </c>
      <c r="I514" s="47">
        <f t="shared" si="182"/>
        <v>0</v>
      </c>
      <c r="J514" s="48">
        <v>1500</v>
      </c>
      <c r="K514" s="49">
        <v>1500</v>
      </c>
      <c r="L514" s="77">
        <v>0</v>
      </c>
      <c r="M514" s="77">
        <v>0</v>
      </c>
      <c r="N514" s="53" t="s">
        <v>16</v>
      </c>
      <c r="O514" s="52">
        <v>0</v>
      </c>
      <c r="P514" s="53">
        <v>0</v>
      </c>
      <c r="Q514" s="54">
        <v>0</v>
      </c>
      <c r="R514" s="1"/>
      <c r="S514" s="1"/>
      <c r="T514" s="1"/>
    </row>
    <row r="515" spans="1:20" ht="13.5" customHeight="1" x14ac:dyDescent="0.25">
      <c r="A515" s="1"/>
      <c r="B515" s="1" t="s">
        <v>619</v>
      </c>
      <c r="C515" s="1" t="s">
        <v>281</v>
      </c>
      <c r="D515" s="42">
        <v>1775</v>
      </c>
      <c r="E515" s="43">
        <v>485.35</v>
      </c>
      <c r="F515" s="45">
        <v>1775</v>
      </c>
      <c r="G515" s="45">
        <v>1775</v>
      </c>
      <c r="H515" s="46">
        <v>1175.8900000000001</v>
      </c>
      <c r="I515" s="47">
        <f t="shared" si="182"/>
        <v>0.66247323943661973</v>
      </c>
      <c r="J515" s="48">
        <v>1775</v>
      </c>
      <c r="K515" s="49">
        <v>1775</v>
      </c>
      <c r="L515" s="50">
        <v>1700.49</v>
      </c>
      <c r="M515" s="50">
        <v>1548.18</v>
      </c>
      <c r="N515" s="51">
        <v>1711.1</v>
      </c>
      <c r="O515" s="52">
        <v>1649.51</v>
      </c>
      <c r="P515" s="53">
        <v>1577.04</v>
      </c>
      <c r="Q515" s="54">
        <v>1726.8</v>
      </c>
      <c r="R515" s="1"/>
      <c r="S515" s="1"/>
      <c r="T515" s="1"/>
    </row>
    <row r="516" spans="1:20" ht="13.5" customHeight="1" x14ac:dyDescent="0.25">
      <c r="A516" s="1"/>
      <c r="B516" s="1"/>
      <c r="C516" s="1"/>
      <c r="D516" s="56">
        <v>4225</v>
      </c>
      <c r="E516" s="57">
        <f t="shared" ref="E516" si="183">SUM(E512:E515)</f>
        <v>485.35</v>
      </c>
      <c r="F516" s="58">
        <f>SUM(F510:F515)</f>
        <v>4225</v>
      </c>
      <c r="G516" s="58">
        <v>4225</v>
      </c>
      <c r="H516" s="59">
        <f>SUM(H512:H515)</f>
        <v>1796.63</v>
      </c>
      <c r="I516" s="59"/>
      <c r="J516" s="60">
        <f t="shared" ref="J516:Q516" si="184">SUM(J512:J515)</f>
        <v>4225</v>
      </c>
      <c r="K516" s="61">
        <f t="shared" si="184"/>
        <v>4225</v>
      </c>
      <c r="L516" s="62">
        <f t="shared" si="184"/>
        <v>3331.6400000000003</v>
      </c>
      <c r="M516" s="62">
        <f t="shared" si="184"/>
        <v>2635.23</v>
      </c>
      <c r="N516" s="63">
        <f t="shared" si="184"/>
        <v>2551.91</v>
      </c>
      <c r="O516" s="64">
        <f t="shared" si="184"/>
        <v>2342.5299999999997</v>
      </c>
      <c r="P516" s="63">
        <f t="shared" si="184"/>
        <v>2858.88</v>
      </c>
      <c r="Q516" s="65">
        <f t="shared" si="184"/>
        <v>2078.81</v>
      </c>
      <c r="R516" s="1"/>
      <c r="S516" s="1"/>
      <c r="T516" s="1"/>
    </row>
    <row r="517" spans="1:20" ht="13.5" customHeight="1" thickBot="1" x14ac:dyDescent="0.3">
      <c r="A517" s="1"/>
      <c r="B517" s="1"/>
      <c r="C517" s="116" t="s">
        <v>620</v>
      </c>
      <c r="D517" s="267">
        <v>162659.31234999999</v>
      </c>
      <c r="E517" s="173">
        <f t="shared" ref="E517" si="185">SUM(E497+E504+E509+E516)</f>
        <v>70571.780000000013</v>
      </c>
      <c r="F517" s="174">
        <f>SUM(F497,F504,F509,F516)</f>
        <v>164226.696681</v>
      </c>
      <c r="G517" s="174">
        <v>164226.696681</v>
      </c>
      <c r="H517" s="175">
        <f>SUM(H497+H504+H509+H516)</f>
        <v>151627.23000000001</v>
      </c>
      <c r="I517" s="175"/>
      <c r="J517" s="176">
        <f t="shared" ref="J517:Q517" si="186">SUM(J497+J504+J509+J516)</f>
        <v>158423</v>
      </c>
      <c r="K517" s="177">
        <f t="shared" si="186"/>
        <v>158423</v>
      </c>
      <c r="L517" s="178">
        <f t="shared" si="186"/>
        <v>149545.22</v>
      </c>
      <c r="M517" s="178">
        <f t="shared" si="186"/>
        <v>143307.62000000002</v>
      </c>
      <c r="N517" s="179">
        <f t="shared" si="186"/>
        <v>142386.37</v>
      </c>
      <c r="O517" s="180">
        <f t="shared" si="186"/>
        <v>131538.90000000002</v>
      </c>
      <c r="P517" s="179">
        <f t="shared" si="186"/>
        <v>129704.15000000001</v>
      </c>
      <c r="Q517" s="181">
        <f t="shared" si="186"/>
        <v>126716.12</v>
      </c>
      <c r="R517" s="1"/>
      <c r="S517" s="1"/>
      <c r="T517" s="1"/>
    </row>
    <row r="518" spans="1:20" ht="13.5" customHeight="1" thickTop="1" x14ac:dyDescent="0.25">
      <c r="A518" s="1"/>
      <c r="B518" s="1"/>
      <c r="C518" s="116"/>
      <c r="D518" s="42"/>
      <c r="E518" s="44"/>
      <c r="F518" s="45"/>
      <c r="G518" s="45"/>
      <c r="H518" s="66"/>
      <c r="I518" s="66"/>
      <c r="J518" s="48"/>
      <c r="K518" s="49"/>
      <c r="L518" s="50"/>
      <c r="M518" s="50"/>
      <c r="N518" s="51"/>
      <c r="O518" s="151"/>
      <c r="P518" s="51"/>
      <c r="Q518" s="152"/>
      <c r="R518" s="1"/>
      <c r="S518" s="1"/>
      <c r="T518" s="1"/>
    </row>
    <row r="519" spans="1:20" ht="13.5" customHeight="1" x14ac:dyDescent="0.25">
      <c r="A519" s="1"/>
      <c r="B519" s="1"/>
      <c r="C519" s="41"/>
      <c r="D519" s="42"/>
      <c r="E519" s="44"/>
      <c r="F519" s="45"/>
      <c r="G519" s="45"/>
      <c r="H519" s="66"/>
      <c r="I519" s="66"/>
      <c r="J519" s="48"/>
      <c r="K519" s="49"/>
      <c r="L519" s="50"/>
      <c r="M519" s="50"/>
      <c r="N519" s="51"/>
      <c r="O519" s="151"/>
      <c r="P519" s="51"/>
      <c r="Q519" s="152"/>
      <c r="R519" s="1"/>
      <c r="S519" s="1"/>
      <c r="T519" s="1"/>
    </row>
    <row r="520" spans="1:20" ht="13.5" customHeight="1" x14ac:dyDescent="0.25">
      <c r="A520" s="1"/>
      <c r="B520" s="1"/>
      <c r="C520" s="41" t="s">
        <v>621</v>
      </c>
      <c r="D520" s="42"/>
      <c r="E520" s="44"/>
      <c r="F520" s="45"/>
      <c r="G520" s="45"/>
      <c r="H520" s="66"/>
      <c r="I520" s="66"/>
      <c r="J520" s="48"/>
      <c r="K520" s="49"/>
      <c r="L520" s="50"/>
      <c r="M520" s="50"/>
      <c r="N520" s="51"/>
      <c r="O520" s="151"/>
      <c r="P520" s="51"/>
      <c r="Q520" s="152"/>
      <c r="R520" s="1"/>
      <c r="S520" s="1"/>
      <c r="T520" s="1"/>
    </row>
    <row r="521" spans="1:20" ht="15" customHeight="1" x14ac:dyDescent="0.25">
      <c r="A521" s="1"/>
      <c r="B521" s="1" t="s">
        <v>622</v>
      </c>
      <c r="C521" s="1" t="s">
        <v>623</v>
      </c>
      <c r="D521" s="42">
        <v>9000</v>
      </c>
      <c r="E521" s="43">
        <v>4257.6400000000003</v>
      </c>
      <c r="F521" s="45">
        <v>9000</v>
      </c>
      <c r="G521" s="45">
        <v>9000</v>
      </c>
      <c r="H521" s="46">
        <v>9014.2099999999991</v>
      </c>
      <c r="I521" s="47">
        <f t="shared" ref="I521:I524" si="187">H521/J521</f>
        <v>1.0015788888888888</v>
      </c>
      <c r="J521" s="48">
        <v>9000</v>
      </c>
      <c r="K521" s="49">
        <v>9000</v>
      </c>
      <c r="L521" s="50">
        <v>9054.92</v>
      </c>
      <c r="M521" s="50">
        <v>6721.48</v>
      </c>
      <c r="N521" s="51">
        <v>6347.86</v>
      </c>
      <c r="O521" s="52">
        <v>97.25</v>
      </c>
      <c r="P521" s="53">
        <v>0</v>
      </c>
      <c r="Q521" s="54">
        <v>0</v>
      </c>
      <c r="R521" s="1"/>
      <c r="S521" s="1"/>
      <c r="T521" s="1"/>
    </row>
    <row r="522" spans="1:20" ht="13.5" customHeight="1" x14ac:dyDescent="0.25">
      <c r="A522" s="1"/>
      <c r="B522" s="1" t="s">
        <v>624</v>
      </c>
      <c r="C522" s="1" t="s">
        <v>420</v>
      </c>
      <c r="D522" s="42">
        <v>172447</v>
      </c>
      <c r="E522" s="43">
        <v>77370.81</v>
      </c>
      <c r="F522" s="45">
        <v>163548</v>
      </c>
      <c r="G522" s="45">
        <v>163548</v>
      </c>
      <c r="H522" s="46">
        <v>157401.26999999999</v>
      </c>
      <c r="I522" s="47">
        <f t="shared" si="187"/>
        <v>1.003335521870498</v>
      </c>
      <c r="J522" s="48">
        <v>156878</v>
      </c>
      <c r="K522" s="49">
        <v>156878</v>
      </c>
      <c r="L522" s="50">
        <v>157468.26999999999</v>
      </c>
      <c r="M522" s="50">
        <v>148093.41</v>
      </c>
      <c r="N522" s="51">
        <v>142727.44</v>
      </c>
      <c r="O522" s="52">
        <v>136932.18</v>
      </c>
      <c r="P522" s="53">
        <v>135120.03</v>
      </c>
      <c r="Q522" s="54">
        <v>131088.26999999999</v>
      </c>
      <c r="R522" s="1"/>
      <c r="S522" s="1"/>
      <c r="T522" s="1"/>
    </row>
    <row r="523" spans="1:20" ht="13.5" customHeight="1" x14ac:dyDescent="0.25">
      <c r="A523" s="1"/>
      <c r="B523" s="1" t="s">
        <v>625</v>
      </c>
      <c r="C523" s="1" t="s">
        <v>423</v>
      </c>
      <c r="D523" s="42">
        <v>0</v>
      </c>
      <c r="E523" s="43">
        <v>0</v>
      </c>
      <c r="F523" s="45">
        <v>0</v>
      </c>
      <c r="G523" s="45">
        <v>0</v>
      </c>
      <c r="H523" s="46">
        <v>1151.81</v>
      </c>
      <c r="I523" s="47">
        <f t="shared" si="187"/>
        <v>0.97445854483925542</v>
      </c>
      <c r="J523" s="48">
        <v>1182</v>
      </c>
      <c r="K523" s="49">
        <v>1182</v>
      </c>
      <c r="L523" s="50">
        <v>1305.57</v>
      </c>
      <c r="M523" s="50">
        <v>4081.81</v>
      </c>
      <c r="N523" s="51">
        <v>4983.45</v>
      </c>
      <c r="O523" s="52">
        <v>4510.34</v>
      </c>
      <c r="P523" s="53">
        <v>5957.66</v>
      </c>
      <c r="Q523" s="54">
        <v>8448.2000000000007</v>
      </c>
      <c r="R523" s="1"/>
      <c r="S523" s="1"/>
      <c r="T523" s="1"/>
    </row>
    <row r="524" spans="1:20" ht="13.5" customHeight="1" x14ac:dyDescent="0.25">
      <c r="A524" s="1"/>
      <c r="B524" s="1" t="s">
        <v>626</v>
      </c>
      <c r="C524" s="1" t="s">
        <v>243</v>
      </c>
      <c r="D524" s="42">
        <v>9000</v>
      </c>
      <c r="E524" s="43">
        <v>4499.95</v>
      </c>
      <c r="F524" s="45">
        <v>9000</v>
      </c>
      <c r="G524" s="45">
        <v>9000</v>
      </c>
      <c r="H524" s="46">
        <v>8999.9</v>
      </c>
      <c r="I524" s="47">
        <f t="shared" si="187"/>
        <v>0.99998888888888882</v>
      </c>
      <c r="J524" s="48">
        <v>9000</v>
      </c>
      <c r="K524" s="49">
        <v>9000</v>
      </c>
      <c r="L524" s="50">
        <v>8999.9</v>
      </c>
      <c r="M524" s="50">
        <v>8999.9</v>
      </c>
      <c r="N524" s="51">
        <v>8999.9</v>
      </c>
      <c r="O524" s="52">
        <v>9346.0499999999993</v>
      </c>
      <c r="P524" s="53">
        <v>8999.9</v>
      </c>
      <c r="Q524" s="54">
        <v>8999.9</v>
      </c>
      <c r="R524" s="1"/>
      <c r="S524" s="1"/>
      <c r="T524" s="1"/>
    </row>
    <row r="525" spans="1:20" ht="13.5" customHeight="1" x14ac:dyDescent="0.25">
      <c r="A525" s="1"/>
      <c r="B525" s="1"/>
      <c r="C525" s="1"/>
      <c r="D525" s="56">
        <v>190447</v>
      </c>
      <c r="E525" s="57">
        <f t="shared" ref="E525" si="188">SUM(E521:E524)</f>
        <v>86128.4</v>
      </c>
      <c r="F525" s="58">
        <f>SUM(F520:F524)</f>
        <v>181548</v>
      </c>
      <c r="G525" s="58">
        <v>181548</v>
      </c>
      <c r="H525" s="59">
        <f>SUM(H521:H524)</f>
        <v>176567.18999999997</v>
      </c>
      <c r="I525" s="59"/>
      <c r="J525" s="60">
        <f t="shared" ref="J525:Q525" si="189">SUM(J521:J524)</f>
        <v>176060</v>
      </c>
      <c r="K525" s="61">
        <f t="shared" si="189"/>
        <v>176060</v>
      </c>
      <c r="L525" s="62">
        <f t="shared" si="189"/>
        <v>176828.66</v>
      </c>
      <c r="M525" s="62">
        <f t="shared" si="189"/>
        <v>167896.6</v>
      </c>
      <c r="N525" s="63">
        <f t="shared" si="189"/>
        <v>163058.65</v>
      </c>
      <c r="O525" s="64">
        <f t="shared" si="189"/>
        <v>150885.81999999998</v>
      </c>
      <c r="P525" s="63">
        <f t="shared" si="189"/>
        <v>150077.59</v>
      </c>
      <c r="Q525" s="65">
        <f t="shared" si="189"/>
        <v>148536.37</v>
      </c>
      <c r="R525" s="1"/>
      <c r="S525" s="1"/>
      <c r="T525" s="1"/>
    </row>
    <row r="526" spans="1:20" ht="13.5" customHeight="1" x14ac:dyDescent="0.25">
      <c r="A526" s="1"/>
      <c r="B526" s="1"/>
      <c r="C526" s="1"/>
      <c r="D526" s="42"/>
      <c r="E526" s="44"/>
      <c r="F526" s="45"/>
      <c r="G526" s="45"/>
      <c r="H526" s="66"/>
      <c r="I526" s="66"/>
      <c r="J526" s="48"/>
      <c r="K526" s="49"/>
      <c r="L526" s="50"/>
      <c r="M526" s="50"/>
      <c r="N526" s="51"/>
      <c r="O526" s="52"/>
      <c r="P526" s="53"/>
      <c r="Q526" s="54"/>
      <c r="R526" s="1"/>
      <c r="S526" s="1"/>
      <c r="T526" s="1"/>
    </row>
    <row r="527" spans="1:20" ht="13.5" customHeight="1" x14ac:dyDescent="0.25">
      <c r="A527" s="1"/>
      <c r="B527" s="1" t="s">
        <v>627</v>
      </c>
      <c r="C527" s="1" t="s">
        <v>247</v>
      </c>
      <c r="D527" s="42">
        <v>14569.1955</v>
      </c>
      <c r="E527" s="43">
        <v>6032.04</v>
      </c>
      <c r="F527" s="45">
        <v>13888.422</v>
      </c>
      <c r="G527" s="45">
        <v>13888.422</v>
      </c>
      <c r="H527" s="46">
        <v>12374.13</v>
      </c>
      <c r="I527" s="47">
        <f t="shared" ref="I527:I531" si="190">H527/J527</f>
        <v>0.91871185685648515</v>
      </c>
      <c r="J527" s="48">
        <v>13469</v>
      </c>
      <c r="K527" s="49">
        <v>13469</v>
      </c>
      <c r="L527" s="50">
        <v>12328.3</v>
      </c>
      <c r="M527" s="50">
        <v>11760.24</v>
      </c>
      <c r="N527" s="51">
        <v>11559.24</v>
      </c>
      <c r="O527" s="52">
        <v>10524.81</v>
      </c>
      <c r="P527" s="53">
        <v>10818.08</v>
      </c>
      <c r="Q527" s="54">
        <v>10854.58</v>
      </c>
      <c r="R527" s="1"/>
      <c r="S527" s="1"/>
      <c r="T527" s="1"/>
    </row>
    <row r="528" spans="1:20" ht="13.5" customHeight="1" x14ac:dyDescent="0.25">
      <c r="A528" s="1"/>
      <c r="B528" s="1" t="s">
        <v>628</v>
      </c>
      <c r="C528" s="1" t="s">
        <v>249</v>
      </c>
      <c r="D528" s="42">
        <v>31069.08</v>
      </c>
      <c r="E528" s="43">
        <v>10363.5</v>
      </c>
      <c r="F528" s="45">
        <v>31069.08</v>
      </c>
      <c r="G528" s="45">
        <v>31069.08</v>
      </c>
      <c r="H528" s="46">
        <v>20366.400000000001</v>
      </c>
      <c r="I528" s="47">
        <f t="shared" si="190"/>
        <v>0.66266675343268044</v>
      </c>
      <c r="J528" s="48">
        <v>30734</v>
      </c>
      <c r="K528" s="49">
        <v>30734</v>
      </c>
      <c r="L528" s="50">
        <v>22823.5</v>
      </c>
      <c r="M528" s="50">
        <v>28727.200000000001</v>
      </c>
      <c r="N528" s="51">
        <v>30496.799999999999</v>
      </c>
      <c r="O528" s="52">
        <v>30372.48</v>
      </c>
      <c r="P528" s="53">
        <v>26616.6</v>
      </c>
      <c r="Q528" s="54">
        <v>28850.400000000001</v>
      </c>
      <c r="R528" s="1"/>
      <c r="S528" s="1"/>
      <c r="T528" s="1"/>
    </row>
    <row r="529" spans="1:20" ht="13.5" customHeight="1" x14ac:dyDescent="0.25">
      <c r="A529" s="1"/>
      <c r="B529" s="1" t="s">
        <v>629</v>
      </c>
      <c r="C529" s="1" t="s">
        <v>251</v>
      </c>
      <c r="D529" s="42">
        <v>28605.1394</v>
      </c>
      <c r="E529" s="43">
        <v>12900.08</v>
      </c>
      <c r="F529" s="45">
        <v>27268.509599999998</v>
      </c>
      <c r="G529" s="45">
        <v>27268.509599999998</v>
      </c>
      <c r="H529" s="46">
        <v>25664.87</v>
      </c>
      <c r="I529" s="47">
        <f t="shared" si="190"/>
        <v>1.00394578313253</v>
      </c>
      <c r="J529" s="48">
        <v>25564</v>
      </c>
      <c r="K529" s="49">
        <v>25564</v>
      </c>
      <c r="L529" s="50">
        <v>25614.09</v>
      </c>
      <c r="M529" s="50">
        <v>23389.94</v>
      </c>
      <c r="N529" s="51">
        <v>22433.8</v>
      </c>
      <c r="O529" s="52">
        <v>20574.759999999998</v>
      </c>
      <c r="P529" s="53">
        <v>20534.79</v>
      </c>
      <c r="Q529" s="54">
        <v>19121.98</v>
      </c>
      <c r="R529" s="1"/>
      <c r="S529" s="1"/>
      <c r="T529" s="1"/>
    </row>
    <row r="530" spans="1:20" ht="13.5" customHeight="1" x14ac:dyDescent="0.25">
      <c r="A530" s="1"/>
      <c r="B530" s="1" t="s">
        <v>630</v>
      </c>
      <c r="C530" s="1" t="s">
        <v>253</v>
      </c>
      <c r="D530" s="42">
        <v>304.71519999999998</v>
      </c>
      <c r="E530" s="43">
        <v>137.41999999999999</v>
      </c>
      <c r="F530" s="45">
        <v>290.47679999999997</v>
      </c>
      <c r="G530" s="45">
        <v>290.47679999999997</v>
      </c>
      <c r="H530" s="46">
        <v>282.54000000000002</v>
      </c>
      <c r="I530" s="47">
        <f t="shared" si="190"/>
        <v>1.0019148936170212</v>
      </c>
      <c r="J530" s="48">
        <v>282</v>
      </c>
      <c r="K530" s="49">
        <v>282</v>
      </c>
      <c r="L530" s="50">
        <v>323.58999999999997</v>
      </c>
      <c r="M530" s="50">
        <v>318.64</v>
      </c>
      <c r="N530" s="51">
        <v>389.56</v>
      </c>
      <c r="O530" s="52">
        <v>404.16</v>
      </c>
      <c r="P530" s="53">
        <v>373.99</v>
      </c>
      <c r="Q530" s="54">
        <v>359.24</v>
      </c>
      <c r="R530" s="1"/>
      <c r="S530" s="1"/>
      <c r="T530" s="1"/>
    </row>
    <row r="531" spans="1:20" ht="13.5" customHeight="1" x14ac:dyDescent="0.25">
      <c r="A531" s="1"/>
      <c r="B531" s="1" t="s">
        <v>631</v>
      </c>
      <c r="C531" s="1" t="s">
        <v>255</v>
      </c>
      <c r="D531" s="42">
        <v>1053.3600000000001</v>
      </c>
      <c r="E531" s="43">
        <v>334.56</v>
      </c>
      <c r="F531" s="45">
        <v>1005</v>
      </c>
      <c r="G531" s="45">
        <v>1005</v>
      </c>
      <c r="H531" s="46">
        <v>647.91999999999996</v>
      </c>
      <c r="I531" s="47">
        <f t="shared" si="190"/>
        <v>0.67072463768115942</v>
      </c>
      <c r="J531" s="48">
        <v>966</v>
      </c>
      <c r="K531" s="49">
        <v>966</v>
      </c>
      <c r="L531" s="50">
        <v>704.36</v>
      </c>
      <c r="M531" s="50">
        <v>931.38</v>
      </c>
      <c r="N531" s="51">
        <v>1318.16</v>
      </c>
      <c r="O531" s="52">
        <v>1341.6</v>
      </c>
      <c r="P531" s="53">
        <v>1234</v>
      </c>
      <c r="Q531" s="54">
        <v>1256</v>
      </c>
      <c r="R531" s="1"/>
      <c r="S531" s="1"/>
      <c r="T531" s="1"/>
    </row>
    <row r="532" spans="1:20" ht="13.5" customHeight="1" x14ac:dyDescent="0.25">
      <c r="A532" s="1"/>
      <c r="B532" s="1"/>
      <c r="C532" s="1"/>
      <c r="D532" s="56">
        <v>75601.49010000001</v>
      </c>
      <c r="E532" s="57">
        <f t="shared" ref="E532" si="191">SUM(E527:E531)</f>
        <v>29767.600000000002</v>
      </c>
      <c r="F532" s="58">
        <f>SUM(F526:F531)</f>
        <v>73521.488400000002</v>
      </c>
      <c r="G532" s="58">
        <v>73521.488400000002</v>
      </c>
      <c r="H532" s="59">
        <f>SUM(H527:H531)</f>
        <v>59335.859999999993</v>
      </c>
      <c r="I532" s="59"/>
      <c r="J532" s="60">
        <f t="shared" ref="J532:Q532" si="192">SUM(J527:J531)</f>
        <v>71015</v>
      </c>
      <c r="K532" s="61">
        <f t="shared" si="192"/>
        <v>71015</v>
      </c>
      <c r="L532" s="62">
        <f t="shared" si="192"/>
        <v>61793.84</v>
      </c>
      <c r="M532" s="62">
        <f t="shared" si="192"/>
        <v>65127.4</v>
      </c>
      <c r="N532" s="63">
        <f t="shared" si="192"/>
        <v>66197.56</v>
      </c>
      <c r="O532" s="64">
        <f t="shared" si="192"/>
        <v>63217.810000000005</v>
      </c>
      <c r="P532" s="63">
        <f t="shared" si="192"/>
        <v>59577.46</v>
      </c>
      <c r="Q532" s="65">
        <f t="shared" si="192"/>
        <v>60442.200000000004</v>
      </c>
      <c r="R532" s="1"/>
      <c r="S532" s="1"/>
      <c r="T532" s="1"/>
    </row>
    <row r="533" spans="1:20" ht="13.5" customHeight="1" x14ac:dyDescent="0.25">
      <c r="A533" s="1"/>
      <c r="B533" s="1"/>
      <c r="C533" s="1"/>
      <c r="D533" s="42"/>
      <c r="E533" s="44"/>
      <c r="F533" s="45"/>
      <c r="G533" s="45"/>
      <c r="H533" s="66"/>
      <c r="I533" s="66"/>
      <c r="J533" s="48"/>
      <c r="K533" s="49"/>
      <c r="L533" s="50"/>
      <c r="M533" s="50"/>
      <c r="N533" s="51"/>
      <c r="O533" s="52"/>
      <c r="P533" s="53"/>
      <c r="Q533" s="54"/>
      <c r="R533" s="1"/>
      <c r="S533" s="1"/>
      <c r="T533" s="1"/>
    </row>
    <row r="534" spans="1:20" ht="13.5" customHeight="1" x14ac:dyDescent="0.25">
      <c r="A534" s="1"/>
      <c r="B534" s="1" t="s">
        <v>632</v>
      </c>
      <c r="C534" s="1" t="s">
        <v>259</v>
      </c>
      <c r="D534" s="42">
        <v>1000</v>
      </c>
      <c r="E534" s="43">
        <v>183.47</v>
      </c>
      <c r="F534" s="45">
        <v>1000</v>
      </c>
      <c r="G534" s="45">
        <v>1000</v>
      </c>
      <c r="H534" s="46">
        <v>1037.8900000000001</v>
      </c>
      <c r="I534" s="47">
        <f t="shared" ref="I534:I536" si="193">H534/J534</f>
        <v>1.0378900000000002</v>
      </c>
      <c r="J534" s="48">
        <v>1000</v>
      </c>
      <c r="K534" s="49">
        <v>1000</v>
      </c>
      <c r="L534" s="50">
        <v>734.66</v>
      </c>
      <c r="M534" s="50">
        <v>618.97</v>
      </c>
      <c r="N534" s="51">
        <v>710.87</v>
      </c>
      <c r="O534" s="52">
        <v>701.72</v>
      </c>
      <c r="P534" s="53">
        <v>412.22</v>
      </c>
      <c r="Q534" s="54">
        <v>588.61</v>
      </c>
      <c r="R534" s="1"/>
      <c r="S534" s="1"/>
      <c r="T534" s="1"/>
    </row>
    <row r="535" spans="1:20" ht="13.5" customHeight="1" x14ac:dyDescent="0.25">
      <c r="A535" s="1"/>
      <c r="B535" s="1" t="s">
        <v>633</v>
      </c>
      <c r="C535" s="1" t="s">
        <v>261</v>
      </c>
      <c r="D535" s="42">
        <v>250</v>
      </c>
      <c r="E535" s="43">
        <v>59.15</v>
      </c>
      <c r="F535" s="45">
        <v>250</v>
      </c>
      <c r="G535" s="45">
        <v>250</v>
      </c>
      <c r="H535" s="46">
        <v>255.18</v>
      </c>
      <c r="I535" s="47">
        <f t="shared" si="193"/>
        <v>1.0207200000000001</v>
      </c>
      <c r="J535" s="48">
        <v>250</v>
      </c>
      <c r="K535" s="49">
        <v>250</v>
      </c>
      <c r="L535" s="50">
        <v>151.72999999999999</v>
      </c>
      <c r="M535" s="50">
        <v>212.93</v>
      </c>
      <c r="N535" s="51">
        <v>233.14</v>
      </c>
      <c r="O535" s="52">
        <v>285.37</v>
      </c>
      <c r="P535" s="53">
        <v>199.04</v>
      </c>
      <c r="Q535" s="54">
        <v>290.38</v>
      </c>
      <c r="R535" s="1"/>
      <c r="S535" s="1"/>
      <c r="T535" s="1"/>
    </row>
    <row r="536" spans="1:20" ht="13.5" customHeight="1" x14ac:dyDescent="0.25">
      <c r="A536" s="1"/>
      <c r="B536" s="1" t="s">
        <v>634</v>
      </c>
      <c r="C536" s="1" t="s">
        <v>435</v>
      </c>
      <c r="D536" s="42">
        <v>500</v>
      </c>
      <c r="E536" s="70">
        <v>100</v>
      </c>
      <c r="F536" s="45">
        <v>500</v>
      </c>
      <c r="G536" s="45">
        <v>500</v>
      </c>
      <c r="H536" s="68">
        <v>607</v>
      </c>
      <c r="I536" s="47">
        <f t="shared" si="193"/>
        <v>1.214</v>
      </c>
      <c r="J536" s="48">
        <v>500</v>
      </c>
      <c r="K536" s="49">
        <v>500</v>
      </c>
      <c r="L536" s="50">
        <v>275.14999999999998</v>
      </c>
      <c r="M536" s="50">
        <v>510.65</v>
      </c>
      <c r="N536" s="51">
        <v>79</v>
      </c>
      <c r="O536" s="52">
        <v>469</v>
      </c>
      <c r="P536" s="53">
        <v>314.45</v>
      </c>
      <c r="Q536" s="54">
        <v>511</v>
      </c>
      <c r="R536" s="1"/>
      <c r="S536" s="1"/>
      <c r="T536" s="1"/>
    </row>
    <row r="537" spans="1:20" ht="13.5" customHeight="1" x14ac:dyDescent="0.25">
      <c r="A537" s="1"/>
      <c r="B537" s="1" t="s">
        <v>635</v>
      </c>
      <c r="C537" s="55" t="s">
        <v>636</v>
      </c>
      <c r="D537" s="42">
        <v>0</v>
      </c>
      <c r="E537" s="70">
        <v>0</v>
      </c>
      <c r="F537" s="73">
        <v>0</v>
      </c>
      <c r="G537" s="73">
        <v>0</v>
      </c>
      <c r="H537" s="74">
        <v>0</v>
      </c>
      <c r="I537" s="183">
        <v>0</v>
      </c>
      <c r="J537" s="75">
        <v>0</v>
      </c>
      <c r="K537" s="76">
        <v>0</v>
      </c>
      <c r="L537" s="77">
        <v>0</v>
      </c>
      <c r="M537" s="50">
        <v>119.06</v>
      </c>
      <c r="N537" s="53" t="s">
        <v>16</v>
      </c>
      <c r="O537" s="52">
        <v>0</v>
      </c>
      <c r="P537" s="53">
        <v>82.5</v>
      </c>
      <c r="Q537" s="54">
        <v>0</v>
      </c>
      <c r="R537" s="1"/>
      <c r="S537" s="1"/>
      <c r="T537" s="1"/>
    </row>
    <row r="538" spans="1:20" ht="13.5" customHeight="1" x14ac:dyDescent="0.25">
      <c r="A538" s="1"/>
      <c r="B538" s="1"/>
      <c r="C538" s="1"/>
      <c r="D538" s="88">
        <v>1750</v>
      </c>
      <c r="E538" s="89">
        <f t="shared" ref="E538" si="194">SUM(E534:E537)</f>
        <v>342.62</v>
      </c>
      <c r="F538" s="90">
        <f>SUM(F533:F537)</f>
        <v>1750</v>
      </c>
      <c r="G538" s="90">
        <v>1750</v>
      </c>
      <c r="H538" s="91">
        <f>SUM(H534:H537)</f>
        <v>1900.0700000000002</v>
      </c>
      <c r="I538" s="91"/>
      <c r="J538" s="92">
        <f t="shared" ref="J538:Q538" si="195">SUM(J534:J537)</f>
        <v>1750</v>
      </c>
      <c r="K538" s="93">
        <f t="shared" si="195"/>
        <v>1750</v>
      </c>
      <c r="L538" s="94">
        <f t="shared" si="195"/>
        <v>1161.54</v>
      </c>
      <c r="M538" s="94">
        <f t="shared" si="195"/>
        <v>1461.6100000000001</v>
      </c>
      <c r="N538" s="95">
        <f t="shared" si="195"/>
        <v>1023.01</v>
      </c>
      <c r="O538" s="96">
        <f t="shared" si="195"/>
        <v>1456.0900000000001</v>
      </c>
      <c r="P538" s="95">
        <f t="shared" si="195"/>
        <v>1008.21</v>
      </c>
      <c r="Q538" s="97">
        <f t="shared" si="195"/>
        <v>1389.99</v>
      </c>
      <c r="R538" s="1"/>
      <c r="S538" s="1"/>
      <c r="T538" s="1"/>
    </row>
    <row r="539" spans="1:20" ht="13.5" customHeight="1" x14ac:dyDescent="0.25">
      <c r="A539" s="1"/>
      <c r="B539" s="1"/>
      <c r="C539" s="1"/>
      <c r="D539" s="72"/>
      <c r="E539" s="67"/>
      <c r="F539" s="73"/>
      <c r="G539" s="73"/>
      <c r="H539" s="74"/>
      <c r="I539" s="74"/>
      <c r="J539" s="75"/>
      <c r="K539" s="76"/>
      <c r="L539" s="77"/>
      <c r="M539" s="50"/>
      <c r="N539" s="53"/>
      <c r="O539" s="52"/>
      <c r="P539" s="53"/>
      <c r="Q539" s="54"/>
      <c r="R539" s="1"/>
      <c r="S539" s="1"/>
      <c r="T539" s="1"/>
    </row>
    <row r="540" spans="1:20" ht="13.5" customHeight="1" x14ac:dyDescent="0.25">
      <c r="A540" s="1"/>
      <c r="B540" s="1" t="s">
        <v>637</v>
      </c>
      <c r="C540" s="1" t="s">
        <v>269</v>
      </c>
      <c r="D540" s="42">
        <v>1000</v>
      </c>
      <c r="E540" s="70">
        <v>0</v>
      </c>
      <c r="F540" s="45">
        <v>600</v>
      </c>
      <c r="G540" s="45">
        <v>600</v>
      </c>
      <c r="H540" s="74">
        <v>0</v>
      </c>
      <c r="I540" s="183">
        <v>0</v>
      </c>
      <c r="J540" s="75">
        <v>0</v>
      </c>
      <c r="K540" s="76">
        <v>0</v>
      </c>
      <c r="L540" s="77">
        <v>0</v>
      </c>
      <c r="M540" s="77">
        <v>0</v>
      </c>
      <c r="N540" s="53">
        <v>0</v>
      </c>
      <c r="O540" s="52"/>
      <c r="P540" s="53"/>
      <c r="Q540" s="54"/>
      <c r="R540" s="1"/>
      <c r="S540" s="1"/>
      <c r="T540" s="1"/>
    </row>
    <row r="541" spans="1:20" ht="13.5" customHeight="1" x14ac:dyDescent="0.25">
      <c r="A541" s="1"/>
      <c r="B541" s="1" t="s">
        <v>638</v>
      </c>
      <c r="C541" s="1" t="s">
        <v>275</v>
      </c>
      <c r="D541" s="42">
        <v>250</v>
      </c>
      <c r="E541" s="43">
        <v>410.98</v>
      </c>
      <c r="F541" s="45">
        <v>2500</v>
      </c>
      <c r="G541" s="45">
        <v>2500</v>
      </c>
      <c r="H541" s="46">
        <v>1653.57</v>
      </c>
      <c r="I541" s="47">
        <f t="shared" ref="I541:I544" si="196">H541/J541</f>
        <v>0.66142800000000002</v>
      </c>
      <c r="J541" s="48">
        <v>2500</v>
      </c>
      <c r="K541" s="49">
        <v>2500</v>
      </c>
      <c r="L541" s="50">
        <v>1161.01</v>
      </c>
      <c r="M541" s="50">
        <v>2378.0100000000002</v>
      </c>
      <c r="N541" s="51">
        <v>77.900000000000006</v>
      </c>
      <c r="O541" s="52">
        <v>1705.54</v>
      </c>
      <c r="P541" s="53">
        <v>1815.02</v>
      </c>
      <c r="Q541" s="54">
        <v>504.66</v>
      </c>
      <c r="R541" s="1"/>
      <c r="S541" s="1"/>
      <c r="T541" s="1"/>
    </row>
    <row r="542" spans="1:20" ht="13.5" customHeight="1" x14ac:dyDescent="0.25">
      <c r="A542" s="1"/>
      <c r="B542" s="1" t="s">
        <v>639</v>
      </c>
      <c r="C542" s="1" t="s">
        <v>482</v>
      </c>
      <c r="D542" s="42">
        <v>500</v>
      </c>
      <c r="E542" s="43">
        <v>340</v>
      </c>
      <c r="F542" s="45">
        <v>1100</v>
      </c>
      <c r="G542" s="45">
        <v>1100</v>
      </c>
      <c r="H542" s="46">
        <v>1312.74</v>
      </c>
      <c r="I542" s="47">
        <f t="shared" si="196"/>
        <v>1.1934</v>
      </c>
      <c r="J542" s="48">
        <v>1100</v>
      </c>
      <c r="K542" s="49">
        <v>1100</v>
      </c>
      <c r="L542" s="50">
        <v>1063</v>
      </c>
      <c r="M542" s="50">
        <v>1027</v>
      </c>
      <c r="N542" s="51">
        <v>1153</v>
      </c>
      <c r="O542" s="52">
        <v>1296</v>
      </c>
      <c r="P542" s="53">
        <v>1248</v>
      </c>
      <c r="Q542" s="54">
        <v>1034</v>
      </c>
      <c r="R542" s="1"/>
      <c r="S542" s="1"/>
      <c r="T542" s="1"/>
    </row>
    <row r="543" spans="1:20" ht="13.5" customHeight="1" x14ac:dyDescent="0.25">
      <c r="A543" s="1"/>
      <c r="B543" s="1" t="s">
        <v>640</v>
      </c>
      <c r="C543" s="1" t="s">
        <v>618</v>
      </c>
      <c r="D543" s="42">
        <v>0</v>
      </c>
      <c r="E543" s="70">
        <v>0</v>
      </c>
      <c r="F543" s="45">
        <v>1500</v>
      </c>
      <c r="G543" s="45">
        <v>1500</v>
      </c>
      <c r="H543" s="68">
        <v>1500</v>
      </c>
      <c r="I543" s="47">
        <f t="shared" si="196"/>
        <v>1</v>
      </c>
      <c r="J543" s="48">
        <v>1500</v>
      </c>
      <c r="K543" s="49">
        <v>1500</v>
      </c>
      <c r="L543" s="50">
        <v>1500</v>
      </c>
      <c r="M543" s="50">
        <v>1500</v>
      </c>
      <c r="N543" s="51">
        <v>1500</v>
      </c>
      <c r="O543" s="52">
        <v>1139.04</v>
      </c>
      <c r="P543" s="53">
        <v>1500</v>
      </c>
      <c r="Q543" s="54">
        <v>1500</v>
      </c>
      <c r="R543" s="1"/>
      <c r="S543" s="1"/>
      <c r="T543" s="1"/>
    </row>
    <row r="544" spans="1:20" ht="13.5" customHeight="1" x14ac:dyDescent="0.25">
      <c r="A544" s="1"/>
      <c r="B544" s="1" t="s">
        <v>641</v>
      </c>
      <c r="C544" s="1" t="s">
        <v>281</v>
      </c>
      <c r="D544" s="42">
        <v>1035</v>
      </c>
      <c r="E544" s="43">
        <v>416.94</v>
      </c>
      <c r="F544" s="45">
        <v>1035</v>
      </c>
      <c r="G544" s="45">
        <v>1035</v>
      </c>
      <c r="H544" s="46">
        <v>833.88</v>
      </c>
      <c r="I544" s="47">
        <f t="shared" si="196"/>
        <v>0.80568115942028984</v>
      </c>
      <c r="J544" s="48">
        <v>1035</v>
      </c>
      <c r="K544" s="49">
        <v>1035</v>
      </c>
      <c r="L544" s="50">
        <v>833.88</v>
      </c>
      <c r="M544" s="50">
        <v>833.88</v>
      </c>
      <c r="N544" s="51">
        <v>926.68</v>
      </c>
      <c r="O544" s="52">
        <v>987.18</v>
      </c>
      <c r="P544" s="53">
        <v>817.46</v>
      </c>
      <c r="Q544" s="54">
        <v>894.88</v>
      </c>
      <c r="R544" s="1"/>
      <c r="S544" s="1"/>
      <c r="T544" s="1"/>
    </row>
    <row r="545" spans="1:20" ht="13.5" customHeight="1" x14ac:dyDescent="0.25">
      <c r="A545" s="1"/>
      <c r="B545" s="1"/>
      <c r="C545" s="1"/>
      <c r="D545" s="56">
        <v>2785</v>
      </c>
      <c r="E545" s="57">
        <f t="shared" ref="E545" si="197">SUM(E540:E544)</f>
        <v>1167.92</v>
      </c>
      <c r="F545" s="58">
        <f>SUM(F539:F544)</f>
        <v>6735</v>
      </c>
      <c r="G545" s="58">
        <v>6735</v>
      </c>
      <c r="H545" s="59">
        <f>SUM(H540:H544)</f>
        <v>5300.19</v>
      </c>
      <c r="I545" s="59"/>
      <c r="J545" s="60">
        <f t="shared" ref="J545:Q545" si="198">SUM(J540:J544)</f>
        <v>6135</v>
      </c>
      <c r="K545" s="61">
        <f t="shared" si="198"/>
        <v>6135</v>
      </c>
      <c r="L545" s="62">
        <f t="shared" si="198"/>
        <v>4557.8900000000003</v>
      </c>
      <c r="M545" s="62">
        <f t="shared" si="198"/>
        <v>5738.89</v>
      </c>
      <c r="N545" s="63">
        <f t="shared" si="198"/>
        <v>3657.58</v>
      </c>
      <c r="O545" s="64">
        <f t="shared" si="198"/>
        <v>5127.76</v>
      </c>
      <c r="P545" s="63">
        <f t="shared" si="198"/>
        <v>5380.4800000000005</v>
      </c>
      <c r="Q545" s="65">
        <f t="shared" si="198"/>
        <v>3933.54</v>
      </c>
      <c r="R545" s="1"/>
      <c r="S545" s="1"/>
      <c r="T545" s="1"/>
    </row>
    <row r="546" spans="1:20" ht="13.5" customHeight="1" thickBot="1" x14ac:dyDescent="0.3">
      <c r="A546" s="1"/>
      <c r="B546" s="1"/>
      <c r="C546" s="116" t="s">
        <v>642</v>
      </c>
      <c r="D546" s="267">
        <v>270583.4901</v>
      </c>
      <c r="E546" s="173">
        <f t="shared" ref="E546" si="199">SUM(E525+E532+E538+E545)</f>
        <v>117406.54</v>
      </c>
      <c r="F546" s="174">
        <f>SUM(F525,F532,F538,F545)</f>
        <v>263554.48840000003</v>
      </c>
      <c r="G546" s="174">
        <v>263554.48840000003</v>
      </c>
      <c r="H546" s="175">
        <f>SUM(H525+H532+H538+H545)</f>
        <v>243103.30999999997</v>
      </c>
      <c r="I546" s="175"/>
      <c r="J546" s="176">
        <f t="shared" ref="J546:Q546" si="200">SUM(J525+J532+J538+J545)</f>
        <v>254960</v>
      </c>
      <c r="K546" s="177">
        <f t="shared" si="200"/>
        <v>254960</v>
      </c>
      <c r="L546" s="178">
        <f t="shared" si="200"/>
        <v>244341.93000000002</v>
      </c>
      <c r="M546" s="178">
        <f t="shared" si="200"/>
        <v>240224.5</v>
      </c>
      <c r="N546" s="179">
        <f t="shared" si="200"/>
        <v>233936.8</v>
      </c>
      <c r="O546" s="180">
        <f t="shared" si="200"/>
        <v>220687.47999999998</v>
      </c>
      <c r="P546" s="179">
        <f t="shared" si="200"/>
        <v>216043.74</v>
      </c>
      <c r="Q546" s="181">
        <f t="shared" si="200"/>
        <v>214302.1</v>
      </c>
      <c r="R546" s="1"/>
      <c r="S546" s="1"/>
      <c r="T546" s="1"/>
    </row>
    <row r="547" spans="1:20" ht="13.5" customHeight="1" thickTop="1" x14ac:dyDescent="0.25">
      <c r="A547" s="1"/>
      <c r="B547" s="1"/>
      <c r="C547" s="116"/>
      <c r="D547" s="42"/>
      <c r="E547" s="44"/>
      <c r="F547" s="45"/>
      <c r="G547" s="45"/>
      <c r="H547" s="66"/>
      <c r="I547" s="66"/>
      <c r="J547" s="48"/>
      <c r="K547" s="49"/>
      <c r="L547" s="50"/>
      <c r="M547" s="50"/>
      <c r="N547" s="51"/>
      <c r="O547" s="151"/>
      <c r="P547" s="51"/>
      <c r="Q547" s="152"/>
      <c r="R547" s="1"/>
      <c r="S547" s="1"/>
      <c r="T547" s="1"/>
    </row>
    <row r="548" spans="1:20" ht="13.5" customHeight="1" x14ac:dyDescent="0.25">
      <c r="A548" s="1"/>
      <c r="B548" s="1"/>
      <c r="C548" s="41"/>
      <c r="D548" s="42"/>
      <c r="E548" s="44"/>
      <c r="F548" s="45"/>
      <c r="G548" s="45"/>
      <c r="H548" s="66"/>
      <c r="I548" s="66"/>
      <c r="J548" s="48"/>
      <c r="K548" s="49"/>
      <c r="L548" s="50"/>
      <c r="M548" s="50"/>
      <c r="N548" s="51"/>
      <c r="O548" s="52"/>
      <c r="P548" s="53"/>
      <c r="Q548" s="54"/>
      <c r="R548" s="1"/>
      <c r="S548" s="1"/>
      <c r="T548" s="1"/>
    </row>
    <row r="549" spans="1:20" ht="13.5" customHeight="1" x14ac:dyDescent="0.25">
      <c r="A549" s="1"/>
      <c r="B549" s="1"/>
      <c r="C549" s="41" t="s">
        <v>643</v>
      </c>
      <c r="D549" s="42"/>
      <c r="E549" s="44"/>
      <c r="F549" s="45"/>
      <c r="G549" s="45"/>
      <c r="H549" s="66"/>
      <c r="I549" s="66"/>
      <c r="J549" s="48"/>
      <c r="K549" s="49"/>
      <c r="L549" s="50"/>
      <c r="M549" s="50"/>
      <c r="N549" s="51"/>
      <c r="O549" s="52"/>
      <c r="P549" s="53"/>
      <c r="Q549" s="54"/>
      <c r="R549" s="1"/>
      <c r="S549" s="1"/>
      <c r="T549" s="1"/>
    </row>
    <row r="550" spans="1:20" ht="13.5" customHeight="1" x14ac:dyDescent="0.25">
      <c r="A550" s="1"/>
      <c r="B550" s="1" t="s">
        <v>644</v>
      </c>
      <c r="C550" s="1" t="s">
        <v>418</v>
      </c>
      <c r="D550" s="42">
        <v>9000</v>
      </c>
      <c r="E550" s="43">
        <v>4257.6400000000003</v>
      </c>
      <c r="F550" s="45">
        <v>9000</v>
      </c>
      <c r="G550" s="45">
        <v>9000</v>
      </c>
      <c r="H550" s="46">
        <v>9014.2099999999991</v>
      </c>
      <c r="I550" s="47">
        <f t="shared" ref="I550:I552" si="201">H550/J550</f>
        <v>1.0015788888888888</v>
      </c>
      <c r="J550" s="48">
        <v>9000</v>
      </c>
      <c r="K550" s="49">
        <v>9000</v>
      </c>
      <c r="L550" s="50">
        <v>9054.92</v>
      </c>
      <c r="M550" s="50">
        <v>6721.48</v>
      </c>
      <c r="N550" s="51">
        <v>6347.86</v>
      </c>
      <c r="O550" s="52">
        <v>97.25</v>
      </c>
      <c r="P550" s="53">
        <v>0</v>
      </c>
      <c r="Q550" s="54">
        <v>0</v>
      </c>
      <c r="R550" s="1"/>
      <c r="S550" s="1"/>
      <c r="T550" s="1"/>
    </row>
    <row r="551" spans="1:20" ht="13.5" customHeight="1" x14ac:dyDescent="0.25">
      <c r="A551" s="1"/>
      <c r="B551" s="1" t="s">
        <v>645</v>
      </c>
      <c r="C551" s="1" t="s">
        <v>420</v>
      </c>
      <c r="D551" s="42">
        <v>182024.7</v>
      </c>
      <c r="E551" s="43">
        <v>81279.759999999995</v>
      </c>
      <c r="F551" s="45">
        <v>171813</v>
      </c>
      <c r="G551" s="45">
        <v>171813</v>
      </c>
      <c r="H551" s="46">
        <v>157623.75</v>
      </c>
      <c r="I551" s="47">
        <f t="shared" si="201"/>
        <v>1.0047600986760328</v>
      </c>
      <c r="J551" s="48">
        <v>156877</v>
      </c>
      <c r="K551" s="49">
        <v>156877</v>
      </c>
      <c r="L551" s="50">
        <v>153986.64000000001</v>
      </c>
      <c r="M551" s="50">
        <v>153226.10999999999</v>
      </c>
      <c r="N551" s="51">
        <v>145646.37</v>
      </c>
      <c r="O551" s="52">
        <v>137025.17000000001</v>
      </c>
      <c r="P551" s="53">
        <v>136936.93</v>
      </c>
      <c r="Q551" s="54">
        <v>131150.25</v>
      </c>
      <c r="R551" s="1"/>
      <c r="S551" s="1"/>
      <c r="T551" s="1"/>
    </row>
    <row r="552" spans="1:20" ht="13.5" customHeight="1" x14ac:dyDescent="0.25">
      <c r="A552" s="1"/>
      <c r="B552" s="1" t="s">
        <v>646</v>
      </c>
      <c r="C552" s="1" t="s">
        <v>423</v>
      </c>
      <c r="D552" s="42">
        <v>0</v>
      </c>
      <c r="E552" s="43">
        <v>0</v>
      </c>
      <c r="F552" s="45">
        <v>0</v>
      </c>
      <c r="G552" s="45">
        <v>0</v>
      </c>
      <c r="H552" s="46">
        <v>10280.91</v>
      </c>
      <c r="I552" s="47">
        <f t="shared" si="201"/>
        <v>0.94268384375573078</v>
      </c>
      <c r="J552" s="48">
        <v>10906</v>
      </c>
      <c r="K552" s="49">
        <v>10906</v>
      </c>
      <c r="L552" s="50">
        <v>10055.08</v>
      </c>
      <c r="M552" s="50">
        <v>10141.959999999999</v>
      </c>
      <c r="N552" s="51">
        <v>12452.77</v>
      </c>
      <c r="O552" s="52">
        <v>12018.12</v>
      </c>
      <c r="P552" s="53">
        <v>10993.53</v>
      </c>
      <c r="Q552" s="54">
        <v>9973.16</v>
      </c>
      <c r="R552" s="1"/>
      <c r="S552" s="1"/>
      <c r="T552" s="1"/>
    </row>
    <row r="553" spans="1:20" ht="13.5" hidden="1" customHeight="1" x14ac:dyDescent="0.25">
      <c r="A553" s="1"/>
      <c r="B553" s="1" t="s">
        <v>647</v>
      </c>
      <c r="C553" s="1" t="s">
        <v>425</v>
      </c>
      <c r="D553" s="42">
        <v>0</v>
      </c>
      <c r="E553" s="70">
        <v>0</v>
      </c>
      <c r="F553" s="73" t="s">
        <v>16</v>
      </c>
      <c r="G553" s="73" t="s">
        <v>16</v>
      </c>
      <c r="H553" s="74" t="s">
        <v>16</v>
      </c>
      <c r="I553" s="74"/>
      <c r="J553" s="75" t="s">
        <v>16</v>
      </c>
      <c r="K553" s="76" t="s">
        <v>16</v>
      </c>
      <c r="L553" s="50">
        <v>588.64</v>
      </c>
      <c r="M553" s="77" t="s">
        <v>16</v>
      </c>
      <c r="N553" s="53" t="s">
        <v>16</v>
      </c>
      <c r="O553" s="52"/>
      <c r="P553" s="53"/>
      <c r="Q553" s="54"/>
      <c r="R553" s="1"/>
      <c r="S553" s="1"/>
      <c r="T553" s="1"/>
    </row>
    <row r="554" spans="1:20" ht="13.5" hidden="1" customHeight="1" x14ac:dyDescent="0.25">
      <c r="A554" s="1"/>
      <c r="B554" s="1" t="s">
        <v>648</v>
      </c>
      <c r="C554" s="1" t="s">
        <v>649</v>
      </c>
      <c r="D554" s="42">
        <v>0</v>
      </c>
      <c r="E554" s="70">
        <v>0</v>
      </c>
      <c r="F554" s="73" t="s">
        <v>16</v>
      </c>
      <c r="G554" s="73" t="s">
        <v>16</v>
      </c>
      <c r="H554" s="74" t="s">
        <v>16</v>
      </c>
      <c r="I554" s="74"/>
      <c r="J554" s="75" t="s">
        <v>16</v>
      </c>
      <c r="K554" s="76" t="s">
        <v>16</v>
      </c>
      <c r="L554" s="50">
        <v>14.09</v>
      </c>
      <c r="M554" s="77" t="s">
        <v>16</v>
      </c>
      <c r="N554" s="53" t="s">
        <v>16</v>
      </c>
      <c r="O554" s="52"/>
      <c r="P554" s="53"/>
      <c r="Q554" s="54"/>
      <c r="R554" s="1"/>
      <c r="S554" s="1"/>
      <c r="T554" s="1"/>
    </row>
    <row r="555" spans="1:20" ht="13.5" customHeight="1" x14ac:dyDescent="0.25">
      <c r="A555" s="1"/>
      <c r="B555" s="1" t="s">
        <v>650</v>
      </c>
      <c r="C555" s="1" t="s">
        <v>651</v>
      </c>
      <c r="D555" s="42">
        <v>1000</v>
      </c>
      <c r="E555" s="43">
        <v>499.98</v>
      </c>
      <c r="F555" s="45">
        <v>1000</v>
      </c>
      <c r="G555" s="45">
        <v>1000</v>
      </c>
      <c r="H555" s="46">
        <v>999.96</v>
      </c>
      <c r="I555" s="47">
        <f t="shared" ref="I555:I556" si="202">H555/J555</f>
        <v>1.9999200000000001</v>
      </c>
      <c r="J555" s="48">
        <v>500</v>
      </c>
      <c r="K555" s="49">
        <v>500</v>
      </c>
      <c r="L555" s="50">
        <v>999.96</v>
      </c>
      <c r="M555" s="50">
        <v>942.27</v>
      </c>
      <c r="N555" s="51">
        <v>1499.94</v>
      </c>
      <c r="O555" s="52">
        <v>1557.63</v>
      </c>
      <c r="P555" s="53">
        <v>1499.94</v>
      </c>
      <c r="Q555" s="54">
        <v>1230.8599999999999</v>
      </c>
      <c r="R555" s="1"/>
      <c r="S555" s="1"/>
      <c r="T555" s="1"/>
    </row>
    <row r="556" spans="1:20" ht="13.5" customHeight="1" x14ac:dyDescent="0.25">
      <c r="A556" s="1"/>
      <c r="B556" s="1" t="s">
        <v>652</v>
      </c>
      <c r="C556" s="1" t="s">
        <v>243</v>
      </c>
      <c r="D556" s="42">
        <v>9000</v>
      </c>
      <c r="E556" s="43">
        <v>4499.95</v>
      </c>
      <c r="F556" s="45">
        <v>9000</v>
      </c>
      <c r="G556" s="45">
        <v>9000</v>
      </c>
      <c r="H556" s="46">
        <v>8999.9</v>
      </c>
      <c r="I556" s="47">
        <f t="shared" si="202"/>
        <v>0.99998888888888882</v>
      </c>
      <c r="J556" s="48">
        <v>9000</v>
      </c>
      <c r="K556" s="49">
        <v>9000</v>
      </c>
      <c r="L556" s="50">
        <v>8999.9</v>
      </c>
      <c r="M556" s="50">
        <v>8999.91</v>
      </c>
      <c r="N556" s="51">
        <v>8999.9</v>
      </c>
      <c r="O556" s="52">
        <v>9346.0499999999993</v>
      </c>
      <c r="P556" s="53">
        <v>8999.9</v>
      </c>
      <c r="Q556" s="54">
        <v>8999.9</v>
      </c>
      <c r="R556" s="1"/>
      <c r="S556" s="1"/>
      <c r="T556" s="1"/>
    </row>
    <row r="557" spans="1:20" ht="13.5" customHeight="1" x14ac:dyDescent="0.25">
      <c r="A557" s="1"/>
      <c r="B557" s="1"/>
      <c r="C557" s="1"/>
      <c r="D557" s="56">
        <v>201024.7</v>
      </c>
      <c r="E557" s="57">
        <f t="shared" ref="E557" si="203">SUM(E550:E556)</f>
        <v>90537.329999999987</v>
      </c>
      <c r="F557" s="58">
        <f>SUM(F549:F556)</f>
        <v>190813</v>
      </c>
      <c r="G557" s="58">
        <v>190813</v>
      </c>
      <c r="H557" s="59">
        <f>SUM(H550:H556)</f>
        <v>186918.72999999998</v>
      </c>
      <c r="I557" s="59"/>
      <c r="J557" s="60">
        <f t="shared" ref="J557:Q557" si="204">SUM(J550:J556)</f>
        <v>186283</v>
      </c>
      <c r="K557" s="61">
        <f t="shared" si="204"/>
        <v>186283</v>
      </c>
      <c r="L557" s="62">
        <f t="shared" si="204"/>
        <v>183699.23</v>
      </c>
      <c r="M557" s="62">
        <f t="shared" si="204"/>
        <v>180031.72999999998</v>
      </c>
      <c r="N557" s="63">
        <f t="shared" si="204"/>
        <v>174946.83999999997</v>
      </c>
      <c r="O557" s="64">
        <f t="shared" si="204"/>
        <v>160044.22</v>
      </c>
      <c r="P557" s="63">
        <f t="shared" si="204"/>
        <v>158430.29999999999</v>
      </c>
      <c r="Q557" s="65">
        <f t="shared" si="204"/>
        <v>151354.16999999998</v>
      </c>
      <c r="R557" s="1"/>
      <c r="S557" s="1"/>
      <c r="T557" s="1"/>
    </row>
    <row r="558" spans="1:20" ht="13.5" customHeight="1" x14ac:dyDescent="0.25">
      <c r="A558" s="1"/>
      <c r="B558" s="1"/>
      <c r="C558" s="1"/>
      <c r="D558" s="42"/>
      <c r="E558" s="44"/>
      <c r="F558" s="45"/>
      <c r="G558" s="45"/>
      <c r="H558" s="66"/>
      <c r="I558" s="66"/>
      <c r="J558" s="48"/>
      <c r="K558" s="49"/>
      <c r="L558" s="50"/>
      <c r="M558" s="50"/>
      <c r="N558" s="51"/>
      <c r="O558" s="52"/>
      <c r="P558" s="53"/>
      <c r="Q558" s="54"/>
      <c r="R558" s="1"/>
      <c r="S558" s="1"/>
      <c r="T558" s="1"/>
    </row>
    <row r="559" spans="1:20" ht="13.5" customHeight="1" x14ac:dyDescent="0.25">
      <c r="A559" s="1"/>
      <c r="B559" s="1" t="s">
        <v>653</v>
      </c>
      <c r="C559" s="1" t="s">
        <v>247</v>
      </c>
      <c r="D559" s="42">
        <v>15378.38955</v>
      </c>
      <c r="E559" s="43">
        <v>6318.44</v>
      </c>
      <c r="F559" s="45">
        <v>14597.194500000001</v>
      </c>
      <c r="G559" s="45">
        <v>14597.194500000001</v>
      </c>
      <c r="H559" s="46">
        <v>12848.22</v>
      </c>
      <c r="I559" s="47">
        <f t="shared" ref="I559:I563" si="205">H559/J559</f>
        <v>0.90156620588028902</v>
      </c>
      <c r="J559" s="48">
        <v>14251</v>
      </c>
      <c r="K559" s="49">
        <v>14251</v>
      </c>
      <c r="L559" s="50">
        <v>12500.89</v>
      </c>
      <c r="M559" s="50">
        <v>12140.22</v>
      </c>
      <c r="N559" s="51">
        <v>12270.24</v>
      </c>
      <c r="O559" s="52">
        <v>11270.38</v>
      </c>
      <c r="P559" s="53">
        <v>11339.36</v>
      </c>
      <c r="Q559" s="54">
        <v>10918.31</v>
      </c>
      <c r="R559" s="1"/>
      <c r="S559" s="1"/>
      <c r="T559" s="1"/>
    </row>
    <row r="560" spans="1:20" ht="13.5" customHeight="1" x14ac:dyDescent="0.25">
      <c r="A560" s="1"/>
      <c r="B560" s="1" t="s">
        <v>654</v>
      </c>
      <c r="C560" s="1" t="s">
        <v>249</v>
      </c>
      <c r="D560" s="42">
        <v>31390.304400000001</v>
      </c>
      <c r="E560" s="43">
        <v>15534.54</v>
      </c>
      <c r="F560" s="45">
        <v>31389.820800000001</v>
      </c>
      <c r="G560" s="45">
        <v>31389.820800000001</v>
      </c>
      <c r="H560" s="46">
        <v>30528.18</v>
      </c>
      <c r="I560" s="47">
        <f t="shared" si="205"/>
        <v>0.9933031821435544</v>
      </c>
      <c r="J560" s="48">
        <v>30734</v>
      </c>
      <c r="K560" s="49">
        <v>30734</v>
      </c>
      <c r="L560" s="50">
        <v>30420</v>
      </c>
      <c r="M560" s="50">
        <v>30417</v>
      </c>
      <c r="N560" s="51">
        <v>30496.799999999999</v>
      </c>
      <c r="O560" s="52">
        <v>30372.48</v>
      </c>
      <c r="P560" s="53">
        <v>29933.4</v>
      </c>
      <c r="Q560" s="54">
        <v>28054.560000000001</v>
      </c>
      <c r="R560" s="1"/>
      <c r="S560" s="1"/>
      <c r="T560" s="1"/>
    </row>
    <row r="561" spans="1:20" ht="13.5" customHeight="1" x14ac:dyDescent="0.25">
      <c r="A561" s="1"/>
      <c r="B561" s="1" t="s">
        <v>655</v>
      </c>
      <c r="C561" s="1" t="s">
        <v>251</v>
      </c>
      <c r="D561" s="42">
        <v>30193.909939999998</v>
      </c>
      <c r="E561" s="43">
        <v>13558.27</v>
      </c>
      <c r="F561" s="45">
        <v>28660.1126</v>
      </c>
      <c r="G561" s="45">
        <v>28660.1126</v>
      </c>
      <c r="H561" s="46">
        <v>27169.47</v>
      </c>
      <c r="I561" s="47">
        <f t="shared" si="205"/>
        <v>1.0044909050576754</v>
      </c>
      <c r="J561" s="48">
        <v>27048</v>
      </c>
      <c r="K561" s="49">
        <v>27048</v>
      </c>
      <c r="L561" s="50">
        <v>26609.53</v>
      </c>
      <c r="M561" s="50">
        <v>25077.279999999999</v>
      </c>
      <c r="N561" s="51">
        <v>24078.11</v>
      </c>
      <c r="O561" s="52">
        <v>21805.14</v>
      </c>
      <c r="P561" s="53">
        <v>21597.09</v>
      </c>
      <c r="Q561" s="54">
        <v>19292.91</v>
      </c>
      <c r="R561" s="1"/>
      <c r="S561" s="1"/>
      <c r="T561" s="1"/>
    </row>
    <row r="562" spans="1:20" ht="13.5" customHeight="1" x14ac:dyDescent="0.25">
      <c r="A562" s="1"/>
      <c r="B562" s="1" t="s">
        <v>656</v>
      </c>
      <c r="C562" s="1" t="s">
        <v>253</v>
      </c>
      <c r="D562" s="42">
        <v>321.63951999999995</v>
      </c>
      <c r="E562" s="43">
        <v>144.43</v>
      </c>
      <c r="F562" s="45">
        <v>305.30079999999998</v>
      </c>
      <c r="G562" s="45">
        <v>305.30079999999998</v>
      </c>
      <c r="H562" s="46">
        <v>299.11</v>
      </c>
      <c r="I562" s="47">
        <f t="shared" si="205"/>
        <v>1.0037248322147652</v>
      </c>
      <c r="J562" s="48">
        <v>298</v>
      </c>
      <c r="K562" s="49">
        <v>298</v>
      </c>
      <c r="L562" s="50">
        <v>336.31</v>
      </c>
      <c r="M562" s="50">
        <v>347.09</v>
      </c>
      <c r="N562" s="51">
        <v>411.11</v>
      </c>
      <c r="O562" s="52">
        <v>428.64</v>
      </c>
      <c r="P562" s="53">
        <v>392.53</v>
      </c>
      <c r="Q562" s="54">
        <v>362.45</v>
      </c>
      <c r="R562" s="1"/>
      <c r="S562" s="1"/>
      <c r="T562" s="1"/>
    </row>
    <row r="563" spans="1:20" ht="13.5" customHeight="1" x14ac:dyDescent="0.25">
      <c r="A563" s="1"/>
      <c r="B563" s="1" t="s">
        <v>657</v>
      </c>
      <c r="C563" s="1" t="s">
        <v>255</v>
      </c>
      <c r="D563" s="42">
        <v>1053.3600000000001</v>
      </c>
      <c r="E563" s="43">
        <v>501.84</v>
      </c>
      <c r="F563" s="45">
        <v>1005</v>
      </c>
      <c r="G563" s="45">
        <v>1005</v>
      </c>
      <c r="H563" s="46">
        <v>971.88</v>
      </c>
      <c r="I563" s="47">
        <f t="shared" si="205"/>
        <v>1.0060869565217392</v>
      </c>
      <c r="J563" s="48">
        <v>966</v>
      </c>
      <c r="K563" s="49">
        <v>966</v>
      </c>
      <c r="L563" s="50">
        <v>939.72</v>
      </c>
      <c r="M563" s="50">
        <v>981.42</v>
      </c>
      <c r="N563" s="51">
        <v>1318.16</v>
      </c>
      <c r="O563" s="52">
        <v>1341.6</v>
      </c>
      <c r="P563" s="53">
        <v>1341.6</v>
      </c>
      <c r="Q563" s="54">
        <v>1254.76</v>
      </c>
      <c r="R563" s="1"/>
      <c r="S563" s="1"/>
      <c r="T563" s="1"/>
    </row>
    <row r="564" spans="1:20" ht="13.5" customHeight="1" x14ac:dyDescent="0.25">
      <c r="A564" s="1"/>
      <c r="B564" s="1"/>
      <c r="C564" s="1"/>
      <c r="D564" s="56">
        <v>78337.603409999996</v>
      </c>
      <c r="E564" s="57">
        <f t="shared" ref="E564" si="206">SUM(E559:E563)</f>
        <v>36057.519999999997</v>
      </c>
      <c r="F564" s="58">
        <f>SUM(F558:F563)</f>
        <v>75957.428699999989</v>
      </c>
      <c r="G564" s="58">
        <v>75957.428699999989</v>
      </c>
      <c r="H564" s="59">
        <f>SUM(H559:H563)</f>
        <v>71816.86</v>
      </c>
      <c r="I564" s="59"/>
      <c r="J564" s="60">
        <f t="shared" ref="J564:Q564" si="207">SUM(J559:J563)</f>
        <v>73297</v>
      </c>
      <c r="K564" s="61">
        <f t="shared" si="207"/>
        <v>73297</v>
      </c>
      <c r="L564" s="62">
        <f t="shared" si="207"/>
        <v>70806.45</v>
      </c>
      <c r="M564" s="62">
        <f t="shared" si="207"/>
        <v>68963.009999999995</v>
      </c>
      <c r="N564" s="63">
        <f t="shared" si="207"/>
        <v>68574.42</v>
      </c>
      <c r="O564" s="64">
        <f t="shared" si="207"/>
        <v>65218.239999999998</v>
      </c>
      <c r="P564" s="63">
        <f t="shared" si="207"/>
        <v>64603.98</v>
      </c>
      <c r="Q564" s="65">
        <f t="shared" si="207"/>
        <v>59882.99</v>
      </c>
      <c r="R564" s="1"/>
      <c r="S564" s="1"/>
      <c r="T564" s="1"/>
    </row>
    <row r="565" spans="1:20" ht="13.5" customHeight="1" x14ac:dyDescent="0.25">
      <c r="A565" s="1"/>
      <c r="B565" s="1"/>
      <c r="C565" s="1"/>
      <c r="D565" s="42"/>
      <c r="E565" s="44"/>
      <c r="F565" s="45"/>
      <c r="G565" s="45"/>
      <c r="H565" s="66"/>
      <c r="I565" s="66"/>
      <c r="J565" s="48"/>
      <c r="K565" s="49"/>
      <c r="L565" s="50"/>
      <c r="M565" s="50"/>
      <c r="N565" s="51"/>
      <c r="O565" s="52"/>
      <c r="P565" s="53"/>
      <c r="Q565" s="54"/>
      <c r="R565" s="1"/>
      <c r="S565" s="1"/>
      <c r="T565" s="1"/>
    </row>
    <row r="566" spans="1:20" ht="13.5" customHeight="1" x14ac:dyDescent="0.25">
      <c r="A566" s="1"/>
      <c r="B566" s="1" t="s">
        <v>658</v>
      </c>
      <c r="C566" s="1" t="s">
        <v>259</v>
      </c>
      <c r="D566" s="42">
        <v>1100</v>
      </c>
      <c r="E566" s="43">
        <v>347.13</v>
      </c>
      <c r="F566" s="45">
        <v>1100</v>
      </c>
      <c r="G566" s="45">
        <v>1100</v>
      </c>
      <c r="H566" s="46">
        <v>787.21</v>
      </c>
      <c r="I566" s="47">
        <f t="shared" ref="I566:I570" si="208">H566/J566</f>
        <v>0.76132495164410063</v>
      </c>
      <c r="J566" s="48">
        <v>1034</v>
      </c>
      <c r="K566" s="49">
        <v>1034</v>
      </c>
      <c r="L566" s="50">
        <v>760.5</v>
      </c>
      <c r="M566" s="50">
        <v>958.6</v>
      </c>
      <c r="N566" s="51">
        <v>987.97</v>
      </c>
      <c r="O566" s="52">
        <v>1113.9100000000001</v>
      </c>
      <c r="P566" s="53">
        <v>787.19</v>
      </c>
      <c r="Q566" s="54">
        <v>1077.05</v>
      </c>
      <c r="R566" s="1"/>
      <c r="S566" s="1"/>
      <c r="T566" s="1"/>
    </row>
    <row r="567" spans="1:20" ht="13.5" customHeight="1" x14ac:dyDescent="0.25">
      <c r="A567" s="1"/>
      <c r="B567" s="1" t="s">
        <v>659</v>
      </c>
      <c r="C567" s="1" t="s">
        <v>261</v>
      </c>
      <c r="D567" s="42">
        <v>170</v>
      </c>
      <c r="E567" s="43">
        <v>59.96</v>
      </c>
      <c r="F567" s="45">
        <v>170</v>
      </c>
      <c r="G567" s="45">
        <v>170</v>
      </c>
      <c r="H567" s="46">
        <v>155.9</v>
      </c>
      <c r="I567" s="47">
        <f t="shared" si="208"/>
        <v>0.91705882352941182</v>
      </c>
      <c r="J567" s="48">
        <v>170</v>
      </c>
      <c r="K567" s="49">
        <v>170</v>
      </c>
      <c r="L567" s="50">
        <v>235.92</v>
      </c>
      <c r="M567" s="50">
        <v>45.92</v>
      </c>
      <c r="N567" s="51">
        <v>165.36</v>
      </c>
      <c r="O567" s="52">
        <v>70.66</v>
      </c>
      <c r="P567" s="53">
        <v>146</v>
      </c>
      <c r="Q567" s="54">
        <v>220</v>
      </c>
      <c r="R567" s="1"/>
      <c r="S567" s="1"/>
      <c r="T567" s="1"/>
    </row>
    <row r="568" spans="1:20" ht="13.5" customHeight="1" x14ac:dyDescent="0.25">
      <c r="A568" s="1"/>
      <c r="B568" s="1" t="s">
        <v>660</v>
      </c>
      <c r="C568" s="1" t="s">
        <v>435</v>
      </c>
      <c r="D568" s="42">
        <v>900</v>
      </c>
      <c r="E568" s="43">
        <v>430</v>
      </c>
      <c r="F568" s="45">
        <v>900</v>
      </c>
      <c r="G568" s="45">
        <v>900</v>
      </c>
      <c r="H568" s="46">
        <v>419.19</v>
      </c>
      <c r="I568" s="47">
        <f t="shared" si="208"/>
        <v>0.46576666666666666</v>
      </c>
      <c r="J568" s="48">
        <v>900</v>
      </c>
      <c r="K568" s="49">
        <v>900</v>
      </c>
      <c r="L568" s="50">
        <v>341</v>
      </c>
      <c r="M568" s="50">
        <v>310</v>
      </c>
      <c r="N568" s="51">
        <v>524.75</v>
      </c>
      <c r="O568" s="52">
        <v>1282</v>
      </c>
      <c r="P568" s="53">
        <v>988.74</v>
      </c>
      <c r="Q568" s="54">
        <v>1171.19</v>
      </c>
      <c r="R568" s="1"/>
      <c r="S568" s="1"/>
      <c r="T568" s="1"/>
    </row>
    <row r="569" spans="1:20" ht="13.5" customHeight="1" x14ac:dyDescent="0.25">
      <c r="A569" s="1"/>
      <c r="B569" s="1" t="s">
        <v>661</v>
      </c>
      <c r="C569" s="1" t="s">
        <v>438</v>
      </c>
      <c r="D569" s="42">
        <v>0</v>
      </c>
      <c r="E569" s="70">
        <v>0</v>
      </c>
      <c r="F569" s="73">
        <v>0</v>
      </c>
      <c r="G569" s="73">
        <v>0</v>
      </c>
      <c r="H569" s="68">
        <v>570</v>
      </c>
      <c r="I569" s="47">
        <f t="shared" si="208"/>
        <v>1.2127659574468086</v>
      </c>
      <c r="J569" s="48">
        <v>470</v>
      </c>
      <c r="K569" s="49">
        <v>470</v>
      </c>
      <c r="L569" s="50">
        <v>435.98</v>
      </c>
      <c r="M569" s="50">
        <v>179.99</v>
      </c>
      <c r="N569" s="51"/>
      <c r="O569" s="52"/>
      <c r="P569" s="53"/>
      <c r="Q569" s="54"/>
      <c r="R569" s="1"/>
      <c r="S569" s="1"/>
      <c r="T569" s="1"/>
    </row>
    <row r="570" spans="1:20" ht="13.5" customHeight="1" x14ac:dyDescent="0.25">
      <c r="A570" s="1"/>
      <c r="B570" s="55" t="s">
        <v>662</v>
      </c>
      <c r="C570" s="55" t="s">
        <v>267</v>
      </c>
      <c r="D570" s="42">
        <v>0</v>
      </c>
      <c r="E570" s="70">
        <v>0</v>
      </c>
      <c r="F570" s="73">
        <v>0</v>
      </c>
      <c r="G570" s="73">
        <v>0</v>
      </c>
      <c r="H570" s="68">
        <v>121.23</v>
      </c>
      <c r="I570" s="47">
        <f t="shared" si="208"/>
        <v>0.25793617021276599</v>
      </c>
      <c r="J570" s="48">
        <v>470</v>
      </c>
      <c r="K570" s="49">
        <v>470</v>
      </c>
      <c r="L570" s="69">
        <v>0</v>
      </c>
      <c r="M570" s="69">
        <v>0</v>
      </c>
      <c r="N570" s="51">
        <v>179.99</v>
      </c>
      <c r="O570" s="52">
        <v>2.3199999999999998</v>
      </c>
      <c r="P570" s="53">
        <v>43.21</v>
      </c>
      <c r="Q570" s="54">
        <v>0</v>
      </c>
      <c r="R570" s="1"/>
      <c r="S570" s="1"/>
      <c r="T570" s="1"/>
    </row>
    <row r="571" spans="1:20" ht="13.5" customHeight="1" x14ac:dyDescent="0.25">
      <c r="A571" s="1"/>
      <c r="B571" s="1"/>
      <c r="C571" s="1"/>
      <c r="D571" s="88">
        <v>2170</v>
      </c>
      <c r="E571" s="89">
        <f t="shared" ref="E571" si="209">SUM(E566:E570)</f>
        <v>837.08999999999992</v>
      </c>
      <c r="F571" s="90">
        <f>SUM(F565:F570)</f>
        <v>2170</v>
      </c>
      <c r="G571" s="90">
        <v>2170</v>
      </c>
      <c r="H571" s="91">
        <f>SUM(H566:H570)</f>
        <v>2053.5299999999997</v>
      </c>
      <c r="I571" s="91"/>
      <c r="J571" s="92">
        <f t="shared" ref="J571:Q571" si="210">SUM(J566:J570)</f>
        <v>3044</v>
      </c>
      <c r="K571" s="93">
        <f t="shared" si="210"/>
        <v>3044</v>
      </c>
      <c r="L571" s="94">
        <f t="shared" si="210"/>
        <v>1773.4</v>
      </c>
      <c r="M571" s="94">
        <f t="shared" si="210"/>
        <v>1494.51</v>
      </c>
      <c r="N571" s="95">
        <f t="shared" si="210"/>
        <v>1858.07</v>
      </c>
      <c r="O571" s="96">
        <f t="shared" si="210"/>
        <v>2468.8900000000003</v>
      </c>
      <c r="P571" s="95">
        <f t="shared" si="210"/>
        <v>1965.14</v>
      </c>
      <c r="Q571" s="97">
        <f t="shared" si="210"/>
        <v>2468.2399999999998</v>
      </c>
      <c r="R571" s="1"/>
      <c r="S571" s="1"/>
      <c r="T571" s="1"/>
    </row>
    <row r="572" spans="1:20" ht="13.5" customHeight="1" x14ac:dyDescent="0.25">
      <c r="A572" s="1"/>
      <c r="B572" s="1"/>
      <c r="C572" s="1"/>
      <c r="D572" s="72"/>
      <c r="E572" s="67"/>
      <c r="F572" s="73"/>
      <c r="G572" s="73"/>
      <c r="H572" s="74"/>
      <c r="I572" s="74"/>
      <c r="J572" s="75"/>
      <c r="K572" s="76"/>
      <c r="L572" s="50"/>
      <c r="M572" s="77"/>
      <c r="N572" s="53"/>
      <c r="O572" s="52"/>
      <c r="P572" s="53"/>
      <c r="Q572" s="54"/>
      <c r="R572" s="1"/>
      <c r="S572" s="1"/>
      <c r="T572" s="1"/>
    </row>
    <row r="573" spans="1:20" ht="13.5" customHeight="1" x14ac:dyDescent="0.25">
      <c r="A573" s="1"/>
      <c r="B573" s="1" t="s">
        <v>663</v>
      </c>
      <c r="C573" s="1" t="s">
        <v>275</v>
      </c>
      <c r="D573" s="42">
        <v>2500</v>
      </c>
      <c r="E573" s="43">
        <v>944.26</v>
      </c>
      <c r="F573" s="45">
        <v>2500</v>
      </c>
      <c r="G573" s="45">
        <v>2500</v>
      </c>
      <c r="H573" s="46">
        <v>1490.2</v>
      </c>
      <c r="I573" s="47">
        <f t="shared" ref="I573:I576" si="211">H573/J573</f>
        <v>0.59608000000000005</v>
      </c>
      <c r="J573" s="48">
        <v>2500</v>
      </c>
      <c r="K573" s="49">
        <v>2500</v>
      </c>
      <c r="L573" s="50">
        <v>1953.72</v>
      </c>
      <c r="M573" s="50">
        <v>2767.47</v>
      </c>
      <c r="N573" s="51">
        <v>1113.9000000000001</v>
      </c>
      <c r="O573" s="52">
        <v>1763.3</v>
      </c>
      <c r="P573" s="53">
        <v>990.67</v>
      </c>
      <c r="Q573" s="54">
        <v>1438.36</v>
      </c>
      <c r="R573" s="1"/>
      <c r="S573" s="1"/>
      <c r="T573" s="1"/>
    </row>
    <row r="574" spans="1:20" ht="13.5" customHeight="1" x14ac:dyDescent="0.25">
      <c r="A574" s="1"/>
      <c r="B574" s="1" t="s">
        <v>664</v>
      </c>
      <c r="C574" s="1" t="s">
        <v>482</v>
      </c>
      <c r="D574" s="42">
        <v>400</v>
      </c>
      <c r="E574" s="70">
        <v>0</v>
      </c>
      <c r="F574" s="45">
        <v>400</v>
      </c>
      <c r="G574" s="45">
        <v>400</v>
      </c>
      <c r="H574" s="74">
        <v>0</v>
      </c>
      <c r="I574" s="47">
        <f t="shared" si="211"/>
        <v>0</v>
      </c>
      <c r="J574" s="48">
        <v>400</v>
      </c>
      <c r="K574" s="49">
        <v>400</v>
      </c>
      <c r="L574" s="50">
        <v>98</v>
      </c>
      <c r="M574" s="50">
        <v>113</v>
      </c>
      <c r="N574" s="51">
        <v>235</v>
      </c>
      <c r="O574" s="52">
        <v>260</v>
      </c>
      <c r="P574" s="53">
        <v>260</v>
      </c>
      <c r="Q574" s="54">
        <v>402</v>
      </c>
      <c r="R574" s="1"/>
      <c r="S574" s="1"/>
      <c r="T574" s="1"/>
    </row>
    <row r="575" spans="1:20" ht="13.5" customHeight="1" x14ac:dyDescent="0.25">
      <c r="A575" s="1"/>
      <c r="B575" s="1" t="s">
        <v>665</v>
      </c>
      <c r="C575" s="1" t="s">
        <v>618</v>
      </c>
      <c r="D575" s="42">
        <v>1500</v>
      </c>
      <c r="E575" s="43">
        <v>1500</v>
      </c>
      <c r="F575" s="45">
        <v>1500</v>
      </c>
      <c r="G575" s="45">
        <v>1500</v>
      </c>
      <c r="H575" s="46">
        <v>1168.6500000000001</v>
      </c>
      <c r="I575" s="47">
        <f t="shared" si="211"/>
        <v>0.77910000000000001</v>
      </c>
      <c r="J575" s="48">
        <v>1500</v>
      </c>
      <c r="K575" s="49">
        <v>1500</v>
      </c>
      <c r="L575" s="50">
        <v>1500</v>
      </c>
      <c r="M575" s="50">
        <v>1500</v>
      </c>
      <c r="N575" s="51">
        <v>1160.32</v>
      </c>
      <c r="O575" s="52">
        <v>1139.04</v>
      </c>
      <c r="P575" s="53">
        <v>1500</v>
      </c>
      <c r="Q575" s="54">
        <v>1500</v>
      </c>
      <c r="R575" s="1"/>
      <c r="S575" s="1"/>
      <c r="T575" s="1"/>
    </row>
    <row r="576" spans="1:20" ht="13.5" customHeight="1" x14ac:dyDescent="0.25">
      <c r="A576" s="1"/>
      <c r="B576" s="1" t="s">
        <v>666</v>
      </c>
      <c r="C576" s="1" t="s">
        <v>281</v>
      </c>
      <c r="D576" s="42">
        <v>1675</v>
      </c>
      <c r="E576" s="43">
        <v>756.25</v>
      </c>
      <c r="F576" s="45">
        <v>1675</v>
      </c>
      <c r="G576" s="45">
        <v>1675</v>
      </c>
      <c r="H576" s="46">
        <v>1175.8800000000001</v>
      </c>
      <c r="I576" s="47">
        <f t="shared" si="211"/>
        <v>0.7020179104477613</v>
      </c>
      <c r="J576" s="48">
        <v>1675</v>
      </c>
      <c r="K576" s="49">
        <v>1675</v>
      </c>
      <c r="L576" s="50">
        <v>1834.23</v>
      </c>
      <c r="M576" s="50">
        <v>1617.65</v>
      </c>
      <c r="N576" s="51">
        <v>1504.76</v>
      </c>
      <c r="O576" s="52">
        <v>1586.71</v>
      </c>
      <c r="P576" s="53">
        <v>1600.07</v>
      </c>
      <c r="Q576" s="54">
        <v>1772.2</v>
      </c>
      <c r="R576" s="1"/>
      <c r="S576" s="1"/>
      <c r="T576" s="1"/>
    </row>
    <row r="577" spans="1:20" ht="13.5" customHeight="1" x14ac:dyDescent="0.25">
      <c r="A577" s="1"/>
      <c r="B577" s="1"/>
      <c r="C577" s="1"/>
      <c r="D577" s="56">
        <v>6075</v>
      </c>
      <c r="E577" s="57">
        <f t="shared" ref="E577" si="212">SUM(E573:E576)</f>
        <v>3200.51</v>
      </c>
      <c r="F577" s="58">
        <f>SUM(F572:F576)</f>
        <v>6075</v>
      </c>
      <c r="G577" s="58">
        <v>6075</v>
      </c>
      <c r="H577" s="59">
        <f>SUM(H573:H576)</f>
        <v>3834.7300000000005</v>
      </c>
      <c r="I577" s="59"/>
      <c r="J577" s="60">
        <f t="shared" ref="J577:Q577" si="213">SUM(J573:J576)</f>
        <v>6075</v>
      </c>
      <c r="K577" s="61">
        <f t="shared" si="213"/>
        <v>6075</v>
      </c>
      <c r="L577" s="62">
        <f t="shared" si="213"/>
        <v>5385.9500000000007</v>
      </c>
      <c r="M577" s="62">
        <f t="shared" si="213"/>
        <v>5998.119999999999</v>
      </c>
      <c r="N577" s="63">
        <f t="shared" si="213"/>
        <v>4013.9800000000005</v>
      </c>
      <c r="O577" s="64">
        <f t="shared" si="213"/>
        <v>4749.05</v>
      </c>
      <c r="P577" s="63">
        <f t="shared" si="213"/>
        <v>4350.74</v>
      </c>
      <c r="Q577" s="65">
        <f t="shared" si="213"/>
        <v>5112.5599999999995</v>
      </c>
      <c r="R577" s="1"/>
      <c r="S577" s="1"/>
      <c r="T577" s="1"/>
    </row>
    <row r="578" spans="1:20" ht="13.5" customHeight="1" thickBot="1" x14ac:dyDescent="0.3">
      <c r="A578" s="1"/>
      <c r="B578" s="1"/>
      <c r="C578" s="116" t="s">
        <v>667</v>
      </c>
      <c r="D578" s="267">
        <v>287607.30340999999</v>
      </c>
      <c r="E578" s="173">
        <f t="shared" ref="E578" si="214">SUM(E557+E564+E571+E577)</f>
        <v>130632.44999999997</v>
      </c>
      <c r="F578" s="174">
        <f>SUM(F557,F564,F571,F577)</f>
        <v>275015.42869999999</v>
      </c>
      <c r="G578" s="174">
        <v>275015.42869999999</v>
      </c>
      <c r="H578" s="175">
        <f>SUM(H557+H564+H571+H577)</f>
        <v>264623.84999999998</v>
      </c>
      <c r="I578" s="175"/>
      <c r="J578" s="176">
        <f t="shared" ref="J578:Q578" si="215">SUM(J557+J564+J571+J577)</f>
        <v>268699</v>
      </c>
      <c r="K578" s="177">
        <f t="shared" si="215"/>
        <v>268699</v>
      </c>
      <c r="L578" s="178">
        <f t="shared" si="215"/>
        <v>261665.03</v>
      </c>
      <c r="M578" s="178">
        <f t="shared" si="215"/>
        <v>256487.37</v>
      </c>
      <c r="N578" s="179">
        <f t="shared" si="215"/>
        <v>249393.30999999997</v>
      </c>
      <c r="O578" s="180">
        <f t="shared" si="215"/>
        <v>232480.4</v>
      </c>
      <c r="P578" s="179">
        <f t="shared" si="215"/>
        <v>229350.16</v>
      </c>
      <c r="Q578" s="181">
        <f t="shared" si="215"/>
        <v>218817.95999999996</v>
      </c>
      <c r="R578" s="1"/>
      <c r="S578" s="1"/>
      <c r="T578" s="1"/>
    </row>
    <row r="579" spans="1:20" ht="13.5" customHeight="1" thickTop="1" x14ac:dyDescent="0.25">
      <c r="A579" s="1"/>
      <c r="B579" s="1"/>
      <c r="C579" s="1"/>
      <c r="D579" s="42"/>
      <c r="E579" s="44"/>
      <c r="F579" s="45"/>
      <c r="G579" s="45"/>
      <c r="H579" s="66"/>
      <c r="I579" s="66"/>
      <c r="J579" s="48"/>
      <c r="K579" s="49"/>
      <c r="L579" s="50"/>
      <c r="M579" s="50"/>
      <c r="N579" s="51"/>
      <c r="O579" s="52"/>
      <c r="P579" s="53"/>
      <c r="Q579" s="54"/>
      <c r="R579" s="1"/>
      <c r="S579" s="1"/>
      <c r="T579" s="1"/>
    </row>
    <row r="580" spans="1:20" ht="13.5" customHeight="1" x14ac:dyDescent="0.25">
      <c r="A580" s="1"/>
      <c r="B580" s="1"/>
      <c r="C580" s="41"/>
      <c r="D580" s="42"/>
      <c r="E580" s="44"/>
      <c r="F580" s="45"/>
      <c r="G580" s="45"/>
      <c r="H580" s="66"/>
      <c r="I580" s="66"/>
      <c r="J580" s="48"/>
      <c r="K580" s="49"/>
      <c r="L580" s="50"/>
      <c r="M580" s="50"/>
      <c r="N580" s="51"/>
      <c r="O580" s="52"/>
      <c r="P580" s="53"/>
      <c r="Q580" s="54"/>
      <c r="R580" s="1"/>
      <c r="S580" s="1"/>
      <c r="T580" s="1"/>
    </row>
    <row r="581" spans="1:20" ht="13.5" customHeight="1" x14ac:dyDescent="0.25">
      <c r="A581" s="1"/>
      <c r="B581" s="1"/>
      <c r="C581" s="41" t="s">
        <v>668</v>
      </c>
      <c r="D581" s="42"/>
      <c r="E581" s="44"/>
      <c r="F581" s="45"/>
      <c r="G581" s="45"/>
      <c r="H581" s="66"/>
      <c r="I581" s="66"/>
      <c r="J581" s="48"/>
      <c r="K581" s="49"/>
      <c r="L581" s="50"/>
      <c r="M581" s="50"/>
      <c r="N581" s="51"/>
      <c r="O581" s="52"/>
      <c r="P581" s="53"/>
      <c r="Q581" s="54"/>
      <c r="R581" s="1"/>
      <c r="S581" s="1"/>
      <c r="T581" s="1"/>
    </row>
    <row r="582" spans="1:20" ht="13.5" customHeight="1" x14ac:dyDescent="0.25">
      <c r="A582" s="1"/>
      <c r="B582" s="1" t="s">
        <v>669</v>
      </c>
      <c r="C582" s="55" t="s">
        <v>294</v>
      </c>
      <c r="D582" s="42">
        <v>0</v>
      </c>
      <c r="E582" s="70">
        <v>2436.46</v>
      </c>
      <c r="F582" s="73">
        <v>0</v>
      </c>
      <c r="G582" s="73">
        <v>0</v>
      </c>
      <c r="H582" s="74">
        <v>0</v>
      </c>
      <c r="I582" s="183">
        <v>0</v>
      </c>
      <c r="J582" s="75">
        <v>0</v>
      </c>
      <c r="K582" s="76">
        <v>0</v>
      </c>
      <c r="L582" s="77">
        <v>0</v>
      </c>
      <c r="M582" s="50">
        <v>309.99</v>
      </c>
      <c r="N582" s="53" t="s">
        <v>16</v>
      </c>
      <c r="O582" s="52">
        <v>429.99</v>
      </c>
      <c r="P582" s="53">
        <v>0</v>
      </c>
      <c r="Q582" s="54">
        <v>1389.96</v>
      </c>
      <c r="R582" s="1"/>
      <c r="S582" s="1"/>
      <c r="T582" s="1"/>
    </row>
    <row r="583" spans="1:20" ht="13.5" customHeight="1" x14ac:dyDescent="0.25">
      <c r="A583" s="1"/>
      <c r="B583" s="1" t="s">
        <v>670</v>
      </c>
      <c r="C583" s="1" t="s">
        <v>671</v>
      </c>
      <c r="D583" s="42">
        <v>2736</v>
      </c>
      <c r="E583" s="43">
        <v>1139.7</v>
      </c>
      <c r="F583" s="45">
        <v>2736</v>
      </c>
      <c r="G583" s="45">
        <v>2736</v>
      </c>
      <c r="H583" s="46">
        <v>2709.54</v>
      </c>
      <c r="I583" s="47">
        <f>H583/J583</f>
        <v>0.99032894736842103</v>
      </c>
      <c r="J583" s="48">
        <v>2736</v>
      </c>
      <c r="K583" s="49">
        <v>2736</v>
      </c>
      <c r="L583" s="50">
        <v>2782.13</v>
      </c>
      <c r="M583" s="50">
        <v>2735.28</v>
      </c>
      <c r="N583" s="51">
        <v>2735.28</v>
      </c>
      <c r="O583" s="52">
        <v>2735.28</v>
      </c>
      <c r="P583" s="53">
        <v>2735.28</v>
      </c>
      <c r="Q583" s="54">
        <v>0</v>
      </c>
      <c r="R583" s="1"/>
      <c r="S583" s="1"/>
      <c r="T583" s="1"/>
    </row>
    <row r="584" spans="1:20" ht="13.5" customHeight="1" thickBot="1" x14ac:dyDescent="0.3">
      <c r="A584" s="1"/>
      <c r="B584" s="1"/>
      <c r="C584" s="116" t="s">
        <v>672</v>
      </c>
      <c r="D584" s="267">
        <v>2736</v>
      </c>
      <c r="E584" s="173">
        <f t="shared" ref="E584" si="216">SUM(E582:E583)</f>
        <v>3576.16</v>
      </c>
      <c r="F584" s="174">
        <f>SUM(F581:F583)</f>
        <v>2736</v>
      </c>
      <c r="G584" s="174">
        <v>2736</v>
      </c>
      <c r="H584" s="175">
        <f>SUM(H582:H583)</f>
        <v>2709.54</v>
      </c>
      <c r="I584" s="175"/>
      <c r="J584" s="176">
        <f t="shared" ref="J584:Q584" si="217">SUM(J582:J583)</f>
        <v>2736</v>
      </c>
      <c r="K584" s="177">
        <f t="shared" si="217"/>
        <v>2736</v>
      </c>
      <c r="L584" s="178">
        <f t="shared" si="217"/>
        <v>2782.13</v>
      </c>
      <c r="M584" s="178">
        <f t="shared" si="217"/>
        <v>3045.2700000000004</v>
      </c>
      <c r="N584" s="179">
        <f t="shared" si="217"/>
        <v>2735.28</v>
      </c>
      <c r="O584" s="180">
        <f t="shared" si="217"/>
        <v>3165.2700000000004</v>
      </c>
      <c r="P584" s="179">
        <f t="shared" si="217"/>
        <v>2735.28</v>
      </c>
      <c r="Q584" s="181">
        <f t="shared" si="217"/>
        <v>1389.96</v>
      </c>
      <c r="R584" s="1"/>
      <c r="S584" s="1"/>
      <c r="T584" s="1"/>
    </row>
    <row r="585" spans="1:20" ht="13.5" customHeight="1" thickTop="1" x14ac:dyDescent="0.25">
      <c r="A585" s="1"/>
      <c r="B585" s="1"/>
      <c r="C585" s="1"/>
      <c r="D585" s="42"/>
      <c r="E585" s="44"/>
      <c r="F585" s="45"/>
      <c r="G585" s="45"/>
      <c r="H585" s="66"/>
      <c r="I585" s="66"/>
      <c r="J585" s="48"/>
      <c r="K585" s="49"/>
      <c r="L585" s="50"/>
      <c r="M585" s="50"/>
      <c r="N585" s="51"/>
      <c r="O585" s="52"/>
      <c r="P585" s="53"/>
      <c r="Q585" s="54"/>
      <c r="R585" s="1"/>
      <c r="S585" s="1"/>
      <c r="T585" s="1"/>
    </row>
    <row r="586" spans="1:20" ht="13.5" customHeight="1" x14ac:dyDescent="0.25">
      <c r="A586" s="1"/>
      <c r="B586" s="1"/>
      <c r="C586" s="41"/>
      <c r="D586" s="42"/>
      <c r="E586" s="44"/>
      <c r="F586" s="45"/>
      <c r="G586" s="45"/>
      <c r="H586" s="66"/>
      <c r="I586" s="66"/>
      <c r="J586" s="48"/>
      <c r="K586" s="49"/>
      <c r="L586" s="50"/>
      <c r="M586" s="50"/>
      <c r="N586" s="51"/>
      <c r="O586" s="52"/>
      <c r="P586" s="53"/>
      <c r="Q586" s="54"/>
      <c r="R586" s="1"/>
      <c r="S586" s="1"/>
      <c r="T586" s="1"/>
    </row>
    <row r="587" spans="1:20" ht="13.5" customHeight="1" x14ac:dyDescent="0.25">
      <c r="A587" s="1"/>
      <c r="B587" s="1"/>
      <c r="C587" s="41" t="s">
        <v>673</v>
      </c>
      <c r="D587" s="42"/>
      <c r="E587" s="44"/>
      <c r="F587" s="45"/>
      <c r="G587" s="45"/>
      <c r="H587" s="66"/>
      <c r="I587" s="66"/>
      <c r="J587" s="48"/>
      <c r="K587" s="49"/>
      <c r="L587" s="50"/>
      <c r="M587" s="50"/>
      <c r="N587" s="51"/>
      <c r="O587" s="52"/>
      <c r="P587" s="53"/>
      <c r="Q587" s="54"/>
      <c r="R587" s="1"/>
      <c r="S587" s="1"/>
      <c r="T587" s="1"/>
    </row>
    <row r="588" spans="1:20" ht="13.5" customHeight="1" x14ac:dyDescent="0.25">
      <c r="A588" s="1"/>
      <c r="B588" s="1" t="s">
        <v>674</v>
      </c>
      <c r="C588" s="1" t="s">
        <v>418</v>
      </c>
      <c r="D588" s="42">
        <v>60607</v>
      </c>
      <c r="E588" s="43">
        <v>28671.79</v>
      </c>
      <c r="F588" s="45">
        <v>60607</v>
      </c>
      <c r="G588" s="45">
        <v>60607</v>
      </c>
      <c r="H588" s="46">
        <v>54810.89</v>
      </c>
      <c r="I588" s="47">
        <f t="shared" ref="I588:I592" si="218">H588/J588</f>
        <v>1.0051879768192489</v>
      </c>
      <c r="J588" s="48">
        <v>54528</v>
      </c>
      <c r="K588" s="49">
        <v>54528</v>
      </c>
      <c r="L588" s="50">
        <v>53522.83</v>
      </c>
      <c r="M588" s="50">
        <v>52375.95</v>
      </c>
      <c r="N588" s="51">
        <v>51550.28</v>
      </c>
      <c r="O588" s="52">
        <v>49546.21</v>
      </c>
      <c r="P588" s="53">
        <v>49464.08</v>
      </c>
      <c r="Q588" s="54">
        <v>47664.02</v>
      </c>
      <c r="R588" s="1"/>
      <c r="S588" s="1"/>
      <c r="T588" s="1"/>
    </row>
    <row r="589" spans="1:20" ht="13.5" customHeight="1" x14ac:dyDescent="0.25">
      <c r="A589" s="1"/>
      <c r="B589" s="1" t="s">
        <v>675</v>
      </c>
      <c r="C589" s="1" t="s">
        <v>420</v>
      </c>
      <c r="D589" s="42">
        <v>382004</v>
      </c>
      <c r="E589" s="43">
        <v>177308.34</v>
      </c>
      <c r="F589" s="45">
        <v>378889</v>
      </c>
      <c r="G589" s="45">
        <v>378889</v>
      </c>
      <c r="H589" s="46">
        <v>352325.44</v>
      </c>
      <c r="I589" s="47">
        <f t="shared" si="218"/>
        <v>1.0025765181264583</v>
      </c>
      <c r="J589" s="48">
        <v>351420</v>
      </c>
      <c r="K589" s="49">
        <v>351420</v>
      </c>
      <c r="L589" s="50">
        <v>312451.89</v>
      </c>
      <c r="M589" s="50">
        <v>304689.53000000003</v>
      </c>
      <c r="N589" s="51">
        <v>302502.21000000002</v>
      </c>
      <c r="O589" s="52">
        <v>285045.73</v>
      </c>
      <c r="P589" s="53">
        <v>285102.03000000003</v>
      </c>
      <c r="Q589" s="54">
        <v>275483.02</v>
      </c>
      <c r="R589" s="1"/>
      <c r="S589" s="1"/>
      <c r="T589" s="1"/>
    </row>
    <row r="590" spans="1:20" ht="13.5" customHeight="1" x14ac:dyDescent="0.25">
      <c r="A590" s="1"/>
      <c r="B590" s="1" t="s">
        <v>676</v>
      </c>
      <c r="C590" s="1" t="s">
        <v>237</v>
      </c>
      <c r="D590" s="42">
        <v>15600</v>
      </c>
      <c r="E590" s="43">
        <v>7380</v>
      </c>
      <c r="F590" s="45">
        <v>15600</v>
      </c>
      <c r="G590" s="45">
        <v>15600</v>
      </c>
      <c r="H590" s="46">
        <v>15519.91</v>
      </c>
      <c r="I590" s="47">
        <f t="shared" si="218"/>
        <v>0.99486602564102566</v>
      </c>
      <c r="J590" s="48">
        <v>15600</v>
      </c>
      <c r="K590" s="49">
        <v>15600</v>
      </c>
      <c r="L590" s="50">
        <v>16904.89</v>
      </c>
      <c r="M590" s="50">
        <v>15534</v>
      </c>
      <c r="N590" s="51">
        <v>13134</v>
      </c>
      <c r="O590" s="52">
        <v>12838</v>
      </c>
      <c r="P590" s="53">
        <v>12650</v>
      </c>
      <c r="Q590" s="54">
        <v>17938.87</v>
      </c>
      <c r="R590" s="1"/>
      <c r="S590" s="1"/>
      <c r="T590" s="1"/>
    </row>
    <row r="591" spans="1:20" ht="13.5" customHeight="1" x14ac:dyDescent="0.25">
      <c r="A591" s="1"/>
      <c r="B591" s="1" t="s">
        <v>677</v>
      </c>
      <c r="C591" s="1" t="s">
        <v>423</v>
      </c>
      <c r="D591" s="42">
        <v>0</v>
      </c>
      <c r="E591" s="43">
        <v>0</v>
      </c>
      <c r="F591" s="45">
        <v>0</v>
      </c>
      <c r="G591" s="45">
        <v>0</v>
      </c>
      <c r="H591" s="46">
        <v>17850.080000000002</v>
      </c>
      <c r="I591" s="47">
        <f t="shared" si="218"/>
        <v>0.84250153395950356</v>
      </c>
      <c r="J591" s="48">
        <v>21187</v>
      </c>
      <c r="K591" s="49">
        <v>21187</v>
      </c>
      <c r="L591" s="50">
        <v>18670.8</v>
      </c>
      <c r="M591" s="50">
        <v>20387.05</v>
      </c>
      <c r="N591" s="51">
        <v>23111.24</v>
      </c>
      <c r="O591" s="52">
        <v>21223.7</v>
      </c>
      <c r="P591" s="53">
        <v>22133.26</v>
      </c>
      <c r="Q591" s="54">
        <v>21875.01</v>
      </c>
      <c r="R591" s="1"/>
      <c r="S591" s="1"/>
      <c r="T591" s="1"/>
    </row>
    <row r="592" spans="1:20" ht="13.5" customHeight="1" x14ac:dyDescent="0.25">
      <c r="A592" s="1"/>
      <c r="B592" s="1" t="s">
        <v>678</v>
      </c>
      <c r="C592" s="1" t="s">
        <v>241</v>
      </c>
      <c r="D592" s="42">
        <v>1500</v>
      </c>
      <c r="E592" s="70">
        <v>0</v>
      </c>
      <c r="F592" s="45">
        <v>1500</v>
      </c>
      <c r="G592" s="45">
        <v>1500</v>
      </c>
      <c r="H592" s="74">
        <v>0</v>
      </c>
      <c r="I592" s="47">
        <f t="shared" si="218"/>
        <v>0</v>
      </c>
      <c r="J592" s="48">
        <v>1500</v>
      </c>
      <c r="K592" s="49">
        <v>1500</v>
      </c>
      <c r="L592" s="50">
        <v>129.19999999999999</v>
      </c>
      <c r="M592" s="77">
        <v>0</v>
      </c>
      <c r="N592" s="53">
        <v>0</v>
      </c>
      <c r="O592" s="52">
        <v>449.28</v>
      </c>
      <c r="P592" s="53">
        <v>81.069999999999993</v>
      </c>
      <c r="Q592" s="54">
        <v>475.1</v>
      </c>
      <c r="R592" s="1"/>
      <c r="S592" s="1"/>
      <c r="T592" s="1"/>
    </row>
    <row r="593" spans="1:20" ht="13.5" customHeight="1" x14ac:dyDescent="0.25">
      <c r="A593" s="1"/>
      <c r="B593" s="1"/>
      <c r="C593" s="1"/>
      <c r="D593" s="56">
        <v>459711</v>
      </c>
      <c r="E593" s="57">
        <f t="shared" ref="E593" si="219">SUM(E588:E592)</f>
        <v>213360.13</v>
      </c>
      <c r="F593" s="58">
        <f>SUM(F587:F592)</f>
        <v>456596</v>
      </c>
      <c r="G593" s="58">
        <v>456596</v>
      </c>
      <c r="H593" s="59">
        <f>SUM(H588:H592)</f>
        <v>440506.32</v>
      </c>
      <c r="I593" s="59"/>
      <c r="J593" s="60">
        <f t="shared" ref="J593:Q593" si="220">SUM(J588:J592)</f>
        <v>444235</v>
      </c>
      <c r="K593" s="61">
        <f t="shared" si="220"/>
        <v>444235</v>
      </c>
      <c r="L593" s="62">
        <f t="shared" si="220"/>
        <v>401679.61000000004</v>
      </c>
      <c r="M593" s="62">
        <f t="shared" si="220"/>
        <v>392986.53</v>
      </c>
      <c r="N593" s="63">
        <f t="shared" si="220"/>
        <v>390297.73</v>
      </c>
      <c r="O593" s="64">
        <f t="shared" si="220"/>
        <v>369102.92000000004</v>
      </c>
      <c r="P593" s="63">
        <f t="shared" si="220"/>
        <v>369430.44000000006</v>
      </c>
      <c r="Q593" s="65">
        <f t="shared" si="220"/>
        <v>363436.02</v>
      </c>
      <c r="R593" s="1"/>
      <c r="S593" s="1"/>
      <c r="T593" s="1"/>
    </row>
    <row r="594" spans="1:20" ht="13.5" customHeight="1" x14ac:dyDescent="0.25">
      <c r="A594" s="1"/>
      <c r="B594" s="1"/>
      <c r="C594" s="1"/>
      <c r="D594" s="42"/>
      <c r="E594" s="67"/>
      <c r="F594" s="45"/>
      <c r="G594" s="45"/>
      <c r="H594" s="74"/>
      <c r="I594" s="66"/>
      <c r="J594" s="48"/>
      <c r="K594" s="49"/>
      <c r="L594" s="77"/>
      <c r="M594" s="77"/>
      <c r="N594" s="53"/>
      <c r="O594" s="52"/>
      <c r="P594" s="53"/>
      <c r="Q594" s="54"/>
      <c r="R594" s="1"/>
      <c r="S594" s="1"/>
      <c r="T594" s="1"/>
    </row>
    <row r="595" spans="1:20" ht="13.5" customHeight="1" x14ac:dyDescent="0.25">
      <c r="A595" s="1"/>
      <c r="B595" s="1" t="s">
        <v>679</v>
      </c>
      <c r="C595" s="1" t="s">
        <v>247</v>
      </c>
      <c r="D595" s="42">
        <v>35167.891500000005</v>
      </c>
      <c r="E595" s="43">
        <v>15351.13</v>
      </c>
      <c r="F595" s="45">
        <v>34929.593999999997</v>
      </c>
      <c r="G595" s="45">
        <v>34929.593999999997</v>
      </c>
      <c r="H595" s="46">
        <v>31482.1</v>
      </c>
      <c r="I595" s="47">
        <f t="shared" ref="I595:I599" si="221">H595/J595</f>
        <v>0.92638006120527305</v>
      </c>
      <c r="J595" s="48">
        <v>33984</v>
      </c>
      <c r="K595" s="49">
        <v>33984</v>
      </c>
      <c r="L595" s="50">
        <v>28353.9</v>
      </c>
      <c r="M595" s="50">
        <v>27008.720000000001</v>
      </c>
      <c r="N595" s="51">
        <v>26280.27</v>
      </c>
      <c r="O595" s="52">
        <v>25475.4</v>
      </c>
      <c r="P595" s="53">
        <v>26056.5</v>
      </c>
      <c r="Q595" s="54">
        <v>26013.18</v>
      </c>
      <c r="R595" s="1"/>
      <c r="S595" s="1"/>
      <c r="T595" s="1"/>
    </row>
    <row r="596" spans="1:20" ht="13.5" customHeight="1" x14ac:dyDescent="0.25">
      <c r="A596" s="1"/>
      <c r="B596" s="1" t="s">
        <v>680</v>
      </c>
      <c r="C596" s="1" t="s">
        <v>249</v>
      </c>
      <c r="D596" s="42">
        <v>125561.2176</v>
      </c>
      <c r="E596" s="43">
        <v>58048.62</v>
      </c>
      <c r="F596" s="45">
        <v>125559.28320000001</v>
      </c>
      <c r="G596" s="45">
        <v>125559.28320000001</v>
      </c>
      <c r="H596" s="46">
        <v>108083.15</v>
      </c>
      <c r="I596" s="47">
        <f t="shared" si="221"/>
        <v>0.87918225743476275</v>
      </c>
      <c r="J596" s="48">
        <v>122936</v>
      </c>
      <c r="K596" s="49">
        <v>122936</v>
      </c>
      <c r="L596" s="50">
        <v>94641.18</v>
      </c>
      <c r="M596" s="50">
        <v>103929.76</v>
      </c>
      <c r="N596" s="51">
        <v>109278.86</v>
      </c>
      <c r="O596" s="52">
        <v>100408.06</v>
      </c>
      <c r="P596" s="53">
        <v>109755.8</v>
      </c>
      <c r="Q596" s="54">
        <v>105784.8</v>
      </c>
      <c r="R596" s="1"/>
      <c r="S596" s="1"/>
      <c r="T596" s="1"/>
    </row>
    <row r="597" spans="1:20" ht="13.5" customHeight="1" x14ac:dyDescent="0.25">
      <c r="A597" s="1"/>
      <c r="B597" s="1" t="s">
        <v>681</v>
      </c>
      <c r="C597" s="1" t="s">
        <v>251</v>
      </c>
      <c r="D597" s="42">
        <v>69048.592199999999</v>
      </c>
      <c r="E597" s="43">
        <v>32046.7</v>
      </c>
      <c r="F597" s="45">
        <v>68580.719199999992</v>
      </c>
      <c r="G597" s="45">
        <v>68580.719199999992</v>
      </c>
      <c r="H597" s="46">
        <v>64022.68</v>
      </c>
      <c r="I597" s="47">
        <f t="shared" si="221"/>
        <v>0.99255352464226465</v>
      </c>
      <c r="J597" s="48">
        <v>64503</v>
      </c>
      <c r="K597" s="49">
        <v>64503</v>
      </c>
      <c r="L597" s="50">
        <v>58167.31</v>
      </c>
      <c r="M597" s="50">
        <v>54746.95</v>
      </c>
      <c r="N597" s="51">
        <v>52159.41</v>
      </c>
      <c r="O597" s="52">
        <v>47992.55</v>
      </c>
      <c r="P597" s="53">
        <v>49206.04</v>
      </c>
      <c r="Q597" s="54">
        <v>44171.99</v>
      </c>
      <c r="R597" s="1"/>
      <c r="S597" s="1"/>
      <c r="T597" s="1"/>
    </row>
    <row r="598" spans="1:20" ht="13.5" customHeight="1" x14ac:dyDescent="0.25">
      <c r="A598" s="1"/>
      <c r="B598" s="1" t="s">
        <v>682</v>
      </c>
      <c r="C598" s="1" t="s">
        <v>253</v>
      </c>
      <c r="D598" s="42">
        <v>735.5376</v>
      </c>
      <c r="E598" s="43">
        <v>341.4</v>
      </c>
      <c r="F598" s="45">
        <v>730.55359999999985</v>
      </c>
      <c r="G598" s="45">
        <v>730.55359999999985</v>
      </c>
      <c r="H598" s="46">
        <v>704.78</v>
      </c>
      <c r="I598" s="47">
        <f t="shared" si="221"/>
        <v>0.99125175808720112</v>
      </c>
      <c r="J598" s="48">
        <v>711</v>
      </c>
      <c r="K598" s="49">
        <v>711</v>
      </c>
      <c r="L598" s="50">
        <v>734.25</v>
      </c>
      <c r="M598" s="50">
        <v>746.55</v>
      </c>
      <c r="N598" s="51">
        <v>906.26</v>
      </c>
      <c r="O598" s="52">
        <v>956.83</v>
      </c>
      <c r="P598" s="53">
        <v>884.26</v>
      </c>
      <c r="Q598" s="54">
        <v>826.38</v>
      </c>
      <c r="R598" s="1"/>
      <c r="S598" s="1"/>
      <c r="T598" s="1"/>
    </row>
    <row r="599" spans="1:20" ht="13.5" customHeight="1" x14ac:dyDescent="0.25">
      <c r="A599" s="1"/>
      <c r="B599" s="1" t="s">
        <v>683</v>
      </c>
      <c r="C599" s="1" t="s">
        <v>255</v>
      </c>
      <c r="D599" s="42">
        <v>4213.4399999999996</v>
      </c>
      <c r="E599" s="43">
        <v>1840.08</v>
      </c>
      <c r="F599" s="45">
        <v>4020</v>
      </c>
      <c r="G599" s="45">
        <v>4020</v>
      </c>
      <c r="H599" s="46">
        <v>3628.99</v>
      </c>
      <c r="I599" s="47">
        <f t="shared" si="221"/>
        <v>0.93917960662525879</v>
      </c>
      <c r="J599" s="48">
        <v>3864</v>
      </c>
      <c r="K599" s="49">
        <v>3864</v>
      </c>
      <c r="L599" s="50">
        <v>3236.24</v>
      </c>
      <c r="M599" s="50">
        <v>3248.26</v>
      </c>
      <c r="N599" s="51">
        <v>3541.09</v>
      </c>
      <c r="O599" s="52">
        <v>3326.05</v>
      </c>
      <c r="P599" s="53">
        <v>3400.2</v>
      </c>
      <c r="Q599" s="54">
        <v>3425.4</v>
      </c>
      <c r="R599" s="1"/>
      <c r="S599" s="1"/>
      <c r="T599" s="1"/>
    </row>
    <row r="600" spans="1:20" ht="13.5" customHeight="1" x14ac:dyDescent="0.25">
      <c r="A600" s="1"/>
      <c r="B600" s="1"/>
      <c r="C600" s="1"/>
      <c r="D600" s="56">
        <v>234726.67890000003</v>
      </c>
      <c r="E600" s="57">
        <f t="shared" ref="E600" si="222">SUM(E595:E599)</f>
        <v>107627.93</v>
      </c>
      <c r="F600" s="58">
        <f>SUM(F594:F599)</f>
        <v>233820.15</v>
      </c>
      <c r="G600" s="58">
        <v>233820.15</v>
      </c>
      <c r="H600" s="59">
        <f>SUM(H595:H599)</f>
        <v>207921.69999999998</v>
      </c>
      <c r="I600" s="59"/>
      <c r="J600" s="60">
        <f t="shared" ref="J600:Q600" si="223">SUM(J595:J599)</f>
        <v>225998</v>
      </c>
      <c r="K600" s="61">
        <f t="shared" si="223"/>
        <v>225998</v>
      </c>
      <c r="L600" s="62">
        <f t="shared" si="223"/>
        <v>185132.87999999998</v>
      </c>
      <c r="M600" s="62">
        <f t="shared" si="223"/>
        <v>189680.24</v>
      </c>
      <c r="N600" s="63">
        <f t="shared" si="223"/>
        <v>192165.89</v>
      </c>
      <c r="O600" s="64">
        <f t="shared" si="223"/>
        <v>178158.88999999998</v>
      </c>
      <c r="P600" s="63">
        <f t="shared" si="223"/>
        <v>189302.80000000002</v>
      </c>
      <c r="Q600" s="65">
        <f t="shared" si="223"/>
        <v>180221.75</v>
      </c>
      <c r="R600" s="1"/>
      <c r="S600" s="1"/>
      <c r="T600" s="1"/>
    </row>
    <row r="601" spans="1:20" ht="13.5" customHeight="1" x14ac:dyDescent="0.25">
      <c r="A601" s="1"/>
      <c r="B601" s="1"/>
      <c r="C601" s="1"/>
      <c r="D601" s="42"/>
      <c r="E601" s="44"/>
      <c r="F601" s="45"/>
      <c r="G601" s="45"/>
      <c r="H601" s="66"/>
      <c r="I601" s="66"/>
      <c r="J601" s="48"/>
      <c r="K601" s="49"/>
      <c r="L601" s="50"/>
      <c r="M601" s="50"/>
      <c r="N601" s="51"/>
      <c r="O601" s="52"/>
      <c r="P601" s="53"/>
      <c r="Q601" s="54"/>
      <c r="R601" s="1"/>
      <c r="S601" s="1"/>
      <c r="T601" s="1"/>
    </row>
    <row r="602" spans="1:20" ht="13.5" customHeight="1" x14ac:dyDescent="0.25">
      <c r="A602" s="1"/>
      <c r="B602" s="1" t="s">
        <v>684</v>
      </c>
      <c r="C602" s="1" t="s">
        <v>259</v>
      </c>
      <c r="D602" s="42">
        <v>16000</v>
      </c>
      <c r="E602" s="43">
        <v>6222.67</v>
      </c>
      <c r="F602" s="45">
        <v>16000</v>
      </c>
      <c r="G602" s="45">
        <v>16000</v>
      </c>
      <c r="H602" s="46">
        <v>16093.49</v>
      </c>
      <c r="I602" s="47">
        <f t="shared" ref="I602:I604" si="224">H602/J602</f>
        <v>1.0058431249999999</v>
      </c>
      <c r="J602" s="48">
        <v>16000</v>
      </c>
      <c r="K602" s="49">
        <v>16000</v>
      </c>
      <c r="L602" s="50">
        <v>15137.44</v>
      </c>
      <c r="M602" s="50">
        <v>14875.84</v>
      </c>
      <c r="N602" s="51">
        <v>12863.85</v>
      </c>
      <c r="O602" s="52">
        <v>13740.91</v>
      </c>
      <c r="P602" s="53">
        <v>9176.99</v>
      </c>
      <c r="Q602" s="54">
        <v>10456.969999999999</v>
      </c>
      <c r="R602" s="1"/>
      <c r="S602" s="1"/>
      <c r="T602" s="1"/>
    </row>
    <row r="603" spans="1:20" ht="13.5" customHeight="1" x14ac:dyDescent="0.25">
      <c r="A603" s="1"/>
      <c r="B603" s="1" t="s">
        <v>685</v>
      </c>
      <c r="C603" s="1" t="s">
        <v>261</v>
      </c>
      <c r="D603" s="42">
        <v>7294</v>
      </c>
      <c r="E603" s="43">
        <v>2340.85</v>
      </c>
      <c r="F603" s="45">
        <v>7294</v>
      </c>
      <c r="G603" s="45">
        <v>7294</v>
      </c>
      <c r="H603" s="46">
        <v>8771.59</v>
      </c>
      <c r="I603" s="47">
        <f t="shared" si="224"/>
        <v>1.2025760899369344</v>
      </c>
      <c r="J603" s="48">
        <v>7294</v>
      </c>
      <c r="K603" s="49">
        <v>7294</v>
      </c>
      <c r="L603" s="50">
        <v>7562.57</v>
      </c>
      <c r="M603" s="50">
        <v>9079.69</v>
      </c>
      <c r="N603" s="51">
        <v>8787.6200000000008</v>
      </c>
      <c r="O603" s="52">
        <v>8445.4500000000007</v>
      </c>
      <c r="P603" s="53">
        <v>8200.44</v>
      </c>
      <c r="Q603" s="54">
        <v>6908.12</v>
      </c>
      <c r="R603" s="1"/>
      <c r="S603" s="1"/>
      <c r="T603" s="1"/>
    </row>
    <row r="604" spans="1:20" ht="13.5" customHeight="1" x14ac:dyDescent="0.25">
      <c r="A604" s="1"/>
      <c r="B604" s="1" t="s">
        <v>686</v>
      </c>
      <c r="C604" s="1" t="s">
        <v>267</v>
      </c>
      <c r="D604" s="42">
        <v>1000</v>
      </c>
      <c r="E604" s="43">
        <v>269.97000000000003</v>
      </c>
      <c r="F604" s="45">
        <v>100</v>
      </c>
      <c r="G604" s="45">
        <v>100</v>
      </c>
      <c r="H604" s="46">
        <v>265.97000000000003</v>
      </c>
      <c r="I604" s="47">
        <f t="shared" si="224"/>
        <v>2.6597000000000004</v>
      </c>
      <c r="J604" s="48">
        <v>100</v>
      </c>
      <c r="K604" s="49">
        <v>100</v>
      </c>
      <c r="L604" s="77">
        <v>0</v>
      </c>
      <c r="M604" s="50">
        <v>1111.3699999999999</v>
      </c>
      <c r="N604" s="53">
        <v>0</v>
      </c>
      <c r="O604" s="52">
        <v>0</v>
      </c>
      <c r="P604" s="53">
        <v>0</v>
      </c>
      <c r="Q604" s="54">
        <v>0</v>
      </c>
      <c r="R604" s="1"/>
      <c r="S604" s="1"/>
      <c r="T604" s="1"/>
    </row>
    <row r="605" spans="1:20" ht="13.5" customHeight="1" x14ac:dyDescent="0.25">
      <c r="A605" s="1"/>
      <c r="B605" s="1"/>
      <c r="C605" s="1"/>
      <c r="D605" s="56">
        <v>24294</v>
      </c>
      <c r="E605" s="57">
        <f t="shared" ref="E605" si="225">SUM(E602:E604)</f>
        <v>8833.49</v>
      </c>
      <c r="F605" s="58">
        <f>SUM(F601:F604)</f>
        <v>23394</v>
      </c>
      <c r="G605" s="58">
        <v>23594</v>
      </c>
      <c r="H605" s="59">
        <f>SUM(H602:H604)</f>
        <v>25131.050000000003</v>
      </c>
      <c r="I605" s="59"/>
      <c r="J605" s="60">
        <f t="shared" ref="J605:Q605" si="226">SUM(J602:J604)</f>
        <v>23394</v>
      </c>
      <c r="K605" s="61">
        <f t="shared" si="226"/>
        <v>23394</v>
      </c>
      <c r="L605" s="62">
        <f t="shared" si="226"/>
        <v>22700.010000000002</v>
      </c>
      <c r="M605" s="62">
        <f t="shared" si="226"/>
        <v>25066.899999999998</v>
      </c>
      <c r="N605" s="63">
        <f t="shared" si="226"/>
        <v>21651.47</v>
      </c>
      <c r="O605" s="64">
        <f t="shared" si="226"/>
        <v>22186.36</v>
      </c>
      <c r="P605" s="63">
        <f t="shared" si="226"/>
        <v>17377.43</v>
      </c>
      <c r="Q605" s="65">
        <f t="shared" si="226"/>
        <v>17365.09</v>
      </c>
      <c r="R605" s="1"/>
      <c r="S605" s="1"/>
      <c r="T605" s="1"/>
    </row>
    <row r="606" spans="1:20" ht="13.5" customHeight="1" x14ac:dyDescent="0.25">
      <c r="A606" s="1"/>
      <c r="B606" s="1"/>
      <c r="C606" s="1"/>
      <c r="D606" s="42"/>
      <c r="E606" s="44"/>
      <c r="F606" s="45"/>
      <c r="G606" s="45"/>
      <c r="H606" s="66"/>
      <c r="I606" s="66"/>
      <c r="J606" s="48"/>
      <c r="K606" s="49"/>
      <c r="L606" s="77"/>
      <c r="M606" s="50"/>
      <c r="N606" s="53"/>
      <c r="O606" s="52"/>
      <c r="P606" s="53"/>
      <c r="Q606" s="54"/>
      <c r="R606" s="1"/>
      <c r="S606" s="1"/>
      <c r="T606" s="1"/>
    </row>
    <row r="607" spans="1:20" ht="13.5" customHeight="1" x14ac:dyDescent="0.25">
      <c r="A607" s="1"/>
      <c r="B607" s="1" t="s">
        <v>687</v>
      </c>
      <c r="C607" s="55" t="s">
        <v>273</v>
      </c>
      <c r="D607" s="42">
        <v>0</v>
      </c>
      <c r="E607" s="70">
        <v>119.57</v>
      </c>
      <c r="F607" s="73" t="s">
        <v>16</v>
      </c>
      <c r="G607" s="73" t="s">
        <v>16</v>
      </c>
      <c r="H607" s="74" t="s">
        <v>16</v>
      </c>
      <c r="I607" s="74"/>
      <c r="J607" s="75" t="s">
        <v>16</v>
      </c>
      <c r="K607" s="76" t="s">
        <v>16</v>
      </c>
      <c r="L607" s="77" t="s">
        <v>16</v>
      </c>
      <c r="M607" s="77" t="s">
        <v>16</v>
      </c>
      <c r="N607" s="51">
        <v>397.55</v>
      </c>
      <c r="O607" s="52"/>
      <c r="P607" s="53"/>
      <c r="Q607" s="54"/>
      <c r="R607" s="1"/>
      <c r="S607" s="1"/>
      <c r="T607" s="1"/>
    </row>
    <row r="608" spans="1:20" ht="13.5" customHeight="1" x14ac:dyDescent="0.25">
      <c r="A608" s="1"/>
      <c r="B608" s="1" t="s">
        <v>688</v>
      </c>
      <c r="C608" s="1" t="s">
        <v>404</v>
      </c>
      <c r="D608" s="42">
        <v>3529</v>
      </c>
      <c r="E608" s="43">
        <v>1682.52</v>
      </c>
      <c r="F608" s="45">
        <v>3529</v>
      </c>
      <c r="G608" s="45">
        <v>3529</v>
      </c>
      <c r="H608" s="46">
        <v>1230.2</v>
      </c>
      <c r="I608" s="47">
        <f t="shared" ref="I608:I611" si="227">H608/J608</f>
        <v>0.34859733635590823</v>
      </c>
      <c r="J608" s="48">
        <v>3529</v>
      </c>
      <c r="K608" s="49">
        <v>3529</v>
      </c>
      <c r="L608" s="50">
        <v>3540</v>
      </c>
      <c r="M608" s="50">
        <v>1377.51</v>
      </c>
      <c r="N608" s="51">
        <v>1747.08</v>
      </c>
      <c r="O608" s="52">
        <v>871.06</v>
      </c>
      <c r="P608" s="53">
        <v>826.73</v>
      </c>
      <c r="Q608" s="54">
        <v>2398.25</v>
      </c>
      <c r="R608" s="1"/>
      <c r="S608" s="1"/>
      <c r="T608" s="1"/>
    </row>
    <row r="609" spans="1:20" ht="13.5" customHeight="1" x14ac:dyDescent="0.25">
      <c r="A609" s="1"/>
      <c r="B609" s="1" t="s">
        <v>689</v>
      </c>
      <c r="C609" s="1" t="s">
        <v>277</v>
      </c>
      <c r="D609" s="42">
        <v>200</v>
      </c>
      <c r="E609" s="70">
        <v>0</v>
      </c>
      <c r="F609" s="45">
        <v>200</v>
      </c>
      <c r="G609" s="45">
        <v>200</v>
      </c>
      <c r="H609" s="68">
        <v>125</v>
      </c>
      <c r="I609" s="47">
        <f t="shared" si="227"/>
        <v>0.625</v>
      </c>
      <c r="J609" s="48">
        <v>200</v>
      </c>
      <c r="K609" s="49">
        <v>200</v>
      </c>
      <c r="L609" s="50">
        <v>125</v>
      </c>
      <c r="M609" s="50">
        <v>125</v>
      </c>
      <c r="N609" s="51">
        <v>125</v>
      </c>
      <c r="O609" s="52">
        <v>125</v>
      </c>
      <c r="P609" s="53">
        <v>175</v>
      </c>
      <c r="Q609" s="54">
        <v>195</v>
      </c>
      <c r="R609" s="1"/>
      <c r="S609" s="1"/>
      <c r="T609" s="1"/>
    </row>
    <row r="610" spans="1:20" ht="13.5" customHeight="1" x14ac:dyDescent="0.25">
      <c r="A610" s="1"/>
      <c r="B610" s="1" t="s">
        <v>690</v>
      </c>
      <c r="C610" s="1" t="s">
        <v>279</v>
      </c>
      <c r="D610" s="42">
        <v>171</v>
      </c>
      <c r="E610" s="43">
        <v>0</v>
      </c>
      <c r="F610" s="45">
        <v>171</v>
      </c>
      <c r="G610" s="45">
        <v>171</v>
      </c>
      <c r="H610" s="66">
        <v>2485</v>
      </c>
      <c r="I610" s="47">
        <f t="shared" si="227"/>
        <v>1</v>
      </c>
      <c r="J610" s="48">
        <v>2485</v>
      </c>
      <c r="K610" s="49">
        <v>171</v>
      </c>
      <c r="L610" s="77">
        <v>0</v>
      </c>
      <c r="M610" s="77">
        <v>0</v>
      </c>
      <c r="N610" s="53">
        <v>0</v>
      </c>
      <c r="O610" s="52">
        <v>2485</v>
      </c>
      <c r="P610" s="53">
        <v>0</v>
      </c>
      <c r="Q610" s="54">
        <v>0</v>
      </c>
      <c r="R610" s="1"/>
      <c r="S610" s="1"/>
      <c r="T610" s="1"/>
    </row>
    <row r="611" spans="1:20" ht="12.75" customHeight="1" x14ac:dyDescent="0.25">
      <c r="A611" s="1"/>
      <c r="B611" s="1" t="s">
        <v>691</v>
      </c>
      <c r="C611" s="1" t="s">
        <v>281</v>
      </c>
      <c r="D611" s="42">
        <v>6180</v>
      </c>
      <c r="E611" s="43">
        <v>2829.38</v>
      </c>
      <c r="F611" s="45">
        <v>6180</v>
      </c>
      <c r="G611" s="45">
        <v>6180</v>
      </c>
      <c r="H611" s="46">
        <v>6226.05</v>
      </c>
      <c r="I611" s="47">
        <f t="shared" si="227"/>
        <v>1.0074514563106796</v>
      </c>
      <c r="J611" s="48">
        <v>6180</v>
      </c>
      <c r="K611" s="49">
        <v>6180</v>
      </c>
      <c r="L611" s="50">
        <v>6255.31</v>
      </c>
      <c r="M611" s="50">
        <v>5804.04</v>
      </c>
      <c r="N611" s="51">
        <v>5698.76</v>
      </c>
      <c r="O611" s="52">
        <v>6241.98</v>
      </c>
      <c r="P611" s="53">
        <v>5120.5</v>
      </c>
      <c r="Q611" s="54">
        <v>6702.54</v>
      </c>
      <c r="R611" s="1"/>
      <c r="S611" s="1"/>
      <c r="T611" s="1"/>
    </row>
    <row r="612" spans="1:20" ht="13.5" customHeight="1" x14ac:dyDescent="0.25">
      <c r="A612" s="1"/>
      <c r="B612" s="1"/>
      <c r="C612" s="1"/>
      <c r="D612" s="56">
        <v>10080</v>
      </c>
      <c r="E612" s="57">
        <f t="shared" ref="E612" si="228">SUM(E607:E611)</f>
        <v>4631.47</v>
      </c>
      <c r="F612" s="58">
        <f>SUM(F606:F611)</f>
        <v>10080</v>
      </c>
      <c r="G612" s="58">
        <v>10080</v>
      </c>
      <c r="H612" s="59">
        <f>SUM(H607:H611)</f>
        <v>10066.25</v>
      </c>
      <c r="I612" s="59"/>
      <c r="J612" s="60">
        <f t="shared" ref="J612:Q612" si="229">SUM(J607:J611)</f>
        <v>12394</v>
      </c>
      <c r="K612" s="61">
        <f t="shared" si="229"/>
        <v>10080</v>
      </c>
      <c r="L612" s="62">
        <f t="shared" si="229"/>
        <v>9920.3100000000013</v>
      </c>
      <c r="M612" s="62">
        <f t="shared" si="229"/>
        <v>7306.55</v>
      </c>
      <c r="N612" s="63">
        <f t="shared" si="229"/>
        <v>7968.39</v>
      </c>
      <c r="O612" s="64">
        <f t="shared" si="229"/>
        <v>9723.0399999999991</v>
      </c>
      <c r="P612" s="63">
        <f t="shared" si="229"/>
        <v>6122.23</v>
      </c>
      <c r="Q612" s="65">
        <f t="shared" si="229"/>
        <v>9295.7900000000009</v>
      </c>
      <c r="R612" s="1"/>
      <c r="S612" s="1"/>
      <c r="T612" s="1"/>
    </row>
    <row r="613" spans="1:20" ht="13.5" customHeight="1" x14ac:dyDescent="0.25">
      <c r="A613" s="1"/>
      <c r="B613" s="1"/>
      <c r="C613" s="1"/>
      <c r="D613" s="42"/>
      <c r="E613" s="44"/>
      <c r="F613" s="45"/>
      <c r="G613" s="45"/>
      <c r="H613" s="66"/>
      <c r="I613" s="66"/>
      <c r="J613" s="48"/>
      <c r="K613" s="49"/>
      <c r="L613" s="50"/>
      <c r="M613" s="50"/>
      <c r="N613" s="51"/>
      <c r="O613" s="52"/>
      <c r="P613" s="53"/>
      <c r="Q613" s="54"/>
      <c r="R613" s="1"/>
      <c r="S613" s="1"/>
      <c r="T613" s="1"/>
    </row>
    <row r="614" spans="1:20" ht="13.5" hidden="1" customHeight="1" x14ac:dyDescent="0.25">
      <c r="A614" s="1"/>
      <c r="B614" s="1" t="s">
        <v>692</v>
      </c>
      <c r="C614" s="1" t="s">
        <v>693</v>
      </c>
      <c r="D614" s="42">
        <v>0</v>
      </c>
      <c r="E614" s="70">
        <v>0</v>
      </c>
      <c r="F614" s="45">
        <v>900</v>
      </c>
      <c r="G614" s="71">
        <v>0</v>
      </c>
      <c r="H614" s="74">
        <v>0</v>
      </c>
      <c r="I614" s="47">
        <f>H614/J614</f>
        <v>0</v>
      </c>
      <c r="J614" s="48">
        <v>900</v>
      </c>
      <c r="K614" s="49">
        <v>900</v>
      </c>
      <c r="L614" s="77">
        <v>0</v>
      </c>
      <c r="M614" s="77">
        <v>0</v>
      </c>
      <c r="N614" s="53">
        <v>0</v>
      </c>
      <c r="O614" s="52">
        <v>0</v>
      </c>
      <c r="P614" s="53">
        <v>658.32</v>
      </c>
      <c r="Q614" s="54">
        <v>0</v>
      </c>
      <c r="R614" s="1"/>
      <c r="S614" s="1"/>
      <c r="T614" s="1"/>
    </row>
    <row r="615" spans="1:20" ht="13.5" hidden="1" customHeight="1" x14ac:dyDescent="0.25">
      <c r="A615" s="1"/>
      <c r="B615" s="1"/>
      <c r="C615" s="1"/>
      <c r="D615" s="56">
        <v>0</v>
      </c>
      <c r="E615" s="57">
        <f t="shared" ref="E615" si="230">SUM(E614)</f>
        <v>0</v>
      </c>
      <c r="F615" s="58">
        <f>SUM(F613:F614)</f>
        <v>900</v>
      </c>
      <c r="G615" s="58">
        <v>900</v>
      </c>
      <c r="H615" s="59">
        <f>SUM(H614)</f>
        <v>0</v>
      </c>
      <c r="I615" s="59"/>
      <c r="J615" s="60">
        <f t="shared" ref="J615:Q615" si="231">SUM(J614)</f>
        <v>900</v>
      </c>
      <c r="K615" s="61">
        <f t="shared" si="231"/>
        <v>900</v>
      </c>
      <c r="L615" s="62">
        <f t="shared" si="231"/>
        <v>0</v>
      </c>
      <c r="M615" s="62">
        <f t="shared" si="231"/>
        <v>0</v>
      </c>
      <c r="N615" s="63">
        <f t="shared" si="231"/>
        <v>0</v>
      </c>
      <c r="O615" s="64">
        <f t="shared" si="231"/>
        <v>0</v>
      </c>
      <c r="P615" s="63">
        <f t="shared" si="231"/>
        <v>658.32</v>
      </c>
      <c r="Q615" s="65">
        <f t="shared" si="231"/>
        <v>0</v>
      </c>
      <c r="R615" s="1"/>
      <c r="S615" s="1"/>
      <c r="T615" s="1"/>
    </row>
    <row r="616" spans="1:20" ht="13.5" customHeight="1" thickBot="1" x14ac:dyDescent="0.3">
      <c r="A616" s="1"/>
      <c r="B616" s="1"/>
      <c r="C616" s="116" t="s">
        <v>694</v>
      </c>
      <c r="D616" s="267">
        <v>728811.67890000006</v>
      </c>
      <c r="E616" s="173">
        <f t="shared" ref="E616" si="232">SUM(E593+E600+E605+E612+E615)</f>
        <v>334453.01999999996</v>
      </c>
      <c r="F616" s="174">
        <f>SUM(F593,F600,F605,F612,F615)</f>
        <v>724790.15</v>
      </c>
      <c r="G616" s="174">
        <v>724990.15</v>
      </c>
      <c r="H616" s="175">
        <f>SUM(H593+H600+H605+H612+H615)</f>
        <v>683625.32000000007</v>
      </c>
      <c r="I616" s="175"/>
      <c r="J616" s="176">
        <f t="shared" ref="J616:Q616" si="233">SUM(J593+J600+J605+J612+J615)</f>
        <v>706921</v>
      </c>
      <c r="K616" s="177">
        <f t="shared" si="233"/>
        <v>704607</v>
      </c>
      <c r="L616" s="178">
        <f t="shared" si="233"/>
        <v>619432.81000000006</v>
      </c>
      <c r="M616" s="178">
        <f t="shared" si="233"/>
        <v>615040.22000000009</v>
      </c>
      <c r="N616" s="179">
        <f t="shared" si="233"/>
        <v>612083.48</v>
      </c>
      <c r="O616" s="180">
        <f t="shared" si="233"/>
        <v>579171.21000000008</v>
      </c>
      <c r="P616" s="179">
        <f t="shared" si="233"/>
        <v>582891.22000000009</v>
      </c>
      <c r="Q616" s="181">
        <f t="shared" si="233"/>
        <v>570318.65</v>
      </c>
      <c r="R616" s="1"/>
      <c r="S616" s="1"/>
      <c r="T616" s="1"/>
    </row>
    <row r="617" spans="1:20" ht="13.5" customHeight="1" thickTop="1" x14ac:dyDescent="0.25">
      <c r="A617" s="1"/>
      <c r="B617" s="1"/>
      <c r="C617" s="1"/>
      <c r="D617" s="42"/>
      <c r="E617" s="44"/>
      <c r="F617" s="45"/>
      <c r="G617" s="45"/>
      <c r="H617" s="66"/>
      <c r="I617" s="66"/>
      <c r="J617" s="48"/>
      <c r="K617" s="49"/>
      <c r="L617" s="50"/>
      <c r="M617" s="50"/>
      <c r="N617" s="51"/>
      <c r="O617" s="151"/>
      <c r="P617" s="51"/>
      <c r="Q617" s="152"/>
      <c r="R617" s="1"/>
      <c r="S617" s="1"/>
      <c r="T617" s="1"/>
    </row>
    <row r="618" spans="1:20" ht="13.5" customHeight="1" x14ac:dyDescent="0.25">
      <c r="A618" s="1"/>
      <c r="B618" s="1"/>
      <c r="C618" s="41" t="s">
        <v>695</v>
      </c>
      <c r="D618" s="42"/>
      <c r="E618" s="67"/>
      <c r="F618" s="45"/>
      <c r="G618" s="45"/>
      <c r="H618" s="74"/>
      <c r="I618" s="66"/>
      <c r="J618" s="48"/>
      <c r="K618" s="49"/>
      <c r="L618" s="77"/>
      <c r="M618" s="77"/>
      <c r="N618" s="53"/>
      <c r="O618" s="52"/>
      <c r="P618" s="53"/>
      <c r="Q618" s="54"/>
      <c r="R618" s="1"/>
      <c r="S618" s="1"/>
      <c r="T618" s="1"/>
    </row>
    <row r="619" spans="1:20" ht="13.5" customHeight="1" x14ac:dyDescent="0.25">
      <c r="A619" s="1"/>
      <c r="B619" s="1" t="s">
        <v>696</v>
      </c>
      <c r="C619" s="1" t="s">
        <v>408</v>
      </c>
      <c r="D619" s="42">
        <v>3700</v>
      </c>
      <c r="E619" s="70">
        <v>0</v>
      </c>
      <c r="F619" s="45">
        <v>3700</v>
      </c>
      <c r="G619" s="45">
        <v>3700</v>
      </c>
      <c r="H619" s="74">
        <v>0</v>
      </c>
      <c r="I619" s="47">
        <f t="shared" ref="I619:I620" si="234">H619/J619</f>
        <v>0</v>
      </c>
      <c r="J619" s="48">
        <v>3700</v>
      </c>
      <c r="K619" s="49">
        <v>3700</v>
      </c>
      <c r="L619" s="77">
        <v>0</v>
      </c>
      <c r="M619" s="77">
        <v>0</v>
      </c>
      <c r="N619" s="53" t="s">
        <v>16</v>
      </c>
      <c r="O619" s="52"/>
      <c r="P619" s="53"/>
      <c r="Q619" s="54"/>
      <c r="R619" s="1"/>
      <c r="S619" s="1"/>
      <c r="T619" s="1"/>
    </row>
    <row r="620" spans="1:20" ht="13.5" customHeight="1" x14ac:dyDescent="0.25">
      <c r="A620" s="1"/>
      <c r="B620" s="1" t="s">
        <v>697</v>
      </c>
      <c r="C620" s="1" t="s">
        <v>335</v>
      </c>
      <c r="D620" s="42">
        <v>6800</v>
      </c>
      <c r="E620" s="70">
        <v>0</v>
      </c>
      <c r="F620" s="45">
        <v>6800</v>
      </c>
      <c r="G620" s="45">
        <v>6800</v>
      </c>
      <c r="H620" s="74">
        <v>0</v>
      </c>
      <c r="I620" s="47">
        <f t="shared" si="234"/>
        <v>0</v>
      </c>
      <c r="J620" s="48">
        <v>6800</v>
      </c>
      <c r="K620" s="49">
        <v>6800</v>
      </c>
      <c r="L620" s="77">
        <v>0</v>
      </c>
      <c r="M620" s="77">
        <v>0</v>
      </c>
      <c r="N620" s="53" t="s">
        <v>16</v>
      </c>
      <c r="O620" s="52"/>
      <c r="P620" s="53"/>
      <c r="Q620" s="54"/>
      <c r="R620" s="1"/>
      <c r="S620" s="1"/>
      <c r="T620" s="1"/>
    </row>
    <row r="621" spans="1:20" ht="13.5" customHeight="1" thickBot="1" x14ac:dyDescent="0.3">
      <c r="A621" s="1"/>
      <c r="B621" s="1"/>
      <c r="C621" s="116" t="s">
        <v>698</v>
      </c>
      <c r="D621" s="267">
        <v>10500</v>
      </c>
      <c r="E621" s="173">
        <f t="shared" ref="E621" si="235">SUM(E619:E620)</f>
        <v>0</v>
      </c>
      <c r="F621" s="174">
        <f>SUM(F618:F620)</f>
        <v>10500</v>
      </c>
      <c r="G621" s="174">
        <v>10500</v>
      </c>
      <c r="H621" s="175">
        <f>SUM(H619:H620)</f>
        <v>0</v>
      </c>
      <c r="I621" s="175"/>
      <c r="J621" s="176">
        <f t="shared" ref="J621:Q621" si="236">SUM(J619:J620)</f>
        <v>10500</v>
      </c>
      <c r="K621" s="177">
        <f t="shared" si="236"/>
        <v>10500</v>
      </c>
      <c r="L621" s="178">
        <f t="shared" si="236"/>
        <v>0</v>
      </c>
      <c r="M621" s="178">
        <f t="shared" si="236"/>
        <v>0</v>
      </c>
      <c r="N621" s="179">
        <f t="shared" si="236"/>
        <v>0</v>
      </c>
      <c r="O621" s="180">
        <f t="shared" si="236"/>
        <v>0</v>
      </c>
      <c r="P621" s="179">
        <f t="shared" si="236"/>
        <v>0</v>
      </c>
      <c r="Q621" s="181">
        <f t="shared" si="236"/>
        <v>0</v>
      </c>
      <c r="R621" s="1"/>
      <c r="S621" s="1"/>
      <c r="T621" s="1"/>
    </row>
    <row r="622" spans="1:20" ht="13.5" customHeight="1" thickTop="1" x14ac:dyDescent="0.25">
      <c r="A622" s="1"/>
      <c r="B622" s="1"/>
      <c r="C622" s="1"/>
      <c r="D622" s="42"/>
      <c r="E622" s="67"/>
      <c r="F622" s="45"/>
      <c r="G622" s="45"/>
      <c r="H622" s="74"/>
      <c r="I622" s="66"/>
      <c r="J622" s="48"/>
      <c r="K622" s="49"/>
      <c r="L622" s="77"/>
      <c r="M622" s="77"/>
      <c r="N622" s="53"/>
      <c r="O622" s="52"/>
      <c r="P622" s="53"/>
      <c r="Q622" s="54"/>
      <c r="R622" s="1"/>
      <c r="S622" s="1"/>
      <c r="T622" s="1"/>
    </row>
    <row r="623" spans="1:20" ht="13.5" customHeight="1" x14ac:dyDescent="0.25">
      <c r="A623" s="1"/>
      <c r="B623" s="1"/>
      <c r="C623" s="41" t="s">
        <v>699</v>
      </c>
      <c r="D623" s="42"/>
      <c r="E623" s="67"/>
      <c r="F623" s="45"/>
      <c r="G623" s="45"/>
      <c r="H623" s="74"/>
      <c r="I623" s="66"/>
      <c r="J623" s="48"/>
      <c r="K623" s="49"/>
      <c r="L623" s="77"/>
      <c r="M623" s="77"/>
      <c r="N623" s="53"/>
      <c r="O623" s="52"/>
      <c r="P623" s="53"/>
      <c r="Q623" s="54"/>
      <c r="R623" s="1"/>
      <c r="S623" s="1"/>
      <c r="T623" s="1"/>
    </row>
    <row r="624" spans="1:20" ht="13.5" customHeight="1" x14ac:dyDescent="0.25">
      <c r="A624" s="1"/>
      <c r="B624" s="1" t="s">
        <v>700</v>
      </c>
      <c r="C624" s="1" t="s">
        <v>418</v>
      </c>
      <c r="D624" s="42">
        <v>59516</v>
      </c>
      <c r="E624" s="43">
        <v>27151.27</v>
      </c>
      <c r="F624" s="45">
        <v>57393</v>
      </c>
      <c r="G624" s="45">
        <v>57393</v>
      </c>
      <c r="H624" s="46">
        <v>54724.35</v>
      </c>
      <c r="I624" s="47">
        <f t="shared" ref="I624:I625" si="237">H624/J624</f>
        <v>1.0036009022887324</v>
      </c>
      <c r="J624" s="48">
        <v>54528</v>
      </c>
      <c r="K624" s="49">
        <v>54528</v>
      </c>
      <c r="L624" s="50">
        <v>53522.83</v>
      </c>
      <c r="M624" s="50">
        <v>52375.95</v>
      </c>
      <c r="N624" s="51">
        <v>51550.28</v>
      </c>
      <c r="O624" s="52">
        <v>49546.6</v>
      </c>
      <c r="P624" s="53">
        <v>49464.32</v>
      </c>
      <c r="Q624" s="54">
        <v>47664.28</v>
      </c>
      <c r="R624" s="1"/>
      <c r="S624" s="1"/>
      <c r="T624" s="1"/>
    </row>
    <row r="625" spans="1:20" ht="13.5" customHeight="1" x14ac:dyDescent="0.25">
      <c r="A625" s="1"/>
      <c r="B625" s="1" t="s">
        <v>701</v>
      </c>
      <c r="C625" s="1" t="s">
        <v>420</v>
      </c>
      <c r="D625" s="42">
        <v>66256</v>
      </c>
      <c r="E625" s="43">
        <v>31344.69</v>
      </c>
      <c r="F625" s="45">
        <v>66256</v>
      </c>
      <c r="G625" s="45">
        <v>66256</v>
      </c>
      <c r="H625" s="46">
        <v>63147.03</v>
      </c>
      <c r="I625" s="47">
        <f t="shared" si="237"/>
        <v>1.0036082326764144</v>
      </c>
      <c r="J625" s="48">
        <v>62920</v>
      </c>
      <c r="K625" s="49">
        <v>62920</v>
      </c>
      <c r="L625" s="50">
        <v>61358.7</v>
      </c>
      <c r="M625" s="50">
        <v>30218.23</v>
      </c>
      <c r="N625" s="51">
        <v>29741.9</v>
      </c>
      <c r="O625" s="52">
        <v>24756.31</v>
      </c>
      <c r="P625" s="53">
        <v>25272.26</v>
      </c>
      <c r="Q625" s="54">
        <v>24860.55</v>
      </c>
      <c r="R625" s="1"/>
      <c r="S625" s="1"/>
      <c r="T625" s="1"/>
    </row>
    <row r="626" spans="1:20" ht="13.5" customHeight="1" x14ac:dyDescent="0.25">
      <c r="A626" s="1"/>
      <c r="B626" s="1" t="s">
        <v>702</v>
      </c>
      <c r="C626" s="1" t="s">
        <v>237</v>
      </c>
      <c r="D626" s="42">
        <v>0</v>
      </c>
      <c r="E626" s="70">
        <v>0</v>
      </c>
      <c r="F626" s="73">
        <v>0</v>
      </c>
      <c r="G626" s="73">
        <v>0</v>
      </c>
      <c r="H626" s="74">
        <v>0</v>
      </c>
      <c r="I626" s="47"/>
      <c r="J626" s="75">
        <v>0</v>
      </c>
      <c r="K626" s="76">
        <v>0</v>
      </c>
      <c r="L626" s="77">
        <v>0</v>
      </c>
      <c r="M626" s="50">
        <v>11520</v>
      </c>
      <c r="N626" s="51">
        <v>3177</v>
      </c>
      <c r="O626" s="52">
        <v>419.61</v>
      </c>
      <c r="P626" s="53">
        <v>0</v>
      </c>
      <c r="Q626" s="54">
        <v>65.36</v>
      </c>
      <c r="R626" s="1"/>
      <c r="S626" s="1"/>
      <c r="T626" s="1"/>
    </row>
    <row r="627" spans="1:20" ht="13.5" customHeight="1" x14ac:dyDescent="0.25">
      <c r="A627" s="1"/>
      <c r="B627" s="1" t="s">
        <v>703</v>
      </c>
      <c r="C627" s="1" t="s">
        <v>423</v>
      </c>
      <c r="D627" s="42">
        <v>0</v>
      </c>
      <c r="E627" s="43">
        <v>0</v>
      </c>
      <c r="F627" s="45">
        <v>0</v>
      </c>
      <c r="G627" s="45">
        <v>0</v>
      </c>
      <c r="H627" s="46">
        <v>1554.91</v>
      </c>
      <c r="I627" s="47">
        <f>H627/J627</f>
        <v>0.97425438596491232</v>
      </c>
      <c r="J627" s="48">
        <v>1596</v>
      </c>
      <c r="K627" s="49">
        <v>1596</v>
      </c>
      <c r="L627" s="50">
        <v>1420.11</v>
      </c>
      <c r="M627" s="50">
        <v>2325.39</v>
      </c>
      <c r="N627" s="51">
        <v>853.02</v>
      </c>
      <c r="O627" s="52">
        <v>0</v>
      </c>
      <c r="P627" s="53">
        <v>0</v>
      </c>
      <c r="Q627" s="54">
        <v>0</v>
      </c>
      <c r="R627" s="1"/>
      <c r="S627" s="1"/>
      <c r="T627" s="1"/>
    </row>
    <row r="628" spans="1:20" ht="13.5" hidden="1" customHeight="1" x14ac:dyDescent="0.25">
      <c r="A628" s="1"/>
      <c r="B628" s="1" t="s">
        <v>704</v>
      </c>
      <c r="C628" s="1" t="s">
        <v>705</v>
      </c>
      <c r="D628" s="42">
        <v>0</v>
      </c>
      <c r="E628" s="70">
        <v>0</v>
      </c>
      <c r="F628" s="73">
        <v>0</v>
      </c>
      <c r="G628" s="73">
        <v>0</v>
      </c>
      <c r="H628" s="74">
        <v>0</v>
      </c>
      <c r="I628" s="74"/>
      <c r="J628" s="75">
        <v>0</v>
      </c>
      <c r="K628" s="76">
        <v>0</v>
      </c>
      <c r="L628" s="77">
        <v>0</v>
      </c>
      <c r="M628" s="50">
        <v>2508.36</v>
      </c>
      <c r="N628" s="51">
        <v>18888</v>
      </c>
      <c r="O628" s="52">
        <v>1422.14</v>
      </c>
      <c r="P628" s="53">
        <v>0</v>
      </c>
      <c r="Q628" s="54">
        <v>183.6</v>
      </c>
      <c r="R628" s="1"/>
      <c r="S628" s="1"/>
      <c r="T628" s="1"/>
    </row>
    <row r="629" spans="1:20" ht="13.5" customHeight="1" x14ac:dyDescent="0.25">
      <c r="A629" s="1"/>
      <c r="B629" s="1"/>
      <c r="C629" s="1"/>
      <c r="D629" s="88">
        <v>125772</v>
      </c>
      <c r="E629" s="89">
        <f t="shared" ref="E629" si="238">SUM(E624:E628)</f>
        <v>58495.96</v>
      </c>
      <c r="F629" s="90">
        <f>SUM(F623:F628)</f>
        <v>123649</v>
      </c>
      <c r="G629" s="90">
        <v>123649</v>
      </c>
      <c r="H629" s="91">
        <f>SUM(H624:H628)</f>
        <v>119426.29000000001</v>
      </c>
      <c r="I629" s="91"/>
      <c r="J629" s="92">
        <f t="shared" ref="J629:Q629" si="239">SUM(J624:J628)</f>
        <v>119044</v>
      </c>
      <c r="K629" s="93">
        <f t="shared" si="239"/>
        <v>119044</v>
      </c>
      <c r="L629" s="94">
        <f t="shared" si="239"/>
        <v>116301.64</v>
      </c>
      <c r="M629" s="94">
        <f t="shared" si="239"/>
        <v>98947.93</v>
      </c>
      <c r="N629" s="95">
        <f t="shared" si="239"/>
        <v>104210.2</v>
      </c>
      <c r="O629" s="96">
        <f t="shared" si="239"/>
        <v>76144.66</v>
      </c>
      <c r="P629" s="95">
        <f t="shared" si="239"/>
        <v>74736.58</v>
      </c>
      <c r="Q629" s="97">
        <f t="shared" si="239"/>
        <v>72773.790000000008</v>
      </c>
      <c r="R629" s="1"/>
      <c r="S629" s="1"/>
      <c r="T629" s="1"/>
    </row>
    <row r="630" spans="1:20" ht="13.5" customHeight="1" x14ac:dyDescent="0.25">
      <c r="A630" s="1"/>
      <c r="B630" s="1"/>
      <c r="C630" s="1"/>
      <c r="D630" s="72"/>
      <c r="E630" s="67"/>
      <c r="F630" s="73"/>
      <c r="G630" s="73"/>
      <c r="H630" s="74"/>
      <c r="I630" s="74"/>
      <c r="J630" s="75"/>
      <c r="K630" s="76"/>
      <c r="L630" s="77"/>
      <c r="M630" s="50"/>
      <c r="N630" s="51"/>
      <c r="O630" s="52"/>
      <c r="P630" s="53"/>
      <c r="Q630" s="54"/>
      <c r="R630" s="1"/>
      <c r="S630" s="1"/>
      <c r="T630" s="1"/>
    </row>
    <row r="631" spans="1:20" ht="13.5" customHeight="1" x14ac:dyDescent="0.25">
      <c r="A631" s="1"/>
      <c r="B631" s="1" t="s">
        <v>706</v>
      </c>
      <c r="C631" s="1" t="s">
        <v>247</v>
      </c>
      <c r="D631" s="42">
        <v>9667.4580000000005</v>
      </c>
      <c r="E631" s="43">
        <v>4282.62</v>
      </c>
      <c r="F631" s="45">
        <v>9505.0485000000008</v>
      </c>
      <c r="G631" s="45">
        <v>9505.0485000000008</v>
      </c>
      <c r="H631" s="46">
        <v>8727.2800000000007</v>
      </c>
      <c r="I631" s="47">
        <f t="shared" ref="I631:I636" si="240">H631/J631</f>
        <v>0.95348847372446199</v>
      </c>
      <c r="J631" s="48">
        <v>9153</v>
      </c>
      <c r="K631" s="49">
        <v>9153</v>
      </c>
      <c r="L631" s="50">
        <v>8573.5400000000009</v>
      </c>
      <c r="M631" s="50">
        <v>7296.15</v>
      </c>
      <c r="N631" s="51">
        <v>6388.85</v>
      </c>
      <c r="O631" s="52">
        <v>5718.29</v>
      </c>
      <c r="P631" s="53">
        <v>5712.38</v>
      </c>
      <c r="Q631" s="54">
        <v>5518.89</v>
      </c>
      <c r="R631" s="1"/>
      <c r="S631" s="1"/>
      <c r="T631" s="1"/>
    </row>
    <row r="632" spans="1:20" ht="13.5" customHeight="1" x14ac:dyDescent="0.25">
      <c r="A632" s="1"/>
      <c r="B632" s="1" t="s">
        <v>707</v>
      </c>
      <c r="C632" s="1" t="s">
        <v>249</v>
      </c>
      <c r="D632" s="42">
        <v>31390.304400000001</v>
      </c>
      <c r="E632" s="43">
        <v>15534.54</v>
      </c>
      <c r="F632" s="45">
        <v>31389.820800000001</v>
      </c>
      <c r="G632" s="45">
        <v>31389.820800000001</v>
      </c>
      <c r="H632" s="46">
        <v>30528.18</v>
      </c>
      <c r="I632" s="47">
        <f t="shared" si="240"/>
        <v>0.9933031821435544</v>
      </c>
      <c r="J632" s="48">
        <v>30734</v>
      </c>
      <c r="K632" s="49">
        <v>30734</v>
      </c>
      <c r="L632" s="50">
        <v>23664.92</v>
      </c>
      <c r="M632" s="50">
        <v>20278</v>
      </c>
      <c r="N632" s="51">
        <v>20331.2</v>
      </c>
      <c r="O632" s="52">
        <v>19405.419999999998</v>
      </c>
      <c r="P632" s="53">
        <v>19955.599999999999</v>
      </c>
      <c r="Q632" s="54">
        <v>17641.919999999998</v>
      </c>
      <c r="R632" s="1"/>
      <c r="S632" s="1"/>
      <c r="T632" s="1"/>
    </row>
    <row r="633" spans="1:20" ht="13.5" customHeight="1" x14ac:dyDescent="0.25">
      <c r="A633" s="1"/>
      <c r="B633" s="1" t="s">
        <v>708</v>
      </c>
      <c r="C633" s="1" t="s">
        <v>251</v>
      </c>
      <c r="D633" s="42">
        <v>18981.074400000001</v>
      </c>
      <c r="E633" s="43">
        <v>8828.5</v>
      </c>
      <c r="F633" s="45">
        <v>18662.199799999999</v>
      </c>
      <c r="G633" s="45">
        <v>18662.199799999999</v>
      </c>
      <c r="H633" s="46">
        <v>17444.77</v>
      </c>
      <c r="I633" s="47">
        <f t="shared" si="240"/>
        <v>1.0041311230069649</v>
      </c>
      <c r="J633" s="48">
        <v>17373</v>
      </c>
      <c r="K633" s="49">
        <v>17373</v>
      </c>
      <c r="L633" s="50">
        <v>16859.330000000002</v>
      </c>
      <c r="M633" s="50">
        <v>13758.44</v>
      </c>
      <c r="N633" s="51">
        <v>11549.04</v>
      </c>
      <c r="O633" s="52">
        <v>10417.379999999999</v>
      </c>
      <c r="P633" s="53">
        <v>10145.790000000001</v>
      </c>
      <c r="Q633" s="54">
        <v>9298.39</v>
      </c>
      <c r="R633" s="1"/>
      <c r="S633" s="1"/>
      <c r="T633" s="1"/>
    </row>
    <row r="634" spans="1:20" ht="13.5" customHeight="1" x14ac:dyDescent="0.25">
      <c r="A634" s="1"/>
      <c r="B634" s="1" t="s">
        <v>709</v>
      </c>
      <c r="C634" s="1" t="s">
        <v>253</v>
      </c>
      <c r="D634" s="42">
        <v>202.1952</v>
      </c>
      <c r="E634" s="43">
        <v>94.06</v>
      </c>
      <c r="F634" s="45">
        <v>198.79839999999999</v>
      </c>
      <c r="G634" s="45">
        <v>198.79839999999999</v>
      </c>
      <c r="H634" s="46">
        <v>192.09</v>
      </c>
      <c r="I634" s="47">
        <f t="shared" si="240"/>
        <v>1.00046875</v>
      </c>
      <c r="J634" s="48">
        <v>192</v>
      </c>
      <c r="K634" s="49">
        <v>192</v>
      </c>
      <c r="L634" s="50">
        <v>212.48</v>
      </c>
      <c r="M634" s="50">
        <v>186.74</v>
      </c>
      <c r="N634" s="51">
        <v>200.69</v>
      </c>
      <c r="O634" s="52">
        <v>204.55</v>
      </c>
      <c r="P634" s="53">
        <v>185.03</v>
      </c>
      <c r="Q634" s="54">
        <v>173.86</v>
      </c>
      <c r="R634" s="1"/>
      <c r="S634" s="1"/>
      <c r="T634" s="1"/>
    </row>
    <row r="635" spans="1:20" ht="13.5" customHeight="1" x14ac:dyDescent="0.25">
      <c r="A635" s="1"/>
      <c r="B635" s="1" t="s">
        <v>710</v>
      </c>
      <c r="C635" s="1" t="s">
        <v>255</v>
      </c>
      <c r="D635" s="42">
        <v>1053.3600000000001</v>
      </c>
      <c r="E635" s="43">
        <v>501.84</v>
      </c>
      <c r="F635" s="45">
        <v>1005</v>
      </c>
      <c r="G635" s="45">
        <v>1005</v>
      </c>
      <c r="H635" s="46">
        <v>971.88</v>
      </c>
      <c r="I635" s="47">
        <f t="shared" si="240"/>
        <v>1.0060869565217392</v>
      </c>
      <c r="J635" s="48">
        <v>966</v>
      </c>
      <c r="K635" s="49">
        <v>966</v>
      </c>
      <c r="L635" s="50">
        <v>732.04</v>
      </c>
      <c r="M635" s="50">
        <v>604.24</v>
      </c>
      <c r="N635" s="51">
        <v>659.08</v>
      </c>
      <c r="O635" s="52">
        <v>642.85</v>
      </c>
      <c r="P635" s="53">
        <v>670.8</v>
      </c>
      <c r="Q635" s="54">
        <v>587.72</v>
      </c>
      <c r="R635" s="1"/>
      <c r="S635" s="1"/>
      <c r="T635" s="1"/>
    </row>
    <row r="636" spans="1:20" ht="13.5" customHeight="1" x14ac:dyDescent="0.25">
      <c r="A636" s="1"/>
      <c r="B636" s="1" t="s">
        <v>711</v>
      </c>
      <c r="C636" s="1" t="s">
        <v>257</v>
      </c>
      <c r="D636" s="42">
        <v>0</v>
      </c>
      <c r="E636" s="43">
        <v>300</v>
      </c>
      <c r="F636" s="45">
        <v>600</v>
      </c>
      <c r="G636" s="45">
        <v>600</v>
      </c>
      <c r="H636" s="46">
        <v>600</v>
      </c>
      <c r="I636" s="47">
        <f t="shared" si="240"/>
        <v>1</v>
      </c>
      <c r="J636" s="48">
        <v>600</v>
      </c>
      <c r="K636" s="49">
        <v>600</v>
      </c>
      <c r="L636" s="50">
        <v>600</v>
      </c>
      <c r="M636" s="50">
        <v>600</v>
      </c>
      <c r="N636" s="51">
        <v>600</v>
      </c>
      <c r="O636" s="52">
        <v>575</v>
      </c>
      <c r="P636" s="53">
        <v>625</v>
      </c>
      <c r="Q636" s="54">
        <v>0</v>
      </c>
      <c r="R636" s="1"/>
      <c r="S636" s="1"/>
      <c r="T636" s="1"/>
    </row>
    <row r="637" spans="1:20" ht="13.5" customHeight="1" x14ac:dyDescent="0.25">
      <c r="A637" s="1"/>
      <c r="B637" s="1"/>
      <c r="C637" s="1"/>
      <c r="D637" s="56">
        <v>61294.392000000007</v>
      </c>
      <c r="E637" s="57">
        <f t="shared" ref="E637" si="241">SUM(E631:E636)</f>
        <v>29541.56</v>
      </c>
      <c r="F637" s="58">
        <f>SUM(F630:F636)</f>
        <v>61360.867500000008</v>
      </c>
      <c r="G637" s="58">
        <v>61360.867500000008</v>
      </c>
      <c r="H637" s="59">
        <f>SUM(H631:H636)</f>
        <v>58464.19999999999</v>
      </c>
      <c r="I637" s="59"/>
      <c r="J637" s="60">
        <f t="shared" ref="J637:Q637" si="242">SUM(J631:J636)</f>
        <v>59018</v>
      </c>
      <c r="K637" s="61">
        <f t="shared" si="242"/>
        <v>59018</v>
      </c>
      <c r="L637" s="62">
        <f t="shared" si="242"/>
        <v>50642.310000000005</v>
      </c>
      <c r="M637" s="62">
        <f t="shared" si="242"/>
        <v>42723.57</v>
      </c>
      <c r="N637" s="63">
        <f t="shared" si="242"/>
        <v>39728.860000000008</v>
      </c>
      <c r="O637" s="64">
        <f t="shared" si="242"/>
        <v>36963.49</v>
      </c>
      <c r="P637" s="63">
        <f t="shared" si="242"/>
        <v>37294.600000000006</v>
      </c>
      <c r="Q637" s="65">
        <f t="shared" si="242"/>
        <v>33220.78</v>
      </c>
      <c r="R637" s="1"/>
      <c r="S637" s="1"/>
      <c r="T637" s="1"/>
    </row>
    <row r="638" spans="1:20" ht="13.5" customHeight="1" x14ac:dyDescent="0.25">
      <c r="A638" s="1"/>
      <c r="B638" s="1"/>
      <c r="C638" s="1"/>
      <c r="D638" s="42"/>
      <c r="E638" s="44"/>
      <c r="F638" s="45"/>
      <c r="G638" s="45"/>
      <c r="H638" s="66"/>
      <c r="I638" s="66"/>
      <c r="J638" s="48"/>
      <c r="K638" s="49"/>
      <c r="L638" s="50"/>
      <c r="M638" s="50"/>
      <c r="N638" s="51"/>
      <c r="O638" s="52"/>
      <c r="P638" s="53"/>
      <c r="Q638" s="54"/>
      <c r="R638" s="1"/>
      <c r="S638" s="1"/>
      <c r="T638" s="1"/>
    </row>
    <row r="639" spans="1:20" ht="13.5" customHeight="1" x14ac:dyDescent="0.25">
      <c r="A639" s="1"/>
      <c r="B639" s="1" t="s">
        <v>712</v>
      </c>
      <c r="C639" s="1" t="s">
        <v>259</v>
      </c>
      <c r="D639" s="42">
        <v>1800</v>
      </c>
      <c r="E639" s="43">
        <v>236.52</v>
      </c>
      <c r="F639" s="45">
        <v>1800</v>
      </c>
      <c r="G639" s="45">
        <v>1800</v>
      </c>
      <c r="H639" s="46">
        <v>2240.33</v>
      </c>
      <c r="I639" s="47">
        <f t="shared" ref="I639:I641" si="243">H639/J639</f>
        <v>1.2446277777777777</v>
      </c>
      <c r="J639" s="48">
        <v>1800</v>
      </c>
      <c r="K639" s="49">
        <v>1800</v>
      </c>
      <c r="L639" s="50">
        <v>1196.75</v>
      </c>
      <c r="M639" s="50">
        <v>691.43</v>
      </c>
      <c r="N639" s="51">
        <v>1325.94</v>
      </c>
      <c r="O639" s="52">
        <v>1563.83</v>
      </c>
      <c r="P639" s="53">
        <v>1045.74</v>
      </c>
      <c r="Q639" s="54">
        <v>1130.1300000000001</v>
      </c>
      <c r="R639" s="1"/>
      <c r="S639" s="1"/>
      <c r="T639" s="1"/>
    </row>
    <row r="640" spans="1:20" ht="13.5" customHeight="1" x14ac:dyDescent="0.25">
      <c r="A640" s="1"/>
      <c r="B640" s="1" t="s">
        <v>713</v>
      </c>
      <c r="C640" s="1" t="s">
        <v>261</v>
      </c>
      <c r="D640" s="42">
        <v>1600</v>
      </c>
      <c r="E640" s="43">
        <v>300.14999999999998</v>
      </c>
      <c r="F640" s="45">
        <v>1600</v>
      </c>
      <c r="G640" s="45">
        <v>1600</v>
      </c>
      <c r="H640" s="46">
        <v>1184.2</v>
      </c>
      <c r="I640" s="47">
        <f t="shared" si="243"/>
        <v>0.50391489361702124</v>
      </c>
      <c r="J640" s="48">
        <v>2350</v>
      </c>
      <c r="K640" s="49">
        <v>2500</v>
      </c>
      <c r="L640" s="50">
        <v>1624.85</v>
      </c>
      <c r="M640" s="50">
        <v>827.36</v>
      </c>
      <c r="N640" s="51">
        <v>420.56</v>
      </c>
      <c r="O640" s="52">
        <v>904.45</v>
      </c>
      <c r="P640" s="53">
        <v>1253.5899999999999</v>
      </c>
      <c r="Q640" s="54">
        <v>1325.03</v>
      </c>
      <c r="R640" s="1"/>
      <c r="S640" s="1"/>
      <c r="T640" s="1"/>
    </row>
    <row r="641" spans="1:20" ht="13.5" customHeight="1" x14ac:dyDescent="0.25">
      <c r="A641" s="1"/>
      <c r="B641" s="1" t="s">
        <v>714</v>
      </c>
      <c r="C641" s="1" t="s">
        <v>435</v>
      </c>
      <c r="D641" s="42">
        <v>250</v>
      </c>
      <c r="E641" s="70">
        <v>0</v>
      </c>
      <c r="F641" s="45">
        <v>250</v>
      </c>
      <c r="G641" s="45">
        <v>250</v>
      </c>
      <c r="H641" s="68">
        <v>73.75</v>
      </c>
      <c r="I641" s="47">
        <f t="shared" si="243"/>
        <v>0.29499999999999998</v>
      </c>
      <c r="J641" s="48">
        <v>250</v>
      </c>
      <c r="K641" s="49">
        <v>250</v>
      </c>
      <c r="L641" s="77">
        <v>0</v>
      </c>
      <c r="M641" s="50">
        <v>50.25</v>
      </c>
      <c r="N641" s="53" t="s">
        <v>16</v>
      </c>
      <c r="O641" s="52">
        <v>141.44</v>
      </c>
      <c r="P641" s="53">
        <v>85</v>
      </c>
      <c r="Q641" s="54">
        <v>370.99</v>
      </c>
      <c r="R641" s="1"/>
      <c r="S641" s="1"/>
      <c r="T641" s="1"/>
    </row>
    <row r="642" spans="1:20" ht="13.5" customHeight="1" x14ac:dyDescent="0.25">
      <c r="A642" s="1"/>
      <c r="B642" s="1" t="s">
        <v>715</v>
      </c>
      <c r="C642" s="1" t="s">
        <v>438</v>
      </c>
      <c r="D642" s="42">
        <v>0</v>
      </c>
      <c r="E642" s="70">
        <v>0</v>
      </c>
      <c r="F642" s="73">
        <v>0</v>
      </c>
      <c r="G642" s="73">
        <v>0</v>
      </c>
      <c r="H642" s="68">
        <v>0</v>
      </c>
      <c r="I642" s="47"/>
      <c r="J642" s="75">
        <v>0</v>
      </c>
      <c r="K642" s="76">
        <v>0</v>
      </c>
      <c r="L642" s="50">
        <v>281.44</v>
      </c>
      <c r="M642" s="77">
        <v>0</v>
      </c>
      <c r="N642" s="53" t="s">
        <v>16</v>
      </c>
      <c r="O642" s="52">
        <v>0</v>
      </c>
      <c r="P642" s="53">
        <v>0</v>
      </c>
      <c r="Q642" s="54">
        <v>0</v>
      </c>
      <c r="R642" s="1"/>
      <c r="S642" s="1"/>
      <c r="T642" s="1"/>
    </row>
    <row r="643" spans="1:20" ht="13.5" customHeight="1" x14ac:dyDescent="0.25">
      <c r="A643" s="1"/>
      <c r="B643" s="1" t="s">
        <v>716</v>
      </c>
      <c r="C643" s="1" t="s">
        <v>267</v>
      </c>
      <c r="D643" s="42">
        <v>200</v>
      </c>
      <c r="E643" s="43">
        <v>39.99</v>
      </c>
      <c r="F643" s="45">
        <v>200</v>
      </c>
      <c r="G643" s="45">
        <v>200</v>
      </c>
      <c r="H643" s="46">
        <v>118.18</v>
      </c>
      <c r="I643" s="47">
        <f>H643/J643</f>
        <v>0.59089999999999998</v>
      </c>
      <c r="J643" s="48">
        <v>200</v>
      </c>
      <c r="K643" s="49">
        <v>200</v>
      </c>
      <c r="L643" s="77">
        <v>0</v>
      </c>
      <c r="M643" s="50">
        <v>66.040000000000006</v>
      </c>
      <c r="N643" s="51">
        <v>151.88</v>
      </c>
      <c r="O643" s="52"/>
      <c r="P643" s="53"/>
      <c r="Q643" s="54"/>
      <c r="R643" s="1"/>
      <c r="S643" s="1"/>
      <c r="T643" s="1"/>
    </row>
    <row r="644" spans="1:20" ht="13.5" customHeight="1" x14ac:dyDescent="0.25">
      <c r="A644" s="1"/>
      <c r="B644" s="1"/>
      <c r="C644" s="1"/>
      <c r="D644" s="56">
        <v>3850</v>
      </c>
      <c r="E644" s="57">
        <f t="shared" ref="E644" si="244">SUM(E639:E643)</f>
        <v>576.66</v>
      </c>
      <c r="F644" s="58">
        <f>SUM(F638:F643)</f>
        <v>3850</v>
      </c>
      <c r="G644" s="58">
        <v>3850</v>
      </c>
      <c r="H644" s="59">
        <f>SUM(H639:H643)</f>
        <v>3616.4599999999996</v>
      </c>
      <c r="I644" s="59"/>
      <c r="J644" s="60">
        <f t="shared" ref="J644:Q644" si="245">SUM(J639:J643)</f>
        <v>4600</v>
      </c>
      <c r="K644" s="61">
        <f t="shared" si="245"/>
        <v>4750</v>
      </c>
      <c r="L644" s="62">
        <f t="shared" si="245"/>
        <v>3103.04</v>
      </c>
      <c r="M644" s="62">
        <f t="shared" si="245"/>
        <v>1635.08</v>
      </c>
      <c r="N644" s="63">
        <f t="shared" si="245"/>
        <v>1898.38</v>
      </c>
      <c r="O644" s="64">
        <f t="shared" si="245"/>
        <v>2609.7199999999998</v>
      </c>
      <c r="P644" s="63">
        <f t="shared" si="245"/>
        <v>2384.33</v>
      </c>
      <c r="Q644" s="65">
        <f t="shared" si="245"/>
        <v>2826.1499999999996</v>
      </c>
      <c r="R644" s="1"/>
      <c r="S644" s="1"/>
      <c r="T644" s="1"/>
    </row>
    <row r="645" spans="1:20" ht="13.5" customHeight="1" x14ac:dyDescent="0.25">
      <c r="A645" s="1"/>
      <c r="B645" s="1"/>
      <c r="C645" s="1"/>
      <c r="D645" s="42"/>
      <c r="E645" s="44"/>
      <c r="F645" s="45"/>
      <c r="G645" s="45"/>
      <c r="H645" s="66"/>
      <c r="I645" s="66"/>
      <c r="J645" s="48"/>
      <c r="K645" s="49"/>
      <c r="L645" s="77"/>
      <c r="M645" s="50"/>
      <c r="N645" s="51"/>
      <c r="O645" s="52"/>
      <c r="P645" s="53"/>
      <c r="Q645" s="54"/>
      <c r="R645" s="1"/>
      <c r="S645" s="1"/>
      <c r="T645" s="1"/>
    </row>
    <row r="646" spans="1:20" ht="13.5" customHeight="1" x14ac:dyDescent="0.25">
      <c r="A646" s="1"/>
      <c r="B646" s="1" t="s">
        <v>717</v>
      </c>
      <c r="C646" s="55" t="s">
        <v>273</v>
      </c>
      <c r="D646" s="42">
        <v>500</v>
      </c>
      <c r="E646" s="43">
        <v>71.47</v>
      </c>
      <c r="F646" s="45">
        <v>500</v>
      </c>
      <c r="G646" s="45">
        <v>500</v>
      </c>
      <c r="H646" s="46">
        <v>275.75</v>
      </c>
      <c r="I646" s="47">
        <f t="shared" ref="I646:I650" si="246">H646/J646</f>
        <v>0.55149999999999999</v>
      </c>
      <c r="J646" s="48">
        <v>500</v>
      </c>
      <c r="K646" s="49">
        <v>500</v>
      </c>
      <c r="L646" s="50">
        <v>401.82</v>
      </c>
      <c r="M646" s="50">
        <v>345.12</v>
      </c>
      <c r="N646" s="51">
        <v>181.44</v>
      </c>
      <c r="O646" s="52">
        <v>331.22</v>
      </c>
      <c r="P646" s="53">
        <v>256.76</v>
      </c>
      <c r="Q646" s="54">
        <v>398.37</v>
      </c>
      <c r="R646" s="1"/>
      <c r="S646" s="1"/>
      <c r="T646" s="1"/>
    </row>
    <row r="647" spans="1:20" ht="13.5" customHeight="1" x14ac:dyDescent="0.25">
      <c r="A647" s="1"/>
      <c r="B647" s="1" t="s">
        <v>718</v>
      </c>
      <c r="C647" s="78" t="s">
        <v>404</v>
      </c>
      <c r="D647" s="42">
        <v>1800</v>
      </c>
      <c r="E647" s="43">
        <v>2550.8200000000002</v>
      </c>
      <c r="F647" s="45">
        <v>1800</v>
      </c>
      <c r="G647" s="45">
        <v>1800</v>
      </c>
      <c r="H647" s="46">
        <v>2664.82</v>
      </c>
      <c r="I647" s="47">
        <f t="shared" si="246"/>
        <v>1.012469604863222</v>
      </c>
      <c r="J647" s="48">
        <v>2632</v>
      </c>
      <c r="K647" s="49">
        <v>1000</v>
      </c>
      <c r="L647" s="50">
        <v>511.59</v>
      </c>
      <c r="M647" s="50">
        <v>1974.92</v>
      </c>
      <c r="N647" s="51">
        <v>547.07000000000005</v>
      </c>
      <c r="O647" s="52">
        <v>1416.73</v>
      </c>
      <c r="P647" s="53">
        <v>753.51</v>
      </c>
      <c r="Q647" s="54">
        <v>2312.34</v>
      </c>
      <c r="R647" s="1"/>
      <c r="S647" s="1"/>
      <c r="T647" s="1"/>
    </row>
    <row r="648" spans="1:20" ht="13.5" customHeight="1" x14ac:dyDescent="0.25">
      <c r="A648" s="1"/>
      <c r="B648" s="1" t="s">
        <v>719</v>
      </c>
      <c r="C648" s="1" t="s">
        <v>277</v>
      </c>
      <c r="D648" s="42">
        <v>200</v>
      </c>
      <c r="E648" s="43">
        <v>60</v>
      </c>
      <c r="F648" s="45">
        <v>200</v>
      </c>
      <c r="G648" s="45">
        <v>200</v>
      </c>
      <c r="H648" s="46">
        <v>160</v>
      </c>
      <c r="I648" s="47">
        <f t="shared" si="246"/>
        <v>0.76190476190476186</v>
      </c>
      <c r="J648" s="48">
        <v>210</v>
      </c>
      <c r="K648" s="49">
        <v>200</v>
      </c>
      <c r="L648" s="50">
        <v>60</v>
      </c>
      <c r="M648" s="50">
        <v>210</v>
      </c>
      <c r="N648" s="51">
        <v>60</v>
      </c>
      <c r="O648" s="52">
        <v>60</v>
      </c>
      <c r="P648" s="53">
        <v>60</v>
      </c>
      <c r="Q648" s="54">
        <v>71</v>
      </c>
      <c r="R648" s="1"/>
      <c r="S648" s="1"/>
      <c r="T648" s="1"/>
    </row>
    <row r="649" spans="1:20" ht="13.5" customHeight="1" x14ac:dyDescent="0.25">
      <c r="A649" s="1"/>
      <c r="B649" s="1" t="s">
        <v>720</v>
      </c>
      <c r="C649" s="1" t="s">
        <v>279</v>
      </c>
      <c r="D649" s="42">
        <v>0</v>
      </c>
      <c r="E649" s="43">
        <v>0</v>
      </c>
      <c r="F649" s="73">
        <v>0</v>
      </c>
      <c r="G649" s="73">
        <v>0</v>
      </c>
      <c r="H649" s="46">
        <v>177.5</v>
      </c>
      <c r="I649" s="47">
        <f t="shared" si="246"/>
        <v>0.9971910112359551</v>
      </c>
      <c r="J649" s="48">
        <v>178</v>
      </c>
      <c r="K649" s="76">
        <v>0</v>
      </c>
      <c r="L649" s="50">
        <v>142</v>
      </c>
      <c r="M649" s="77">
        <v>0</v>
      </c>
      <c r="N649" s="53">
        <v>0</v>
      </c>
      <c r="O649" s="52">
        <v>248.5</v>
      </c>
      <c r="P649" s="53">
        <v>0</v>
      </c>
      <c r="Q649" s="54">
        <v>0</v>
      </c>
      <c r="R649" s="1"/>
      <c r="S649" s="1"/>
      <c r="T649" s="1"/>
    </row>
    <row r="650" spans="1:20" ht="13.5" customHeight="1" x14ac:dyDescent="0.25">
      <c r="A650" s="1"/>
      <c r="B650" s="1" t="s">
        <v>721</v>
      </c>
      <c r="C650" s="1" t="s">
        <v>281</v>
      </c>
      <c r="D650" s="42">
        <v>2200</v>
      </c>
      <c r="E650" s="43">
        <v>833.81</v>
      </c>
      <c r="F650" s="45">
        <v>2200</v>
      </c>
      <c r="G650" s="45">
        <v>2200</v>
      </c>
      <c r="H650" s="46">
        <v>1784.74</v>
      </c>
      <c r="I650" s="47">
        <f t="shared" si="246"/>
        <v>0.8112454545454546</v>
      </c>
      <c r="J650" s="48">
        <v>2200</v>
      </c>
      <c r="K650" s="49">
        <v>2200</v>
      </c>
      <c r="L650" s="50">
        <v>1851.45</v>
      </c>
      <c r="M650" s="50">
        <v>1487.35</v>
      </c>
      <c r="N650" s="51">
        <v>1483.68</v>
      </c>
      <c r="O650" s="52">
        <v>1606.56</v>
      </c>
      <c r="P650" s="53">
        <v>1606.56</v>
      </c>
      <c r="Q650" s="54">
        <v>1878.52</v>
      </c>
      <c r="R650" s="1"/>
      <c r="S650" s="1"/>
      <c r="T650" s="1"/>
    </row>
    <row r="651" spans="1:20" ht="13.5" customHeight="1" x14ac:dyDescent="0.25">
      <c r="A651" s="1"/>
      <c r="B651" s="1"/>
      <c r="C651" s="1"/>
      <c r="D651" s="56">
        <v>4700</v>
      </c>
      <c r="E651" s="57">
        <f t="shared" ref="E651" si="247">SUM(E646:E650)</f>
        <v>3516.1</v>
      </c>
      <c r="F651" s="58">
        <f>SUM(F645:F650)</f>
        <v>4700</v>
      </c>
      <c r="G651" s="58">
        <v>4700</v>
      </c>
      <c r="H651" s="59">
        <f>SUM(H646:H650)</f>
        <v>5062.8100000000004</v>
      </c>
      <c r="I651" s="59"/>
      <c r="J651" s="60">
        <f t="shared" ref="J651:Q651" si="248">SUM(J646:J650)</f>
        <v>5720</v>
      </c>
      <c r="K651" s="61">
        <f t="shared" si="248"/>
        <v>3900</v>
      </c>
      <c r="L651" s="62">
        <f t="shared" si="248"/>
        <v>2966.8599999999997</v>
      </c>
      <c r="M651" s="62">
        <f t="shared" si="248"/>
        <v>4017.39</v>
      </c>
      <c r="N651" s="63">
        <f t="shared" si="248"/>
        <v>2272.19</v>
      </c>
      <c r="O651" s="64">
        <f t="shared" si="248"/>
        <v>3663.0099999999998</v>
      </c>
      <c r="P651" s="63">
        <f t="shared" si="248"/>
        <v>2676.83</v>
      </c>
      <c r="Q651" s="65">
        <f t="shared" si="248"/>
        <v>4660.2299999999996</v>
      </c>
      <c r="R651" s="1"/>
      <c r="S651" s="1"/>
      <c r="T651" s="1"/>
    </row>
    <row r="652" spans="1:20" ht="13.5" customHeight="1" thickBot="1" x14ac:dyDescent="0.3">
      <c r="A652" s="1"/>
      <c r="B652" s="1"/>
      <c r="C652" s="116" t="s">
        <v>722</v>
      </c>
      <c r="D652" s="267">
        <v>195616.39199999999</v>
      </c>
      <c r="E652" s="173">
        <f t="shared" ref="E652" si="249">SUM(E629+E637+E644+E651)</f>
        <v>92130.280000000013</v>
      </c>
      <c r="F652" s="174">
        <f>SUM(F629,F637,F644,F651)</f>
        <v>193559.86749999999</v>
      </c>
      <c r="G652" s="174">
        <v>193559.86749999999</v>
      </c>
      <c r="H652" s="175">
        <f>SUM(H629+H637+H644+H651)</f>
        <v>186569.75999999998</v>
      </c>
      <c r="I652" s="175"/>
      <c r="J652" s="176">
        <f t="shared" ref="J652:Q652" si="250">SUM(J629+J637+J644+J651)</f>
        <v>188382</v>
      </c>
      <c r="K652" s="177">
        <f t="shared" si="250"/>
        <v>186712</v>
      </c>
      <c r="L652" s="178">
        <f t="shared" si="250"/>
        <v>173013.85</v>
      </c>
      <c r="M652" s="178">
        <f t="shared" si="250"/>
        <v>147323.97</v>
      </c>
      <c r="N652" s="179">
        <f t="shared" si="250"/>
        <v>148109.63</v>
      </c>
      <c r="O652" s="180">
        <f t="shared" si="250"/>
        <v>119380.87999999999</v>
      </c>
      <c r="P652" s="179">
        <f t="shared" si="250"/>
        <v>117092.34000000001</v>
      </c>
      <c r="Q652" s="181">
        <f t="shared" si="250"/>
        <v>113480.95</v>
      </c>
      <c r="R652" s="1"/>
      <c r="S652" s="1"/>
      <c r="T652" s="1"/>
    </row>
    <row r="653" spans="1:20" ht="13.5" customHeight="1" thickTop="1" x14ac:dyDescent="0.25">
      <c r="A653" s="1"/>
      <c r="B653" s="1"/>
      <c r="C653" s="1"/>
      <c r="D653" s="42"/>
      <c r="E653" s="44"/>
      <c r="F653" s="45"/>
      <c r="G653" s="45"/>
      <c r="H653" s="66"/>
      <c r="I653" s="66"/>
      <c r="J653" s="48"/>
      <c r="K653" s="49"/>
      <c r="L653" s="50"/>
      <c r="M653" s="50"/>
      <c r="N653" s="51"/>
      <c r="O653" s="52"/>
      <c r="P653" s="53"/>
      <c r="Q653" s="54"/>
      <c r="R653" s="1"/>
      <c r="S653" s="1"/>
      <c r="T653" s="1"/>
    </row>
    <row r="654" spans="1:20" ht="13.5" customHeight="1" x14ac:dyDescent="0.25">
      <c r="A654" s="1"/>
      <c r="B654" s="1"/>
      <c r="C654" s="41" t="s">
        <v>723</v>
      </c>
      <c r="D654" s="42"/>
      <c r="E654" s="44"/>
      <c r="F654" s="45"/>
      <c r="G654" s="45"/>
      <c r="H654" s="66"/>
      <c r="I654" s="66"/>
      <c r="J654" s="48"/>
      <c r="K654" s="49"/>
      <c r="L654" s="50"/>
      <c r="M654" s="50"/>
      <c r="N654" s="51"/>
      <c r="O654" s="52"/>
      <c r="P654" s="53"/>
      <c r="Q654" s="54"/>
      <c r="R654" s="1"/>
      <c r="S654" s="1"/>
      <c r="T654" s="1"/>
    </row>
    <row r="655" spans="1:20" ht="13.5" customHeight="1" x14ac:dyDescent="0.25">
      <c r="A655" s="1"/>
      <c r="B655" s="1" t="s">
        <v>724</v>
      </c>
      <c r="C655" s="1" t="s">
        <v>418</v>
      </c>
      <c r="D655" s="42">
        <v>58445</v>
      </c>
      <c r="E655" s="43">
        <v>27151.27</v>
      </c>
      <c r="F655" s="45">
        <v>57393</v>
      </c>
      <c r="G655" s="45">
        <v>57393</v>
      </c>
      <c r="H655" s="46">
        <v>54724.35</v>
      </c>
      <c r="I655" s="47">
        <f t="shared" ref="I655:I657" si="251">H655/J655</f>
        <v>1.0036009022887324</v>
      </c>
      <c r="J655" s="48">
        <v>54528</v>
      </c>
      <c r="K655" s="49">
        <v>54528</v>
      </c>
      <c r="L655" s="50">
        <v>53522.83</v>
      </c>
      <c r="M655" s="50">
        <v>52375.95</v>
      </c>
      <c r="N655" s="51">
        <v>51550.28</v>
      </c>
      <c r="O655" s="52">
        <v>49546.21</v>
      </c>
      <c r="P655" s="53">
        <v>49464.08</v>
      </c>
      <c r="Q655" s="54">
        <v>47664.02</v>
      </c>
      <c r="R655" s="1"/>
      <c r="S655" s="1"/>
      <c r="T655" s="1"/>
    </row>
    <row r="656" spans="1:20" ht="13.5" customHeight="1" x14ac:dyDescent="0.25">
      <c r="A656" s="1"/>
      <c r="B656" s="1" t="s">
        <v>725</v>
      </c>
      <c r="C656" s="1" t="s">
        <v>420</v>
      </c>
      <c r="D656" s="42">
        <v>73226</v>
      </c>
      <c r="E656" s="43">
        <v>34018.97</v>
      </c>
      <c r="F656" s="45">
        <v>71908</v>
      </c>
      <c r="G656" s="45">
        <v>71908</v>
      </c>
      <c r="H656" s="46">
        <v>63296.93</v>
      </c>
      <c r="I656" s="47">
        <f t="shared" si="251"/>
        <v>1.0060385905240237</v>
      </c>
      <c r="J656" s="48">
        <v>62917</v>
      </c>
      <c r="K656" s="49">
        <v>62917</v>
      </c>
      <c r="L656" s="50">
        <v>61757.42</v>
      </c>
      <c r="M656" s="50">
        <v>60434.27</v>
      </c>
      <c r="N656" s="51">
        <v>59481.71</v>
      </c>
      <c r="O656" s="52">
        <v>56320.17</v>
      </c>
      <c r="P656" s="53">
        <v>56000.81</v>
      </c>
      <c r="Q656" s="54">
        <v>54134.94</v>
      </c>
      <c r="R656" s="1"/>
      <c r="S656" s="1"/>
      <c r="T656" s="1"/>
    </row>
    <row r="657" spans="1:20" ht="13.5" customHeight="1" x14ac:dyDescent="0.25">
      <c r="A657" s="1"/>
      <c r="B657" s="55" t="s">
        <v>726</v>
      </c>
      <c r="C657" s="1" t="s">
        <v>705</v>
      </c>
      <c r="D657" s="42">
        <v>0</v>
      </c>
      <c r="E657" s="43">
        <v>0</v>
      </c>
      <c r="F657" s="45">
        <v>0</v>
      </c>
      <c r="G657" s="45">
        <v>0</v>
      </c>
      <c r="H657" s="46">
        <v>8381.4500000000007</v>
      </c>
      <c r="I657" s="47">
        <f t="shared" si="251"/>
        <v>0.97549464618249548</v>
      </c>
      <c r="J657" s="48">
        <v>8592</v>
      </c>
      <c r="K657" s="49">
        <v>8592</v>
      </c>
      <c r="L657" s="50">
        <v>7083.07</v>
      </c>
      <c r="M657" s="50">
        <v>6488.26</v>
      </c>
      <c r="N657" s="51">
        <v>6071.9</v>
      </c>
      <c r="O657" s="52">
        <v>5589.91</v>
      </c>
      <c r="P657" s="53">
        <v>8103.61</v>
      </c>
      <c r="Q657" s="54">
        <v>7637.78</v>
      </c>
      <c r="R657" s="1"/>
      <c r="S657" s="1"/>
      <c r="T657" s="1"/>
    </row>
    <row r="658" spans="1:20" ht="13.5" customHeight="1" x14ac:dyDescent="0.25">
      <c r="A658" s="1"/>
      <c r="B658" s="1"/>
      <c r="C658" s="1"/>
      <c r="D658" s="56">
        <v>131671</v>
      </c>
      <c r="E658" s="57">
        <f t="shared" ref="E658" si="252">SUM(E655:E657)</f>
        <v>61170.240000000005</v>
      </c>
      <c r="F658" s="58">
        <f>SUM(F654:F657)</f>
        <v>129301</v>
      </c>
      <c r="G658" s="58">
        <v>129301</v>
      </c>
      <c r="H658" s="59">
        <f>SUM(H655:H657)</f>
        <v>126402.73</v>
      </c>
      <c r="I658" s="59"/>
      <c r="J658" s="60">
        <f t="shared" ref="J658:Q658" si="253">SUM(J655:J657)</f>
        <v>126037</v>
      </c>
      <c r="K658" s="61">
        <f t="shared" si="253"/>
        <v>126037</v>
      </c>
      <c r="L658" s="62">
        <f t="shared" si="253"/>
        <v>122363.32</v>
      </c>
      <c r="M658" s="62">
        <f t="shared" si="253"/>
        <v>119298.48</v>
      </c>
      <c r="N658" s="63">
        <f t="shared" si="253"/>
        <v>117103.88999999998</v>
      </c>
      <c r="O658" s="64">
        <f t="shared" si="253"/>
        <v>111456.29000000001</v>
      </c>
      <c r="P658" s="63">
        <f t="shared" si="253"/>
        <v>113568.5</v>
      </c>
      <c r="Q658" s="65">
        <f t="shared" si="253"/>
        <v>109436.73999999999</v>
      </c>
      <c r="R658" s="1"/>
      <c r="S658" s="1"/>
      <c r="T658" s="1"/>
    </row>
    <row r="659" spans="1:20" ht="13.5" customHeight="1" x14ac:dyDescent="0.25">
      <c r="A659" s="1"/>
      <c r="B659" s="1"/>
      <c r="C659" s="1"/>
      <c r="D659" s="42"/>
      <c r="E659" s="44"/>
      <c r="F659" s="45"/>
      <c r="G659" s="45"/>
      <c r="H659" s="66"/>
      <c r="I659" s="66"/>
      <c r="J659" s="48"/>
      <c r="K659" s="49"/>
      <c r="L659" s="50"/>
      <c r="M659" s="50"/>
      <c r="N659" s="51"/>
      <c r="O659" s="52"/>
      <c r="P659" s="53"/>
      <c r="Q659" s="54"/>
      <c r="R659" s="1"/>
      <c r="S659" s="1"/>
      <c r="T659" s="1"/>
    </row>
    <row r="660" spans="1:20" ht="13.5" customHeight="1" x14ac:dyDescent="0.25">
      <c r="A660" s="1"/>
      <c r="B660" s="1" t="s">
        <v>727</v>
      </c>
      <c r="C660" s="1" t="s">
        <v>247</v>
      </c>
      <c r="D660" s="42">
        <v>10264.081499999998</v>
      </c>
      <c r="E660" s="43">
        <v>4055.01</v>
      </c>
      <c r="F660" s="45">
        <v>10082.7765</v>
      </c>
      <c r="G660" s="45">
        <v>10082.7765</v>
      </c>
      <c r="H660" s="46">
        <v>8273.99</v>
      </c>
      <c r="I660" s="47">
        <f t="shared" ref="I660:I664" si="254">H660/J660</f>
        <v>0.84136567012405938</v>
      </c>
      <c r="J660" s="48">
        <v>9834</v>
      </c>
      <c r="K660" s="49">
        <v>9834</v>
      </c>
      <c r="L660" s="50">
        <v>7986.66</v>
      </c>
      <c r="M660" s="50">
        <v>7899.28</v>
      </c>
      <c r="N660" s="51">
        <v>7739.43</v>
      </c>
      <c r="O660" s="52">
        <v>7638.71</v>
      </c>
      <c r="P660" s="53">
        <v>7681.67</v>
      </c>
      <c r="Q660" s="54">
        <v>7475.48</v>
      </c>
      <c r="R660" s="1"/>
      <c r="S660" s="1"/>
      <c r="T660" s="1"/>
    </row>
    <row r="661" spans="1:20" ht="13.5" customHeight="1" x14ac:dyDescent="0.25">
      <c r="A661" s="1"/>
      <c r="B661" s="1" t="s">
        <v>728</v>
      </c>
      <c r="C661" s="1" t="s">
        <v>249</v>
      </c>
      <c r="D661" s="42">
        <v>31390.304400000001</v>
      </c>
      <c r="E661" s="43">
        <v>16260.3</v>
      </c>
      <c r="F661" s="45">
        <v>31389.820800000001</v>
      </c>
      <c r="G661" s="45">
        <v>31389.820800000001</v>
      </c>
      <c r="H661" s="46">
        <v>30528.18</v>
      </c>
      <c r="I661" s="47">
        <f t="shared" si="254"/>
        <v>0.9933031821435544</v>
      </c>
      <c r="J661" s="48">
        <v>30734</v>
      </c>
      <c r="K661" s="49">
        <v>30734</v>
      </c>
      <c r="L661" s="50">
        <v>30419.75</v>
      </c>
      <c r="M661" s="50">
        <v>30415.94</v>
      </c>
      <c r="N661" s="51">
        <v>30496.799999999999</v>
      </c>
      <c r="O661" s="52">
        <v>27000.880000000001</v>
      </c>
      <c r="P661" s="53">
        <v>29933.4</v>
      </c>
      <c r="Q661" s="54">
        <v>28850.400000000001</v>
      </c>
      <c r="R661" s="1"/>
      <c r="S661" s="1"/>
      <c r="T661" s="1"/>
    </row>
    <row r="662" spans="1:20" ht="13.5" customHeight="1" x14ac:dyDescent="0.25">
      <c r="A662" s="1"/>
      <c r="B662" s="1" t="s">
        <v>729</v>
      </c>
      <c r="C662" s="1" t="s">
        <v>251</v>
      </c>
      <c r="D662" s="42">
        <v>20152.484199999999</v>
      </c>
      <c r="E662" s="43">
        <v>9187.76</v>
      </c>
      <c r="F662" s="45">
        <v>19796.510200000001</v>
      </c>
      <c r="G662" s="45">
        <v>19796.510200000001</v>
      </c>
      <c r="H662" s="46">
        <v>18371.12</v>
      </c>
      <c r="I662" s="47">
        <f t="shared" si="254"/>
        <v>0.98430775825117867</v>
      </c>
      <c r="J662" s="48">
        <v>18664</v>
      </c>
      <c r="K662" s="49">
        <v>18664</v>
      </c>
      <c r="L662" s="50">
        <v>17719.490000000002</v>
      </c>
      <c r="M662" s="50">
        <v>16619.5</v>
      </c>
      <c r="N662" s="51">
        <v>16081.84</v>
      </c>
      <c r="O662" s="52">
        <v>15248.33</v>
      </c>
      <c r="P662" s="53">
        <v>15417.06</v>
      </c>
      <c r="Q662" s="54">
        <v>13991.63</v>
      </c>
      <c r="R662" s="1"/>
      <c r="S662" s="1"/>
      <c r="T662" s="1"/>
    </row>
    <row r="663" spans="1:20" ht="13.5" customHeight="1" x14ac:dyDescent="0.25">
      <c r="A663" s="1"/>
      <c r="B663" s="1" t="s">
        <v>730</v>
      </c>
      <c r="C663" s="1" t="s">
        <v>253</v>
      </c>
      <c r="D663" s="42">
        <v>214.67360000000002</v>
      </c>
      <c r="E663" s="43">
        <v>97.9</v>
      </c>
      <c r="F663" s="45">
        <v>210.88159999999999</v>
      </c>
      <c r="G663" s="45">
        <v>210.88159999999999</v>
      </c>
      <c r="H663" s="46">
        <v>202.26</v>
      </c>
      <c r="I663" s="47">
        <f t="shared" si="254"/>
        <v>0.98184466019417471</v>
      </c>
      <c r="J663" s="48">
        <v>206</v>
      </c>
      <c r="K663" s="49">
        <v>206</v>
      </c>
      <c r="L663" s="50">
        <v>223.92</v>
      </c>
      <c r="M663" s="50">
        <v>226.73</v>
      </c>
      <c r="N663" s="51">
        <v>279.69</v>
      </c>
      <c r="O663" s="52">
        <v>299.61</v>
      </c>
      <c r="P663" s="53">
        <v>281.52999999999997</v>
      </c>
      <c r="Q663" s="54">
        <v>261.86</v>
      </c>
      <c r="R663" s="1"/>
      <c r="S663" s="1"/>
      <c r="T663" s="1"/>
    </row>
    <row r="664" spans="1:20" ht="13.5" customHeight="1" x14ac:dyDescent="0.25">
      <c r="A664" s="1"/>
      <c r="B664" s="1" t="s">
        <v>731</v>
      </c>
      <c r="C664" s="1" t="s">
        <v>255</v>
      </c>
      <c r="D664" s="42">
        <v>1053.3600000000001</v>
      </c>
      <c r="E664" s="43">
        <v>501.84</v>
      </c>
      <c r="F664" s="45">
        <v>1005</v>
      </c>
      <c r="G664" s="45">
        <v>1005</v>
      </c>
      <c r="H664" s="46">
        <v>971.88</v>
      </c>
      <c r="I664" s="47">
        <f t="shared" si="254"/>
        <v>1.0060869565217392</v>
      </c>
      <c r="J664" s="48">
        <v>966</v>
      </c>
      <c r="K664" s="49">
        <v>966</v>
      </c>
      <c r="L664" s="50">
        <v>939.72</v>
      </c>
      <c r="M664" s="50">
        <v>906.36</v>
      </c>
      <c r="N664" s="51">
        <v>988.62</v>
      </c>
      <c r="O664" s="52">
        <v>894.4</v>
      </c>
      <c r="P664" s="53">
        <v>1006.2</v>
      </c>
      <c r="Q664" s="54">
        <v>960.9</v>
      </c>
      <c r="R664" s="1"/>
      <c r="S664" s="1"/>
      <c r="T664" s="1"/>
    </row>
    <row r="665" spans="1:20" ht="13.5" customHeight="1" x14ac:dyDescent="0.25">
      <c r="A665" s="1"/>
      <c r="B665" s="1"/>
      <c r="C665" s="1"/>
      <c r="D665" s="56">
        <v>63074.903700000003</v>
      </c>
      <c r="E665" s="57">
        <f t="shared" ref="E665" si="255">SUM(E660:E664)</f>
        <v>30102.81</v>
      </c>
      <c r="F665" s="58">
        <f>SUM(F659:F664)</f>
        <v>62484.989099999999</v>
      </c>
      <c r="G665" s="58">
        <v>62484.989099999999</v>
      </c>
      <c r="H665" s="59">
        <f>SUM(H660:H664)</f>
        <v>58347.429999999993</v>
      </c>
      <c r="I665" s="59"/>
      <c r="J665" s="60">
        <f t="shared" ref="J665:Q665" si="256">SUM(J660:J664)</f>
        <v>60404</v>
      </c>
      <c r="K665" s="61">
        <f t="shared" si="256"/>
        <v>60404</v>
      </c>
      <c r="L665" s="62">
        <f t="shared" si="256"/>
        <v>57289.540000000008</v>
      </c>
      <c r="M665" s="62">
        <f t="shared" si="256"/>
        <v>56067.810000000005</v>
      </c>
      <c r="N665" s="63">
        <f t="shared" si="256"/>
        <v>55586.38</v>
      </c>
      <c r="O665" s="64">
        <f t="shared" si="256"/>
        <v>51081.930000000008</v>
      </c>
      <c r="P665" s="63">
        <f t="shared" si="256"/>
        <v>54319.859999999993</v>
      </c>
      <c r="Q665" s="65">
        <f t="shared" si="256"/>
        <v>51540.270000000004</v>
      </c>
      <c r="R665" s="1"/>
      <c r="S665" s="1"/>
      <c r="T665" s="1"/>
    </row>
    <row r="666" spans="1:20" ht="13.5" customHeight="1" x14ac:dyDescent="0.25">
      <c r="A666" s="1"/>
      <c r="B666" s="1"/>
      <c r="C666" s="1"/>
      <c r="D666" s="42"/>
      <c r="E666" s="44"/>
      <c r="F666" s="45"/>
      <c r="G666" s="45"/>
      <c r="H666" s="66"/>
      <c r="I666" s="66"/>
      <c r="J666" s="48"/>
      <c r="K666" s="49"/>
      <c r="L666" s="50"/>
      <c r="M666" s="50"/>
      <c r="N666" s="51"/>
      <c r="O666" s="52"/>
      <c r="P666" s="53"/>
      <c r="Q666" s="54"/>
      <c r="R666" s="1"/>
      <c r="S666" s="1"/>
      <c r="T666" s="1"/>
    </row>
    <row r="667" spans="1:20" ht="13.5" customHeight="1" x14ac:dyDescent="0.25">
      <c r="A667" s="1"/>
      <c r="B667" s="1" t="s">
        <v>732</v>
      </c>
      <c r="C667" s="1" t="s">
        <v>259</v>
      </c>
      <c r="D667" s="42">
        <v>1800</v>
      </c>
      <c r="E667" s="43">
        <v>1407.63</v>
      </c>
      <c r="F667" s="45">
        <v>1800</v>
      </c>
      <c r="G667" s="45">
        <v>1800</v>
      </c>
      <c r="H667" s="46">
        <v>2316.71</v>
      </c>
      <c r="I667" s="47">
        <f t="shared" ref="I667:I669" si="257">H667/J667</f>
        <v>1.6547928571428572</v>
      </c>
      <c r="J667" s="48">
        <v>1400</v>
      </c>
      <c r="K667" s="49">
        <v>1400</v>
      </c>
      <c r="L667" s="50">
        <v>2423.91</v>
      </c>
      <c r="M667" s="50">
        <v>2271.27</v>
      </c>
      <c r="N667" s="51">
        <v>2394.1799999999998</v>
      </c>
      <c r="O667" s="52">
        <v>2006.31</v>
      </c>
      <c r="P667" s="53">
        <v>3160.18</v>
      </c>
      <c r="Q667" s="54">
        <v>2938.07</v>
      </c>
      <c r="R667" s="1"/>
      <c r="S667" s="1"/>
      <c r="T667" s="1"/>
    </row>
    <row r="668" spans="1:20" ht="13.5" customHeight="1" x14ac:dyDescent="0.25">
      <c r="A668" s="1"/>
      <c r="B668" s="1" t="s">
        <v>733</v>
      </c>
      <c r="C668" s="1" t="s">
        <v>261</v>
      </c>
      <c r="D668" s="42">
        <v>1900</v>
      </c>
      <c r="E668" s="43">
        <v>1253.93</v>
      </c>
      <c r="F668" s="45">
        <v>1900</v>
      </c>
      <c r="G668" s="45">
        <v>1900</v>
      </c>
      <c r="H668" s="46">
        <v>1624</v>
      </c>
      <c r="I668" s="47">
        <f t="shared" si="257"/>
        <v>0.95529411764705885</v>
      </c>
      <c r="J668" s="48">
        <v>1700</v>
      </c>
      <c r="K668" s="49">
        <v>1700</v>
      </c>
      <c r="L668" s="50">
        <v>1876.92</v>
      </c>
      <c r="M668" s="50">
        <v>1713.84</v>
      </c>
      <c r="N668" s="51">
        <v>1208.33</v>
      </c>
      <c r="O668" s="52">
        <v>1172.5999999999999</v>
      </c>
      <c r="P668" s="53">
        <v>1236.1600000000001</v>
      </c>
      <c r="Q668" s="54">
        <v>2206</v>
      </c>
      <c r="R668" s="1"/>
      <c r="S668" s="1"/>
      <c r="T668" s="1"/>
    </row>
    <row r="669" spans="1:20" ht="13.5" customHeight="1" x14ac:dyDescent="0.25">
      <c r="A669" s="1"/>
      <c r="B669" s="1" t="s">
        <v>734</v>
      </c>
      <c r="C669" s="1" t="s">
        <v>435</v>
      </c>
      <c r="D669" s="42">
        <v>250</v>
      </c>
      <c r="E669" s="70">
        <v>0</v>
      </c>
      <c r="F669" s="45">
        <v>250</v>
      </c>
      <c r="G669" s="45">
        <v>250</v>
      </c>
      <c r="H669" s="68">
        <v>0</v>
      </c>
      <c r="I669" s="47">
        <f t="shared" si="257"/>
        <v>0</v>
      </c>
      <c r="J669" s="48">
        <v>250</v>
      </c>
      <c r="K669" s="49">
        <v>250</v>
      </c>
      <c r="L669" s="77">
        <v>0</v>
      </c>
      <c r="M669" s="77">
        <v>0</v>
      </c>
      <c r="N669" s="53">
        <v>0</v>
      </c>
      <c r="O669" s="52">
        <v>0</v>
      </c>
      <c r="P669" s="53">
        <v>0</v>
      </c>
      <c r="Q669" s="54">
        <v>0</v>
      </c>
      <c r="R669" s="1"/>
      <c r="S669" s="1"/>
      <c r="T669" s="1"/>
    </row>
    <row r="670" spans="1:20" ht="13.5" customHeight="1" x14ac:dyDescent="0.25">
      <c r="A670" s="1"/>
      <c r="B670" s="1"/>
      <c r="C670" s="1"/>
      <c r="D670" s="56">
        <v>3950</v>
      </c>
      <c r="E670" s="57">
        <f t="shared" ref="E670" si="258">SUM(E667:E669)</f>
        <v>2661.5600000000004</v>
      </c>
      <c r="F670" s="58">
        <f>SUM(F666:F669)</f>
        <v>3950</v>
      </c>
      <c r="G670" s="58">
        <v>3950</v>
      </c>
      <c r="H670" s="59">
        <f>SUM(H667:H669)</f>
        <v>3940.71</v>
      </c>
      <c r="I670" s="59"/>
      <c r="J670" s="60">
        <f t="shared" ref="J670:Q670" si="259">SUM(J667:J669)</f>
        <v>3350</v>
      </c>
      <c r="K670" s="61">
        <f t="shared" si="259"/>
        <v>3350</v>
      </c>
      <c r="L670" s="62">
        <f t="shared" si="259"/>
        <v>4300.83</v>
      </c>
      <c r="M670" s="62">
        <f t="shared" si="259"/>
        <v>3985.1099999999997</v>
      </c>
      <c r="N670" s="63">
        <f t="shared" si="259"/>
        <v>3602.5099999999998</v>
      </c>
      <c r="O670" s="64">
        <f t="shared" si="259"/>
        <v>3178.91</v>
      </c>
      <c r="P670" s="63">
        <f t="shared" si="259"/>
        <v>4396.34</v>
      </c>
      <c r="Q670" s="65">
        <f t="shared" si="259"/>
        <v>5144.07</v>
      </c>
      <c r="R670" s="1"/>
      <c r="S670" s="1"/>
      <c r="T670" s="1"/>
    </row>
    <row r="671" spans="1:20" ht="13.5" customHeight="1" x14ac:dyDescent="0.25">
      <c r="A671" s="1"/>
      <c r="B671" s="1"/>
      <c r="C671" s="1"/>
      <c r="D671" s="42"/>
      <c r="E671" s="67"/>
      <c r="F671" s="45"/>
      <c r="G671" s="45"/>
      <c r="H671" s="74"/>
      <c r="I671" s="66"/>
      <c r="J671" s="48"/>
      <c r="K671" s="49"/>
      <c r="L671" s="77"/>
      <c r="M671" s="77"/>
      <c r="N671" s="53"/>
      <c r="O671" s="52"/>
      <c r="P671" s="53"/>
      <c r="Q671" s="54"/>
      <c r="R671" s="1"/>
      <c r="S671" s="1"/>
      <c r="T671" s="1"/>
    </row>
    <row r="672" spans="1:20" ht="13.5" customHeight="1" x14ac:dyDescent="0.25">
      <c r="A672" s="1"/>
      <c r="B672" s="1" t="s">
        <v>735</v>
      </c>
      <c r="C672" s="1" t="s">
        <v>318</v>
      </c>
      <c r="D672" s="42">
        <v>1200</v>
      </c>
      <c r="E672" s="43">
        <v>369.18</v>
      </c>
      <c r="F672" s="45">
        <v>1200</v>
      </c>
      <c r="G672" s="45">
        <v>1200</v>
      </c>
      <c r="H672" s="46">
        <v>1171.05</v>
      </c>
      <c r="I672" s="47">
        <f t="shared" ref="I672:I677" si="260">H672/J672</f>
        <v>0.97587499999999994</v>
      </c>
      <c r="J672" s="48">
        <v>1200</v>
      </c>
      <c r="K672" s="49">
        <v>1200</v>
      </c>
      <c r="L672" s="50">
        <v>1219.68</v>
      </c>
      <c r="M672" s="50">
        <v>1201.68</v>
      </c>
      <c r="N672" s="51">
        <v>1183.9000000000001</v>
      </c>
      <c r="O672" s="52">
        <v>1058.6600000000001</v>
      </c>
      <c r="P672" s="53">
        <v>997.92</v>
      </c>
      <c r="Q672" s="54">
        <v>951.66</v>
      </c>
      <c r="R672" s="1"/>
      <c r="S672" s="1"/>
      <c r="T672" s="1"/>
    </row>
    <row r="673" spans="1:20" ht="13.5" customHeight="1" x14ac:dyDescent="0.25">
      <c r="A673" s="1"/>
      <c r="B673" s="1" t="s">
        <v>736</v>
      </c>
      <c r="C673" s="55" t="s">
        <v>273</v>
      </c>
      <c r="D673" s="42">
        <v>1300</v>
      </c>
      <c r="E673" s="43">
        <v>453.17</v>
      </c>
      <c r="F673" s="45">
        <v>1300</v>
      </c>
      <c r="G673" s="45">
        <v>1300</v>
      </c>
      <c r="H673" s="46">
        <v>1097.94</v>
      </c>
      <c r="I673" s="47">
        <f t="shared" si="260"/>
        <v>1.4639200000000001</v>
      </c>
      <c r="J673" s="48">
        <v>750</v>
      </c>
      <c r="K673" s="49">
        <v>750</v>
      </c>
      <c r="L673" s="50">
        <v>1103.26</v>
      </c>
      <c r="M673" s="50">
        <v>1357.39</v>
      </c>
      <c r="N673" s="51">
        <v>1121.04</v>
      </c>
      <c r="O673" s="52">
        <v>1247.3599999999999</v>
      </c>
      <c r="P673" s="53">
        <v>1131.76</v>
      </c>
      <c r="Q673" s="54">
        <v>2322.86</v>
      </c>
      <c r="R673" s="1"/>
      <c r="S673" s="1"/>
      <c r="T673" s="1"/>
    </row>
    <row r="674" spans="1:20" ht="13.5" customHeight="1" x14ac:dyDescent="0.25">
      <c r="A674" s="1"/>
      <c r="B674" s="1" t="s">
        <v>737</v>
      </c>
      <c r="C674" s="1" t="s">
        <v>404</v>
      </c>
      <c r="D674" s="42">
        <v>1800</v>
      </c>
      <c r="E674" s="43">
        <v>315</v>
      </c>
      <c r="F674" s="45">
        <v>1800</v>
      </c>
      <c r="G674" s="45">
        <v>1800</v>
      </c>
      <c r="H674" s="46">
        <v>1161.5999999999999</v>
      </c>
      <c r="I674" s="47">
        <f t="shared" si="260"/>
        <v>1.1616</v>
      </c>
      <c r="J674" s="48">
        <v>1000</v>
      </c>
      <c r="K674" s="49">
        <v>1000</v>
      </c>
      <c r="L674" s="50">
        <v>820.05</v>
      </c>
      <c r="M674" s="50">
        <v>1309.18</v>
      </c>
      <c r="N674" s="51">
        <v>676.89</v>
      </c>
      <c r="O674" s="52">
        <v>1510.16</v>
      </c>
      <c r="P674" s="53">
        <v>846.42</v>
      </c>
      <c r="Q674" s="54">
        <v>1122.02</v>
      </c>
      <c r="R674" s="1"/>
      <c r="S674" s="1"/>
      <c r="T674" s="1"/>
    </row>
    <row r="675" spans="1:20" ht="13.5" customHeight="1" x14ac:dyDescent="0.25">
      <c r="A675" s="1"/>
      <c r="B675" s="1" t="s">
        <v>738</v>
      </c>
      <c r="C675" s="1" t="s">
        <v>277</v>
      </c>
      <c r="D675" s="42">
        <v>100</v>
      </c>
      <c r="E675" s="70">
        <v>0</v>
      </c>
      <c r="F675" s="45">
        <v>100</v>
      </c>
      <c r="G675" s="45">
        <v>100</v>
      </c>
      <c r="H675" s="74">
        <v>0</v>
      </c>
      <c r="I675" s="47">
        <f t="shared" si="260"/>
        <v>0</v>
      </c>
      <c r="J675" s="48">
        <v>100</v>
      </c>
      <c r="K675" s="49">
        <v>100</v>
      </c>
      <c r="L675" s="77">
        <v>0</v>
      </c>
      <c r="M675" s="77">
        <v>0</v>
      </c>
      <c r="N675" s="53">
        <v>0</v>
      </c>
      <c r="O675" s="52">
        <v>0</v>
      </c>
      <c r="P675" s="53">
        <v>0</v>
      </c>
      <c r="Q675" s="54">
        <v>651</v>
      </c>
      <c r="R675" s="1"/>
      <c r="S675" s="1"/>
      <c r="T675" s="1"/>
    </row>
    <row r="676" spans="1:20" ht="13.5" customHeight="1" x14ac:dyDescent="0.25">
      <c r="A676" s="1"/>
      <c r="B676" s="1" t="s">
        <v>739</v>
      </c>
      <c r="C676" s="1" t="s">
        <v>279</v>
      </c>
      <c r="D676" s="42">
        <v>178</v>
      </c>
      <c r="E676" s="43">
        <v>0</v>
      </c>
      <c r="F676" s="45">
        <v>178</v>
      </c>
      <c r="G676" s="45">
        <v>178</v>
      </c>
      <c r="H676" s="66">
        <v>177.5</v>
      </c>
      <c r="I676" s="47">
        <f t="shared" si="260"/>
        <v>0.9971910112359551</v>
      </c>
      <c r="J676" s="48">
        <v>178</v>
      </c>
      <c r="K676" s="49">
        <v>178</v>
      </c>
      <c r="L676" s="77">
        <v>0</v>
      </c>
      <c r="M676" s="77">
        <v>0</v>
      </c>
      <c r="N676" s="53">
        <v>0</v>
      </c>
      <c r="O676" s="52">
        <v>177.5</v>
      </c>
      <c r="P676" s="53">
        <v>0</v>
      </c>
      <c r="Q676" s="54">
        <v>0</v>
      </c>
      <c r="R676" s="1"/>
      <c r="S676" s="1"/>
      <c r="T676" s="1"/>
    </row>
    <row r="677" spans="1:20" ht="13.5" customHeight="1" x14ac:dyDescent="0.25">
      <c r="A677" s="1"/>
      <c r="B677" s="1" t="s">
        <v>740</v>
      </c>
      <c r="C677" s="1" t="s">
        <v>281</v>
      </c>
      <c r="D677" s="42">
        <v>1500</v>
      </c>
      <c r="E677" s="43">
        <v>588</v>
      </c>
      <c r="F677" s="45">
        <v>1500</v>
      </c>
      <c r="G677" s="45">
        <v>1500</v>
      </c>
      <c r="H677" s="46">
        <v>1176</v>
      </c>
      <c r="I677" s="47">
        <f t="shared" si="260"/>
        <v>0.78400000000000003</v>
      </c>
      <c r="J677" s="48">
        <v>1500</v>
      </c>
      <c r="K677" s="49">
        <v>1500</v>
      </c>
      <c r="L677" s="50">
        <v>1176</v>
      </c>
      <c r="M677" s="50">
        <v>1176</v>
      </c>
      <c r="N677" s="51">
        <v>1628.8</v>
      </c>
      <c r="O677" s="52">
        <v>1466.58</v>
      </c>
      <c r="P677" s="53">
        <v>1396.09</v>
      </c>
      <c r="Q677" s="54">
        <v>1416.26</v>
      </c>
      <c r="R677" s="1"/>
      <c r="S677" s="1"/>
      <c r="T677" s="1"/>
    </row>
    <row r="678" spans="1:20" ht="13.5" customHeight="1" x14ac:dyDescent="0.25">
      <c r="A678" s="1"/>
      <c r="B678" s="1"/>
      <c r="C678" s="1"/>
      <c r="D678" s="56">
        <v>6078</v>
      </c>
      <c r="E678" s="57">
        <f t="shared" ref="E678" si="261">SUM(E672:E677)</f>
        <v>1725.35</v>
      </c>
      <c r="F678" s="58">
        <f>SUM(F671:F677)</f>
        <v>6078</v>
      </c>
      <c r="G678" s="58">
        <v>6078</v>
      </c>
      <c r="H678" s="59">
        <f>SUM(H672:H677)</f>
        <v>4784.09</v>
      </c>
      <c r="I678" s="59"/>
      <c r="J678" s="60">
        <f t="shared" ref="J678:Q678" si="262">SUM(J672:J677)</f>
        <v>4728</v>
      </c>
      <c r="K678" s="61">
        <f t="shared" si="262"/>
        <v>4728</v>
      </c>
      <c r="L678" s="62">
        <f t="shared" si="262"/>
        <v>4318.99</v>
      </c>
      <c r="M678" s="62">
        <f t="shared" si="262"/>
        <v>5044.25</v>
      </c>
      <c r="N678" s="63">
        <f t="shared" si="262"/>
        <v>4610.63</v>
      </c>
      <c r="O678" s="64">
        <f t="shared" si="262"/>
        <v>5460.26</v>
      </c>
      <c r="P678" s="63">
        <f t="shared" si="262"/>
        <v>4372.1899999999996</v>
      </c>
      <c r="Q678" s="65">
        <f t="shared" si="262"/>
        <v>6463.8</v>
      </c>
      <c r="R678" s="1"/>
      <c r="S678" s="1"/>
      <c r="T678" s="1"/>
    </row>
    <row r="679" spans="1:20" ht="13.5" customHeight="1" thickBot="1" x14ac:dyDescent="0.3">
      <c r="A679" s="1"/>
      <c r="B679" s="1"/>
      <c r="C679" s="116" t="s">
        <v>741</v>
      </c>
      <c r="D679" s="267">
        <v>204773.9037</v>
      </c>
      <c r="E679" s="173">
        <f t="shared" ref="E679" si="263">SUM(E658+E665+E670+E678)</f>
        <v>95659.96</v>
      </c>
      <c r="F679" s="174">
        <f>SUM(F658,F665,F670,F678)</f>
        <v>201813.98910000001</v>
      </c>
      <c r="G679" s="174">
        <v>201813.98910000001</v>
      </c>
      <c r="H679" s="175">
        <f>SUM(H658+H665+H670+H678)</f>
        <v>193474.95999999996</v>
      </c>
      <c r="I679" s="175"/>
      <c r="J679" s="176">
        <f t="shared" ref="J679:Q679" si="264">SUM(J658+J665+J670+J678)</f>
        <v>194519</v>
      </c>
      <c r="K679" s="177">
        <f t="shared" si="264"/>
        <v>194519</v>
      </c>
      <c r="L679" s="178">
        <f t="shared" si="264"/>
        <v>188272.68</v>
      </c>
      <c r="M679" s="178">
        <f t="shared" si="264"/>
        <v>184395.65</v>
      </c>
      <c r="N679" s="179">
        <f t="shared" si="264"/>
        <v>180903.41</v>
      </c>
      <c r="O679" s="180">
        <f t="shared" si="264"/>
        <v>171177.39000000004</v>
      </c>
      <c r="P679" s="179">
        <f t="shared" si="264"/>
        <v>176656.88999999998</v>
      </c>
      <c r="Q679" s="181">
        <f t="shared" si="264"/>
        <v>172584.88</v>
      </c>
      <c r="R679" s="1"/>
      <c r="S679" s="1"/>
      <c r="T679" s="1"/>
    </row>
    <row r="680" spans="1:20" ht="13.5" customHeight="1" thickTop="1" x14ac:dyDescent="0.25">
      <c r="A680" s="1"/>
      <c r="B680" s="1"/>
      <c r="C680" s="1"/>
      <c r="D680" s="42"/>
      <c r="E680" s="44"/>
      <c r="F680" s="45"/>
      <c r="G680" s="45"/>
      <c r="H680" s="66"/>
      <c r="I680" s="66"/>
      <c r="J680" s="48"/>
      <c r="K680" s="49"/>
      <c r="L680" s="50"/>
      <c r="M680" s="50"/>
      <c r="N680" s="51"/>
      <c r="O680" s="52"/>
      <c r="P680" s="53"/>
      <c r="Q680" s="54" t="s">
        <v>3</v>
      </c>
      <c r="R680" s="1"/>
      <c r="S680" s="1"/>
      <c r="T680" s="1"/>
    </row>
    <row r="681" spans="1:20" ht="13.5" customHeight="1" x14ac:dyDescent="0.25">
      <c r="A681" s="1"/>
      <c r="B681" s="1"/>
      <c r="C681" s="41" t="s">
        <v>742</v>
      </c>
      <c r="D681" s="42"/>
      <c r="E681" s="44"/>
      <c r="F681" s="45"/>
      <c r="G681" s="45"/>
      <c r="H681" s="66"/>
      <c r="I681" s="66"/>
      <c r="J681" s="48"/>
      <c r="K681" s="49"/>
      <c r="L681" s="50"/>
      <c r="M681" s="50"/>
      <c r="N681" s="51"/>
      <c r="O681" s="52"/>
      <c r="P681" s="53"/>
      <c r="Q681" s="54"/>
      <c r="R681" s="1"/>
      <c r="S681" s="1"/>
      <c r="T681" s="1"/>
    </row>
    <row r="682" spans="1:20" ht="13.5" customHeight="1" x14ac:dyDescent="0.25">
      <c r="A682" s="1"/>
      <c r="B682" s="1" t="s">
        <v>743</v>
      </c>
      <c r="C682" s="1" t="s">
        <v>418</v>
      </c>
      <c r="D682" s="42">
        <v>58445</v>
      </c>
      <c r="E682" s="43">
        <v>27151.27</v>
      </c>
      <c r="F682" s="45">
        <v>57393</v>
      </c>
      <c r="G682" s="45">
        <v>57393</v>
      </c>
      <c r="H682" s="46">
        <v>54724.35</v>
      </c>
      <c r="I682" s="47">
        <f t="shared" ref="I682:I684" si="265">H682/J682</f>
        <v>1.0036009022887324</v>
      </c>
      <c r="J682" s="48">
        <v>54528</v>
      </c>
      <c r="K682" s="49">
        <v>54528</v>
      </c>
      <c r="L682" s="50">
        <v>53522.83</v>
      </c>
      <c r="M682" s="50">
        <v>52375.95</v>
      </c>
      <c r="N682" s="51">
        <v>51550.28</v>
      </c>
      <c r="O682" s="52">
        <v>49546.21</v>
      </c>
      <c r="P682" s="53">
        <v>49464.08</v>
      </c>
      <c r="Q682" s="54">
        <v>47664.02</v>
      </c>
      <c r="R682" s="1"/>
      <c r="S682" s="1"/>
      <c r="T682" s="1"/>
    </row>
    <row r="683" spans="1:20" ht="13.5" customHeight="1" x14ac:dyDescent="0.25">
      <c r="A683" s="1"/>
      <c r="B683" s="1" t="s">
        <v>744</v>
      </c>
      <c r="C683" s="1" t="s">
        <v>420</v>
      </c>
      <c r="D683" s="42">
        <v>37278</v>
      </c>
      <c r="E683" s="43">
        <v>17635.37</v>
      </c>
      <c r="F683" s="45">
        <v>37278</v>
      </c>
      <c r="G683" s="45">
        <v>37278</v>
      </c>
      <c r="H683" s="46">
        <v>31685.23</v>
      </c>
      <c r="I683" s="47">
        <f t="shared" si="265"/>
        <v>1.0070952259869048</v>
      </c>
      <c r="J683" s="48">
        <v>31462</v>
      </c>
      <c r="K683" s="49">
        <v>31462</v>
      </c>
      <c r="L683" s="50">
        <v>30879.88</v>
      </c>
      <c r="M683" s="50">
        <v>30216.14</v>
      </c>
      <c r="N683" s="51">
        <v>29739.81</v>
      </c>
      <c r="O683" s="52">
        <v>28165.55</v>
      </c>
      <c r="P683" s="53">
        <v>28141.86</v>
      </c>
      <c r="Q683" s="54">
        <v>27067.46</v>
      </c>
      <c r="R683" s="1"/>
      <c r="S683" s="1"/>
      <c r="T683" s="1"/>
    </row>
    <row r="684" spans="1:20" ht="13.5" customHeight="1" x14ac:dyDescent="0.25">
      <c r="A684" s="1"/>
      <c r="B684" s="1" t="s">
        <v>745</v>
      </c>
      <c r="C684" s="1" t="s">
        <v>423</v>
      </c>
      <c r="D684" s="42">
        <v>0</v>
      </c>
      <c r="E684" s="43">
        <v>0</v>
      </c>
      <c r="F684" s="45">
        <v>0</v>
      </c>
      <c r="G684" s="45">
        <v>0</v>
      </c>
      <c r="H684" s="46">
        <v>5906.43</v>
      </c>
      <c r="I684" s="47">
        <f t="shared" si="265"/>
        <v>0.97530217965653898</v>
      </c>
      <c r="J684" s="48">
        <v>6056</v>
      </c>
      <c r="K684" s="49">
        <v>6056</v>
      </c>
      <c r="L684" s="50">
        <v>5053.6499999999996</v>
      </c>
      <c r="M684" s="50">
        <v>5000.0600000000004</v>
      </c>
      <c r="N684" s="51">
        <v>5019.3</v>
      </c>
      <c r="O684" s="52">
        <v>5099.13</v>
      </c>
      <c r="P684" s="53">
        <v>9731.11</v>
      </c>
      <c r="Q684" s="54">
        <v>9500.2099999999991</v>
      </c>
      <c r="R684" s="1"/>
      <c r="S684" s="1"/>
      <c r="T684" s="1"/>
    </row>
    <row r="685" spans="1:20" ht="13.5" customHeight="1" x14ac:dyDescent="0.25">
      <c r="A685" s="1"/>
      <c r="B685" s="1"/>
      <c r="C685" s="1"/>
      <c r="D685" s="56">
        <v>95723</v>
      </c>
      <c r="E685" s="57">
        <f t="shared" ref="E685" si="266">SUM(E682:E684)</f>
        <v>44786.64</v>
      </c>
      <c r="F685" s="58">
        <f>SUM(F681:F684)</f>
        <v>94671</v>
      </c>
      <c r="G685" s="58">
        <v>94671</v>
      </c>
      <c r="H685" s="59">
        <f>SUM(H682:H684)</f>
        <v>92316.010000000009</v>
      </c>
      <c r="I685" s="59"/>
      <c r="J685" s="60">
        <f t="shared" ref="J685:Q685" si="267">SUM(J682:J684)</f>
        <v>92046</v>
      </c>
      <c r="K685" s="61">
        <f t="shared" si="267"/>
        <v>92046</v>
      </c>
      <c r="L685" s="62">
        <f t="shared" si="267"/>
        <v>89456.36</v>
      </c>
      <c r="M685" s="62">
        <f t="shared" si="267"/>
        <v>87592.15</v>
      </c>
      <c r="N685" s="63">
        <f t="shared" si="267"/>
        <v>86309.39</v>
      </c>
      <c r="O685" s="64">
        <f t="shared" si="267"/>
        <v>82810.89</v>
      </c>
      <c r="P685" s="63">
        <f t="shared" si="267"/>
        <v>87337.05</v>
      </c>
      <c r="Q685" s="54">
        <f t="shared" si="267"/>
        <v>84231.69</v>
      </c>
      <c r="R685" s="1"/>
      <c r="S685" s="1"/>
      <c r="T685" s="1"/>
    </row>
    <row r="686" spans="1:20" ht="13.5" customHeight="1" x14ac:dyDescent="0.25">
      <c r="A686" s="1"/>
      <c r="B686" s="1"/>
      <c r="C686" s="1"/>
      <c r="D686" s="42"/>
      <c r="E686" s="44"/>
      <c r="F686" s="45"/>
      <c r="G686" s="45"/>
      <c r="H686" s="66"/>
      <c r="I686" s="66"/>
      <c r="J686" s="48"/>
      <c r="K686" s="49"/>
      <c r="L686" s="50"/>
      <c r="M686" s="50"/>
      <c r="N686" s="51"/>
      <c r="O686" s="52"/>
      <c r="P686" s="53"/>
      <c r="Q686" s="54"/>
      <c r="R686" s="1"/>
      <c r="S686" s="1"/>
      <c r="T686" s="1"/>
    </row>
    <row r="687" spans="1:20" ht="13.5" customHeight="1" x14ac:dyDescent="0.25">
      <c r="A687" s="1"/>
      <c r="B687" s="1" t="s">
        <v>746</v>
      </c>
      <c r="C687" s="1" t="s">
        <v>247</v>
      </c>
      <c r="D687" s="42">
        <v>7368.7094999999999</v>
      </c>
      <c r="E687" s="43">
        <v>2989.87</v>
      </c>
      <c r="F687" s="45">
        <v>7288.2314999999999</v>
      </c>
      <c r="G687" s="45">
        <v>7288.2314999999999</v>
      </c>
      <c r="H687" s="46">
        <v>6178.95</v>
      </c>
      <c r="I687" s="47">
        <f t="shared" ref="I687:I692" si="268">H687/J687</f>
        <v>0.8717480248306998</v>
      </c>
      <c r="J687" s="48">
        <v>7088</v>
      </c>
      <c r="K687" s="49">
        <v>7088</v>
      </c>
      <c r="L687" s="50">
        <v>6020.52</v>
      </c>
      <c r="M687" s="50">
        <v>5876.86</v>
      </c>
      <c r="N687" s="51">
        <v>5908.64</v>
      </c>
      <c r="O687" s="52">
        <v>5897.73</v>
      </c>
      <c r="P687" s="53">
        <v>6636.5</v>
      </c>
      <c r="Q687" s="54">
        <v>6338.76</v>
      </c>
      <c r="R687" s="1"/>
      <c r="S687" s="1"/>
      <c r="T687" s="1"/>
    </row>
    <row r="688" spans="1:20" ht="13.5" customHeight="1" x14ac:dyDescent="0.25">
      <c r="A688" s="1"/>
      <c r="B688" s="1" t="s">
        <v>747</v>
      </c>
      <c r="C688" s="1" t="s">
        <v>249</v>
      </c>
      <c r="D688" s="42">
        <v>20926.869600000002</v>
      </c>
      <c r="E688" s="43">
        <v>10356.36</v>
      </c>
      <c r="F688" s="45">
        <v>20926.547200000001</v>
      </c>
      <c r="G688" s="45">
        <v>20926.547200000001</v>
      </c>
      <c r="H688" s="46">
        <v>20352.12</v>
      </c>
      <c r="I688" s="47">
        <f t="shared" si="268"/>
        <v>0.99327086383601748</v>
      </c>
      <c r="J688" s="48">
        <v>20490</v>
      </c>
      <c r="K688" s="49">
        <v>20490</v>
      </c>
      <c r="L688" s="50">
        <v>20280</v>
      </c>
      <c r="M688" s="50">
        <v>20278</v>
      </c>
      <c r="N688" s="51">
        <v>20331.2</v>
      </c>
      <c r="O688" s="52">
        <v>17719.62</v>
      </c>
      <c r="P688" s="53">
        <v>19955.599999999999</v>
      </c>
      <c r="Q688" s="54">
        <v>19233.599999999999</v>
      </c>
      <c r="R688" s="1"/>
      <c r="S688" s="1"/>
      <c r="T688" s="1"/>
    </row>
    <row r="689" spans="1:20" ht="13.5" customHeight="1" x14ac:dyDescent="0.25">
      <c r="A689" s="1"/>
      <c r="B689" s="1" t="s">
        <v>748</v>
      </c>
      <c r="C689" s="1" t="s">
        <v>251</v>
      </c>
      <c r="D689" s="42">
        <v>14467.714600000001</v>
      </c>
      <c r="E689" s="43">
        <v>6743.09</v>
      </c>
      <c r="F689" s="45">
        <v>14309.7042</v>
      </c>
      <c r="G689" s="45">
        <v>14309.7042</v>
      </c>
      <c r="H689" s="46">
        <v>13504.48</v>
      </c>
      <c r="I689" s="47">
        <f t="shared" si="268"/>
        <v>1.0038266557645135</v>
      </c>
      <c r="J689" s="48">
        <v>13453</v>
      </c>
      <c r="K689" s="49">
        <v>13453</v>
      </c>
      <c r="L689" s="50">
        <v>13000.01</v>
      </c>
      <c r="M689" s="50">
        <v>12202.36</v>
      </c>
      <c r="N689" s="51">
        <v>11861.84</v>
      </c>
      <c r="O689" s="52">
        <v>11329.51</v>
      </c>
      <c r="P689" s="53">
        <v>11856.25</v>
      </c>
      <c r="Q689" s="54">
        <v>10767.3</v>
      </c>
      <c r="R689" s="1"/>
      <c r="S689" s="1"/>
      <c r="T689" s="1"/>
    </row>
    <row r="690" spans="1:20" ht="13.5" customHeight="1" x14ac:dyDescent="0.25">
      <c r="A690" s="1"/>
      <c r="B690" s="1" t="s">
        <v>749</v>
      </c>
      <c r="C690" s="1" t="s">
        <v>253</v>
      </c>
      <c r="D690" s="42">
        <v>154.11680000000001</v>
      </c>
      <c r="E690" s="43">
        <v>71.86</v>
      </c>
      <c r="F690" s="45">
        <v>152.43360000000001</v>
      </c>
      <c r="G690" s="45">
        <v>152.43360000000001</v>
      </c>
      <c r="H690" s="46">
        <v>148.69</v>
      </c>
      <c r="I690" s="47">
        <f t="shared" si="268"/>
        <v>0.99791946308724833</v>
      </c>
      <c r="J690" s="48">
        <v>149</v>
      </c>
      <c r="K690" s="49">
        <v>149</v>
      </c>
      <c r="L690" s="50">
        <v>164.17</v>
      </c>
      <c r="M690" s="50">
        <v>166.38</v>
      </c>
      <c r="N690" s="51">
        <v>206.35</v>
      </c>
      <c r="O690" s="52">
        <v>223.16</v>
      </c>
      <c r="P690" s="53">
        <v>216.16</v>
      </c>
      <c r="Q690" s="54">
        <v>201.38</v>
      </c>
      <c r="R690" s="1"/>
      <c r="S690" s="1"/>
      <c r="T690" s="1"/>
    </row>
    <row r="691" spans="1:20" ht="13.5" customHeight="1" x14ac:dyDescent="0.25">
      <c r="A691" s="1"/>
      <c r="B691" s="1" t="s">
        <v>750</v>
      </c>
      <c r="C691" s="1" t="s">
        <v>255</v>
      </c>
      <c r="D691" s="42">
        <v>702.24</v>
      </c>
      <c r="E691" s="43">
        <v>334.56</v>
      </c>
      <c r="F691" s="45">
        <v>670</v>
      </c>
      <c r="G691" s="45">
        <v>670</v>
      </c>
      <c r="H691" s="46">
        <v>647.91999999999996</v>
      </c>
      <c r="I691" s="47">
        <f t="shared" si="268"/>
        <v>1.006086956521739</v>
      </c>
      <c r="J691" s="48">
        <v>644</v>
      </c>
      <c r="K691" s="49">
        <v>644</v>
      </c>
      <c r="L691" s="50">
        <v>626.48</v>
      </c>
      <c r="M691" s="50">
        <v>604.24</v>
      </c>
      <c r="N691" s="51">
        <v>659.08</v>
      </c>
      <c r="O691" s="52">
        <v>586.95000000000005</v>
      </c>
      <c r="P691" s="53">
        <v>670.8</v>
      </c>
      <c r="Q691" s="54">
        <v>640.6</v>
      </c>
      <c r="R691" s="1"/>
      <c r="S691" s="1"/>
      <c r="T691" s="1"/>
    </row>
    <row r="692" spans="1:20" ht="15" customHeight="1" x14ac:dyDescent="0.25">
      <c r="A692" s="1"/>
      <c r="B692" s="1" t="s">
        <v>751</v>
      </c>
      <c r="C692" s="1" t="s">
        <v>257</v>
      </c>
      <c r="D692" s="42">
        <v>0</v>
      </c>
      <c r="E692" s="43">
        <v>125</v>
      </c>
      <c r="F692" s="45">
        <v>600</v>
      </c>
      <c r="G692" s="45">
        <v>600</v>
      </c>
      <c r="H692" s="46">
        <v>600</v>
      </c>
      <c r="I692" s="47">
        <f t="shared" si="268"/>
        <v>1</v>
      </c>
      <c r="J692" s="48">
        <v>600</v>
      </c>
      <c r="K692" s="49">
        <v>600</v>
      </c>
      <c r="L692" s="50">
        <v>600</v>
      </c>
      <c r="M692" s="50">
        <v>600</v>
      </c>
      <c r="N692" s="51">
        <v>600</v>
      </c>
      <c r="O692" s="52">
        <v>0</v>
      </c>
      <c r="P692" s="53">
        <v>0</v>
      </c>
      <c r="Q692" s="54">
        <v>0</v>
      </c>
      <c r="R692" s="1"/>
      <c r="S692" s="1"/>
      <c r="T692" s="1"/>
    </row>
    <row r="693" spans="1:20" ht="15" customHeight="1" x14ac:dyDescent="0.25">
      <c r="A693" s="1"/>
      <c r="B693" s="1"/>
      <c r="C693" s="1"/>
      <c r="D693" s="56">
        <v>43619.650500000003</v>
      </c>
      <c r="E693" s="57">
        <f t="shared" ref="E693" si="269">SUM(E687:E692)</f>
        <v>20620.740000000002</v>
      </c>
      <c r="F693" s="58">
        <f>SUM(F686:F692)</f>
        <v>43946.916499999999</v>
      </c>
      <c r="G693" s="58">
        <v>43946.916499999999</v>
      </c>
      <c r="H693" s="59">
        <f>SUM(H687:H692)</f>
        <v>41432.160000000003</v>
      </c>
      <c r="I693" s="59"/>
      <c r="J693" s="60">
        <f t="shared" ref="J693:Q693" si="270">SUM(J687:J692)</f>
        <v>42424</v>
      </c>
      <c r="K693" s="61">
        <f t="shared" si="270"/>
        <v>42424</v>
      </c>
      <c r="L693" s="62">
        <f t="shared" si="270"/>
        <v>40691.18</v>
      </c>
      <c r="M693" s="62">
        <f t="shared" si="270"/>
        <v>39727.839999999997</v>
      </c>
      <c r="N693" s="63">
        <f t="shared" si="270"/>
        <v>39567.11</v>
      </c>
      <c r="O693" s="64">
        <f t="shared" si="270"/>
        <v>35756.97</v>
      </c>
      <c r="P693" s="63">
        <f t="shared" si="270"/>
        <v>39335.310000000005</v>
      </c>
      <c r="Q693" s="65">
        <f t="shared" si="270"/>
        <v>37181.64</v>
      </c>
      <c r="R693" s="1"/>
      <c r="S693" s="1"/>
      <c r="T693" s="1"/>
    </row>
    <row r="694" spans="1:20" ht="12.75" customHeight="1" x14ac:dyDescent="0.25">
      <c r="A694" s="1"/>
      <c r="B694" s="1"/>
      <c r="C694" s="1"/>
      <c r="D694" s="42"/>
      <c r="E694" s="44"/>
      <c r="F694" s="45"/>
      <c r="G694" s="45"/>
      <c r="H694" s="66"/>
      <c r="I694" s="66"/>
      <c r="J694" s="48"/>
      <c r="K694" s="49"/>
      <c r="L694" s="50"/>
      <c r="M694" s="50"/>
      <c r="N694" s="51"/>
      <c r="O694" s="52"/>
      <c r="P694" s="53"/>
      <c r="Q694" s="54"/>
      <c r="R694" s="1"/>
      <c r="S694" s="1"/>
      <c r="T694" s="1"/>
    </row>
    <row r="695" spans="1:20" ht="13.5" customHeight="1" x14ac:dyDescent="0.25">
      <c r="A695" s="1"/>
      <c r="B695" s="1" t="s">
        <v>752</v>
      </c>
      <c r="C695" s="1" t="s">
        <v>259</v>
      </c>
      <c r="D695" s="42">
        <v>1400</v>
      </c>
      <c r="E695" s="43">
        <v>890.05</v>
      </c>
      <c r="F695" s="45">
        <v>1400</v>
      </c>
      <c r="G695" s="45">
        <v>1400</v>
      </c>
      <c r="H695" s="46">
        <v>1213.81</v>
      </c>
      <c r="I695" s="47">
        <f t="shared" ref="I695:I698" si="271">H695/J695</f>
        <v>0.86700714285714287</v>
      </c>
      <c r="J695" s="48">
        <v>1400</v>
      </c>
      <c r="K695" s="49">
        <v>1400</v>
      </c>
      <c r="L695" s="50">
        <v>1025.2</v>
      </c>
      <c r="M695" s="50">
        <v>1361</v>
      </c>
      <c r="N695" s="51">
        <v>788.85</v>
      </c>
      <c r="O695" s="52">
        <v>1389.46</v>
      </c>
      <c r="P695" s="53">
        <v>1088</v>
      </c>
      <c r="Q695" s="54">
        <v>914.27</v>
      </c>
      <c r="R695" s="1"/>
      <c r="S695" s="1"/>
      <c r="T695" s="1"/>
    </row>
    <row r="696" spans="1:20" ht="13.5" customHeight="1" x14ac:dyDescent="0.25">
      <c r="A696" s="1"/>
      <c r="B696" s="1" t="s">
        <v>753</v>
      </c>
      <c r="C696" s="1" t="s">
        <v>261</v>
      </c>
      <c r="D696" s="42">
        <v>1300</v>
      </c>
      <c r="E696" s="43">
        <v>727.14</v>
      </c>
      <c r="F696" s="45">
        <v>1300</v>
      </c>
      <c r="G696" s="45">
        <v>1300</v>
      </c>
      <c r="H696" s="46">
        <v>981.3</v>
      </c>
      <c r="I696" s="47">
        <f t="shared" si="271"/>
        <v>0.9345714285714285</v>
      </c>
      <c r="J696" s="48">
        <v>1050</v>
      </c>
      <c r="K696" s="49">
        <v>1050</v>
      </c>
      <c r="L696" s="50">
        <v>1263.32</v>
      </c>
      <c r="M696" s="50">
        <v>1317.65</v>
      </c>
      <c r="N696" s="51">
        <v>652</v>
      </c>
      <c r="O696" s="52">
        <v>904.05</v>
      </c>
      <c r="P696" s="53">
        <v>678.58</v>
      </c>
      <c r="Q696" s="54">
        <v>1461.4</v>
      </c>
      <c r="R696" s="1"/>
      <c r="S696" s="1"/>
      <c r="T696" s="1"/>
    </row>
    <row r="697" spans="1:20" ht="13.5" customHeight="1" x14ac:dyDescent="0.25">
      <c r="A697" s="1"/>
      <c r="B697" s="1" t="s">
        <v>754</v>
      </c>
      <c r="C697" s="1" t="s">
        <v>435</v>
      </c>
      <c r="D697" s="42">
        <v>250</v>
      </c>
      <c r="E697" s="70">
        <v>0</v>
      </c>
      <c r="F697" s="45">
        <v>250</v>
      </c>
      <c r="G697" s="45">
        <v>250</v>
      </c>
      <c r="H697" s="68">
        <v>364</v>
      </c>
      <c r="I697" s="47">
        <f t="shared" si="271"/>
        <v>1.456</v>
      </c>
      <c r="J697" s="48">
        <v>250</v>
      </c>
      <c r="K697" s="49">
        <v>250</v>
      </c>
      <c r="L697" s="50">
        <v>213</v>
      </c>
      <c r="M697" s="50">
        <v>128</v>
      </c>
      <c r="N697" s="51">
        <v>131</v>
      </c>
      <c r="O697" s="52">
        <v>373</v>
      </c>
      <c r="P697" s="53">
        <v>151.5</v>
      </c>
      <c r="Q697" s="54">
        <v>270</v>
      </c>
      <c r="R697" s="1"/>
      <c r="S697" s="1"/>
      <c r="T697" s="1"/>
    </row>
    <row r="698" spans="1:20" ht="13.5" customHeight="1" x14ac:dyDescent="0.25">
      <c r="A698" s="1"/>
      <c r="B698" s="1" t="s">
        <v>755</v>
      </c>
      <c r="C698" s="1" t="s">
        <v>438</v>
      </c>
      <c r="D698" s="42">
        <v>182</v>
      </c>
      <c r="E698" s="70">
        <v>0</v>
      </c>
      <c r="F698" s="45">
        <v>182</v>
      </c>
      <c r="G698" s="45">
        <v>182</v>
      </c>
      <c r="H698" s="74">
        <v>0</v>
      </c>
      <c r="I698" s="47">
        <f t="shared" si="271"/>
        <v>0</v>
      </c>
      <c r="J698" s="48">
        <v>182</v>
      </c>
      <c r="K698" s="49">
        <v>182</v>
      </c>
      <c r="L698" s="50">
        <v>169.99</v>
      </c>
      <c r="M698" s="50">
        <v>247.49</v>
      </c>
      <c r="N698" s="53">
        <v>0</v>
      </c>
      <c r="O698" s="52"/>
      <c r="P698" s="53"/>
      <c r="Q698" s="54"/>
      <c r="R698" s="1"/>
      <c r="S698" s="1"/>
      <c r="T698" s="1"/>
    </row>
    <row r="699" spans="1:20" ht="13.5" customHeight="1" x14ac:dyDescent="0.25">
      <c r="A699" s="1"/>
      <c r="B699" s="1"/>
      <c r="C699" s="1"/>
      <c r="D699" s="56">
        <v>3132</v>
      </c>
      <c r="E699" s="57">
        <f t="shared" ref="E699" si="272">SUM(E695:E698)</f>
        <v>1617.19</v>
      </c>
      <c r="F699" s="58">
        <f>SUM(F694:F698)</f>
        <v>3132</v>
      </c>
      <c r="G699" s="58">
        <v>3132</v>
      </c>
      <c r="H699" s="91">
        <f>SUM(H695:H698)</f>
        <v>2559.1099999999997</v>
      </c>
      <c r="I699" s="91"/>
      <c r="J699" s="92">
        <f t="shared" ref="J699:Q699" si="273">SUM(J695:J698)</f>
        <v>2882</v>
      </c>
      <c r="K699" s="93">
        <f t="shared" si="273"/>
        <v>2882</v>
      </c>
      <c r="L699" s="94">
        <f t="shared" si="273"/>
        <v>2671.51</v>
      </c>
      <c r="M699" s="94">
        <f t="shared" si="273"/>
        <v>3054.1400000000003</v>
      </c>
      <c r="N699" s="95">
        <f t="shared" si="273"/>
        <v>1571.85</v>
      </c>
      <c r="O699" s="96">
        <f t="shared" si="273"/>
        <v>2666.51</v>
      </c>
      <c r="P699" s="95">
        <f t="shared" si="273"/>
        <v>1918.08</v>
      </c>
      <c r="Q699" s="97">
        <f t="shared" si="273"/>
        <v>2645.67</v>
      </c>
      <c r="R699" s="1"/>
      <c r="S699" s="1"/>
      <c r="T699" s="1"/>
    </row>
    <row r="700" spans="1:20" ht="13.5" customHeight="1" x14ac:dyDescent="0.25">
      <c r="A700" s="1"/>
      <c r="B700" s="1"/>
      <c r="C700" s="1"/>
      <c r="D700" s="72"/>
      <c r="E700" s="67"/>
      <c r="F700" s="73"/>
      <c r="G700" s="73"/>
      <c r="H700" s="74"/>
      <c r="I700" s="74"/>
      <c r="J700" s="75"/>
      <c r="K700" s="76"/>
      <c r="L700" s="50"/>
      <c r="M700" s="77"/>
      <c r="N700" s="53"/>
      <c r="O700" s="52"/>
      <c r="P700" s="53"/>
      <c r="Q700" s="54"/>
      <c r="R700" s="1"/>
      <c r="S700" s="1"/>
      <c r="T700" s="1"/>
    </row>
    <row r="701" spans="1:20" ht="13.5" customHeight="1" x14ac:dyDescent="0.25">
      <c r="A701" s="1"/>
      <c r="B701" s="1" t="s">
        <v>756</v>
      </c>
      <c r="C701" s="1" t="s">
        <v>318</v>
      </c>
      <c r="D701" s="42">
        <v>1300</v>
      </c>
      <c r="E701" s="43">
        <v>371.88</v>
      </c>
      <c r="F701" s="45">
        <v>1300</v>
      </c>
      <c r="G701" s="45">
        <v>1300</v>
      </c>
      <c r="H701" s="46">
        <v>1189.97</v>
      </c>
      <c r="I701" s="47">
        <f t="shared" ref="I701:I706" si="274">H701/J701</f>
        <v>1.2280392156862745</v>
      </c>
      <c r="J701" s="48">
        <v>969</v>
      </c>
      <c r="K701" s="49">
        <v>969</v>
      </c>
      <c r="L701" s="50">
        <v>1268.6400000000001</v>
      </c>
      <c r="M701" s="50">
        <v>1268.6400000000001</v>
      </c>
      <c r="N701" s="51">
        <v>1268.6400000000001</v>
      </c>
      <c r="O701" s="52">
        <v>1142.6400000000001</v>
      </c>
      <c r="P701" s="53">
        <v>1078.19</v>
      </c>
      <c r="Q701" s="54">
        <v>991.7</v>
      </c>
      <c r="R701" s="1"/>
      <c r="S701" s="1"/>
      <c r="T701" s="1"/>
    </row>
    <row r="702" spans="1:20" ht="13.5" customHeight="1" x14ac:dyDescent="0.25">
      <c r="A702" s="1"/>
      <c r="B702" s="1" t="s">
        <v>757</v>
      </c>
      <c r="C702" s="55" t="s">
        <v>273</v>
      </c>
      <c r="D702" s="42">
        <v>750</v>
      </c>
      <c r="E702" s="43">
        <v>125.44</v>
      </c>
      <c r="F702" s="45">
        <v>750</v>
      </c>
      <c r="G702" s="45">
        <v>750</v>
      </c>
      <c r="H702" s="46">
        <v>535.17999999999995</v>
      </c>
      <c r="I702" s="47">
        <f t="shared" si="274"/>
        <v>0.71357333333333328</v>
      </c>
      <c r="J702" s="48">
        <v>750</v>
      </c>
      <c r="K702" s="49">
        <v>750</v>
      </c>
      <c r="L702" s="50">
        <v>416.93</v>
      </c>
      <c r="M702" s="50">
        <v>337.8</v>
      </c>
      <c r="N702" s="53">
        <v>0</v>
      </c>
      <c r="O702" s="52">
        <v>0</v>
      </c>
      <c r="P702" s="53">
        <v>0</v>
      </c>
      <c r="Q702" s="54">
        <v>0</v>
      </c>
      <c r="R702" s="1"/>
      <c r="S702" s="1"/>
      <c r="T702" s="1"/>
    </row>
    <row r="703" spans="1:20" ht="13.5" customHeight="1" x14ac:dyDescent="0.25">
      <c r="A703" s="1"/>
      <c r="B703" s="1" t="s">
        <v>758</v>
      </c>
      <c r="C703" s="1" t="s">
        <v>404</v>
      </c>
      <c r="D703" s="42">
        <v>1500</v>
      </c>
      <c r="E703" s="43">
        <f>28.75+918.52</f>
        <v>947.27</v>
      </c>
      <c r="F703" s="45">
        <v>1500</v>
      </c>
      <c r="G703" s="45">
        <v>1500</v>
      </c>
      <c r="H703" s="66">
        <v>756.28</v>
      </c>
      <c r="I703" s="47">
        <f t="shared" si="274"/>
        <v>0.75627999999999995</v>
      </c>
      <c r="J703" s="48">
        <v>1000</v>
      </c>
      <c r="K703" s="49">
        <v>1000</v>
      </c>
      <c r="L703" s="50">
        <v>149.5</v>
      </c>
      <c r="M703" s="50">
        <v>942.68</v>
      </c>
      <c r="N703" s="51">
        <v>743</v>
      </c>
      <c r="O703" s="52">
        <v>1832.92</v>
      </c>
      <c r="P703" s="53">
        <v>701.05</v>
      </c>
      <c r="Q703" s="54">
        <v>0</v>
      </c>
      <c r="R703" s="1"/>
      <c r="S703" s="1"/>
      <c r="T703" s="1"/>
    </row>
    <row r="704" spans="1:20" ht="13.5" customHeight="1" x14ac:dyDescent="0.25">
      <c r="A704" s="1"/>
      <c r="B704" s="1" t="s">
        <v>759</v>
      </c>
      <c r="C704" s="1" t="s">
        <v>277</v>
      </c>
      <c r="D704" s="42">
        <v>100</v>
      </c>
      <c r="E704" s="43">
        <v>135</v>
      </c>
      <c r="F704" s="45">
        <v>100</v>
      </c>
      <c r="G704" s="45">
        <v>100</v>
      </c>
      <c r="H704" s="66">
        <v>75</v>
      </c>
      <c r="I704" s="47">
        <f t="shared" si="274"/>
        <v>0.75</v>
      </c>
      <c r="J704" s="48">
        <v>100</v>
      </c>
      <c r="K704" s="49">
        <v>100</v>
      </c>
      <c r="L704" s="50">
        <v>156</v>
      </c>
      <c r="M704" s="50">
        <v>302</v>
      </c>
      <c r="N704" s="51">
        <v>96</v>
      </c>
      <c r="O704" s="52">
        <v>36</v>
      </c>
      <c r="P704" s="53">
        <v>0</v>
      </c>
      <c r="Q704" s="54">
        <v>36</v>
      </c>
      <c r="R704" s="1"/>
      <c r="S704" s="1"/>
      <c r="T704" s="1"/>
    </row>
    <row r="705" spans="1:20" ht="13.5" customHeight="1" x14ac:dyDescent="0.25">
      <c r="A705" s="1"/>
      <c r="B705" s="1" t="s">
        <v>760</v>
      </c>
      <c r="C705" s="1" t="s">
        <v>279</v>
      </c>
      <c r="D705" s="42">
        <v>178</v>
      </c>
      <c r="E705" s="43">
        <v>0</v>
      </c>
      <c r="F705" s="45">
        <v>178</v>
      </c>
      <c r="G705" s="45">
        <v>178</v>
      </c>
      <c r="H705" s="66">
        <v>177.5</v>
      </c>
      <c r="I705" s="47">
        <f t="shared" si="274"/>
        <v>0.9971910112359551</v>
      </c>
      <c r="J705" s="48">
        <v>178</v>
      </c>
      <c r="K705" s="49">
        <v>178</v>
      </c>
      <c r="L705" s="50">
        <v>71</v>
      </c>
      <c r="M705" s="77" t="s">
        <v>16</v>
      </c>
      <c r="N705" s="53" t="s">
        <v>16</v>
      </c>
      <c r="O705" s="52">
        <v>177.5</v>
      </c>
      <c r="P705" s="53">
        <v>0</v>
      </c>
      <c r="Q705" s="54">
        <v>0</v>
      </c>
      <c r="R705" s="1"/>
      <c r="S705" s="1"/>
      <c r="T705" s="1"/>
    </row>
    <row r="706" spans="1:20" ht="13.5" customHeight="1" x14ac:dyDescent="0.25">
      <c r="A706" s="1"/>
      <c r="B706" s="1" t="s">
        <v>761</v>
      </c>
      <c r="C706" s="1" t="s">
        <v>281</v>
      </c>
      <c r="D706" s="42">
        <v>900</v>
      </c>
      <c r="E706" s="43">
        <v>414</v>
      </c>
      <c r="F706" s="45">
        <v>900</v>
      </c>
      <c r="G706" s="45">
        <v>900</v>
      </c>
      <c r="H706" s="46">
        <v>828</v>
      </c>
      <c r="I706" s="47">
        <f t="shared" si="274"/>
        <v>0.92</v>
      </c>
      <c r="J706" s="48">
        <v>900</v>
      </c>
      <c r="K706" s="49">
        <v>900</v>
      </c>
      <c r="L706" s="50">
        <v>828</v>
      </c>
      <c r="M706" s="50">
        <v>828</v>
      </c>
      <c r="N706" s="51">
        <v>870.46</v>
      </c>
      <c r="O706" s="52">
        <v>916.51</v>
      </c>
      <c r="P706" s="53">
        <v>836.08</v>
      </c>
      <c r="Q706" s="54">
        <v>929.46</v>
      </c>
      <c r="R706" s="1"/>
      <c r="S706" s="1"/>
      <c r="T706" s="1"/>
    </row>
    <row r="707" spans="1:20" ht="13.5" customHeight="1" x14ac:dyDescent="0.25">
      <c r="A707" s="1"/>
      <c r="B707" s="1"/>
      <c r="C707" s="1"/>
      <c r="D707" s="56">
        <v>4728</v>
      </c>
      <c r="E707" s="57">
        <f t="shared" ref="E707" si="275">SUM(E701:E706)</f>
        <v>1993.59</v>
      </c>
      <c r="F707" s="58">
        <f>SUM(F700:F706)</f>
        <v>4728</v>
      </c>
      <c r="G707" s="58">
        <v>4728</v>
      </c>
      <c r="H707" s="59">
        <f>SUM(H701:H706)</f>
        <v>3561.9300000000003</v>
      </c>
      <c r="I707" s="59"/>
      <c r="J707" s="60">
        <f t="shared" ref="J707:Q707" si="276">SUM(J701:J706)</f>
        <v>3897</v>
      </c>
      <c r="K707" s="61">
        <f t="shared" si="276"/>
        <v>3897</v>
      </c>
      <c r="L707" s="62">
        <f t="shared" si="276"/>
        <v>2890.07</v>
      </c>
      <c r="M707" s="62">
        <f t="shared" si="276"/>
        <v>3679.12</v>
      </c>
      <c r="N707" s="63">
        <f t="shared" si="276"/>
        <v>2978.1000000000004</v>
      </c>
      <c r="O707" s="64">
        <f t="shared" si="276"/>
        <v>4105.5700000000006</v>
      </c>
      <c r="P707" s="63">
        <f t="shared" si="276"/>
        <v>2615.3200000000002</v>
      </c>
      <c r="Q707" s="65">
        <f t="shared" si="276"/>
        <v>1957.16</v>
      </c>
      <c r="R707" s="1"/>
      <c r="S707" s="1"/>
      <c r="T707" s="1"/>
    </row>
    <row r="708" spans="1:20" ht="13.5" customHeight="1" thickBot="1" x14ac:dyDescent="0.3">
      <c r="A708" s="1"/>
      <c r="B708" s="1"/>
      <c r="C708" s="116" t="s">
        <v>762</v>
      </c>
      <c r="D708" s="267">
        <v>147202.65049999999</v>
      </c>
      <c r="E708" s="173">
        <f t="shared" ref="E708" si="277">E685+E693+E699+E707</f>
        <v>69018.16</v>
      </c>
      <c r="F708" s="174">
        <f>SUM(F685+F693+F699+F707)</f>
        <v>146477.91649999999</v>
      </c>
      <c r="G708" s="174">
        <v>146477.91649999999</v>
      </c>
      <c r="H708" s="175">
        <f>H685+H693+H699+H707</f>
        <v>139869.21</v>
      </c>
      <c r="I708" s="175"/>
      <c r="J708" s="176">
        <f t="shared" ref="J708:Q708" si="278">J685+J693+J699+J707</f>
        <v>141249</v>
      </c>
      <c r="K708" s="177">
        <f t="shared" si="278"/>
        <v>141249</v>
      </c>
      <c r="L708" s="178">
        <f t="shared" si="278"/>
        <v>135709.12000000002</v>
      </c>
      <c r="M708" s="178">
        <f t="shared" si="278"/>
        <v>134053.25</v>
      </c>
      <c r="N708" s="179">
        <f t="shared" si="278"/>
        <v>130426.45000000001</v>
      </c>
      <c r="O708" s="180">
        <f t="shared" si="278"/>
        <v>125339.94</v>
      </c>
      <c r="P708" s="179">
        <f t="shared" si="278"/>
        <v>131205.76000000001</v>
      </c>
      <c r="Q708" s="181">
        <f t="shared" si="278"/>
        <v>126016.16</v>
      </c>
      <c r="R708" s="1"/>
      <c r="S708" s="1"/>
      <c r="T708" s="1"/>
    </row>
    <row r="709" spans="1:20" ht="13.5" customHeight="1" thickTop="1" x14ac:dyDescent="0.25">
      <c r="A709" s="1"/>
      <c r="B709" s="1"/>
      <c r="C709" s="41"/>
      <c r="D709" s="42"/>
      <c r="E709" s="44"/>
      <c r="F709" s="45"/>
      <c r="G709" s="45"/>
      <c r="H709" s="66"/>
      <c r="I709" s="66"/>
      <c r="J709" s="48"/>
      <c r="K709" s="49"/>
      <c r="L709" s="50"/>
      <c r="M709" s="50"/>
      <c r="N709" s="51"/>
      <c r="O709" s="52"/>
      <c r="P709" s="53"/>
      <c r="Q709" s="54"/>
      <c r="R709" s="1"/>
      <c r="S709" s="1"/>
      <c r="T709" s="1"/>
    </row>
    <row r="710" spans="1:20" ht="13.5" customHeight="1" x14ac:dyDescent="0.25">
      <c r="A710" s="1"/>
      <c r="B710" s="1"/>
      <c r="C710" s="41" t="s">
        <v>763</v>
      </c>
      <c r="D710" s="42"/>
      <c r="E710" s="44"/>
      <c r="F710" s="45"/>
      <c r="G710" s="45"/>
      <c r="H710" s="66"/>
      <c r="I710" s="66"/>
      <c r="J710" s="48"/>
      <c r="K710" s="49"/>
      <c r="L710" s="50"/>
      <c r="M710" s="50"/>
      <c r="N710" s="51"/>
      <c r="O710" s="52"/>
      <c r="P710" s="53"/>
      <c r="Q710" s="54"/>
      <c r="R710" s="1"/>
      <c r="S710" s="1"/>
      <c r="T710" s="1"/>
    </row>
    <row r="711" spans="1:20" ht="13.5" customHeight="1" x14ac:dyDescent="0.25">
      <c r="A711" s="1"/>
      <c r="B711" s="1" t="s">
        <v>764</v>
      </c>
      <c r="C711" s="1" t="s">
        <v>418</v>
      </c>
      <c r="D711" s="42">
        <v>61718</v>
      </c>
      <c r="E711" s="43">
        <v>28672.78</v>
      </c>
      <c r="F711" s="45">
        <v>60607</v>
      </c>
      <c r="G711" s="45">
        <v>60607</v>
      </c>
      <c r="H711" s="46">
        <v>54810.94</v>
      </c>
      <c r="I711" s="47">
        <f t="shared" ref="I711:I713" si="279">H711/J711</f>
        <v>1.0051888937793427</v>
      </c>
      <c r="J711" s="48">
        <v>54528</v>
      </c>
      <c r="K711" s="49">
        <v>54528</v>
      </c>
      <c r="L711" s="50">
        <v>53522.83</v>
      </c>
      <c r="M711" s="50">
        <v>52375.95</v>
      </c>
      <c r="N711" s="51">
        <v>51550.28</v>
      </c>
      <c r="O711" s="52">
        <v>50115.38</v>
      </c>
      <c r="P711" s="53">
        <v>49464.32</v>
      </c>
      <c r="Q711" s="54">
        <v>47664.28</v>
      </c>
      <c r="R711" s="1"/>
      <c r="S711" s="1"/>
      <c r="T711" s="1"/>
    </row>
    <row r="712" spans="1:20" ht="13.5" customHeight="1" x14ac:dyDescent="0.25">
      <c r="A712" s="1"/>
      <c r="B712" s="1" t="s">
        <v>765</v>
      </c>
      <c r="C712" s="1" t="s">
        <v>420</v>
      </c>
      <c r="D712" s="42">
        <v>37278</v>
      </c>
      <c r="E712" s="43">
        <v>17635.37</v>
      </c>
      <c r="F712" s="45">
        <v>37278</v>
      </c>
      <c r="G712" s="45">
        <v>37278</v>
      </c>
      <c r="H712" s="46">
        <v>31444.36</v>
      </c>
      <c r="I712" s="47">
        <f t="shared" si="279"/>
        <v>0.99950286077558803</v>
      </c>
      <c r="J712" s="48">
        <v>31460</v>
      </c>
      <c r="K712" s="49">
        <v>31460</v>
      </c>
      <c r="L712" s="50">
        <v>30879.88</v>
      </c>
      <c r="M712" s="50">
        <v>30216.14</v>
      </c>
      <c r="N712" s="51">
        <v>29739.81</v>
      </c>
      <c r="O712" s="52">
        <v>28165.55</v>
      </c>
      <c r="P712" s="53">
        <v>29857.24</v>
      </c>
      <c r="Q712" s="54">
        <v>27067.46</v>
      </c>
      <c r="R712" s="1"/>
      <c r="S712" s="1"/>
      <c r="T712" s="1"/>
    </row>
    <row r="713" spans="1:20" ht="13.5" customHeight="1" x14ac:dyDescent="0.25">
      <c r="A713" s="1"/>
      <c r="B713" s="1" t="s">
        <v>766</v>
      </c>
      <c r="C713" s="1" t="s">
        <v>423</v>
      </c>
      <c r="D713" s="42">
        <v>0</v>
      </c>
      <c r="E713" s="43">
        <v>0</v>
      </c>
      <c r="F713" s="45">
        <v>0</v>
      </c>
      <c r="G713" s="45">
        <v>0</v>
      </c>
      <c r="H713" s="46">
        <v>9243.61</v>
      </c>
      <c r="I713" s="47">
        <f t="shared" si="279"/>
        <v>1.5138568621028496</v>
      </c>
      <c r="J713" s="48">
        <v>6106</v>
      </c>
      <c r="K713" s="49">
        <v>6106</v>
      </c>
      <c r="L713" s="50">
        <v>5256.75</v>
      </c>
      <c r="M713" s="50">
        <v>5000.0600000000004</v>
      </c>
      <c r="N713" s="51">
        <v>5019.3</v>
      </c>
      <c r="O713" s="52">
        <v>5269.29</v>
      </c>
      <c r="P713" s="53">
        <v>2607.56</v>
      </c>
      <c r="Q713" s="54">
        <v>2875.53</v>
      </c>
      <c r="R713" s="1"/>
      <c r="S713" s="1"/>
      <c r="T713" s="1"/>
    </row>
    <row r="714" spans="1:20" ht="13.5" customHeight="1" x14ac:dyDescent="0.25">
      <c r="A714" s="1"/>
      <c r="B714" s="1"/>
      <c r="C714" s="1"/>
      <c r="D714" s="56">
        <v>98996</v>
      </c>
      <c r="E714" s="57">
        <f t="shared" ref="E714" si="280">SUM(E711:E713)</f>
        <v>46308.149999999994</v>
      </c>
      <c r="F714" s="58">
        <f>SUM(F710:F713)</f>
        <v>97885</v>
      </c>
      <c r="G714" s="58">
        <v>97885</v>
      </c>
      <c r="H714" s="59">
        <f>SUM(H711:H713)</f>
        <v>95498.91</v>
      </c>
      <c r="I714" s="59"/>
      <c r="J714" s="60">
        <f t="shared" ref="J714:Q714" si="281">SUM(J711:J713)</f>
        <v>92094</v>
      </c>
      <c r="K714" s="61">
        <f t="shared" si="281"/>
        <v>92094</v>
      </c>
      <c r="L714" s="62">
        <f t="shared" si="281"/>
        <v>89659.46</v>
      </c>
      <c r="M714" s="62">
        <f t="shared" si="281"/>
        <v>87592.15</v>
      </c>
      <c r="N714" s="63">
        <f t="shared" si="281"/>
        <v>86309.39</v>
      </c>
      <c r="O714" s="64">
        <f t="shared" si="281"/>
        <v>83550.219999999987</v>
      </c>
      <c r="P714" s="63">
        <f t="shared" si="281"/>
        <v>81929.119999999995</v>
      </c>
      <c r="Q714" s="65">
        <f t="shared" si="281"/>
        <v>77607.26999999999</v>
      </c>
      <c r="R714" s="1"/>
      <c r="S714" s="1"/>
      <c r="T714" s="1"/>
    </row>
    <row r="715" spans="1:20" ht="13.5" customHeight="1" x14ac:dyDescent="0.25">
      <c r="A715" s="1"/>
      <c r="B715" s="1"/>
      <c r="C715" s="1"/>
      <c r="D715" s="42"/>
      <c r="E715" s="44"/>
      <c r="F715" s="45"/>
      <c r="G715" s="45"/>
      <c r="H715" s="66"/>
      <c r="I715" s="66"/>
      <c r="J715" s="48"/>
      <c r="K715" s="49"/>
      <c r="L715" s="50"/>
      <c r="M715" s="50"/>
      <c r="N715" s="51"/>
      <c r="O715" s="52"/>
      <c r="P715" s="53"/>
      <c r="Q715" s="54"/>
      <c r="R715" s="1"/>
      <c r="S715" s="1"/>
      <c r="T715" s="1"/>
    </row>
    <row r="716" spans="1:20" ht="13.5" customHeight="1" x14ac:dyDescent="0.25">
      <c r="A716" s="1"/>
      <c r="B716" s="1" t="s">
        <v>767</v>
      </c>
      <c r="C716" s="1" t="s">
        <v>247</v>
      </c>
      <c r="D716" s="42">
        <v>7573.1940000000004</v>
      </c>
      <c r="E716" s="43">
        <v>3178.2</v>
      </c>
      <c r="F716" s="45">
        <v>7534.1025</v>
      </c>
      <c r="G716" s="45">
        <v>7534.1025</v>
      </c>
      <c r="H716" s="46">
        <v>6622</v>
      </c>
      <c r="I716" s="47">
        <f t="shared" ref="I716:I721" si="282">H716/J716</f>
        <v>0.93385982230997033</v>
      </c>
      <c r="J716" s="48">
        <v>7091</v>
      </c>
      <c r="K716" s="49">
        <v>7091</v>
      </c>
      <c r="L716" s="50">
        <v>6385.5</v>
      </c>
      <c r="M716" s="50">
        <v>6310.75</v>
      </c>
      <c r="N716" s="51">
        <v>6211.05</v>
      </c>
      <c r="O716" s="52">
        <v>6125.29</v>
      </c>
      <c r="P716" s="53">
        <v>6067.27</v>
      </c>
      <c r="Q716" s="54">
        <v>5654.19</v>
      </c>
      <c r="R716" s="1"/>
      <c r="S716" s="1"/>
      <c r="T716" s="1"/>
    </row>
    <row r="717" spans="1:20" ht="13.5" customHeight="1" x14ac:dyDescent="0.25">
      <c r="A717" s="1"/>
      <c r="B717" s="1" t="s">
        <v>768</v>
      </c>
      <c r="C717" s="1" t="s">
        <v>249</v>
      </c>
      <c r="D717" s="42">
        <v>20926.869600000002</v>
      </c>
      <c r="E717" s="43">
        <v>10719.24</v>
      </c>
      <c r="F717" s="45">
        <v>20926.547200000001</v>
      </c>
      <c r="G717" s="45">
        <v>20926.547200000001</v>
      </c>
      <c r="H717" s="46">
        <v>19845.13</v>
      </c>
      <c r="I717" s="47">
        <f t="shared" si="282"/>
        <v>1.0027857503789794</v>
      </c>
      <c r="J717" s="48">
        <v>19790</v>
      </c>
      <c r="K717" s="49">
        <v>20490</v>
      </c>
      <c r="L717" s="50">
        <v>20280</v>
      </c>
      <c r="M717" s="50">
        <v>20278</v>
      </c>
      <c r="N717" s="51">
        <v>20331.2</v>
      </c>
      <c r="O717" s="52">
        <v>19405.419999999998</v>
      </c>
      <c r="P717" s="53">
        <v>18269.8</v>
      </c>
      <c r="Q717" s="54">
        <v>19233.599999999999</v>
      </c>
      <c r="R717" s="1"/>
      <c r="S717" s="1"/>
      <c r="T717" s="1"/>
    </row>
    <row r="718" spans="1:20" ht="13.5" customHeight="1" x14ac:dyDescent="0.25">
      <c r="A718" s="1"/>
      <c r="B718" s="1" t="s">
        <v>769</v>
      </c>
      <c r="C718" s="1" t="s">
        <v>251</v>
      </c>
      <c r="D718" s="42">
        <v>14869.199200000001</v>
      </c>
      <c r="E718" s="43">
        <v>6997.9</v>
      </c>
      <c r="F718" s="45">
        <v>14792.447</v>
      </c>
      <c r="G718" s="45">
        <v>14792.447</v>
      </c>
      <c r="H718" s="46">
        <v>13967.05</v>
      </c>
      <c r="I718" s="47">
        <f t="shared" si="282"/>
        <v>1.0377479753324912</v>
      </c>
      <c r="J718" s="48">
        <v>13459</v>
      </c>
      <c r="K718" s="49">
        <v>13459</v>
      </c>
      <c r="L718" s="50">
        <v>13029.41</v>
      </c>
      <c r="M718" s="50">
        <v>12202.43</v>
      </c>
      <c r="N718" s="51">
        <v>11861.93</v>
      </c>
      <c r="O718" s="52">
        <v>11690.09</v>
      </c>
      <c r="P718" s="53">
        <v>11121.79</v>
      </c>
      <c r="Q718" s="54">
        <v>9923.51</v>
      </c>
      <c r="R718" s="1"/>
      <c r="S718" s="1"/>
      <c r="T718" s="1"/>
    </row>
    <row r="719" spans="1:20" ht="13.5" customHeight="1" x14ac:dyDescent="0.25">
      <c r="A719" s="1"/>
      <c r="B719" s="1" t="s">
        <v>770</v>
      </c>
      <c r="C719" s="1" t="s">
        <v>253</v>
      </c>
      <c r="D719" s="42">
        <v>158.39359999999999</v>
      </c>
      <c r="E719" s="43">
        <v>74.56</v>
      </c>
      <c r="F719" s="45">
        <v>157.57600000000002</v>
      </c>
      <c r="G719" s="45">
        <v>157.57600000000002</v>
      </c>
      <c r="H719" s="46">
        <v>153.77000000000001</v>
      </c>
      <c r="I719" s="47">
        <f t="shared" si="282"/>
        <v>1.032013422818792</v>
      </c>
      <c r="J719" s="48">
        <v>149</v>
      </c>
      <c r="K719" s="49">
        <v>149</v>
      </c>
      <c r="L719" s="50">
        <v>164.46</v>
      </c>
      <c r="M719" s="50">
        <v>166.4</v>
      </c>
      <c r="N719" s="51">
        <v>206.18</v>
      </c>
      <c r="O719" s="52">
        <v>228.71</v>
      </c>
      <c r="P719" s="53">
        <v>203.21</v>
      </c>
      <c r="Q719" s="54">
        <v>185.65</v>
      </c>
      <c r="R719" s="1"/>
      <c r="S719" s="1"/>
      <c r="T719" s="1"/>
    </row>
    <row r="720" spans="1:20" ht="13.5" customHeight="1" x14ac:dyDescent="0.25">
      <c r="A720" s="1"/>
      <c r="B720" s="1" t="s">
        <v>771</v>
      </c>
      <c r="C720" s="1" t="s">
        <v>255</v>
      </c>
      <c r="D720" s="42">
        <v>702.24</v>
      </c>
      <c r="E720" s="43">
        <v>334.56</v>
      </c>
      <c r="F720" s="45">
        <v>670</v>
      </c>
      <c r="G720" s="45">
        <v>670</v>
      </c>
      <c r="H720" s="46">
        <v>631.83000000000004</v>
      </c>
      <c r="I720" s="47">
        <f t="shared" si="282"/>
        <v>0.98110248447204973</v>
      </c>
      <c r="J720" s="48">
        <v>644</v>
      </c>
      <c r="K720" s="49">
        <v>644</v>
      </c>
      <c r="L720" s="50">
        <v>626.48</v>
      </c>
      <c r="M720" s="50">
        <v>604.24</v>
      </c>
      <c r="N720" s="51">
        <v>659.08</v>
      </c>
      <c r="O720" s="52">
        <v>642.85</v>
      </c>
      <c r="P720" s="53">
        <v>614.9</v>
      </c>
      <c r="Q720" s="54">
        <v>640.6</v>
      </c>
      <c r="R720" s="1"/>
      <c r="S720" s="1"/>
      <c r="T720" s="1"/>
    </row>
    <row r="721" spans="1:20" ht="13.5" customHeight="1" x14ac:dyDescent="0.25">
      <c r="A721" s="1"/>
      <c r="B721" s="1" t="s">
        <v>772</v>
      </c>
      <c r="C721" s="1" t="s">
        <v>257</v>
      </c>
      <c r="D721" s="42">
        <v>0</v>
      </c>
      <c r="E721" s="43">
        <v>300</v>
      </c>
      <c r="F721" s="45">
        <v>600</v>
      </c>
      <c r="G721" s="45">
        <v>600</v>
      </c>
      <c r="H721" s="46">
        <v>600</v>
      </c>
      <c r="I721" s="47">
        <f t="shared" si="282"/>
        <v>1</v>
      </c>
      <c r="J721" s="48">
        <v>600</v>
      </c>
      <c r="K721" s="49">
        <v>600</v>
      </c>
      <c r="L721" s="50">
        <v>600</v>
      </c>
      <c r="M721" s="50">
        <v>600</v>
      </c>
      <c r="N721" s="51">
        <v>600</v>
      </c>
      <c r="O721" s="52">
        <v>575</v>
      </c>
      <c r="P721" s="53">
        <v>625</v>
      </c>
      <c r="Q721" s="54">
        <v>0</v>
      </c>
      <c r="R721" s="1"/>
      <c r="S721" s="1"/>
      <c r="T721" s="1"/>
    </row>
    <row r="722" spans="1:20" ht="13.5" customHeight="1" x14ac:dyDescent="0.25">
      <c r="A722" s="1"/>
      <c r="B722" s="1"/>
      <c r="C722" s="1"/>
      <c r="D722" s="56">
        <v>44229.896400000005</v>
      </c>
      <c r="E722" s="57">
        <f t="shared" ref="E722" si="283">SUM(E716:E721)</f>
        <v>21604.46</v>
      </c>
      <c r="F722" s="58">
        <f>SUM(F715:F721)</f>
        <v>44680.672700000003</v>
      </c>
      <c r="G722" s="58">
        <v>44680.672700000003</v>
      </c>
      <c r="H722" s="59">
        <f>SUM(H716:H721)</f>
        <v>41819.78</v>
      </c>
      <c r="I722" s="59"/>
      <c r="J722" s="60">
        <f t="shared" ref="J722:Q722" si="284">SUM(J716:J721)</f>
        <v>41733</v>
      </c>
      <c r="K722" s="61">
        <f t="shared" si="284"/>
        <v>42433</v>
      </c>
      <c r="L722" s="62">
        <f t="shared" si="284"/>
        <v>41085.850000000006</v>
      </c>
      <c r="M722" s="62">
        <f t="shared" si="284"/>
        <v>40161.82</v>
      </c>
      <c r="N722" s="63">
        <f t="shared" si="284"/>
        <v>39869.440000000002</v>
      </c>
      <c r="O722" s="64">
        <f t="shared" si="284"/>
        <v>38667.360000000001</v>
      </c>
      <c r="P722" s="63">
        <f t="shared" si="284"/>
        <v>36901.97</v>
      </c>
      <c r="Q722" s="65">
        <f t="shared" si="284"/>
        <v>35637.549999999996</v>
      </c>
      <c r="R722" s="1"/>
      <c r="S722" s="1"/>
      <c r="T722" s="1"/>
    </row>
    <row r="723" spans="1:20" ht="13.5" customHeight="1" x14ac:dyDescent="0.25">
      <c r="A723" s="1"/>
      <c r="B723" s="1"/>
      <c r="C723" s="1"/>
      <c r="D723" s="42"/>
      <c r="E723" s="44"/>
      <c r="F723" s="45"/>
      <c r="G723" s="45"/>
      <c r="H723" s="66"/>
      <c r="I723" s="66"/>
      <c r="J723" s="48"/>
      <c r="K723" s="49"/>
      <c r="L723" s="50"/>
      <c r="M723" s="50"/>
      <c r="N723" s="51"/>
      <c r="O723" s="52"/>
      <c r="P723" s="53"/>
      <c r="Q723" s="54"/>
      <c r="R723" s="1"/>
      <c r="S723" s="1"/>
      <c r="T723" s="1"/>
    </row>
    <row r="724" spans="1:20" ht="13.5" customHeight="1" x14ac:dyDescent="0.25">
      <c r="A724" s="1"/>
      <c r="B724" s="1" t="s">
        <v>773</v>
      </c>
      <c r="C724" s="1" t="s">
        <v>259</v>
      </c>
      <c r="D724" s="42">
        <v>1400</v>
      </c>
      <c r="E724" s="43">
        <v>218.6</v>
      </c>
      <c r="F724" s="45">
        <v>1400</v>
      </c>
      <c r="G724" s="45">
        <v>1400</v>
      </c>
      <c r="H724" s="46">
        <v>889.44</v>
      </c>
      <c r="I724" s="47">
        <f t="shared" ref="I724:I726" si="285">H724/J724</f>
        <v>0.6976</v>
      </c>
      <c r="J724" s="48">
        <v>1275</v>
      </c>
      <c r="K724" s="49">
        <v>1400</v>
      </c>
      <c r="L724" s="50">
        <v>1386.73</v>
      </c>
      <c r="M724" s="50">
        <v>1172.78</v>
      </c>
      <c r="N724" s="51">
        <v>1068.1300000000001</v>
      </c>
      <c r="O724" s="52">
        <v>713.88</v>
      </c>
      <c r="P724" s="53">
        <v>1768.84</v>
      </c>
      <c r="Q724" s="54">
        <v>630.71</v>
      </c>
      <c r="R724" s="1"/>
      <c r="S724" s="1"/>
      <c r="T724" s="1"/>
    </row>
    <row r="725" spans="1:20" ht="13.5" customHeight="1" x14ac:dyDescent="0.25">
      <c r="A725" s="1"/>
      <c r="B725" s="1" t="s">
        <v>774</v>
      </c>
      <c r="C725" s="1" t="s">
        <v>261</v>
      </c>
      <c r="D725" s="42">
        <v>1200</v>
      </c>
      <c r="E725" s="70">
        <v>401.88</v>
      </c>
      <c r="F725" s="45">
        <v>1200</v>
      </c>
      <c r="G725" s="45">
        <v>1200</v>
      </c>
      <c r="H725" s="68">
        <v>729.42</v>
      </c>
      <c r="I725" s="47">
        <f t="shared" si="285"/>
        <v>0.97255999999999998</v>
      </c>
      <c r="J725" s="48">
        <v>750</v>
      </c>
      <c r="K725" s="49">
        <v>750</v>
      </c>
      <c r="L725" s="50">
        <v>1143.2</v>
      </c>
      <c r="M725" s="50">
        <v>746.6</v>
      </c>
      <c r="N725" s="51">
        <v>585.76</v>
      </c>
      <c r="O725" s="52">
        <v>288.31</v>
      </c>
      <c r="P725" s="53">
        <v>540</v>
      </c>
      <c r="Q725" s="54">
        <v>599.4</v>
      </c>
      <c r="R725" s="1"/>
      <c r="S725" s="1"/>
      <c r="T725" s="1"/>
    </row>
    <row r="726" spans="1:20" ht="13.5" customHeight="1" x14ac:dyDescent="0.25">
      <c r="A726" s="1"/>
      <c r="B726" s="1" t="s">
        <v>775</v>
      </c>
      <c r="C726" s="1" t="s">
        <v>435</v>
      </c>
      <c r="D726" s="42">
        <v>250</v>
      </c>
      <c r="E726" s="70">
        <v>0</v>
      </c>
      <c r="F726" s="45">
        <v>250</v>
      </c>
      <c r="G726" s="45">
        <v>250</v>
      </c>
      <c r="H726" s="68">
        <v>0</v>
      </c>
      <c r="I726" s="47">
        <f t="shared" si="285"/>
        <v>0</v>
      </c>
      <c r="J726" s="48">
        <v>250</v>
      </c>
      <c r="K726" s="49">
        <v>250</v>
      </c>
      <c r="L726" s="77">
        <v>0</v>
      </c>
      <c r="M726" s="50">
        <v>36</v>
      </c>
      <c r="N726" s="51">
        <v>258.5</v>
      </c>
      <c r="O726" s="52">
        <v>543</v>
      </c>
      <c r="P726" s="53">
        <v>0</v>
      </c>
      <c r="Q726" s="54">
        <v>36</v>
      </c>
      <c r="R726" s="1"/>
      <c r="S726" s="1"/>
      <c r="T726" s="1"/>
    </row>
    <row r="727" spans="1:20" ht="13.5" customHeight="1" x14ac:dyDescent="0.25">
      <c r="A727" s="1"/>
      <c r="B727" s="1"/>
      <c r="C727" s="1"/>
      <c r="D727" s="56">
        <v>2850</v>
      </c>
      <c r="E727" s="57">
        <f t="shared" ref="E727" si="286">SUM(E724:E726)</f>
        <v>620.48</v>
      </c>
      <c r="F727" s="58">
        <f>SUM(F723:F726)</f>
        <v>2850</v>
      </c>
      <c r="G727" s="58">
        <v>2850</v>
      </c>
      <c r="H727" s="59">
        <f>SUM(H724:H726)</f>
        <v>1618.8600000000001</v>
      </c>
      <c r="I727" s="59"/>
      <c r="J727" s="60">
        <f t="shared" ref="J727:Q727" si="287">SUM(J724:J726)</f>
        <v>2275</v>
      </c>
      <c r="K727" s="61">
        <f t="shared" si="287"/>
        <v>2400</v>
      </c>
      <c r="L727" s="62">
        <f t="shared" si="287"/>
        <v>2529.9300000000003</v>
      </c>
      <c r="M727" s="62">
        <f t="shared" si="287"/>
        <v>1955.38</v>
      </c>
      <c r="N727" s="63">
        <f t="shared" si="287"/>
        <v>1912.39</v>
      </c>
      <c r="O727" s="64">
        <f t="shared" si="287"/>
        <v>1545.19</v>
      </c>
      <c r="P727" s="63">
        <f t="shared" si="287"/>
        <v>2308.84</v>
      </c>
      <c r="Q727" s="65">
        <f t="shared" si="287"/>
        <v>1266.1100000000001</v>
      </c>
      <c r="R727" s="1"/>
      <c r="S727" s="1"/>
      <c r="T727" s="1"/>
    </row>
    <row r="728" spans="1:20" ht="13.5" customHeight="1" x14ac:dyDescent="0.25">
      <c r="A728" s="1"/>
      <c r="B728" s="1"/>
      <c r="C728" s="1"/>
      <c r="D728" s="42"/>
      <c r="E728" s="67"/>
      <c r="F728" s="45"/>
      <c r="G728" s="45"/>
      <c r="H728" s="74"/>
      <c r="I728" s="66"/>
      <c r="J728" s="48"/>
      <c r="K728" s="49"/>
      <c r="L728" s="77"/>
      <c r="M728" s="50"/>
      <c r="N728" s="51"/>
      <c r="O728" s="52"/>
      <c r="P728" s="53"/>
      <c r="Q728" s="54"/>
      <c r="R728" s="1"/>
      <c r="S728" s="1"/>
      <c r="T728" s="1"/>
    </row>
    <row r="729" spans="1:20" ht="13.5" customHeight="1" x14ac:dyDescent="0.25">
      <c r="A729" s="1"/>
      <c r="B729" s="1" t="s">
        <v>776</v>
      </c>
      <c r="C729" s="1" t="s">
        <v>318</v>
      </c>
      <c r="D729" s="42">
        <v>1800</v>
      </c>
      <c r="E729" s="43">
        <v>785.5</v>
      </c>
      <c r="F729" s="45">
        <v>1800</v>
      </c>
      <c r="G729" s="45">
        <v>1800</v>
      </c>
      <c r="H729" s="46">
        <v>1704.81</v>
      </c>
      <c r="I729" s="47">
        <f t="shared" ref="I729:I734" si="288">H729/J729</f>
        <v>0.99001742160278738</v>
      </c>
      <c r="J729" s="48">
        <v>1722</v>
      </c>
      <c r="K729" s="49">
        <v>1725</v>
      </c>
      <c r="L729" s="50">
        <v>1793.98</v>
      </c>
      <c r="M729" s="50">
        <v>1390.46</v>
      </c>
      <c r="N729" s="51">
        <v>2209.3200000000002</v>
      </c>
      <c r="O729" s="52">
        <v>2128.1</v>
      </c>
      <c r="P729" s="53">
        <v>1856.63</v>
      </c>
      <c r="Q729" s="54">
        <v>1683.46</v>
      </c>
      <c r="R729" s="1"/>
      <c r="S729" s="1"/>
      <c r="T729" s="1"/>
    </row>
    <row r="730" spans="1:20" ht="13.5" customHeight="1" x14ac:dyDescent="0.25">
      <c r="A730" s="1"/>
      <c r="B730" s="1" t="s">
        <v>777</v>
      </c>
      <c r="C730" s="55" t="s">
        <v>273</v>
      </c>
      <c r="D730" s="42">
        <v>1500</v>
      </c>
      <c r="E730" s="43">
        <v>399.05</v>
      </c>
      <c r="F730" s="45">
        <v>1500</v>
      </c>
      <c r="G730" s="45">
        <v>1500</v>
      </c>
      <c r="H730" s="46">
        <v>2241.33</v>
      </c>
      <c r="I730" s="47">
        <f t="shared" si="288"/>
        <v>1.5457448275862069</v>
      </c>
      <c r="J730" s="48">
        <v>1450</v>
      </c>
      <c r="K730" s="49">
        <v>750</v>
      </c>
      <c r="L730" s="50">
        <v>1226.8399999999999</v>
      </c>
      <c r="M730" s="50">
        <v>786.92</v>
      </c>
      <c r="N730" s="51">
        <v>1094.7</v>
      </c>
      <c r="O730" s="52">
        <v>802.03</v>
      </c>
      <c r="P730" s="53">
        <v>1368.19</v>
      </c>
      <c r="Q730" s="54">
        <v>3071.29</v>
      </c>
      <c r="R730" s="1"/>
      <c r="S730" s="1"/>
      <c r="T730" s="1"/>
    </row>
    <row r="731" spans="1:20" ht="13.5" customHeight="1" x14ac:dyDescent="0.25">
      <c r="A731" s="1"/>
      <c r="B731" s="1" t="s">
        <v>778</v>
      </c>
      <c r="C731" s="1" t="s">
        <v>404</v>
      </c>
      <c r="D731" s="42">
        <v>1500</v>
      </c>
      <c r="E731" s="43">
        <v>875.37</v>
      </c>
      <c r="F731" s="45">
        <v>1500</v>
      </c>
      <c r="G731" s="45">
        <v>1500</v>
      </c>
      <c r="H731" s="46">
        <v>1001.92</v>
      </c>
      <c r="I731" s="47">
        <f t="shared" si="288"/>
        <v>0.88822695035460986</v>
      </c>
      <c r="J731" s="48">
        <v>1128</v>
      </c>
      <c r="K731" s="49">
        <v>1000</v>
      </c>
      <c r="L731" s="50">
        <v>753</v>
      </c>
      <c r="M731" s="50">
        <v>1793.85</v>
      </c>
      <c r="N731" s="51">
        <v>100</v>
      </c>
      <c r="O731" s="52">
        <v>719.21</v>
      </c>
      <c r="P731" s="53">
        <v>1147.6199999999999</v>
      </c>
      <c r="Q731" s="54">
        <v>903.59</v>
      </c>
      <c r="R731" s="1"/>
      <c r="S731" s="1"/>
      <c r="T731" s="1"/>
    </row>
    <row r="732" spans="1:20" ht="13.5" customHeight="1" x14ac:dyDescent="0.25">
      <c r="A732" s="1"/>
      <c r="B732" s="1" t="s">
        <v>779</v>
      </c>
      <c r="C732" s="1" t="s">
        <v>277</v>
      </c>
      <c r="D732" s="42">
        <v>150</v>
      </c>
      <c r="E732" s="43">
        <v>150</v>
      </c>
      <c r="F732" s="45">
        <v>150</v>
      </c>
      <c r="G732" s="45">
        <v>150</v>
      </c>
      <c r="H732" s="66">
        <v>170</v>
      </c>
      <c r="I732" s="47">
        <f t="shared" si="288"/>
        <v>1.7</v>
      </c>
      <c r="J732" s="48">
        <v>100</v>
      </c>
      <c r="K732" s="49">
        <v>100</v>
      </c>
      <c r="L732" s="50">
        <v>95</v>
      </c>
      <c r="M732" s="50">
        <v>168</v>
      </c>
      <c r="N732" s="51">
        <v>150</v>
      </c>
      <c r="O732" s="52">
        <v>131</v>
      </c>
      <c r="P732" s="53">
        <v>40</v>
      </c>
      <c r="Q732" s="54">
        <v>35</v>
      </c>
      <c r="R732" s="1"/>
      <c r="S732" s="1"/>
      <c r="T732" s="1"/>
    </row>
    <row r="733" spans="1:20" ht="13.5" customHeight="1" x14ac:dyDescent="0.25">
      <c r="A733" s="1"/>
      <c r="B733" s="1" t="s">
        <v>780</v>
      </c>
      <c r="C733" s="1" t="s">
        <v>279</v>
      </c>
      <c r="D733" s="42">
        <v>200</v>
      </c>
      <c r="E733" s="43">
        <v>0</v>
      </c>
      <c r="F733" s="45">
        <v>200</v>
      </c>
      <c r="G733" s="45">
        <v>200</v>
      </c>
      <c r="H733" s="66">
        <v>248.5</v>
      </c>
      <c r="I733" s="47">
        <f t="shared" si="288"/>
        <v>1.396067415730337</v>
      </c>
      <c r="J733" s="48">
        <v>178</v>
      </c>
      <c r="K733" s="49">
        <v>178</v>
      </c>
      <c r="L733" s="50">
        <v>71</v>
      </c>
      <c r="M733" s="77">
        <v>0</v>
      </c>
      <c r="N733" s="53">
        <v>0</v>
      </c>
      <c r="O733" s="52">
        <v>177.5</v>
      </c>
      <c r="P733" s="53">
        <v>142</v>
      </c>
      <c r="Q733" s="54">
        <v>0</v>
      </c>
      <c r="R733" s="1"/>
      <c r="S733" s="1"/>
      <c r="T733" s="1"/>
    </row>
    <row r="734" spans="1:20" ht="13.5" customHeight="1" x14ac:dyDescent="0.25">
      <c r="A734" s="1"/>
      <c r="B734" s="1" t="s">
        <v>781</v>
      </c>
      <c r="C734" s="1" t="s">
        <v>281</v>
      </c>
      <c r="D734" s="42">
        <v>1040</v>
      </c>
      <c r="E734" s="43">
        <v>414</v>
      </c>
      <c r="F734" s="45">
        <v>1040</v>
      </c>
      <c r="G734" s="45">
        <v>1040</v>
      </c>
      <c r="H734" s="46">
        <v>828</v>
      </c>
      <c r="I734" s="47">
        <f t="shared" si="288"/>
        <v>0.7961538461538461</v>
      </c>
      <c r="J734" s="48">
        <v>1040</v>
      </c>
      <c r="K734" s="49">
        <v>1040</v>
      </c>
      <c r="L734" s="50">
        <v>828</v>
      </c>
      <c r="M734" s="50">
        <v>828</v>
      </c>
      <c r="N734" s="51">
        <v>911.4</v>
      </c>
      <c r="O734" s="52">
        <v>962.09</v>
      </c>
      <c r="P734" s="53">
        <v>825.6</v>
      </c>
      <c r="Q734" s="54">
        <v>931.95</v>
      </c>
      <c r="R734" s="1"/>
      <c r="S734" s="1"/>
      <c r="T734" s="1"/>
    </row>
    <row r="735" spans="1:20" ht="13.5" customHeight="1" x14ac:dyDescent="0.25">
      <c r="A735" s="1"/>
      <c r="B735" s="1"/>
      <c r="C735" s="1"/>
      <c r="D735" s="56">
        <v>6190</v>
      </c>
      <c r="E735" s="57">
        <f t="shared" ref="E735" si="289">SUM(E729:E734)</f>
        <v>2623.92</v>
      </c>
      <c r="F735" s="58">
        <f>SUM(F728:F734)</f>
        <v>6190</v>
      </c>
      <c r="G735" s="58">
        <v>6190</v>
      </c>
      <c r="H735" s="59">
        <f>SUM(H729:H734)</f>
        <v>6194.5599999999995</v>
      </c>
      <c r="I735" s="59"/>
      <c r="J735" s="60">
        <f t="shared" ref="J735:Q735" si="290">SUM(J729:J734)</f>
        <v>5618</v>
      </c>
      <c r="K735" s="61">
        <f t="shared" si="290"/>
        <v>4793</v>
      </c>
      <c r="L735" s="62">
        <f t="shared" si="290"/>
        <v>4767.82</v>
      </c>
      <c r="M735" s="62">
        <f t="shared" si="290"/>
        <v>4967.2299999999996</v>
      </c>
      <c r="N735" s="63">
        <f t="shared" si="290"/>
        <v>4465.42</v>
      </c>
      <c r="O735" s="64">
        <f t="shared" si="290"/>
        <v>4919.93</v>
      </c>
      <c r="P735" s="63">
        <f t="shared" si="290"/>
        <v>5380.0400000000009</v>
      </c>
      <c r="Q735" s="65">
        <f t="shared" si="290"/>
        <v>6625.29</v>
      </c>
      <c r="R735" s="1"/>
      <c r="S735" s="1"/>
      <c r="T735" s="1"/>
    </row>
    <row r="736" spans="1:20" ht="13.5" customHeight="1" thickBot="1" x14ac:dyDescent="0.3">
      <c r="A736" s="1"/>
      <c r="B736" s="1"/>
      <c r="C736" s="116" t="s">
        <v>782</v>
      </c>
      <c r="D736" s="267">
        <v>152265.8964</v>
      </c>
      <c r="E736" s="173">
        <f t="shared" ref="E736" si="291">SUM(E714+E722+E727+E735)</f>
        <v>71157.00999999998</v>
      </c>
      <c r="F736" s="174">
        <f>SUM(F714+F722+F727+F735)</f>
        <v>151605.6727</v>
      </c>
      <c r="G736" s="174">
        <v>151605.6727</v>
      </c>
      <c r="H736" s="175">
        <f>SUM(H714+H722+H727+H735)</f>
        <v>145132.10999999999</v>
      </c>
      <c r="I736" s="175"/>
      <c r="J736" s="176">
        <f t="shared" ref="J736:Q736" si="292">SUM(J714+J722+J727+J735)</f>
        <v>141720</v>
      </c>
      <c r="K736" s="177">
        <f t="shared" si="292"/>
        <v>141720</v>
      </c>
      <c r="L736" s="178">
        <f t="shared" si="292"/>
        <v>138043.06000000003</v>
      </c>
      <c r="M736" s="178">
        <f t="shared" si="292"/>
        <v>134676.58000000002</v>
      </c>
      <c r="N736" s="179">
        <f t="shared" si="292"/>
        <v>132556.64000000001</v>
      </c>
      <c r="O736" s="180">
        <f t="shared" si="292"/>
        <v>128682.69999999998</v>
      </c>
      <c r="P736" s="179">
        <f t="shared" si="292"/>
        <v>126519.97</v>
      </c>
      <c r="Q736" s="181">
        <f t="shared" si="292"/>
        <v>121136.21999999997</v>
      </c>
      <c r="R736" s="1"/>
      <c r="S736" s="1"/>
      <c r="T736" s="1"/>
    </row>
    <row r="737" spans="1:20" ht="13.5" customHeight="1" thickTop="1" x14ac:dyDescent="0.25">
      <c r="A737" s="1"/>
      <c r="B737" s="1"/>
      <c r="C737" s="1"/>
      <c r="D737" s="42"/>
      <c r="E737" s="44"/>
      <c r="F737" s="45"/>
      <c r="G737" s="45"/>
      <c r="H737" s="66"/>
      <c r="I737" s="66"/>
      <c r="J737" s="48"/>
      <c r="K737" s="49"/>
      <c r="L737" s="50"/>
      <c r="M737" s="50"/>
      <c r="N737" s="51"/>
      <c r="O737" s="151"/>
      <c r="P737" s="51"/>
      <c r="Q737" s="152"/>
      <c r="R737" s="1"/>
      <c r="S737" s="1"/>
      <c r="T737" s="1"/>
    </row>
    <row r="738" spans="1:20" ht="13.5" customHeight="1" x14ac:dyDescent="0.25">
      <c r="A738" s="1"/>
      <c r="B738" s="1"/>
      <c r="C738" s="41" t="s">
        <v>783</v>
      </c>
      <c r="D738" s="42"/>
      <c r="E738" s="44"/>
      <c r="F738" s="45"/>
      <c r="G738" s="45"/>
      <c r="H738" s="66"/>
      <c r="I738" s="66"/>
      <c r="J738" s="48"/>
      <c r="K738" s="49"/>
      <c r="L738" s="50"/>
      <c r="M738" s="50"/>
      <c r="N738" s="51"/>
      <c r="O738" s="52"/>
      <c r="P738" s="53"/>
      <c r="Q738" s="54"/>
      <c r="R738" s="1"/>
      <c r="S738" s="1"/>
      <c r="T738" s="1"/>
    </row>
    <row r="739" spans="1:20" ht="13.5" customHeight="1" x14ac:dyDescent="0.25">
      <c r="A739" s="1"/>
      <c r="B739" s="1" t="s">
        <v>784</v>
      </c>
      <c r="C739" s="1" t="s">
        <v>418</v>
      </c>
      <c r="D739" s="42">
        <v>56360</v>
      </c>
      <c r="E739" s="43">
        <v>26182.39</v>
      </c>
      <c r="F739" s="45">
        <v>55345</v>
      </c>
      <c r="G739" s="45">
        <v>55345</v>
      </c>
      <c r="H739" s="46">
        <v>54669.22</v>
      </c>
      <c r="I739" s="47">
        <f t="shared" ref="I739:I741" si="293">H739/J739</f>
        <v>1.002589862089202</v>
      </c>
      <c r="J739" s="48">
        <v>54528</v>
      </c>
      <c r="K739" s="49">
        <v>54528</v>
      </c>
      <c r="L739" s="50">
        <v>53522.83</v>
      </c>
      <c r="M739" s="50">
        <v>47945.31</v>
      </c>
      <c r="N739" s="51">
        <v>51550.28</v>
      </c>
      <c r="O739" s="52">
        <v>49546.33</v>
      </c>
      <c r="P739" s="53">
        <v>49464.08</v>
      </c>
      <c r="Q739" s="54">
        <v>47664.02</v>
      </c>
      <c r="R739" s="1"/>
      <c r="S739" s="1"/>
      <c r="T739" s="1"/>
    </row>
    <row r="740" spans="1:20" ht="13.5" customHeight="1" x14ac:dyDescent="0.25">
      <c r="A740" s="1"/>
      <c r="B740" s="1" t="s">
        <v>785</v>
      </c>
      <c r="C740" s="1" t="s">
        <v>420</v>
      </c>
      <c r="D740" s="42">
        <v>64472</v>
      </c>
      <c r="E740" s="43">
        <v>28639.29</v>
      </c>
      <c r="F740" s="45">
        <v>64472</v>
      </c>
      <c r="G740" s="45">
        <v>64472</v>
      </c>
      <c r="H740" s="46">
        <v>60328.12</v>
      </c>
      <c r="I740" s="47">
        <f t="shared" si="293"/>
        <v>0.95880673871582967</v>
      </c>
      <c r="J740" s="48">
        <v>62920</v>
      </c>
      <c r="K740" s="49">
        <v>62920</v>
      </c>
      <c r="L740" s="50">
        <v>61058.94</v>
      </c>
      <c r="M740" s="50">
        <v>60436.35</v>
      </c>
      <c r="N740" s="51">
        <v>59483.8</v>
      </c>
      <c r="O740" s="52">
        <v>56335.75</v>
      </c>
      <c r="P740" s="53">
        <v>50412.15</v>
      </c>
      <c r="Q740" s="54">
        <v>54137.02</v>
      </c>
      <c r="R740" s="1"/>
      <c r="S740" s="1"/>
      <c r="T740" s="1"/>
    </row>
    <row r="741" spans="1:20" ht="13.5" customHeight="1" x14ac:dyDescent="0.25">
      <c r="A741" s="1"/>
      <c r="B741" s="1" t="s">
        <v>786</v>
      </c>
      <c r="C741" s="1" t="s">
        <v>423</v>
      </c>
      <c r="D741" s="42">
        <v>0</v>
      </c>
      <c r="E741" s="43">
        <v>0</v>
      </c>
      <c r="F741" s="45">
        <v>0</v>
      </c>
      <c r="G741" s="45">
        <v>0</v>
      </c>
      <c r="H741" s="66">
        <v>821.71</v>
      </c>
      <c r="I741" s="47">
        <f t="shared" si="293"/>
        <v>0.26583953413134909</v>
      </c>
      <c r="J741" s="48">
        <v>3091</v>
      </c>
      <c r="K741" s="49">
        <v>3091</v>
      </c>
      <c r="L741" s="50">
        <v>2843.78</v>
      </c>
      <c r="M741" s="50">
        <v>3223.85</v>
      </c>
      <c r="N741" s="51">
        <v>4601.5200000000004</v>
      </c>
      <c r="O741" s="52">
        <v>4168.96</v>
      </c>
      <c r="P741" s="53">
        <v>4872.12</v>
      </c>
      <c r="Q741" s="54">
        <v>5974.36</v>
      </c>
      <c r="R741" s="1"/>
      <c r="S741" s="1"/>
      <c r="T741" s="1"/>
    </row>
    <row r="742" spans="1:20" ht="13.5" customHeight="1" x14ac:dyDescent="0.25">
      <c r="A742" s="1"/>
      <c r="B742" s="1"/>
      <c r="C742" s="1"/>
      <c r="D742" s="56">
        <v>120832</v>
      </c>
      <c r="E742" s="57">
        <f t="shared" ref="E742" si="294">SUM(E739:E741)</f>
        <v>54821.68</v>
      </c>
      <c r="F742" s="58">
        <f>SUM(F738:F741)</f>
        <v>119817</v>
      </c>
      <c r="G742" s="58">
        <v>119817</v>
      </c>
      <c r="H742" s="59">
        <f>SUM(H739:H741)</f>
        <v>115819.05</v>
      </c>
      <c r="I742" s="59"/>
      <c r="J742" s="60">
        <f t="shared" ref="J742:Q742" si="295">SUM(J739:J741)</f>
        <v>120539</v>
      </c>
      <c r="K742" s="61">
        <f t="shared" si="295"/>
        <v>120539</v>
      </c>
      <c r="L742" s="62">
        <f t="shared" si="295"/>
        <v>117425.55</v>
      </c>
      <c r="M742" s="62">
        <f t="shared" si="295"/>
        <v>111605.51000000001</v>
      </c>
      <c r="N742" s="63">
        <f t="shared" si="295"/>
        <v>115635.6</v>
      </c>
      <c r="O742" s="64">
        <f t="shared" si="295"/>
        <v>110051.04000000001</v>
      </c>
      <c r="P742" s="63">
        <f t="shared" si="295"/>
        <v>104748.35</v>
      </c>
      <c r="Q742" s="65">
        <f t="shared" si="295"/>
        <v>107775.4</v>
      </c>
      <c r="R742" s="1"/>
      <c r="S742" s="1"/>
      <c r="T742" s="1"/>
    </row>
    <row r="743" spans="1:20" ht="13.5" customHeight="1" x14ac:dyDescent="0.25">
      <c r="A743" s="1"/>
      <c r="B743" s="1"/>
      <c r="C743" s="1"/>
      <c r="D743" s="42"/>
      <c r="E743" s="44"/>
      <c r="F743" s="45"/>
      <c r="G743" s="45"/>
      <c r="H743" s="66"/>
      <c r="I743" s="66"/>
      <c r="J743" s="48"/>
      <c r="K743" s="49"/>
      <c r="L743" s="50"/>
      <c r="M743" s="50"/>
      <c r="N743" s="51"/>
      <c r="O743" s="52"/>
      <c r="P743" s="53"/>
      <c r="Q743" s="54"/>
      <c r="R743" s="1"/>
      <c r="S743" s="1"/>
      <c r="T743" s="1"/>
    </row>
    <row r="744" spans="1:20" ht="13.5" customHeight="1" x14ac:dyDescent="0.25">
      <c r="A744" s="1"/>
      <c r="B744" s="1" t="s">
        <v>787</v>
      </c>
      <c r="C744" s="1" t="s">
        <v>247</v>
      </c>
      <c r="D744" s="42">
        <v>9243.648000000001</v>
      </c>
      <c r="E744" s="43">
        <v>3659.33</v>
      </c>
      <c r="F744" s="45">
        <v>9211.9004999999997</v>
      </c>
      <c r="G744" s="45">
        <v>9211.9004999999997</v>
      </c>
      <c r="H744" s="46">
        <v>7677.63</v>
      </c>
      <c r="I744" s="47">
        <f t="shared" ref="I744:I749" si="296">H744/J744</f>
        <v>0.82840202848511002</v>
      </c>
      <c r="J744" s="48">
        <v>9268</v>
      </c>
      <c r="K744" s="49">
        <v>9268</v>
      </c>
      <c r="L744" s="50">
        <v>7749.75</v>
      </c>
      <c r="M744" s="50">
        <v>7062.42</v>
      </c>
      <c r="N744" s="51">
        <v>7240.22</v>
      </c>
      <c r="O744" s="52">
        <v>7019.2</v>
      </c>
      <c r="P744" s="53">
        <v>6933.05</v>
      </c>
      <c r="Q744" s="54">
        <v>7281.48</v>
      </c>
      <c r="R744" s="1"/>
      <c r="S744" s="1"/>
      <c r="T744" s="1"/>
    </row>
    <row r="745" spans="1:20" ht="13.5" customHeight="1" x14ac:dyDescent="0.25">
      <c r="A745" s="1"/>
      <c r="B745" s="1" t="s">
        <v>788</v>
      </c>
      <c r="C745" s="1" t="s">
        <v>249</v>
      </c>
      <c r="D745" s="42">
        <v>31390.304400000001</v>
      </c>
      <c r="E745" s="43">
        <v>15820.63</v>
      </c>
      <c r="F745" s="45">
        <v>31389.820800000001</v>
      </c>
      <c r="G745" s="45">
        <v>31389.820800000001</v>
      </c>
      <c r="H745" s="46">
        <v>27993.18</v>
      </c>
      <c r="I745" s="47">
        <f t="shared" si="296"/>
        <v>0.93360392209178233</v>
      </c>
      <c r="J745" s="48">
        <v>29984</v>
      </c>
      <c r="K745" s="49">
        <v>30734</v>
      </c>
      <c r="L745" s="50">
        <v>27885</v>
      </c>
      <c r="M745" s="50">
        <v>27882.3</v>
      </c>
      <c r="N745" s="51">
        <v>30496.799999999999</v>
      </c>
      <c r="O745" s="52">
        <v>30372.48</v>
      </c>
      <c r="P745" s="53">
        <v>24944.5</v>
      </c>
      <c r="Q745" s="54">
        <v>28850.400000000001</v>
      </c>
      <c r="R745" s="1"/>
      <c r="S745" s="1"/>
      <c r="T745" s="1"/>
    </row>
    <row r="746" spans="1:20" ht="13.5" customHeight="1" x14ac:dyDescent="0.25">
      <c r="A746" s="1"/>
      <c r="B746" s="1" t="s">
        <v>789</v>
      </c>
      <c r="C746" s="1" t="s">
        <v>251</v>
      </c>
      <c r="D746" s="42">
        <v>18148.966400000001</v>
      </c>
      <c r="E746" s="43">
        <v>8250.34</v>
      </c>
      <c r="F746" s="45">
        <v>18086.633399999999</v>
      </c>
      <c r="G746" s="45">
        <v>18086.633399999999</v>
      </c>
      <c r="H746" s="46">
        <v>16920.47</v>
      </c>
      <c r="I746" s="47">
        <f t="shared" si="296"/>
        <v>0.96193689596361576</v>
      </c>
      <c r="J746" s="48">
        <v>17590</v>
      </c>
      <c r="K746" s="49">
        <v>17590</v>
      </c>
      <c r="L746" s="50">
        <v>17050.02</v>
      </c>
      <c r="M746" s="50">
        <v>15548.04</v>
      </c>
      <c r="N746" s="51">
        <v>15905.63</v>
      </c>
      <c r="O746" s="52">
        <v>15056.25</v>
      </c>
      <c r="P746" s="53">
        <v>14220.13</v>
      </c>
      <c r="Q746" s="54">
        <v>13779.93</v>
      </c>
      <c r="R746" s="1"/>
      <c r="S746" s="1"/>
      <c r="T746" s="1"/>
    </row>
    <row r="747" spans="1:20" ht="13.5" customHeight="1" x14ac:dyDescent="0.25">
      <c r="A747" s="1"/>
      <c r="B747" s="1" t="s">
        <v>790</v>
      </c>
      <c r="C747" s="1" t="s">
        <v>253</v>
      </c>
      <c r="D747" s="42">
        <v>193.33120000000002</v>
      </c>
      <c r="E747" s="43">
        <v>87.89</v>
      </c>
      <c r="F747" s="45">
        <v>192.66720000000004</v>
      </c>
      <c r="G747" s="45">
        <v>192.66720000000004</v>
      </c>
      <c r="H747" s="46">
        <v>186.3</v>
      </c>
      <c r="I747" s="47">
        <f t="shared" si="296"/>
        <v>0.96030927835051549</v>
      </c>
      <c r="J747" s="48">
        <v>194</v>
      </c>
      <c r="K747" s="49">
        <v>194</v>
      </c>
      <c r="L747" s="50">
        <v>215.41</v>
      </c>
      <c r="M747" s="50">
        <v>212.17</v>
      </c>
      <c r="N747" s="51">
        <v>276.48</v>
      </c>
      <c r="O747" s="52">
        <v>295.45</v>
      </c>
      <c r="P747" s="53">
        <v>259.62</v>
      </c>
      <c r="Q747" s="54">
        <v>257.7</v>
      </c>
      <c r="R747" s="1"/>
      <c r="S747" s="1"/>
      <c r="T747" s="1"/>
    </row>
    <row r="748" spans="1:20" ht="13.5" customHeight="1" x14ac:dyDescent="0.25">
      <c r="A748" s="1"/>
      <c r="B748" s="1" t="s">
        <v>791</v>
      </c>
      <c r="C748" s="1" t="s">
        <v>255</v>
      </c>
      <c r="D748" s="42">
        <v>1053.3600000000001</v>
      </c>
      <c r="E748" s="43">
        <v>473.96</v>
      </c>
      <c r="F748" s="45">
        <v>1005</v>
      </c>
      <c r="G748" s="45">
        <v>1005</v>
      </c>
      <c r="H748" s="46">
        <v>891.42</v>
      </c>
      <c r="I748" s="47">
        <f t="shared" si="296"/>
        <v>0.92279503105590055</v>
      </c>
      <c r="J748" s="48">
        <v>966</v>
      </c>
      <c r="K748" s="49">
        <v>966</v>
      </c>
      <c r="L748" s="50">
        <v>861.84</v>
      </c>
      <c r="M748" s="50">
        <v>831.3</v>
      </c>
      <c r="N748" s="51">
        <v>988.62</v>
      </c>
      <c r="O748" s="52">
        <v>1006.2</v>
      </c>
      <c r="P748" s="53">
        <v>838.5</v>
      </c>
      <c r="Q748" s="54">
        <v>960.9</v>
      </c>
      <c r="R748" s="1"/>
      <c r="S748" s="1"/>
      <c r="T748" s="1"/>
    </row>
    <row r="749" spans="1:20" ht="13.5" customHeight="1" x14ac:dyDescent="0.25">
      <c r="A749" s="1"/>
      <c r="B749" s="1" t="s">
        <v>792</v>
      </c>
      <c r="C749" s="1" t="s">
        <v>257</v>
      </c>
      <c r="D749" s="42">
        <v>0</v>
      </c>
      <c r="E749" s="43">
        <v>125</v>
      </c>
      <c r="F749" s="45">
        <v>600</v>
      </c>
      <c r="G749" s="45">
        <v>600</v>
      </c>
      <c r="H749" s="46">
        <v>600</v>
      </c>
      <c r="I749" s="47">
        <f t="shared" si="296"/>
        <v>1</v>
      </c>
      <c r="J749" s="48">
        <v>600</v>
      </c>
      <c r="K749" s="49">
        <v>600</v>
      </c>
      <c r="L749" s="50">
        <v>300</v>
      </c>
      <c r="M749" s="77">
        <v>0</v>
      </c>
      <c r="N749" s="53">
        <v>0</v>
      </c>
      <c r="O749" s="52">
        <v>0</v>
      </c>
      <c r="P749" s="53"/>
      <c r="Q749" s="54"/>
      <c r="R749" s="1"/>
      <c r="S749" s="1"/>
      <c r="T749" s="1"/>
    </row>
    <row r="750" spans="1:20" ht="13.5" customHeight="1" x14ac:dyDescent="0.25">
      <c r="A750" s="1"/>
      <c r="B750" s="1"/>
      <c r="C750" s="1"/>
      <c r="D750" s="56">
        <v>60029.61</v>
      </c>
      <c r="E750" s="57">
        <f t="shared" ref="E750" si="297">SUM(E744:E749)</f>
        <v>28417.149999999998</v>
      </c>
      <c r="F750" s="58">
        <f>SUM(F743:F749)</f>
        <v>60486.021900000007</v>
      </c>
      <c r="G750" s="58">
        <v>60486.021900000007</v>
      </c>
      <c r="H750" s="59">
        <f>SUM(H744:H749)</f>
        <v>54269</v>
      </c>
      <c r="I750" s="59"/>
      <c r="J750" s="60">
        <f t="shared" ref="J750:Q750" si="298">SUM(J744:J749)</f>
        <v>58602</v>
      </c>
      <c r="K750" s="61">
        <f t="shared" si="298"/>
        <v>59352</v>
      </c>
      <c r="L750" s="62">
        <f t="shared" si="298"/>
        <v>54062.020000000004</v>
      </c>
      <c r="M750" s="62">
        <f t="shared" si="298"/>
        <v>51536.23</v>
      </c>
      <c r="N750" s="63">
        <f t="shared" si="298"/>
        <v>54907.75</v>
      </c>
      <c r="O750" s="64">
        <f t="shared" si="298"/>
        <v>53749.579999999994</v>
      </c>
      <c r="P750" s="63">
        <f t="shared" si="298"/>
        <v>47195.8</v>
      </c>
      <c r="Q750" s="65">
        <f t="shared" si="298"/>
        <v>51130.41</v>
      </c>
      <c r="R750" s="1"/>
      <c r="S750" s="1"/>
      <c r="T750" s="1"/>
    </row>
    <row r="751" spans="1:20" ht="13.5" customHeight="1" x14ac:dyDescent="0.25">
      <c r="A751" s="1"/>
      <c r="B751" s="1"/>
      <c r="C751" s="1"/>
      <c r="D751" s="42"/>
      <c r="E751" s="44"/>
      <c r="F751" s="45"/>
      <c r="G751" s="45"/>
      <c r="H751" s="66"/>
      <c r="I751" s="66"/>
      <c r="J751" s="48"/>
      <c r="K751" s="49"/>
      <c r="L751" s="50"/>
      <c r="M751" s="77"/>
      <c r="N751" s="53"/>
      <c r="O751" s="52"/>
      <c r="P751" s="53"/>
      <c r="Q751" s="54"/>
      <c r="R751" s="1"/>
      <c r="S751" s="1"/>
      <c r="T751" s="1"/>
    </row>
    <row r="752" spans="1:20" ht="13.5" customHeight="1" x14ac:dyDescent="0.25">
      <c r="A752" s="1"/>
      <c r="B752" s="1" t="s">
        <v>793</v>
      </c>
      <c r="C752" s="1" t="s">
        <v>259</v>
      </c>
      <c r="D752" s="42">
        <v>1400</v>
      </c>
      <c r="E752" s="43">
        <v>378.11</v>
      </c>
      <c r="F752" s="45">
        <v>1400</v>
      </c>
      <c r="G752" s="45">
        <v>1400</v>
      </c>
      <c r="H752" s="46">
        <v>652.67999999999995</v>
      </c>
      <c r="I752" s="47">
        <f t="shared" ref="I752:I753" si="299">H752/J752</f>
        <v>0.46619999999999995</v>
      </c>
      <c r="J752" s="48">
        <v>1400</v>
      </c>
      <c r="K752" s="49">
        <v>1400</v>
      </c>
      <c r="L752" s="50">
        <v>605.6</v>
      </c>
      <c r="M752" s="50">
        <v>1679.97</v>
      </c>
      <c r="N752" s="51">
        <v>989.55</v>
      </c>
      <c r="O752" s="52">
        <v>223.98</v>
      </c>
      <c r="P752" s="53">
        <v>941.14</v>
      </c>
      <c r="Q752" s="54">
        <v>1588.75</v>
      </c>
      <c r="R752" s="1"/>
      <c r="S752" s="1"/>
      <c r="T752" s="1"/>
    </row>
    <row r="753" spans="1:20" ht="13.5" customHeight="1" x14ac:dyDescent="0.25">
      <c r="A753" s="1"/>
      <c r="B753" s="1" t="s">
        <v>794</v>
      </c>
      <c r="C753" s="1" t="s">
        <v>261</v>
      </c>
      <c r="D753" s="42">
        <v>1250</v>
      </c>
      <c r="E753" s="43">
        <v>296</v>
      </c>
      <c r="F753" s="45">
        <v>1250</v>
      </c>
      <c r="G753" s="45">
        <v>1250</v>
      </c>
      <c r="H753" s="46">
        <v>1116.17</v>
      </c>
      <c r="I753" s="47">
        <f t="shared" si="299"/>
        <v>0.89293600000000006</v>
      </c>
      <c r="J753" s="48">
        <v>1250</v>
      </c>
      <c r="K753" s="49">
        <v>1250</v>
      </c>
      <c r="L753" s="50">
        <v>1231.2</v>
      </c>
      <c r="M753" s="50">
        <v>1053.0999999999999</v>
      </c>
      <c r="N753" s="51">
        <v>983.75</v>
      </c>
      <c r="O753" s="52">
        <v>771.76</v>
      </c>
      <c r="P753" s="53">
        <v>645.92999999999995</v>
      </c>
      <c r="Q753" s="54">
        <v>1247.4000000000001</v>
      </c>
      <c r="R753" s="1"/>
      <c r="S753" s="1"/>
      <c r="T753" s="1"/>
    </row>
    <row r="754" spans="1:20" ht="13.5" customHeight="1" x14ac:dyDescent="0.25">
      <c r="A754" s="1"/>
      <c r="B754" s="1" t="s">
        <v>795</v>
      </c>
      <c r="C754" s="1" t="s">
        <v>263</v>
      </c>
      <c r="D754" s="42">
        <v>0</v>
      </c>
      <c r="E754" s="70">
        <v>0</v>
      </c>
      <c r="F754" s="71">
        <v>0</v>
      </c>
      <c r="G754" s="71">
        <v>250</v>
      </c>
      <c r="H754" s="68">
        <v>0</v>
      </c>
      <c r="I754" s="47"/>
      <c r="J754" s="48"/>
      <c r="K754" s="49"/>
      <c r="L754" s="83">
        <v>0</v>
      </c>
      <c r="M754" s="83">
        <v>0</v>
      </c>
      <c r="N754" s="53"/>
      <c r="O754" s="52"/>
      <c r="P754" s="53"/>
      <c r="Q754" s="54"/>
      <c r="R754" s="1"/>
      <c r="S754" s="1"/>
      <c r="T754" s="1"/>
    </row>
    <row r="755" spans="1:20" ht="13.5" customHeight="1" x14ac:dyDescent="0.25">
      <c r="A755" s="1"/>
      <c r="B755" s="55" t="s">
        <v>796</v>
      </c>
      <c r="C755" s="55" t="s">
        <v>267</v>
      </c>
      <c r="D755" s="42">
        <v>250</v>
      </c>
      <c r="E755" s="70">
        <v>79.34</v>
      </c>
      <c r="F755" s="45">
        <v>250</v>
      </c>
      <c r="G755" s="71">
        <v>0</v>
      </c>
      <c r="H755" s="68">
        <v>239.97</v>
      </c>
      <c r="I755" s="47">
        <f>H755/J755</f>
        <v>0.95987999999999996</v>
      </c>
      <c r="J755" s="48">
        <v>250</v>
      </c>
      <c r="K755" s="49">
        <v>250</v>
      </c>
      <c r="L755" s="77">
        <v>0</v>
      </c>
      <c r="M755" s="77">
        <v>0</v>
      </c>
      <c r="N755" s="53">
        <v>0</v>
      </c>
      <c r="O755" s="52">
        <v>0</v>
      </c>
      <c r="P755" s="53">
        <v>0</v>
      </c>
      <c r="Q755" s="54">
        <v>0</v>
      </c>
      <c r="R755" s="1"/>
      <c r="S755" s="1"/>
      <c r="T755" s="1"/>
    </row>
    <row r="756" spans="1:20" ht="13.5" customHeight="1" x14ac:dyDescent="0.25">
      <c r="A756" s="1"/>
      <c r="B756" s="1"/>
      <c r="C756" s="1"/>
      <c r="D756" s="56">
        <v>2900</v>
      </c>
      <c r="E756" s="57">
        <f t="shared" ref="E756" si="300">SUM(E752:E755)</f>
        <v>753.45</v>
      </c>
      <c r="F756" s="58">
        <f>SUM(F751:F755)</f>
        <v>2900</v>
      </c>
      <c r="G756" s="58">
        <v>2900</v>
      </c>
      <c r="H756" s="59">
        <f>SUM(H752:H755)</f>
        <v>2008.82</v>
      </c>
      <c r="I756" s="59"/>
      <c r="J756" s="60">
        <f t="shared" ref="J756:Q756" si="301">SUM(J752:J755)</f>
        <v>2900</v>
      </c>
      <c r="K756" s="61">
        <f t="shared" si="301"/>
        <v>2900</v>
      </c>
      <c r="L756" s="62">
        <f t="shared" si="301"/>
        <v>1836.8000000000002</v>
      </c>
      <c r="M756" s="62">
        <f t="shared" si="301"/>
        <v>2733.0699999999997</v>
      </c>
      <c r="N756" s="63">
        <f t="shared" si="301"/>
        <v>1973.3</v>
      </c>
      <c r="O756" s="64">
        <f t="shared" si="301"/>
        <v>995.74</v>
      </c>
      <c r="P756" s="63">
        <f t="shared" si="301"/>
        <v>1587.07</v>
      </c>
      <c r="Q756" s="65">
        <f t="shared" si="301"/>
        <v>2836.15</v>
      </c>
      <c r="R756" s="1"/>
      <c r="S756" s="1"/>
      <c r="T756" s="1"/>
    </row>
    <row r="757" spans="1:20" ht="13.5" customHeight="1" x14ac:dyDescent="0.25">
      <c r="A757" s="1"/>
      <c r="B757" s="1"/>
      <c r="C757" s="1"/>
      <c r="D757" s="42"/>
      <c r="E757" s="67"/>
      <c r="F757" s="45"/>
      <c r="G757" s="45"/>
      <c r="H757" s="74"/>
      <c r="I757" s="66"/>
      <c r="J757" s="48"/>
      <c r="K757" s="49"/>
      <c r="L757" s="77"/>
      <c r="M757" s="77"/>
      <c r="N757" s="53"/>
      <c r="O757" s="52"/>
      <c r="P757" s="53"/>
      <c r="Q757" s="54"/>
      <c r="R757" s="1"/>
      <c r="S757" s="1"/>
      <c r="T757" s="1"/>
    </row>
    <row r="758" spans="1:20" ht="13.5" customHeight="1" x14ac:dyDescent="0.25">
      <c r="A758" s="1"/>
      <c r="B758" s="1" t="s">
        <v>797</v>
      </c>
      <c r="C758" s="1" t="s">
        <v>318</v>
      </c>
      <c r="D758" s="42">
        <v>1200</v>
      </c>
      <c r="E758" s="43">
        <v>590.32000000000005</v>
      </c>
      <c r="F758" s="45">
        <v>1200</v>
      </c>
      <c r="G758" s="45">
        <v>1200</v>
      </c>
      <c r="H758" s="46">
        <v>1384.05</v>
      </c>
      <c r="I758" s="47">
        <f t="shared" ref="I758:I763" si="302">H758/J758</f>
        <v>1.1779148936170212</v>
      </c>
      <c r="J758" s="48">
        <v>1175</v>
      </c>
      <c r="K758" s="49">
        <v>1200</v>
      </c>
      <c r="L758" s="50">
        <v>1454.33</v>
      </c>
      <c r="M758" s="50">
        <v>1180.8599999999999</v>
      </c>
      <c r="N758" s="51">
        <v>1454.75</v>
      </c>
      <c r="O758" s="52">
        <v>1468.08</v>
      </c>
      <c r="P758" s="53">
        <v>1191.51</v>
      </c>
      <c r="Q758" s="54">
        <v>1179.17</v>
      </c>
      <c r="R758" s="1"/>
      <c r="S758" s="1"/>
      <c r="T758" s="1"/>
    </row>
    <row r="759" spans="1:20" ht="13.5" customHeight="1" x14ac:dyDescent="0.25">
      <c r="A759" s="1"/>
      <c r="B759" s="1" t="s">
        <v>798</v>
      </c>
      <c r="C759" s="55" t="s">
        <v>273</v>
      </c>
      <c r="D759" s="42">
        <v>750</v>
      </c>
      <c r="E759" s="43">
        <v>231.27</v>
      </c>
      <c r="F759" s="45">
        <v>750</v>
      </c>
      <c r="G759" s="45">
        <v>750</v>
      </c>
      <c r="H759" s="46">
        <v>547.96</v>
      </c>
      <c r="I759" s="47">
        <f t="shared" si="302"/>
        <v>0.73061333333333334</v>
      </c>
      <c r="J759" s="48">
        <v>750</v>
      </c>
      <c r="K759" s="49">
        <v>750</v>
      </c>
      <c r="L759" s="50">
        <v>565.45000000000005</v>
      </c>
      <c r="M759" s="50">
        <v>1199.8800000000001</v>
      </c>
      <c r="N759" s="51">
        <v>1510.79</v>
      </c>
      <c r="O759" s="52">
        <v>1559.59</v>
      </c>
      <c r="P759" s="53">
        <v>852.32</v>
      </c>
      <c r="Q759" s="54">
        <v>732.76</v>
      </c>
      <c r="R759" s="1"/>
      <c r="S759" s="1"/>
      <c r="T759" s="1"/>
    </row>
    <row r="760" spans="1:20" ht="13.5" customHeight="1" x14ac:dyDescent="0.25">
      <c r="A760" s="1"/>
      <c r="B760" s="1" t="s">
        <v>799</v>
      </c>
      <c r="C760" s="1" t="s">
        <v>275</v>
      </c>
      <c r="D760" s="42">
        <v>1800</v>
      </c>
      <c r="E760" s="43">
        <v>575</v>
      </c>
      <c r="F760" s="45">
        <v>1800</v>
      </c>
      <c r="G760" s="45">
        <v>1800</v>
      </c>
      <c r="H760" s="66">
        <v>960.72</v>
      </c>
      <c r="I760" s="47">
        <f t="shared" si="302"/>
        <v>0.54898285714285711</v>
      </c>
      <c r="J760" s="48">
        <v>1750</v>
      </c>
      <c r="K760" s="49">
        <v>1000</v>
      </c>
      <c r="L760" s="50">
        <v>1216.29</v>
      </c>
      <c r="M760" s="50">
        <v>1103.1199999999999</v>
      </c>
      <c r="N760" s="51">
        <v>46.62</v>
      </c>
      <c r="O760" s="52">
        <v>1091.98</v>
      </c>
      <c r="P760" s="53">
        <v>724.34</v>
      </c>
      <c r="Q760" s="54">
        <v>1407.33</v>
      </c>
      <c r="R760" s="1"/>
      <c r="S760" s="1"/>
      <c r="T760" s="1"/>
    </row>
    <row r="761" spans="1:20" ht="13.5" customHeight="1" x14ac:dyDescent="0.25">
      <c r="A761" s="1"/>
      <c r="B761" s="1" t="s">
        <v>800</v>
      </c>
      <c r="C761" s="1" t="s">
        <v>482</v>
      </c>
      <c r="D761" s="42">
        <v>200</v>
      </c>
      <c r="E761" s="43">
        <v>180</v>
      </c>
      <c r="F761" s="45">
        <v>200</v>
      </c>
      <c r="G761" s="45">
        <v>200</v>
      </c>
      <c r="H761" s="66">
        <v>210</v>
      </c>
      <c r="I761" s="47">
        <f t="shared" si="302"/>
        <v>0.93333333333333335</v>
      </c>
      <c r="J761" s="48">
        <v>225</v>
      </c>
      <c r="K761" s="49">
        <v>200</v>
      </c>
      <c r="L761" s="50">
        <v>170</v>
      </c>
      <c r="M761" s="50">
        <v>281</v>
      </c>
      <c r="N761" s="51">
        <v>170</v>
      </c>
      <c r="O761" s="52">
        <v>131</v>
      </c>
      <c r="P761" s="53">
        <v>130</v>
      </c>
      <c r="Q761" s="54">
        <v>130</v>
      </c>
      <c r="R761" s="1"/>
      <c r="S761" s="1"/>
      <c r="T761" s="1"/>
    </row>
    <row r="762" spans="1:20" ht="13.5" customHeight="1" x14ac:dyDescent="0.25">
      <c r="A762" s="1"/>
      <c r="B762" s="1" t="s">
        <v>801</v>
      </c>
      <c r="C762" s="1" t="s">
        <v>279</v>
      </c>
      <c r="D762" s="42">
        <v>178</v>
      </c>
      <c r="E762" s="43">
        <v>0</v>
      </c>
      <c r="F762" s="45">
        <v>178</v>
      </c>
      <c r="G762" s="45">
        <v>178</v>
      </c>
      <c r="H762" s="66">
        <v>248.5</v>
      </c>
      <c r="I762" s="47">
        <f t="shared" si="302"/>
        <v>1.396067415730337</v>
      </c>
      <c r="J762" s="48">
        <v>178</v>
      </c>
      <c r="K762" s="49">
        <v>178</v>
      </c>
      <c r="L762" s="83">
        <v>0</v>
      </c>
      <c r="M762" s="50">
        <v>92.5</v>
      </c>
      <c r="N762" s="51">
        <v>71</v>
      </c>
      <c r="O762" s="52">
        <v>177.5</v>
      </c>
      <c r="P762" s="53">
        <v>71</v>
      </c>
      <c r="Q762" s="54">
        <v>0</v>
      </c>
      <c r="R762" s="1"/>
      <c r="S762" s="1"/>
      <c r="T762" s="1"/>
    </row>
    <row r="763" spans="1:20" ht="13.5" customHeight="1" x14ac:dyDescent="0.25">
      <c r="A763" s="1"/>
      <c r="B763" s="1" t="s">
        <v>802</v>
      </c>
      <c r="C763" s="1" t="s">
        <v>281</v>
      </c>
      <c r="D763" s="42">
        <v>1610</v>
      </c>
      <c r="E763" s="43">
        <v>801.2</v>
      </c>
      <c r="F763" s="45">
        <v>1610</v>
      </c>
      <c r="G763" s="45">
        <v>1610</v>
      </c>
      <c r="H763" s="46">
        <v>1855.8</v>
      </c>
      <c r="I763" s="47">
        <f t="shared" si="302"/>
        <v>1.1526708074534162</v>
      </c>
      <c r="J763" s="48">
        <v>1610</v>
      </c>
      <c r="K763" s="49">
        <v>1610</v>
      </c>
      <c r="L763" s="50">
        <v>1729.37</v>
      </c>
      <c r="M763" s="50">
        <v>1526.2</v>
      </c>
      <c r="N763" s="51">
        <v>1472.68</v>
      </c>
      <c r="O763" s="52">
        <v>1606.56</v>
      </c>
      <c r="P763" s="53">
        <v>1857.11</v>
      </c>
      <c r="Q763" s="54">
        <v>1744.86</v>
      </c>
      <c r="R763" s="1"/>
      <c r="S763" s="1"/>
      <c r="T763" s="1"/>
    </row>
    <row r="764" spans="1:20" ht="13.5" customHeight="1" x14ac:dyDescent="0.25">
      <c r="A764" s="1"/>
      <c r="B764" s="1"/>
      <c r="C764" s="1"/>
      <c r="D764" s="56">
        <v>5738</v>
      </c>
      <c r="E764" s="57">
        <f t="shared" ref="E764" si="303">SUM(E758:E763)</f>
        <v>2377.79</v>
      </c>
      <c r="F764" s="58">
        <f>SUM(F757:F763)</f>
        <v>5738</v>
      </c>
      <c r="G764" s="58">
        <v>5738</v>
      </c>
      <c r="H764" s="59">
        <f>SUM(H758:H763)</f>
        <v>5207.03</v>
      </c>
      <c r="I764" s="59"/>
      <c r="J764" s="60">
        <f t="shared" ref="J764:Q764" si="304">SUM(J758:J763)</f>
        <v>5688</v>
      </c>
      <c r="K764" s="61">
        <f t="shared" si="304"/>
        <v>4938</v>
      </c>
      <c r="L764" s="62">
        <f t="shared" si="304"/>
        <v>5135.4399999999996</v>
      </c>
      <c r="M764" s="62">
        <f t="shared" si="304"/>
        <v>5383.5599999999995</v>
      </c>
      <c r="N764" s="63">
        <f t="shared" si="304"/>
        <v>4725.84</v>
      </c>
      <c r="O764" s="64">
        <f t="shared" si="304"/>
        <v>6034.7099999999991</v>
      </c>
      <c r="P764" s="63">
        <f t="shared" si="304"/>
        <v>4826.28</v>
      </c>
      <c r="Q764" s="65">
        <f t="shared" si="304"/>
        <v>5194.12</v>
      </c>
      <c r="R764" s="1"/>
      <c r="S764" s="1"/>
      <c r="T764" s="1"/>
    </row>
    <row r="765" spans="1:20" ht="13.5" customHeight="1" thickBot="1" x14ac:dyDescent="0.3">
      <c r="A765" s="1"/>
      <c r="B765" s="1"/>
      <c r="C765" s="116" t="s">
        <v>803</v>
      </c>
      <c r="D765" s="267">
        <v>189499.61</v>
      </c>
      <c r="E765" s="173">
        <f t="shared" ref="E765" si="305">SUM(E742+E750+E756+E764)</f>
        <v>86370.069999999992</v>
      </c>
      <c r="F765" s="174">
        <f>SUM(F742,F750,F756,F764)</f>
        <v>188941.02189999999</v>
      </c>
      <c r="G765" s="174">
        <v>188941.02189999999</v>
      </c>
      <c r="H765" s="175">
        <f>SUM(H742+H750+H756+H764)</f>
        <v>177303.9</v>
      </c>
      <c r="I765" s="175"/>
      <c r="J765" s="176">
        <f t="shared" ref="J765:Q765" si="306">SUM(J742+J750+J756+J764)</f>
        <v>187729</v>
      </c>
      <c r="K765" s="177">
        <f t="shared" si="306"/>
        <v>187729</v>
      </c>
      <c r="L765" s="178">
        <f t="shared" si="306"/>
        <v>178459.81</v>
      </c>
      <c r="M765" s="178">
        <f t="shared" si="306"/>
        <v>171258.37000000002</v>
      </c>
      <c r="N765" s="179">
        <f t="shared" si="306"/>
        <v>177242.49</v>
      </c>
      <c r="O765" s="180">
        <f t="shared" si="306"/>
        <v>170831.06999999998</v>
      </c>
      <c r="P765" s="179">
        <f t="shared" si="306"/>
        <v>158357.50000000003</v>
      </c>
      <c r="Q765" s="181">
        <f t="shared" si="306"/>
        <v>166936.07999999999</v>
      </c>
      <c r="R765" s="1"/>
      <c r="S765" s="1"/>
      <c r="T765" s="1"/>
    </row>
    <row r="766" spans="1:20" ht="13.5" customHeight="1" thickTop="1" x14ac:dyDescent="0.25">
      <c r="A766" s="1"/>
      <c r="B766" s="1"/>
      <c r="C766" s="1"/>
      <c r="D766" s="42"/>
      <c r="E766" s="44"/>
      <c r="F766" s="45"/>
      <c r="G766" s="45"/>
      <c r="H766" s="66"/>
      <c r="I766" s="66"/>
      <c r="J766" s="48"/>
      <c r="K766" s="49"/>
      <c r="L766" s="50"/>
      <c r="M766" s="50"/>
      <c r="N766" s="51"/>
      <c r="O766" s="151"/>
      <c r="P766" s="51"/>
      <c r="Q766" s="152"/>
      <c r="R766" s="1"/>
      <c r="S766" s="1"/>
      <c r="T766" s="1"/>
    </row>
    <row r="767" spans="1:20" ht="13.5" customHeight="1" x14ac:dyDescent="0.25">
      <c r="A767" s="1"/>
      <c r="B767" s="1"/>
      <c r="C767" s="41" t="s">
        <v>804</v>
      </c>
      <c r="D767" s="42"/>
      <c r="E767" s="44"/>
      <c r="F767" s="45"/>
      <c r="G767" s="45"/>
      <c r="H767" s="66"/>
      <c r="I767" s="66"/>
      <c r="J767" s="48"/>
      <c r="K767" s="49"/>
      <c r="L767" s="50"/>
      <c r="M767" s="50"/>
      <c r="N767" s="51"/>
      <c r="O767" s="52"/>
      <c r="P767" s="53"/>
      <c r="Q767" s="54"/>
      <c r="R767" s="1"/>
      <c r="S767" s="1"/>
      <c r="T767" s="1"/>
    </row>
    <row r="768" spans="1:20" ht="13.5" customHeight="1" x14ac:dyDescent="0.25">
      <c r="A768" s="1"/>
      <c r="B768" s="1" t="s">
        <v>805</v>
      </c>
      <c r="C768" s="1" t="s">
        <v>259</v>
      </c>
      <c r="D768" s="42">
        <v>500</v>
      </c>
      <c r="E768" s="70">
        <v>0</v>
      </c>
      <c r="F768" s="73">
        <v>500</v>
      </c>
      <c r="G768" s="73">
        <v>500</v>
      </c>
      <c r="H768" s="74">
        <v>0</v>
      </c>
      <c r="I768" s="183">
        <v>0</v>
      </c>
      <c r="J768" s="75">
        <v>0</v>
      </c>
      <c r="K768" s="76">
        <v>0</v>
      </c>
      <c r="L768" s="77">
        <v>0</v>
      </c>
      <c r="M768" s="77">
        <v>0</v>
      </c>
      <c r="N768" s="51">
        <v>100.63</v>
      </c>
      <c r="O768" s="52">
        <v>0</v>
      </c>
      <c r="P768" s="53">
        <v>0</v>
      </c>
      <c r="Q768" s="54">
        <v>0</v>
      </c>
      <c r="R768" s="1"/>
      <c r="S768" s="1"/>
      <c r="T768" s="1"/>
    </row>
    <row r="769" spans="1:20" ht="13.5" customHeight="1" x14ac:dyDescent="0.25">
      <c r="A769" s="1"/>
      <c r="B769" s="1" t="s">
        <v>806</v>
      </c>
      <c r="C769" s="1" t="s">
        <v>271</v>
      </c>
      <c r="D769" s="42">
        <v>500</v>
      </c>
      <c r="E769" s="70">
        <v>0</v>
      </c>
      <c r="F769" s="73">
        <v>500</v>
      </c>
      <c r="G769" s="73">
        <v>500</v>
      </c>
      <c r="H769" s="74">
        <v>0</v>
      </c>
      <c r="I769" s="183">
        <v>0</v>
      </c>
      <c r="J769" s="75">
        <v>0</v>
      </c>
      <c r="K769" s="76">
        <v>0</v>
      </c>
      <c r="L769" s="77">
        <v>0</v>
      </c>
      <c r="M769" s="77">
        <v>0</v>
      </c>
      <c r="N769" s="51">
        <v>250</v>
      </c>
      <c r="O769" s="52">
        <v>0</v>
      </c>
      <c r="P769" s="53">
        <v>0</v>
      </c>
      <c r="Q769" s="54">
        <v>0</v>
      </c>
      <c r="R769" s="1"/>
      <c r="S769" s="1"/>
      <c r="T769" s="1"/>
    </row>
    <row r="770" spans="1:20" ht="13.5" customHeight="1" thickBot="1" x14ac:dyDescent="0.3">
      <c r="A770" s="1"/>
      <c r="B770" s="1"/>
      <c r="C770" s="116" t="s">
        <v>807</v>
      </c>
      <c r="D770" s="184">
        <v>1000</v>
      </c>
      <c r="E770" s="185">
        <f t="shared" ref="E770" si="307">SUM(E768:E769)</f>
        <v>0</v>
      </c>
      <c r="F770" s="186">
        <f>SUM(F767:F769)</f>
        <v>1000</v>
      </c>
      <c r="G770" s="186">
        <v>1000</v>
      </c>
      <c r="H770" s="187">
        <f>SUM(H768:H769)</f>
        <v>0</v>
      </c>
      <c r="I770" s="187"/>
      <c r="J770" s="188">
        <f t="shared" ref="J770:Q770" si="308">SUM(J768:J769)</f>
        <v>0</v>
      </c>
      <c r="K770" s="189">
        <f t="shared" si="308"/>
        <v>0</v>
      </c>
      <c r="L770" s="190">
        <f t="shared" si="308"/>
        <v>0</v>
      </c>
      <c r="M770" s="190">
        <f t="shared" si="308"/>
        <v>0</v>
      </c>
      <c r="N770" s="191">
        <f t="shared" si="308"/>
        <v>350.63</v>
      </c>
      <c r="O770" s="192">
        <f t="shared" si="308"/>
        <v>0</v>
      </c>
      <c r="P770" s="191">
        <f t="shared" si="308"/>
        <v>0</v>
      </c>
      <c r="Q770" s="193">
        <f t="shared" si="308"/>
        <v>0</v>
      </c>
      <c r="R770" s="1"/>
      <c r="S770" s="1"/>
      <c r="T770" s="1"/>
    </row>
    <row r="771" spans="1:20" ht="13.5" customHeight="1" thickTop="1" x14ac:dyDescent="0.25">
      <c r="A771" s="1"/>
      <c r="B771" s="1"/>
      <c r="C771" s="1"/>
      <c r="D771" s="72"/>
      <c r="E771" s="67"/>
      <c r="F771" s="73"/>
      <c r="G771" s="73"/>
      <c r="H771" s="74"/>
      <c r="I771" s="74"/>
      <c r="J771" s="75"/>
      <c r="K771" s="76"/>
      <c r="L771" s="77"/>
      <c r="M771" s="77"/>
      <c r="N771" s="51"/>
      <c r="O771" s="52"/>
      <c r="P771" s="53"/>
      <c r="Q771" s="54"/>
      <c r="R771" s="1"/>
      <c r="S771" s="1"/>
      <c r="T771" s="1"/>
    </row>
    <row r="772" spans="1:20" ht="13.5" customHeight="1" x14ac:dyDescent="0.25">
      <c r="A772" s="1"/>
      <c r="B772" s="1"/>
      <c r="C772" s="41" t="s">
        <v>808</v>
      </c>
      <c r="D772" s="72"/>
      <c r="E772" s="67"/>
      <c r="F772" s="73"/>
      <c r="G772" s="73"/>
      <c r="H772" s="74"/>
      <c r="I772" s="74"/>
      <c r="J772" s="75"/>
      <c r="K772" s="76"/>
      <c r="L772" s="77"/>
      <c r="M772" s="77"/>
      <c r="N772" s="51"/>
      <c r="O772" s="52"/>
      <c r="P772" s="53"/>
      <c r="Q772" s="54"/>
      <c r="R772" s="1"/>
      <c r="S772" s="1"/>
      <c r="T772" s="1"/>
    </row>
    <row r="773" spans="1:20" ht="13.5" customHeight="1" x14ac:dyDescent="0.25">
      <c r="A773" s="1"/>
      <c r="B773" s="1" t="s">
        <v>809</v>
      </c>
      <c r="C773" s="55" t="s">
        <v>265</v>
      </c>
      <c r="D773" s="42">
        <v>0</v>
      </c>
      <c r="E773" s="70">
        <v>0</v>
      </c>
      <c r="F773" s="73">
        <v>0</v>
      </c>
      <c r="G773" s="73">
        <v>0</v>
      </c>
      <c r="H773" s="74">
        <v>0</v>
      </c>
      <c r="I773" s="183">
        <v>0</v>
      </c>
      <c r="J773" s="75">
        <v>0</v>
      </c>
      <c r="K773" s="76">
        <v>0</v>
      </c>
      <c r="L773" s="50">
        <v>590</v>
      </c>
      <c r="M773" s="77">
        <v>0</v>
      </c>
      <c r="N773" s="53">
        <v>0</v>
      </c>
      <c r="O773" s="52">
        <v>0</v>
      </c>
      <c r="P773" s="53"/>
      <c r="Q773" s="54"/>
      <c r="R773" s="1"/>
      <c r="S773" s="1"/>
      <c r="T773" s="1"/>
    </row>
    <row r="774" spans="1:20" ht="13.5" customHeight="1" x14ac:dyDescent="0.25">
      <c r="A774" s="1"/>
      <c r="B774" s="1" t="s">
        <v>810</v>
      </c>
      <c r="C774" s="55" t="s">
        <v>267</v>
      </c>
      <c r="D774" s="42">
        <v>0</v>
      </c>
      <c r="E774" s="70">
        <v>0</v>
      </c>
      <c r="F774" s="73">
        <v>0</v>
      </c>
      <c r="G774" s="73">
        <v>0</v>
      </c>
      <c r="H774" s="74">
        <v>0</v>
      </c>
      <c r="I774" s="183">
        <v>0</v>
      </c>
      <c r="J774" s="75">
        <v>0</v>
      </c>
      <c r="K774" s="76">
        <v>0</v>
      </c>
      <c r="L774" s="50">
        <v>456.02</v>
      </c>
      <c r="M774" s="77">
        <v>0</v>
      </c>
      <c r="N774" s="51">
        <v>945.94</v>
      </c>
      <c r="O774" s="52">
        <v>146.47999999999999</v>
      </c>
      <c r="P774" s="53">
        <v>0</v>
      </c>
      <c r="Q774" s="54">
        <v>0</v>
      </c>
      <c r="R774" s="1"/>
      <c r="S774" s="1"/>
      <c r="T774" s="1"/>
    </row>
    <row r="775" spans="1:20" ht="13.5" customHeight="1" x14ac:dyDescent="0.25">
      <c r="A775" s="1"/>
      <c r="B775" s="1"/>
      <c r="C775" s="1"/>
      <c r="D775" s="88">
        <v>0</v>
      </c>
      <c r="E775" s="89">
        <f t="shared" ref="E775" si="309">SUM(E773:E774)</f>
        <v>0</v>
      </c>
      <c r="F775" s="90">
        <f>SUM(F772:F774)</f>
        <v>0</v>
      </c>
      <c r="G775" s="90">
        <v>0</v>
      </c>
      <c r="H775" s="91">
        <f>SUM(H773:H774)</f>
        <v>0</v>
      </c>
      <c r="I775" s="91"/>
      <c r="J775" s="92">
        <f t="shared" ref="J775:Q775" si="310">SUM(J773:J774)</f>
        <v>0</v>
      </c>
      <c r="K775" s="93">
        <f t="shared" si="310"/>
        <v>0</v>
      </c>
      <c r="L775" s="94">
        <f t="shared" si="310"/>
        <v>1046.02</v>
      </c>
      <c r="M775" s="94">
        <f t="shared" si="310"/>
        <v>0</v>
      </c>
      <c r="N775" s="95">
        <f t="shared" si="310"/>
        <v>945.94</v>
      </c>
      <c r="O775" s="96">
        <f t="shared" si="310"/>
        <v>146.47999999999999</v>
      </c>
      <c r="P775" s="95">
        <f t="shared" si="310"/>
        <v>0</v>
      </c>
      <c r="Q775" s="97">
        <f t="shared" si="310"/>
        <v>0</v>
      </c>
      <c r="R775" s="1"/>
      <c r="S775" s="1"/>
      <c r="T775" s="1"/>
    </row>
    <row r="776" spans="1:20" ht="13.5" customHeight="1" x14ac:dyDescent="0.25">
      <c r="A776" s="1"/>
      <c r="B776" s="1"/>
      <c r="C776" s="1"/>
      <c r="D776" s="72"/>
      <c r="E776" s="67"/>
      <c r="F776" s="73"/>
      <c r="G776" s="73"/>
      <c r="H776" s="74"/>
      <c r="I776" s="74"/>
      <c r="J776" s="75"/>
      <c r="K776" s="76"/>
      <c r="L776" s="50"/>
      <c r="M776" s="77"/>
      <c r="N776" s="51"/>
      <c r="O776" s="52"/>
      <c r="P776" s="53"/>
      <c r="Q776" s="54"/>
      <c r="R776" s="1"/>
      <c r="S776" s="1"/>
      <c r="T776" s="1"/>
    </row>
    <row r="777" spans="1:20" ht="13.5" hidden="1" customHeight="1" x14ac:dyDescent="0.25">
      <c r="A777" s="1"/>
      <c r="B777" s="1" t="s">
        <v>811</v>
      </c>
      <c r="C777" s="1" t="s">
        <v>275</v>
      </c>
      <c r="D777" s="42">
        <v>0</v>
      </c>
      <c r="E777" s="67"/>
      <c r="F777" s="45">
        <v>0</v>
      </c>
      <c r="G777" s="45">
        <v>0</v>
      </c>
      <c r="H777" s="74">
        <v>0</v>
      </c>
      <c r="I777" s="47">
        <f t="shared" ref="I777:I780" si="311">H777/J777</f>
        <v>0</v>
      </c>
      <c r="J777" s="48">
        <v>425</v>
      </c>
      <c r="K777" s="49">
        <v>425</v>
      </c>
      <c r="L777" s="77">
        <v>0</v>
      </c>
      <c r="M777" s="77">
        <v>0</v>
      </c>
      <c r="N777" s="53" t="s">
        <v>16</v>
      </c>
      <c r="O777" s="52">
        <v>29.07</v>
      </c>
      <c r="P777" s="53">
        <v>0</v>
      </c>
      <c r="Q777" s="54">
        <v>856.11</v>
      </c>
      <c r="R777" s="1"/>
      <c r="S777" s="1"/>
      <c r="T777" s="1"/>
    </row>
    <row r="778" spans="1:20" ht="13.5" customHeight="1" x14ac:dyDescent="0.25">
      <c r="A778" s="1"/>
      <c r="B778" s="1" t="s">
        <v>812</v>
      </c>
      <c r="C778" s="1" t="s">
        <v>482</v>
      </c>
      <c r="D778" s="42">
        <v>1107</v>
      </c>
      <c r="E778" s="70">
        <v>0</v>
      </c>
      <c r="F778" s="45">
        <v>1107</v>
      </c>
      <c r="G778" s="45">
        <v>1107</v>
      </c>
      <c r="H778" s="74">
        <v>0</v>
      </c>
      <c r="I778" s="47">
        <f t="shared" si="311"/>
        <v>0</v>
      </c>
      <c r="J778" s="48">
        <v>1107</v>
      </c>
      <c r="K778" s="49">
        <v>1107</v>
      </c>
      <c r="L778" s="50">
        <v>50.41</v>
      </c>
      <c r="M778" s="77">
        <v>0</v>
      </c>
      <c r="N778" s="53" t="s">
        <v>16</v>
      </c>
      <c r="O778" s="39"/>
      <c r="P778" s="1"/>
      <c r="Q778" s="40"/>
      <c r="R778" s="1"/>
      <c r="S778" s="1"/>
      <c r="T778" s="1"/>
    </row>
    <row r="779" spans="1:20" ht="13.5" customHeight="1" x14ac:dyDescent="0.25">
      <c r="A779" s="1"/>
      <c r="B779" s="1" t="s">
        <v>813</v>
      </c>
      <c r="C779" s="1" t="s">
        <v>814</v>
      </c>
      <c r="D779" s="42">
        <v>881</v>
      </c>
      <c r="E779" s="43">
        <v>189.95</v>
      </c>
      <c r="F779" s="45">
        <v>881</v>
      </c>
      <c r="G779" s="45">
        <v>881</v>
      </c>
      <c r="H779" s="46">
        <v>455.88</v>
      </c>
      <c r="I779" s="47">
        <f t="shared" si="311"/>
        <v>0.99973684210526315</v>
      </c>
      <c r="J779" s="48">
        <v>456</v>
      </c>
      <c r="K779" s="49">
        <v>456</v>
      </c>
      <c r="L779" s="50">
        <v>455.88</v>
      </c>
      <c r="M779" s="50">
        <v>455.88</v>
      </c>
      <c r="N779" s="51">
        <v>455.88</v>
      </c>
      <c r="O779" s="52">
        <v>455.88</v>
      </c>
      <c r="P779" s="53">
        <v>455.88</v>
      </c>
      <c r="Q779" s="54">
        <v>0</v>
      </c>
      <c r="R779" s="1"/>
      <c r="S779" s="1"/>
      <c r="T779" s="1"/>
    </row>
    <row r="780" spans="1:20" ht="13.5" customHeight="1" x14ac:dyDescent="0.25">
      <c r="A780" s="1"/>
      <c r="B780" s="1" t="s">
        <v>815</v>
      </c>
      <c r="C780" s="1" t="s">
        <v>543</v>
      </c>
      <c r="D780" s="42">
        <v>525</v>
      </c>
      <c r="E780" s="43">
        <v>104.28</v>
      </c>
      <c r="F780" s="45">
        <v>525</v>
      </c>
      <c r="G780" s="45">
        <v>525</v>
      </c>
      <c r="H780" s="46">
        <v>417.12</v>
      </c>
      <c r="I780" s="47">
        <f t="shared" si="311"/>
        <v>0.79451428571428573</v>
      </c>
      <c r="J780" s="48">
        <v>525</v>
      </c>
      <c r="K780" s="49">
        <v>525</v>
      </c>
      <c r="L780" s="50">
        <v>417.12</v>
      </c>
      <c r="M780" s="50">
        <v>486.61</v>
      </c>
      <c r="N780" s="51">
        <v>273.64999999999998</v>
      </c>
      <c r="O780" s="52">
        <v>0</v>
      </c>
      <c r="P780" s="53">
        <v>0</v>
      </c>
      <c r="Q780" s="54">
        <v>0</v>
      </c>
      <c r="R780" s="1"/>
      <c r="S780" s="1"/>
      <c r="T780" s="1"/>
    </row>
    <row r="781" spans="1:20" ht="13.5" customHeight="1" x14ac:dyDescent="0.25">
      <c r="A781" s="1"/>
      <c r="B781" s="1"/>
      <c r="C781" s="1"/>
      <c r="D781" s="56">
        <v>2513</v>
      </c>
      <c r="E781" s="57">
        <f t="shared" ref="E781" si="312">SUM(E777:E780)</f>
        <v>294.23</v>
      </c>
      <c r="F781" s="58">
        <f>SUM(F776:F780)</f>
        <v>2513</v>
      </c>
      <c r="G781" s="58">
        <v>2513</v>
      </c>
      <c r="H781" s="59">
        <f>SUM(H777:H780)</f>
        <v>873</v>
      </c>
      <c r="I781" s="59"/>
      <c r="J781" s="60">
        <f t="shared" ref="J781:Q781" si="313">SUM(J777:J780)</f>
        <v>2513</v>
      </c>
      <c r="K781" s="61">
        <f t="shared" si="313"/>
        <v>2513</v>
      </c>
      <c r="L781" s="62">
        <f t="shared" si="313"/>
        <v>923.41</v>
      </c>
      <c r="M781" s="62">
        <f t="shared" si="313"/>
        <v>942.49</v>
      </c>
      <c r="N781" s="63">
        <f t="shared" si="313"/>
        <v>729.53</v>
      </c>
      <c r="O781" s="64">
        <f t="shared" si="313"/>
        <v>484.95</v>
      </c>
      <c r="P781" s="63">
        <f t="shared" si="313"/>
        <v>455.88</v>
      </c>
      <c r="Q781" s="65">
        <f t="shared" si="313"/>
        <v>856.11</v>
      </c>
      <c r="R781" s="1"/>
      <c r="S781" s="1"/>
      <c r="T781" s="1"/>
    </row>
    <row r="782" spans="1:20" ht="13.5" hidden="1" customHeight="1" x14ac:dyDescent="0.25">
      <c r="A782" s="1"/>
      <c r="B782" s="1"/>
      <c r="C782" s="1"/>
      <c r="D782" s="42"/>
      <c r="E782" s="44"/>
      <c r="F782" s="45"/>
      <c r="G782" s="45"/>
      <c r="H782" s="66"/>
      <c r="I782" s="66"/>
      <c r="J782" s="48"/>
      <c r="K782" s="49"/>
      <c r="L782" s="50"/>
      <c r="M782" s="50"/>
      <c r="N782" s="51"/>
      <c r="O782" s="52"/>
      <c r="P782" s="53"/>
      <c r="Q782" s="54"/>
      <c r="R782" s="1"/>
      <c r="S782" s="1"/>
      <c r="T782" s="1"/>
    </row>
    <row r="783" spans="1:20" ht="13.5" hidden="1" customHeight="1" x14ac:dyDescent="0.25">
      <c r="A783" s="1"/>
      <c r="B783" s="1" t="s">
        <v>816</v>
      </c>
      <c r="C783" s="1" t="s">
        <v>414</v>
      </c>
      <c r="D783" s="72" t="s">
        <v>16</v>
      </c>
      <c r="E783" s="70">
        <v>0</v>
      </c>
      <c r="F783" s="73" t="s">
        <v>16</v>
      </c>
      <c r="G783" s="73" t="s">
        <v>16</v>
      </c>
      <c r="H783" s="74" t="s">
        <v>16</v>
      </c>
      <c r="I783" s="74"/>
      <c r="J783" s="75" t="s">
        <v>16</v>
      </c>
      <c r="K783" s="76" t="s">
        <v>16</v>
      </c>
      <c r="L783" s="77" t="s">
        <v>16</v>
      </c>
      <c r="M783" s="77" t="s">
        <v>16</v>
      </c>
      <c r="N783" s="51">
        <v>20826.87</v>
      </c>
      <c r="O783" s="52">
        <v>484.95</v>
      </c>
      <c r="P783" s="53">
        <v>455.88</v>
      </c>
      <c r="Q783" s="54">
        <v>1182.82</v>
      </c>
      <c r="R783" s="1"/>
      <c r="S783" s="1"/>
      <c r="T783" s="1"/>
    </row>
    <row r="784" spans="1:20" ht="13.5" hidden="1" customHeight="1" x14ac:dyDescent="0.25">
      <c r="A784" s="1"/>
      <c r="B784" s="1"/>
      <c r="C784" s="1"/>
      <c r="D784" s="88">
        <v>0</v>
      </c>
      <c r="E784" s="89">
        <f t="shared" ref="E784" si="314">SUM(E783)</f>
        <v>0</v>
      </c>
      <c r="F784" s="90">
        <v>0</v>
      </c>
      <c r="G784" s="90">
        <v>0</v>
      </c>
      <c r="H784" s="91">
        <f>SUM(H783)</f>
        <v>0</v>
      </c>
      <c r="I784" s="91"/>
      <c r="J784" s="92">
        <f t="shared" ref="J784:Q784" si="315">SUM(J783)</f>
        <v>0</v>
      </c>
      <c r="K784" s="93">
        <f t="shared" si="315"/>
        <v>0</v>
      </c>
      <c r="L784" s="94">
        <f t="shared" si="315"/>
        <v>0</v>
      </c>
      <c r="M784" s="94">
        <f t="shared" si="315"/>
        <v>0</v>
      </c>
      <c r="N784" s="95">
        <f t="shared" si="315"/>
        <v>20826.87</v>
      </c>
      <c r="O784" s="96">
        <f t="shared" si="315"/>
        <v>484.95</v>
      </c>
      <c r="P784" s="95">
        <f t="shared" si="315"/>
        <v>455.88</v>
      </c>
      <c r="Q784" s="97">
        <f t="shared" si="315"/>
        <v>1182.82</v>
      </c>
      <c r="R784" s="1"/>
      <c r="S784" s="1"/>
      <c r="T784" s="1"/>
    </row>
    <row r="785" spans="1:20" ht="13.5" customHeight="1" thickBot="1" x14ac:dyDescent="0.3">
      <c r="A785" s="1"/>
      <c r="B785" s="1"/>
      <c r="C785" s="116" t="s">
        <v>817</v>
      </c>
      <c r="D785" s="184">
        <v>2513</v>
      </c>
      <c r="E785" s="185">
        <f t="shared" ref="E785" si="316">SUM(E775+E781+E784)</f>
        <v>294.23</v>
      </c>
      <c r="F785" s="186">
        <f>SUM(F775,F781)</f>
        <v>2513</v>
      </c>
      <c r="G785" s="186">
        <v>2513</v>
      </c>
      <c r="H785" s="187">
        <f>SUM(H775+H781+H784)</f>
        <v>873</v>
      </c>
      <c r="I785" s="187"/>
      <c r="J785" s="188">
        <f t="shared" ref="J785:Q785" si="317">SUM(J775+J781+J784)</f>
        <v>2513</v>
      </c>
      <c r="K785" s="189">
        <f t="shared" si="317"/>
        <v>2513</v>
      </c>
      <c r="L785" s="190">
        <f t="shared" si="317"/>
        <v>1969.4299999999998</v>
      </c>
      <c r="M785" s="190">
        <f t="shared" si="317"/>
        <v>942.49</v>
      </c>
      <c r="N785" s="191">
        <f t="shared" si="317"/>
        <v>22502.34</v>
      </c>
      <c r="O785" s="192">
        <f t="shared" si="317"/>
        <v>1116.3799999999999</v>
      </c>
      <c r="P785" s="191">
        <f t="shared" si="317"/>
        <v>911.76</v>
      </c>
      <c r="Q785" s="193">
        <f t="shared" si="317"/>
        <v>2038.9299999999998</v>
      </c>
      <c r="R785" s="1"/>
      <c r="S785" s="1"/>
      <c r="T785" s="1"/>
    </row>
    <row r="786" spans="1:20" ht="13.5" customHeight="1" thickTop="1" x14ac:dyDescent="0.25">
      <c r="A786" s="1"/>
      <c r="B786" s="1"/>
      <c r="C786" s="116"/>
      <c r="D786" s="72"/>
      <c r="E786" s="67"/>
      <c r="F786" s="73"/>
      <c r="G786" s="73"/>
      <c r="H786" s="74"/>
      <c r="I786" s="74"/>
      <c r="J786" s="75"/>
      <c r="K786" s="76"/>
      <c r="L786" s="77"/>
      <c r="M786" s="77"/>
      <c r="N786" s="51"/>
      <c r="O786" s="52"/>
      <c r="P786" s="53"/>
      <c r="Q786" s="54"/>
      <c r="R786" s="1"/>
      <c r="S786" s="1"/>
      <c r="T786" s="1"/>
    </row>
    <row r="787" spans="1:20" ht="13.5" customHeight="1" x14ac:dyDescent="0.25">
      <c r="A787" s="1"/>
      <c r="B787" s="1"/>
      <c r="C787" s="41" t="s">
        <v>818</v>
      </c>
      <c r="D787" s="72"/>
      <c r="E787" s="67"/>
      <c r="F787" s="73"/>
      <c r="G787" s="73"/>
      <c r="H787" s="74"/>
      <c r="I787" s="74"/>
      <c r="J787" s="75"/>
      <c r="K787" s="76"/>
      <c r="L787" s="77"/>
      <c r="M787" s="77"/>
      <c r="N787" s="51"/>
      <c r="O787" s="52"/>
      <c r="P787" s="53"/>
      <c r="Q787" s="54"/>
      <c r="R787" s="1"/>
      <c r="S787" s="1"/>
      <c r="T787" s="1"/>
    </row>
    <row r="788" spans="1:20" ht="13.5" customHeight="1" x14ac:dyDescent="0.25">
      <c r="A788" s="1"/>
      <c r="B788" s="1" t="s">
        <v>819</v>
      </c>
      <c r="C788" s="1" t="s">
        <v>259</v>
      </c>
      <c r="D788" s="42">
        <v>0</v>
      </c>
      <c r="E788" s="70">
        <v>0</v>
      </c>
      <c r="F788" s="73">
        <v>0</v>
      </c>
      <c r="G788" s="73">
        <v>0</v>
      </c>
      <c r="H788" s="74">
        <v>0</v>
      </c>
      <c r="I788" s="47">
        <v>0</v>
      </c>
      <c r="J788" s="75">
        <v>0</v>
      </c>
      <c r="K788" s="76">
        <v>0</v>
      </c>
      <c r="L788" s="50">
        <v>115.64</v>
      </c>
      <c r="M788" s="50">
        <v>101.91</v>
      </c>
      <c r="N788" s="51">
        <v>214.6</v>
      </c>
      <c r="O788" s="52"/>
      <c r="P788" s="53"/>
      <c r="Q788" s="54"/>
      <c r="R788" s="1"/>
      <c r="S788" s="1"/>
      <c r="T788" s="1"/>
    </row>
    <row r="789" spans="1:20" ht="13.5" customHeight="1" x14ac:dyDescent="0.25">
      <c r="A789" s="1"/>
      <c r="B789" s="1" t="s">
        <v>820</v>
      </c>
      <c r="C789" s="55" t="s">
        <v>265</v>
      </c>
      <c r="D789" s="42">
        <v>0</v>
      </c>
      <c r="E789" s="70">
        <v>0</v>
      </c>
      <c r="F789" s="73">
        <v>0</v>
      </c>
      <c r="G789" s="73">
        <v>0</v>
      </c>
      <c r="H789" s="74">
        <v>0</v>
      </c>
      <c r="I789" s="47">
        <v>0</v>
      </c>
      <c r="J789" s="75">
        <v>0</v>
      </c>
      <c r="K789" s="76">
        <v>0</v>
      </c>
      <c r="L789" s="77">
        <v>0</v>
      </c>
      <c r="M789" s="50">
        <v>1399.98</v>
      </c>
      <c r="N789" s="53">
        <v>0</v>
      </c>
      <c r="O789" s="52"/>
      <c r="P789" s="53"/>
      <c r="Q789" s="54"/>
      <c r="R789" s="1"/>
      <c r="S789" s="1"/>
      <c r="T789" s="1"/>
    </row>
    <row r="790" spans="1:20" ht="13.5" customHeight="1" x14ac:dyDescent="0.25">
      <c r="A790" s="1"/>
      <c r="B790" s="1" t="s">
        <v>821</v>
      </c>
      <c r="C790" s="1" t="s">
        <v>267</v>
      </c>
      <c r="D790" s="42">
        <v>600</v>
      </c>
      <c r="E790" s="43">
        <v>0</v>
      </c>
      <c r="F790" s="45">
        <v>600</v>
      </c>
      <c r="G790" s="45">
        <v>600</v>
      </c>
      <c r="H790" s="66">
        <v>59</v>
      </c>
      <c r="I790" s="47">
        <f>H790/J790</f>
        <v>9.8333333333333328E-2</v>
      </c>
      <c r="J790" s="48">
        <v>600</v>
      </c>
      <c r="K790" s="49">
        <v>600</v>
      </c>
      <c r="L790" s="77">
        <v>0</v>
      </c>
      <c r="M790" s="77">
        <v>0</v>
      </c>
      <c r="N790" s="53">
        <v>0</v>
      </c>
      <c r="O790" s="52">
        <v>0</v>
      </c>
      <c r="P790" s="53">
        <v>0</v>
      </c>
      <c r="Q790" s="54">
        <v>0</v>
      </c>
      <c r="R790" s="1"/>
      <c r="S790" s="1"/>
      <c r="T790" s="1"/>
    </row>
    <row r="791" spans="1:20" ht="13.5" customHeight="1" x14ac:dyDescent="0.25">
      <c r="A791" s="1"/>
      <c r="B791" s="1"/>
      <c r="C791" s="1"/>
      <c r="D791" s="56">
        <v>600</v>
      </c>
      <c r="E791" s="57">
        <f t="shared" ref="E791" si="318">SUM(E788:E790)</f>
        <v>0</v>
      </c>
      <c r="F791" s="58">
        <f>SUM(F787:F790)</f>
        <v>600</v>
      </c>
      <c r="G791" s="58">
        <v>600</v>
      </c>
      <c r="H791" s="59">
        <f>SUM(H788:H790)</f>
        <v>59</v>
      </c>
      <c r="I791" s="59"/>
      <c r="J791" s="60">
        <f t="shared" ref="J791:Q791" si="319">SUM(J788:J790)</f>
        <v>600</v>
      </c>
      <c r="K791" s="61">
        <f t="shared" si="319"/>
        <v>600</v>
      </c>
      <c r="L791" s="62">
        <f t="shared" si="319"/>
        <v>115.64</v>
      </c>
      <c r="M791" s="62">
        <f t="shared" si="319"/>
        <v>1501.89</v>
      </c>
      <c r="N791" s="63">
        <f t="shared" si="319"/>
        <v>214.6</v>
      </c>
      <c r="O791" s="64">
        <f t="shared" si="319"/>
        <v>0</v>
      </c>
      <c r="P791" s="63">
        <f t="shared" si="319"/>
        <v>0</v>
      </c>
      <c r="Q791" s="65">
        <f t="shared" si="319"/>
        <v>0</v>
      </c>
      <c r="R791" s="1"/>
      <c r="S791" s="1"/>
      <c r="T791" s="1"/>
    </row>
    <row r="792" spans="1:20" ht="13.5" customHeight="1" x14ac:dyDescent="0.25">
      <c r="A792" s="1"/>
      <c r="B792" s="1"/>
      <c r="C792" s="1"/>
      <c r="D792" s="42"/>
      <c r="E792" s="44"/>
      <c r="F792" s="45"/>
      <c r="G792" s="45"/>
      <c r="H792" s="66"/>
      <c r="I792" s="66"/>
      <c r="J792" s="48"/>
      <c r="K792" s="49"/>
      <c r="L792" s="77"/>
      <c r="M792" s="77"/>
      <c r="N792" s="53"/>
      <c r="O792" s="52"/>
      <c r="P792" s="53"/>
      <c r="Q792" s="54"/>
      <c r="R792" s="1"/>
      <c r="S792" s="1"/>
      <c r="T792" s="1"/>
    </row>
    <row r="793" spans="1:20" ht="13.5" customHeight="1" x14ac:dyDescent="0.25">
      <c r="A793" s="1"/>
      <c r="B793" s="1" t="s">
        <v>822</v>
      </c>
      <c r="C793" s="1" t="s">
        <v>318</v>
      </c>
      <c r="D793" s="42">
        <v>300</v>
      </c>
      <c r="E793" s="43">
        <v>123.06</v>
      </c>
      <c r="F793" s="45">
        <v>300</v>
      </c>
      <c r="G793" s="45">
        <v>300</v>
      </c>
      <c r="H793" s="46">
        <v>381.35</v>
      </c>
      <c r="I793" s="47">
        <f>H793/J793</f>
        <v>1.2711666666666668</v>
      </c>
      <c r="J793" s="48">
        <v>300</v>
      </c>
      <c r="K793" s="49">
        <v>300</v>
      </c>
      <c r="L793" s="50">
        <v>394.56</v>
      </c>
      <c r="M793" s="50">
        <v>394.56</v>
      </c>
      <c r="N793" s="51">
        <v>394.56</v>
      </c>
      <c r="O793" s="52">
        <v>352.56</v>
      </c>
      <c r="P793" s="53">
        <v>332.64</v>
      </c>
      <c r="Q793" s="54">
        <v>279.89999999999998</v>
      </c>
      <c r="R793" s="1"/>
      <c r="S793" s="1"/>
      <c r="T793" s="1"/>
    </row>
    <row r="794" spans="1:20" ht="13.5" customHeight="1" x14ac:dyDescent="0.25">
      <c r="A794" s="1"/>
      <c r="B794" s="1" t="s">
        <v>823</v>
      </c>
      <c r="C794" s="55" t="s">
        <v>273</v>
      </c>
      <c r="D794" s="42">
        <v>0</v>
      </c>
      <c r="E794" s="70">
        <v>0</v>
      </c>
      <c r="F794" s="73">
        <v>0</v>
      </c>
      <c r="G794" s="73">
        <v>0</v>
      </c>
      <c r="H794" s="74">
        <v>0</v>
      </c>
      <c r="I794" s="47">
        <v>0</v>
      </c>
      <c r="J794" s="75">
        <v>0</v>
      </c>
      <c r="K794" s="76">
        <v>0</v>
      </c>
      <c r="L794" s="77">
        <v>0</v>
      </c>
      <c r="M794" s="77">
        <v>0</v>
      </c>
      <c r="N794" s="51">
        <v>480.91</v>
      </c>
      <c r="O794" s="52">
        <v>0</v>
      </c>
      <c r="P794" s="53">
        <v>0</v>
      </c>
      <c r="Q794" s="54">
        <v>0</v>
      </c>
      <c r="R794" s="1"/>
      <c r="S794" s="1"/>
      <c r="T794" s="1"/>
    </row>
    <row r="795" spans="1:20" ht="13.5" hidden="1" customHeight="1" x14ac:dyDescent="0.25">
      <c r="A795" s="1"/>
      <c r="B795" s="1" t="s">
        <v>824</v>
      </c>
      <c r="C795" s="1" t="s">
        <v>404</v>
      </c>
      <c r="D795" s="42">
        <v>0</v>
      </c>
      <c r="E795" s="70">
        <v>0</v>
      </c>
      <c r="F795" s="73">
        <v>0</v>
      </c>
      <c r="G795" s="73">
        <v>0</v>
      </c>
      <c r="H795" s="74">
        <v>0</v>
      </c>
      <c r="I795" s="47">
        <v>0</v>
      </c>
      <c r="J795" s="75">
        <v>0</v>
      </c>
      <c r="K795" s="76">
        <v>0</v>
      </c>
      <c r="L795" s="77">
        <v>0</v>
      </c>
      <c r="M795" s="50">
        <v>150</v>
      </c>
      <c r="N795" s="51">
        <v>1119.52</v>
      </c>
      <c r="O795" s="52">
        <v>0</v>
      </c>
      <c r="P795" s="53">
        <v>0</v>
      </c>
      <c r="Q795" s="54">
        <v>0</v>
      </c>
      <c r="R795" s="1"/>
      <c r="S795" s="1"/>
      <c r="T795" s="1"/>
    </row>
    <row r="796" spans="1:20" ht="13.5" customHeight="1" x14ac:dyDescent="0.25">
      <c r="A796" s="1"/>
      <c r="B796" s="1" t="s">
        <v>825</v>
      </c>
      <c r="C796" s="1" t="s">
        <v>482</v>
      </c>
      <c r="D796" s="42">
        <v>969</v>
      </c>
      <c r="E796" s="70">
        <v>0</v>
      </c>
      <c r="F796" s="45">
        <v>969</v>
      </c>
      <c r="G796" s="45">
        <v>969</v>
      </c>
      <c r="H796" s="74">
        <v>0</v>
      </c>
      <c r="I796" s="47">
        <f>H796/J796</f>
        <v>0</v>
      </c>
      <c r="J796" s="48">
        <v>969</v>
      </c>
      <c r="K796" s="49">
        <v>969</v>
      </c>
      <c r="L796" s="77">
        <v>0</v>
      </c>
      <c r="M796" s="77">
        <v>0</v>
      </c>
      <c r="N796" s="53">
        <v>0</v>
      </c>
      <c r="O796" s="52">
        <v>150</v>
      </c>
      <c r="P796" s="53">
        <v>1822.37</v>
      </c>
      <c r="Q796" s="54">
        <v>2071.02</v>
      </c>
      <c r="R796" s="1"/>
      <c r="S796" s="1"/>
      <c r="T796" s="1"/>
    </row>
    <row r="797" spans="1:20" ht="13.5" customHeight="1" x14ac:dyDescent="0.25">
      <c r="A797" s="1"/>
      <c r="B797" s="1" t="s">
        <v>826</v>
      </c>
      <c r="C797" s="1" t="s">
        <v>406</v>
      </c>
      <c r="D797" s="42">
        <v>460</v>
      </c>
      <c r="E797" s="43">
        <v>0</v>
      </c>
      <c r="F797" s="45">
        <v>460</v>
      </c>
      <c r="G797" s="45">
        <v>460</v>
      </c>
      <c r="H797" s="66">
        <v>0</v>
      </c>
      <c r="I797" s="47">
        <v>0</v>
      </c>
      <c r="J797" s="48">
        <v>460</v>
      </c>
      <c r="K797" s="49">
        <v>460</v>
      </c>
      <c r="L797" s="50">
        <v>0</v>
      </c>
      <c r="M797" s="50">
        <v>0</v>
      </c>
      <c r="N797" s="51"/>
      <c r="O797" s="52"/>
      <c r="P797" s="53"/>
      <c r="Q797" s="54"/>
      <c r="R797" s="1"/>
      <c r="S797" s="1"/>
      <c r="T797" s="1"/>
    </row>
    <row r="798" spans="1:20" ht="13.5" customHeight="1" x14ac:dyDescent="0.25">
      <c r="A798" s="1"/>
      <c r="B798" s="1" t="s">
        <v>827</v>
      </c>
      <c r="C798" s="1" t="s">
        <v>408</v>
      </c>
      <c r="D798" s="42">
        <v>340</v>
      </c>
      <c r="E798" s="43">
        <v>0</v>
      </c>
      <c r="F798" s="45">
        <v>340</v>
      </c>
      <c r="G798" s="45">
        <v>340</v>
      </c>
      <c r="H798" s="66">
        <v>0</v>
      </c>
      <c r="I798" s="47">
        <v>0</v>
      </c>
      <c r="J798" s="48">
        <v>340</v>
      </c>
      <c r="K798" s="49">
        <v>340</v>
      </c>
      <c r="L798" s="50">
        <v>0</v>
      </c>
      <c r="M798" s="50">
        <v>0</v>
      </c>
      <c r="N798" s="51"/>
      <c r="O798" s="52"/>
      <c r="P798" s="53"/>
      <c r="Q798" s="54"/>
      <c r="R798" s="1"/>
      <c r="S798" s="1"/>
      <c r="T798" s="1"/>
    </row>
    <row r="799" spans="1:20" ht="13.5" customHeight="1" x14ac:dyDescent="0.25">
      <c r="A799" s="1"/>
      <c r="B799" s="1" t="s">
        <v>828</v>
      </c>
      <c r="C799" s="1" t="s">
        <v>829</v>
      </c>
      <c r="D799" s="42">
        <v>456</v>
      </c>
      <c r="E799" s="43">
        <v>189.95</v>
      </c>
      <c r="F799" s="45">
        <v>456</v>
      </c>
      <c r="G799" s="45">
        <v>456</v>
      </c>
      <c r="H799" s="46">
        <v>455.88</v>
      </c>
      <c r="I799" s="47">
        <f>H799/J799</f>
        <v>0.99973684210526315</v>
      </c>
      <c r="J799" s="48">
        <v>456</v>
      </c>
      <c r="K799" s="49">
        <v>456</v>
      </c>
      <c r="L799" s="50">
        <v>455.88</v>
      </c>
      <c r="M799" s="50">
        <v>455.88</v>
      </c>
      <c r="N799" s="51">
        <v>455.88</v>
      </c>
      <c r="O799" s="52">
        <v>455.88</v>
      </c>
      <c r="P799" s="53">
        <v>455.88</v>
      </c>
      <c r="Q799" s="54">
        <v>483.24</v>
      </c>
      <c r="R799" s="1"/>
      <c r="S799" s="1"/>
      <c r="T799" s="1"/>
    </row>
    <row r="800" spans="1:20" ht="13.5" customHeight="1" x14ac:dyDescent="0.25">
      <c r="A800" s="1"/>
      <c r="B800" s="1"/>
      <c r="C800" s="1"/>
      <c r="D800" s="56">
        <v>2525</v>
      </c>
      <c r="E800" s="57">
        <f t="shared" ref="E800" si="320">SUM(E793:E799)</f>
        <v>313.01</v>
      </c>
      <c r="F800" s="58">
        <f>SUM(F792:F799)</f>
        <v>2525</v>
      </c>
      <c r="G800" s="58">
        <v>2525</v>
      </c>
      <c r="H800" s="59">
        <f>SUM(H793:H799)</f>
        <v>837.23</v>
      </c>
      <c r="I800" s="59"/>
      <c r="J800" s="60">
        <f t="shared" ref="J800:Q800" si="321">SUM(J793:J799)</f>
        <v>2525</v>
      </c>
      <c r="K800" s="61">
        <f t="shared" si="321"/>
        <v>2525</v>
      </c>
      <c r="L800" s="62">
        <f t="shared" si="321"/>
        <v>850.44</v>
      </c>
      <c r="M800" s="62">
        <f t="shared" si="321"/>
        <v>1000.4399999999999</v>
      </c>
      <c r="N800" s="63">
        <f t="shared" si="321"/>
        <v>2450.87</v>
      </c>
      <c r="O800" s="64">
        <f t="shared" si="321"/>
        <v>958.44</v>
      </c>
      <c r="P800" s="63">
        <f t="shared" si="321"/>
        <v>2610.89</v>
      </c>
      <c r="Q800" s="65">
        <f t="shared" si="321"/>
        <v>2834.16</v>
      </c>
      <c r="R800" s="1"/>
      <c r="S800" s="1"/>
      <c r="T800" s="1"/>
    </row>
    <row r="801" spans="1:20" ht="13.5" hidden="1" customHeight="1" x14ac:dyDescent="0.25">
      <c r="A801" s="1"/>
      <c r="B801" s="1"/>
      <c r="C801" s="1"/>
      <c r="D801" s="42"/>
      <c r="E801" s="44"/>
      <c r="F801" s="45"/>
      <c r="G801" s="45"/>
      <c r="H801" s="66"/>
      <c r="I801" s="66"/>
      <c r="J801" s="48"/>
      <c r="K801" s="49"/>
      <c r="L801" s="50"/>
      <c r="M801" s="50"/>
      <c r="N801" s="51"/>
      <c r="O801" s="52"/>
      <c r="P801" s="53"/>
      <c r="Q801" s="54"/>
      <c r="R801" s="1"/>
      <c r="S801" s="1"/>
      <c r="T801" s="1"/>
    </row>
    <row r="802" spans="1:20" ht="13.5" hidden="1" customHeight="1" x14ac:dyDescent="0.25">
      <c r="A802" s="1"/>
      <c r="B802" s="1" t="s">
        <v>830</v>
      </c>
      <c r="C802" s="1" t="s">
        <v>412</v>
      </c>
      <c r="D802" s="42">
        <v>0</v>
      </c>
      <c r="E802" s="70">
        <v>0</v>
      </c>
      <c r="F802" s="45">
        <v>0</v>
      </c>
      <c r="G802" s="45">
        <v>0</v>
      </c>
      <c r="H802" s="74">
        <v>0</v>
      </c>
      <c r="I802" s="47" t="e">
        <f t="shared" ref="I802:I803" si="322">H802/J802</f>
        <v>#DIV/0!</v>
      </c>
      <c r="J802" s="48">
        <v>0</v>
      </c>
      <c r="K802" s="49">
        <v>0</v>
      </c>
      <c r="L802" s="77">
        <v>0</v>
      </c>
      <c r="M802" s="77">
        <v>0</v>
      </c>
      <c r="N802" s="53">
        <v>0</v>
      </c>
      <c r="O802" s="52">
        <v>0</v>
      </c>
      <c r="P802" s="53">
        <v>0</v>
      </c>
      <c r="Q802" s="54">
        <v>629.99</v>
      </c>
      <c r="R802" s="1"/>
      <c r="S802" s="1"/>
      <c r="T802" s="1"/>
    </row>
    <row r="803" spans="1:20" ht="13.5" hidden="1" customHeight="1" x14ac:dyDescent="0.25">
      <c r="A803" s="1"/>
      <c r="B803" s="1" t="s">
        <v>831</v>
      </c>
      <c r="C803" s="1" t="s">
        <v>414</v>
      </c>
      <c r="D803" s="42">
        <v>0</v>
      </c>
      <c r="E803" s="70">
        <v>0</v>
      </c>
      <c r="F803" s="45">
        <v>0</v>
      </c>
      <c r="G803" s="45">
        <v>0</v>
      </c>
      <c r="H803" s="74">
        <v>0</v>
      </c>
      <c r="I803" s="47" t="e">
        <f t="shared" si="322"/>
        <v>#DIV/0!</v>
      </c>
      <c r="J803" s="48">
        <v>0</v>
      </c>
      <c r="K803" s="49">
        <v>0</v>
      </c>
      <c r="L803" s="77">
        <v>0</v>
      </c>
      <c r="M803" s="77">
        <v>0</v>
      </c>
      <c r="N803" s="51">
        <v>20826.87</v>
      </c>
      <c r="O803" s="52">
        <v>0</v>
      </c>
      <c r="P803" s="53">
        <v>0</v>
      </c>
      <c r="Q803" s="54">
        <v>339.85</v>
      </c>
      <c r="R803" s="1"/>
      <c r="S803" s="1"/>
      <c r="T803" s="1"/>
    </row>
    <row r="804" spans="1:20" ht="13.5" hidden="1" customHeight="1" x14ac:dyDescent="0.25">
      <c r="A804" s="1"/>
      <c r="B804" s="1"/>
      <c r="C804" s="1"/>
      <c r="D804" s="56">
        <v>0</v>
      </c>
      <c r="E804" s="57">
        <f t="shared" ref="E804" si="323">SUM(E802:E803)</f>
        <v>0</v>
      </c>
      <c r="F804" s="58">
        <v>0</v>
      </c>
      <c r="G804" s="58">
        <v>0</v>
      </c>
      <c r="H804" s="59">
        <f>SUM(H802:H803)</f>
        <v>0</v>
      </c>
      <c r="I804" s="59"/>
      <c r="J804" s="60">
        <f t="shared" ref="J804:Q804" si="324">SUM(J802:J803)</f>
        <v>0</v>
      </c>
      <c r="K804" s="61">
        <f t="shared" si="324"/>
        <v>0</v>
      </c>
      <c r="L804" s="62">
        <f t="shared" si="324"/>
        <v>0</v>
      </c>
      <c r="M804" s="62">
        <f t="shared" si="324"/>
        <v>0</v>
      </c>
      <c r="N804" s="63">
        <f t="shared" si="324"/>
        <v>20826.87</v>
      </c>
      <c r="O804" s="64">
        <f t="shared" si="324"/>
        <v>0</v>
      </c>
      <c r="P804" s="63">
        <f t="shared" si="324"/>
        <v>0</v>
      </c>
      <c r="Q804" s="65">
        <f t="shared" si="324"/>
        <v>969.84</v>
      </c>
      <c r="R804" s="1"/>
      <c r="S804" s="1"/>
      <c r="T804" s="1"/>
    </row>
    <row r="805" spans="1:20" ht="13.5" customHeight="1" thickBot="1" x14ac:dyDescent="0.3">
      <c r="A805" s="1"/>
      <c r="B805" s="1"/>
      <c r="C805" s="116" t="s">
        <v>832</v>
      </c>
      <c r="D805" s="194">
        <v>3125</v>
      </c>
      <c r="E805" s="101">
        <f t="shared" ref="E805" si="325">SUM(E791+E800+E804)</f>
        <v>313.01</v>
      </c>
      <c r="F805" s="195">
        <f>SUM(F791,F800)</f>
        <v>3125</v>
      </c>
      <c r="G805" s="195">
        <v>3125</v>
      </c>
      <c r="H805" s="196">
        <f>SUM(H791+H800+H804)</f>
        <v>896.23</v>
      </c>
      <c r="I805" s="196"/>
      <c r="J805" s="197">
        <f t="shared" ref="J805:Q805" si="326">SUM(J791+J800+J804)</f>
        <v>3125</v>
      </c>
      <c r="K805" s="198">
        <f t="shared" si="326"/>
        <v>3125</v>
      </c>
      <c r="L805" s="199">
        <f t="shared" si="326"/>
        <v>966.08</v>
      </c>
      <c r="M805" s="199">
        <f t="shared" si="326"/>
        <v>2502.33</v>
      </c>
      <c r="N805" s="200">
        <f t="shared" si="326"/>
        <v>23492.34</v>
      </c>
      <c r="O805" s="201">
        <f t="shared" si="326"/>
        <v>958.44</v>
      </c>
      <c r="P805" s="200">
        <f t="shared" si="326"/>
        <v>2610.89</v>
      </c>
      <c r="Q805" s="202">
        <f t="shared" si="326"/>
        <v>3804</v>
      </c>
      <c r="R805" s="1"/>
      <c r="S805" s="1"/>
      <c r="T805" s="1"/>
    </row>
    <row r="806" spans="1:20" ht="13.5" customHeight="1" thickTop="1" x14ac:dyDescent="0.25">
      <c r="A806" s="1"/>
      <c r="B806" s="1"/>
      <c r="C806" s="116"/>
      <c r="D806" s="42"/>
      <c r="E806" s="44"/>
      <c r="F806" s="45"/>
      <c r="G806" s="45"/>
      <c r="H806" s="66"/>
      <c r="I806" s="66"/>
      <c r="J806" s="48"/>
      <c r="K806" s="49"/>
      <c r="L806" s="50"/>
      <c r="M806" s="50"/>
      <c r="N806" s="51"/>
      <c r="O806" s="151"/>
      <c r="P806" s="51"/>
      <c r="Q806" s="152"/>
      <c r="R806" s="1"/>
      <c r="S806" s="1"/>
      <c r="T806" s="1"/>
    </row>
    <row r="807" spans="1:20" ht="13.5" customHeight="1" x14ac:dyDescent="0.25">
      <c r="A807" s="1"/>
      <c r="B807" s="1"/>
      <c r="C807" s="41" t="s">
        <v>833</v>
      </c>
      <c r="D807" s="42"/>
      <c r="E807" s="67"/>
      <c r="F807" s="45"/>
      <c r="G807" s="45"/>
      <c r="H807" s="74"/>
      <c r="I807" s="66"/>
      <c r="J807" s="48"/>
      <c r="K807" s="49"/>
      <c r="L807" s="77"/>
      <c r="M807" s="77"/>
      <c r="N807" s="51"/>
      <c r="O807" s="52"/>
      <c r="P807" s="53"/>
      <c r="Q807" s="54"/>
      <c r="R807" s="1"/>
      <c r="S807" s="1"/>
      <c r="T807" s="1"/>
    </row>
    <row r="808" spans="1:20" ht="13.5" customHeight="1" x14ac:dyDescent="0.25">
      <c r="A808" s="1"/>
      <c r="B808" s="1" t="s">
        <v>834</v>
      </c>
      <c r="C808" s="55" t="s">
        <v>265</v>
      </c>
      <c r="D808" s="42">
        <v>0</v>
      </c>
      <c r="E808" s="43">
        <v>0</v>
      </c>
      <c r="F808" s="73">
        <v>0</v>
      </c>
      <c r="G808" s="73">
        <v>0</v>
      </c>
      <c r="H808" s="66">
        <v>1652</v>
      </c>
      <c r="I808" s="74"/>
      <c r="J808" s="75">
        <v>0</v>
      </c>
      <c r="K808" s="76">
        <v>0</v>
      </c>
      <c r="L808" s="50">
        <v>640.41</v>
      </c>
      <c r="M808" s="77">
        <v>0</v>
      </c>
      <c r="N808" s="51">
        <v>659.99</v>
      </c>
      <c r="O808" s="52"/>
      <c r="P808" s="53"/>
      <c r="Q808" s="54"/>
      <c r="R808" s="1"/>
      <c r="S808" s="1"/>
      <c r="T808" s="1"/>
    </row>
    <row r="809" spans="1:20" ht="13.5" customHeight="1" x14ac:dyDescent="0.25">
      <c r="A809" s="1"/>
      <c r="B809" s="1" t="s">
        <v>835</v>
      </c>
      <c r="C809" s="55" t="s">
        <v>294</v>
      </c>
      <c r="D809" s="42">
        <v>330</v>
      </c>
      <c r="E809" s="70">
        <v>0</v>
      </c>
      <c r="F809" s="45">
        <v>330</v>
      </c>
      <c r="G809" s="45">
        <v>330</v>
      </c>
      <c r="H809" s="74">
        <v>0</v>
      </c>
      <c r="I809" s="47">
        <f>H809/J809</f>
        <v>0</v>
      </c>
      <c r="J809" s="48">
        <v>330</v>
      </c>
      <c r="K809" s="49">
        <v>330</v>
      </c>
      <c r="L809" s="50">
        <v>97.94</v>
      </c>
      <c r="M809" s="77">
        <v>0</v>
      </c>
      <c r="N809" s="53" t="s">
        <v>16</v>
      </c>
      <c r="O809" s="52">
        <v>329.99</v>
      </c>
      <c r="P809" s="53">
        <v>0</v>
      </c>
      <c r="Q809" s="54">
        <v>0</v>
      </c>
      <c r="R809" s="1"/>
      <c r="S809" s="1"/>
      <c r="T809" s="1"/>
    </row>
    <row r="810" spans="1:20" ht="13.5" customHeight="1" x14ac:dyDescent="0.25">
      <c r="A810" s="1"/>
      <c r="B810" s="1"/>
      <c r="C810" s="1"/>
      <c r="D810" s="56">
        <v>330</v>
      </c>
      <c r="E810" s="57">
        <f t="shared" ref="E810" si="327">SUM(E808:E809)</f>
        <v>0</v>
      </c>
      <c r="F810" s="58">
        <f>SUM(F807:F809)</f>
        <v>330</v>
      </c>
      <c r="G810" s="58">
        <v>330</v>
      </c>
      <c r="H810" s="59">
        <f>SUM(H808:H809)</f>
        <v>1652</v>
      </c>
      <c r="I810" s="59"/>
      <c r="J810" s="60">
        <f t="shared" ref="J810:Q810" si="328">SUM(J808:J809)</f>
        <v>330</v>
      </c>
      <c r="K810" s="61">
        <f t="shared" si="328"/>
        <v>330</v>
      </c>
      <c r="L810" s="62">
        <f t="shared" si="328"/>
        <v>738.34999999999991</v>
      </c>
      <c r="M810" s="62">
        <f t="shared" si="328"/>
        <v>0</v>
      </c>
      <c r="N810" s="63">
        <f t="shared" si="328"/>
        <v>659.99</v>
      </c>
      <c r="O810" s="64">
        <f t="shared" si="328"/>
        <v>329.99</v>
      </c>
      <c r="P810" s="63">
        <f t="shared" si="328"/>
        <v>0</v>
      </c>
      <c r="Q810" s="65">
        <f t="shared" si="328"/>
        <v>0</v>
      </c>
      <c r="R810" s="1"/>
      <c r="S810" s="1"/>
      <c r="T810" s="1"/>
    </row>
    <row r="811" spans="1:20" ht="13.5" customHeight="1" x14ac:dyDescent="0.25">
      <c r="A811" s="1"/>
      <c r="B811" s="1"/>
      <c r="C811" s="1"/>
      <c r="D811" s="42"/>
      <c r="E811" s="67"/>
      <c r="F811" s="45"/>
      <c r="G811" s="45"/>
      <c r="H811" s="74"/>
      <c r="I811" s="66"/>
      <c r="J811" s="48"/>
      <c r="K811" s="49"/>
      <c r="L811" s="50"/>
      <c r="M811" s="77"/>
      <c r="N811" s="53"/>
      <c r="O811" s="52"/>
      <c r="P811" s="53"/>
      <c r="Q811" s="54"/>
      <c r="R811" s="1"/>
      <c r="S811" s="1"/>
      <c r="T811" s="1"/>
    </row>
    <row r="812" spans="1:20" ht="13.5" hidden="1" customHeight="1" x14ac:dyDescent="0.25">
      <c r="A812" s="1"/>
      <c r="B812" s="1" t="s">
        <v>836</v>
      </c>
      <c r="C812" s="1" t="s">
        <v>275</v>
      </c>
      <c r="D812" s="42">
        <v>0</v>
      </c>
      <c r="E812" s="70">
        <v>0</v>
      </c>
      <c r="F812" s="45">
        <v>0</v>
      </c>
      <c r="G812" s="45">
        <v>0</v>
      </c>
      <c r="H812" s="74">
        <v>0</v>
      </c>
      <c r="I812" s="47">
        <f t="shared" ref="I812:I813" si="329">H812/J812</f>
        <v>0</v>
      </c>
      <c r="J812" s="48">
        <v>250</v>
      </c>
      <c r="K812" s="49">
        <v>250</v>
      </c>
      <c r="L812" s="50">
        <v>271.27</v>
      </c>
      <c r="M812" s="50">
        <v>250</v>
      </c>
      <c r="N812" s="53" t="s">
        <v>16</v>
      </c>
      <c r="O812" s="52"/>
      <c r="P812" s="53"/>
      <c r="Q812" s="54"/>
      <c r="R812" s="1"/>
      <c r="S812" s="1"/>
      <c r="T812" s="1"/>
    </row>
    <row r="813" spans="1:20" ht="13.5" customHeight="1" x14ac:dyDescent="0.25">
      <c r="A813" s="1"/>
      <c r="B813" s="1" t="s">
        <v>837</v>
      </c>
      <c r="C813" s="1" t="s">
        <v>829</v>
      </c>
      <c r="D813" s="42">
        <v>706</v>
      </c>
      <c r="E813" s="70">
        <v>189.95</v>
      </c>
      <c r="F813" s="45">
        <v>706</v>
      </c>
      <c r="G813" s="45">
        <v>706</v>
      </c>
      <c r="H813" s="74">
        <v>0</v>
      </c>
      <c r="I813" s="47">
        <f t="shared" si="329"/>
        <v>0</v>
      </c>
      <c r="J813" s="48">
        <v>456</v>
      </c>
      <c r="K813" s="49">
        <v>456</v>
      </c>
      <c r="L813" s="77">
        <v>0</v>
      </c>
      <c r="M813" s="77">
        <v>0</v>
      </c>
      <c r="N813" s="51">
        <v>77.5</v>
      </c>
      <c r="O813" s="52"/>
      <c r="P813" s="53"/>
      <c r="Q813" s="54"/>
      <c r="R813" s="1"/>
      <c r="S813" s="1"/>
      <c r="T813" s="1"/>
    </row>
    <row r="814" spans="1:20" ht="13.5" customHeight="1" x14ac:dyDescent="0.25">
      <c r="A814" s="1"/>
      <c r="B814" s="1"/>
      <c r="C814" s="1"/>
      <c r="D814" s="56">
        <v>706</v>
      </c>
      <c r="E814" s="57">
        <f t="shared" ref="E814" si="330">SUM(E812:E813)</f>
        <v>189.95</v>
      </c>
      <c r="F814" s="58">
        <f>SUM(F811:F813)</f>
        <v>706</v>
      </c>
      <c r="G814" s="58">
        <v>706</v>
      </c>
      <c r="H814" s="59">
        <f>SUM(H812:H813)</f>
        <v>0</v>
      </c>
      <c r="I814" s="59"/>
      <c r="J814" s="60">
        <f t="shared" ref="J814:Q814" si="331">SUM(J812:J813)</f>
        <v>706</v>
      </c>
      <c r="K814" s="61">
        <f t="shared" si="331"/>
        <v>706</v>
      </c>
      <c r="L814" s="62">
        <f t="shared" si="331"/>
        <v>271.27</v>
      </c>
      <c r="M814" s="62">
        <f t="shared" si="331"/>
        <v>250</v>
      </c>
      <c r="N814" s="63">
        <f t="shared" si="331"/>
        <v>77.5</v>
      </c>
      <c r="O814" s="64">
        <f t="shared" si="331"/>
        <v>0</v>
      </c>
      <c r="P814" s="63">
        <f t="shared" si="331"/>
        <v>0</v>
      </c>
      <c r="Q814" s="65">
        <f t="shared" si="331"/>
        <v>0</v>
      </c>
      <c r="R814" s="1"/>
      <c r="S814" s="1"/>
      <c r="T814" s="1"/>
    </row>
    <row r="815" spans="1:20" ht="13.5" hidden="1" customHeight="1" x14ac:dyDescent="0.25">
      <c r="A815" s="1"/>
      <c r="B815" s="1"/>
      <c r="C815" s="1"/>
      <c r="D815" s="42"/>
      <c r="E815" s="44"/>
      <c r="F815" s="45"/>
      <c r="G815" s="45"/>
      <c r="H815" s="74"/>
      <c r="I815" s="66"/>
      <c r="J815" s="48"/>
      <c r="K815" s="49"/>
      <c r="L815" s="77"/>
      <c r="M815" s="77"/>
      <c r="N815" s="51"/>
      <c r="O815" s="52"/>
      <c r="P815" s="53"/>
      <c r="Q815" s="54"/>
      <c r="R815" s="1"/>
      <c r="S815" s="1"/>
      <c r="T815" s="1"/>
    </row>
    <row r="816" spans="1:20" ht="13.5" hidden="1" customHeight="1" x14ac:dyDescent="0.25">
      <c r="A816" s="1"/>
      <c r="B816" s="1" t="s">
        <v>838</v>
      </c>
      <c r="C816" s="1" t="s">
        <v>414</v>
      </c>
      <c r="D816" s="72" t="s">
        <v>16</v>
      </c>
      <c r="E816" s="70">
        <v>0</v>
      </c>
      <c r="F816" s="73" t="s">
        <v>16</v>
      </c>
      <c r="G816" s="73" t="s">
        <v>16</v>
      </c>
      <c r="H816" s="74" t="s">
        <v>16</v>
      </c>
      <c r="I816" s="74"/>
      <c r="J816" s="75" t="s">
        <v>16</v>
      </c>
      <c r="K816" s="76" t="s">
        <v>16</v>
      </c>
      <c r="L816" s="77" t="s">
        <v>16</v>
      </c>
      <c r="M816" s="77" t="s">
        <v>16</v>
      </c>
      <c r="N816" s="51">
        <v>20826.87</v>
      </c>
      <c r="O816" s="52"/>
      <c r="P816" s="53"/>
      <c r="Q816" s="54"/>
      <c r="R816" s="1"/>
      <c r="S816" s="1"/>
      <c r="T816" s="1"/>
    </row>
    <row r="817" spans="1:20" ht="13.5" hidden="1" customHeight="1" x14ac:dyDescent="0.25">
      <c r="A817" s="1"/>
      <c r="B817" s="1"/>
      <c r="C817" s="1"/>
      <c r="D817" s="88">
        <v>0</v>
      </c>
      <c r="E817" s="89">
        <f t="shared" ref="E817" si="332">SUM(E816)</f>
        <v>0</v>
      </c>
      <c r="F817" s="90">
        <v>0</v>
      </c>
      <c r="G817" s="90">
        <v>0</v>
      </c>
      <c r="H817" s="91">
        <f>SUM(H816)</f>
        <v>0</v>
      </c>
      <c r="I817" s="91"/>
      <c r="J817" s="92">
        <f t="shared" ref="J817:Q817" si="333">SUM(J816)</f>
        <v>0</v>
      </c>
      <c r="K817" s="93">
        <f t="shared" si="333"/>
        <v>0</v>
      </c>
      <c r="L817" s="94">
        <f t="shared" si="333"/>
        <v>0</v>
      </c>
      <c r="M817" s="94">
        <f t="shared" si="333"/>
        <v>0</v>
      </c>
      <c r="N817" s="95">
        <f t="shared" si="333"/>
        <v>20826.87</v>
      </c>
      <c r="O817" s="96">
        <f t="shared" si="333"/>
        <v>0</v>
      </c>
      <c r="P817" s="95">
        <f t="shared" si="333"/>
        <v>0</v>
      </c>
      <c r="Q817" s="97">
        <f t="shared" si="333"/>
        <v>0</v>
      </c>
      <c r="R817" s="1"/>
      <c r="S817" s="1"/>
      <c r="T817" s="1"/>
    </row>
    <row r="818" spans="1:20" ht="13.5" customHeight="1" thickBot="1" x14ac:dyDescent="0.3">
      <c r="A818" s="1"/>
      <c r="B818" s="1"/>
      <c r="C818" s="116" t="s">
        <v>839</v>
      </c>
      <c r="D818" s="184">
        <v>1036</v>
      </c>
      <c r="E818" s="185">
        <f t="shared" ref="E818" si="334">SUM(E810+E814+E817)</f>
        <v>189.95</v>
      </c>
      <c r="F818" s="186">
        <f>SUM(F810,F814)</f>
        <v>1036</v>
      </c>
      <c r="G818" s="186">
        <v>1036</v>
      </c>
      <c r="H818" s="187">
        <f>SUM(H810+H814+H817)</f>
        <v>1652</v>
      </c>
      <c r="I818" s="187"/>
      <c r="J818" s="188">
        <f t="shared" ref="J818:Q818" si="335">SUM(J810+J814+J817)</f>
        <v>1036</v>
      </c>
      <c r="K818" s="189">
        <f t="shared" si="335"/>
        <v>1036</v>
      </c>
      <c r="L818" s="190">
        <f t="shared" si="335"/>
        <v>1009.6199999999999</v>
      </c>
      <c r="M818" s="190">
        <f t="shared" si="335"/>
        <v>250</v>
      </c>
      <c r="N818" s="191">
        <f t="shared" si="335"/>
        <v>21564.36</v>
      </c>
      <c r="O818" s="192">
        <f t="shared" si="335"/>
        <v>329.99</v>
      </c>
      <c r="P818" s="191">
        <f t="shared" si="335"/>
        <v>0</v>
      </c>
      <c r="Q818" s="193">
        <f t="shared" si="335"/>
        <v>0</v>
      </c>
      <c r="R818" s="1"/>
      <c r="S818" s="1"/>
      <c r="T818" s="1"/>
    </row>
    <row r="819" spans="1:20" ht="13.5" customHeight="1" thickTop="1" x14ac:dyDescent="0.25">
      <c r="A819" s="1"/>
      <c r="B819" s="1"/>
      <c r="C819" s="1"/>
      <c r="D819" s="72"/>
      <c r="E819" s="67"/>
      <c r="F819" s="73"/>
      <c r="G819" s="73"/>
      <c r="H819" s="74"/>
      <c r="I819" s="74"/>
      <c r="J819" s="75"/>
      <c r="K819" s="76"/>
      <c r="L819" s="77"/>
      <c r="M819" s="77"/>
      <c r="N819" s="51"/>
      <c r="O819" s="52"/>
      <c r="P819" s="53"/>
      <c r="Q819" s="54"/>
      <c r="R819" s="1"/>
      <c r="S819" s="1"/>
      <c r="T819" s="1"/>
    </row>
    <row r="820" spans="1:20" ht="13.5" customHeight="1" x14ac:dyDescent="0.25">
      <c r="A820" s="1"/>
      <c r="B820" s="1"/>
      <c r="C820" s="41" t="s">
        <v>840</v>
      </c>
      <c r="D820" s="72"/>
      <c r="E820" s="67"/>
      <c r="F820" s="73"/>
      <c r="G820" s="73"/>
      <c r="H820" s="74"/>
      <c r="I820" s="74"/>
      <c r="J820" s="75"/>
      <c r="K820" s="76"/>
      <c r="L820" s="77"/>
      <c r="M820" s="77"/>
      <c r="N820" s="51"/>
      <c r="O820" s="52"/>
      <c r="P820" s="53"/>
      <c r="Q820" s="54"/>
      <c r="R820" s="1"/>
      <c r="S820" s="1"/>
      <c r="T820" s="1"/>
    </row>
    <row r="821" spans="1:20" ht="13.5" customHeight="1" x14ac:dyDescent="0.25">
      <c r="A821" s="1"/>
      <c r="B821" s="1" t="s">
        <v>841</v>
      </c>
      <c r="C821" s="1" t="s">
        <v>259</v>
      </c>
      <c r="D821" s="42">
        <v>0</v>
      </c>
      <c r="E821" s="70">
        <v>0</v>
      </c>
      <c r="F821" s="73">
        <v>0</v>
      </c>
      <c r="G821" s="73">
        <v>0</v>
      </c>
      <c r="H821" s="74">
        <v>0</v>
      </c>
      <c r="I821" s="183">
        <v>0</v>
      </c>
      <c r="J821" s="75">
        <v>0</v>
      </c>
      <c r="K821" s="76">
        <v>0</v>
      </c>
      <c r="L821" s="50">
        <v>897.09</v>
      </c>
      <c r="M821" s="77">
        <v>0</v>
      </c>
      <c r="N821" s="53" t="s">
        <v>16</v>
      </c>
      <c r="O821" s="52"/>
      <c r="P821" s="53"/>
      <c r="Q821" s="54"/>
      <c r="R821" s="1"/>
      <c r="S821" s="1"/>
      <c r="T821" s="1"/>
    </row>
    <row r="822" spans="1:20" ht="13.5" customHeight="1" x14ac:dyDescent="0.25">
      <c r="A822" s="1"/>
      <c r="B822" s="1" t="s">
        <v>842</v>
      </c>
      <c r="C822" s="55" t="s">
        <v>265</v>
      </c>
      <c r="D822" s="42">
        <v>0</v>
      </c>
      <c r="E822" s="70">
        <v>0</v>
      </c>
      <c r="F822" s="73" t="s">
        <v>16</v>
      </c>
      <c r="G822" s="73" t="s">
        <v>16</v>
      </c>
      <c r="H822" s="74" t="s">
        <v>16</v>
      </c>
      <c r="I822" s="183"/>
      <c r="J822" s="75" t="s">
        <v>16</v>
      </c>
      <c r="K822" s="76" t="s">
        <v>16</v>
      </c>
      <c r="L822" s="77" t="s">
        <v>16</v>
      </c>
      <c r="M822" s="77" t="s">
        <v>16</v>
      </c>
      <c r="N822" s="51">
        <v>1912.89</v>
      </c>
      <c r="O822" s="52"/>
      <c r="P822" s="53"/>
      <c r="Q822" s="54"/>
      <c r="R822" s="1"/>
      <c r="S822" s="1"/>
      <c r="T822" s="1"/>
    </row>
    <row r="823" spans="1:20" ht="13.5" customHeight="1" x14ac:dyDescent="0.25">
      <c r="A823" s="1"/>
      <c r="B823" s="1" t="s">
        <v>843</v>
      </c>
      <c r="C823" s="55" t="s">
        <v>267</v>
      </c>
      <c r="D823" s="42">
        <v>0</v>
      </c>
      <c r="E823" s="70">
        <v>0</v>
      </c>
      <c r="F823" s="73">
        <v>0</v>
      </c>
      <c r="G823" s="73">
        <v>0</v>
      </c>
      <c r="H823" s="74">
        <v>150</v>
      </c>
      <c r="I823" s="183">
        <v>0</v>
      </c>
      <c r="J823" s="75">
        <v>0</v>
      </c>
      <c r="K823" s="76">
        <v>0</v>
      </c>
      <c r="L823" s="77">
        <v>0</v>
      </c>
      <c r="M823" s="50">
        <v>466.76</v>
      </c>
      <c r="N823" s="53" t="s">
        <v>16</v>
      </c>
      <c r="O823" s="52"/>
      <c r="P823" s="53"/>
      <c r="Q823" s="54"/>
      <c r="R823" s="1"/>
      <c r="S823" s="1"/>
      <c r="T823" s="1"/>
    </row>
    <row r="824" spans="1:20" ht="13.5" customHeight="1" x14ac:dyDescent="0.25">
      <c r="A824" s="1"/>
      <c r="B824" s="1"/>
      <c r="C824" s="1"/>
      <c r="D824" s="88">
        <v>0</v>
      </c>
      <c r="E824" s="89">
        <f t="shared" ref="E824" si="336">SUM(E821:E823)</f>
        <v>0</v>
      </c>
      <c r="F824" s="90">
        <f>SUM(F820:F823)</f>
        <v>0</v>
      </c>
      <c r="G824" s="90">
        <v>0</v>
      </c>
      <c r="H824" s="91">
        <f>SUM(H821:H823)</f>
        <v>150</v>
      </c>
      <c r="I824" s="91"/>
      <c r="J824" s="92">
        <f t="shared" ref="J824:Q824" si="337">SUM(J821:J823)</f>
        <v>0</v>
      </c>
      <c r="K824" s="93">
        <f t="shared" si="337"/>
        <v>0</v>
      </c>
      <c r="L824" s="94">
        <f t="shared" si="337"/>
        <v>897.09</v>
      </c>
      <c r="M824" s="94">
        <f t="shared" si="337"/>
        <v>466.76</v>
      </c>
      <c r="N824" s="95">
        <f t="shared" si="337"/>
        <v>1912.89</v>
      </c>
      <c r="O824" s="96">
        <f t="shared" si="337"/>
        <v>0</v>
      </c>
      <c r="P824" s="95">
        <f t="shared" si="337"/>
        <v>0</v>
      </c>
      <c r="Q824" s="97">
        <f t="shared" si="337"/>
        <v>0</v>
      </c>
      <c r="R824" s="1"/>
      <c r="S824" s="1"/>
      <c r="T824" s="1"/>
    </row>
    <row r="825" spans="1:20" ht="13.5" customHeight="1" x14ac:dyDescent="0.25">
      <c r="A825" s="1"/>
      <c r="B825" s="1"/>
      <c r="C825" s="1"/>
      <c r="D825" s="72"/>
      <c r="E825" s="67"/>
      <c r="F825" s="73"/>
      <c r="G825" s="73"/>
      <c r="H825" s="74"/>
      <c r="I825" s="74"/>
      <c r="J825" s="75"/>
      <c r="K825" s="76"/>
      <c r="L825" s="77"/>
      <c r="M825" s="50"/>
      <c r="N825" s="53"/>
      <c r="O825" s="52"/>
      <c r="P825" s="53"/>
      <c r="Q825" s="54"/>
      <c r="R825" s="1"/>
      <c r="S825" s="1"/>
      <c r="T825" s="1"/>
    </row>
    <row r="826" spans="1:20" ht="13.5" hidden="1" customHeight="1" x14ac:dyDescent="0.25">
      <c r="A826" s="1"/>
      <c r="B826" s="1" t="s">
        <v>844</v>
      </c>
      <c r="C826" s="1" t="s">
        <v>404</v>
      </c>
      <c r="D826" s="42">
        <v>0</v>
      </c>
      <c r="E826" s="70">
        <v>0</v>
      </c>
      <c r="F826" s="45">
        <v>0</v>
      </c>
      <c r="G826" s="45">
        <v>0</v>
      </c>
      <c r="H826" s="74">
        <v>0</v>
      </c>
      <c r="I826" s="47">
        <f t="shared" ref="I826:I827" si="338">H826/J826</f>
        <v>0</v>
      </c>
      <c r="J826" s="48">
        <v>1000</v>
      </c>
      <c r="K826" s="49">
        <v>1000</v>
      </c>
      <c r="L826" s="77">
        <v>0</v>
      </c>
      <c r="M826" s="50">
        <v>150</v>
      </c>
      <c r="N826" s="53" t="s">
        <v>16</v>
      </c>
      <c r="O826" s="52">
        <v>1643.45</v>
      </c>
      <c r="P826" s="53">
        <v>0</v>
      </c>
      <c r="Q826" s="54">
        <v>1054.1500000000001</v>
      </c>
      <c r="R826" s="1"/>
      <c r="S826" s="1"/>
      <c r="T826" s="1"/>
    </row>
    <row r="827" spans="1:20" ht="13.5" customHeight="1" x14ac:dyDescent="0.25">
      <c r="A827" s="1"/>
      <c r="B827" s="1" t="s">
        <v>845</v>
      </c>
      <c r="C827" s="1" t="s">
        <v>814</v>
      </c>
      <c r="D827" s="42">
        <v>1456</v>
      </c>
      <c r="E827" s="43">
        <v>0</v>
      </c>
      <c r="F827" s="45">
        <v>1456</v>
      </c>
      <c r="G827" s="45">
        <v>1456</v>
      </c>
      <c r="H827" s="46">
        <v>455.88</v>
      </c>
      <c r="I827" s="47">
        <f t="shared" si="338"/>
        <v>0.99973684210526315</v>
      </c>
      <c r="J827" s="48">
        <v>456</v>
      </c>
      <c r="K827" s="49">
        <v>456</v>
      </c>
      <c r="L827" s="50">
        <v>455.88</v>
      </c>
      <c r="M827" s="50">
        <v>455.88</v>
      </c>
      <c r="N827" s="51">
        <v>455.88</v>
      </c>
      <c r="O827" s="52">
        <v>455.88</v>
      </c>
      <c r="P827" s="53">
        <v>455.88</v>
      </c>
      <c r="Q827" s="54">
        <v>0</v>
      </c>
      <c r="R827" s="1"/>
      <c r="S827" s="1"/>
      <c r="T827" s="1"/>
    </row>
    <row r="828" spans="1:20" ht="13.5" customHeight="1" x14ac:dyDescent="0.25">
      <c r="A828" s="1"/>
      <c r="B828" s="1"/>
      <c r="C828" s="1"/>
      <c r="D828" s="56">
        <v>1456</v>
      </c>
      <c r="E828" s="57">
        <f t="shared" ref="E828" si="339">SUM(E826:E827)</f>
        <v>0</v>
      </c>
      <c r="F828" s="58">
        <f>SUM(F825:F827)</f>
        <v>1456</v>
      </c>
      <c r="G828" s="58">
        <v>1456</v>
      </c>
      <c r="H828" s="59">
        <f>SUM(H826:H827)</f>
        <v>455.88</v>
      </c>
      <c r="I828" s="59"/>
      <c r="J828" s="60">
        <f t="shared" ref="J828:Q828" si="340">SUM(J826:J827)</f>
        <v>1456</v>
      </c>
      <c r="K828" s="61">
        <f t="shared" si="340"/>
        <v>1456</v>
      </c>
      <c r="L828" s="62">
        <f t="shared" si="340"/>
        <v>455.88</v>
      </c>
      <c r="M828" s="62">
        <f t="shared" si="340"/>
        <v>605.88</v>
      </c>
      <c r="N828" s="63">
        <f t="shared" si="340"/>
        <v>455.88</v>
      </c>
      <c r="O828" s="64">
        <f t="shared" si="340"/>
        <v>2099.33</v>
      </c>
      <c r="P828" s="63">
        <f t="shared" si="340"/>
        <v>455.88</v>
      </c>
      <c r="Q828" s="65">
        <f t="shared" si="340"/>
        <v>1054.1500000000001</v>
      </c>
      <c r="R828" s="1"/>
      <c r="S828" s="1"/>
      <c r="T828" s="1"/>
    </row>
    <row r="829" spans="1:20" ht="13.5" hidden="1" customHeight="1" x14ac:dyDescent="0.25">
      <c r="A829" s="1"/>
      <c r="B829" s="1"/>
      <c r="C829" s="1"/>
      <c r="D829" s="42"/>
      <c r="E829" s="44"/>
      <c r="F829" s="45"/>
      <c r="G829" s="45"/>
      <c r="H829" s="66"/>
      <c r="I829" s="66"/>
      <c r="J829" s="48"/>
      <c r="K829" s="49"/>
      <c r="L829" s="50"/>
      <c r="M829" s="50"/>
      <c r="N829" s="51"/>
      <c r="O829" s="52"/>
      <c r="P829" s="53"/>
      <c r="Q829" s="54"/>
      <c r="R829" s="1"/>
      <c r="S829" s="1"/>
      <c r="T829" s="1"/>
    </row>
    <row r="830" spans="1:20" ht="13.5" hidden="1" customHeight="1" x14ac:dyDescent="0.25">
      <c r="A830" s="1"/>
      <c r="B830" s="1" t="s">
        <v>846</v>
      </c>
      <c r="C830" s="1" t="s">
        <v>414</v>
      </c>
      <c r="D830" s="72" t="s">
        <v>16</v>
      </c>
      <c r="E830" s="70">
        <v>0</v>
      </c>
      <c r="F830" s="73" t="s">
        <v>16</v>
      </c>
      <c r="G830" s="73" t="s">
        <v>16</v>
      </c>
      <c r="H830" s="74" t="s">
        <v>16</v>
      </c>
      <c r="I830" s="74"/>
      <c r="J830" s="75" t="s">
        <v>16</v>
      </c>
      <c r="K830" s="76" t="s">
        <v>16</v>
      </c>
      <c r="L830" s="77" t="s">
        <v>16</v>
      </c>
      <c r="M830" s="77" t="s">
        <v>16</v>
      </c>
      <c r="N830" s="51">
        <v>20826.87</v>
      </c>
      <c r="O830" s="52"/>
      <c r="P830" s="53"/>
      <c r="Q830" s="54"/>
      <c r="R830" s="1"/>
      <c r="S830" s="1"/>
      <c r="T830" s="1"/>
    </row>
    <row r="831" spans="1:20" ht="13.5" hidden="1" customHeight="1" x14ac:dyDescent="0.25">
      <c r="A831" s="1"/>
      <c r="B831" s="1"/>
      <c r="C831" s="1"/>
      <c r="D831" s="203">
        <v>0</v>
      </c>
      <c r="E831" s="204">
        <v>0</v>
      </c>
      <c r="F831" s="205">
        <v>0</v>
      </c>
      <c r="G831" s="205">
        <v>0</v>
      </c>
      <c r="H831" s="91">
        <f>SUM(H830)</f>
        <v>0</v>
      </c>
      <c r="I831" s="91"/>
      <c r="J831" s="92">
        <f t="shared" ref="J831:Q831" si="341">SUM(J830)</f>
        <v>0</v>
      </c>
      <c r="K831" s="93">
        <f t="shared" si="341"/>
        <v>0</v>
      </c>
      <c r="L831" s="94">
        <f t="shared" si="341"/>
        <v>0</v>
      </c>
      <c r="M831" s="94">
        <f t="shared" si="341"/>
        <v>0</v>
      </c>
      <c r="N831" s="95">
        <f t="shared" si="341"/>
        <v>20826.87</v>
      </c>
      <c r="O831" s="96">
        <f t="shared" si="341"/>
        <v>0</v>
      </c>
      <c r="P831" s="95">
        <f t="shared" si="341"/>
        <v>0</v>
      </c>
      <c r="Q831" s="97">
        <f t="shared" si="341"/>
        <v>0</v>
      </c>
      <c r="R831" s="1"/>
      <c r="S831" s="1"/>
      <c r="T831" s="1"/>
    </row>
    <row r="832" spans="1:20" ht="13.5" customHeight="1" thickBot="1" x14ac:dyDescent="0.3">
      <c r="A832" s="1"/>
      <c r="B832" s="1"/>
      <c r="C832" s="116" t="s">
        <v>847</v>
      </c>
      <c r="D832" s="184">
        <v>1456</v>
      </c>
      <c r="E832" s="185">
        <f t="shared" ref="E832" si="342">SUM(E824+E828+E831)</f>
        <v>0</v>
      </c>
      <c r="F832" s="186">
        <f>SUM(F824,F828)</f>
        <v>1456</v>
      </c>
      <c r="G832" s="186">
        <v>1456</v>
      </c>
      <c r="H832" s="187">
        <f>SUM(H824+H828+H831)</f>
        <v>605.88</v>
      </c>
      <c r="I832" s="187"/>
      <c r="J832" s="188">
        <f t="shared" ref="J832:Q832" si="343">SUM(J824+J828+J831)</f>
        <v>1456</v>
      </c>
      <c r="K832" s="189">
        <f t="shared" si="343"/>
        <v>1456</v>
      </c>
      <c r="L832" s="190">
        <f t="shared" si="343"/>
        <v>1352.97</v>
      </c>
      <c r="M832" s="190">
        <f t="shared" si="343"/>
        <v>1072.6399999999999</v>
      </c>
      <c r="N832" s="191">
        <f t="shared" si="343"/>
        <v>23195.64</v>
      </c>
      <c r="O832" s="192">
        <f t="shared" si="343"/>
        <v>2099.33</v>
      </c>
      <c r="P832" s="191">
        <f t="shared" si="343"/>
        <v>455.88</v>
      </c>
      <c r="Q832" s="193">
        <f t="shared" si="343"/>
        <v>1054.1500000000001</v>
      </c>
      <c r="R832" s="1"/>
      <c r="S832" s="1"/>
      <c r="T832" s="1"/>
    </row>
    <row r="833" spans="1:20" ht="13.5" customHeight="1" thickTop="1" x14ac:dyDescent="0.25">
      <c r="A833" s="1"/>
      <c r="B833" s="1"/>
      <c r="C833" s="116"/>
      <c r="D833" s="72"/>
      <c r="E833" s="67"/>
      <c r="F833" s="73"/>
      <c r="G833" s="73"/>
      <c r="H833" s="74"/>
      <c r="I833" s="74"/>
      <c r="J833" s="75"/>
      <c r="K833" s="76"/>
      <c r="L833" s="77"/>
      <c r="M833" s="77"/>
      <c r="N833" s="51"/>
      <c r="O833" s="52"/>
      <c r="P833" s="53"/>
      <c r="Q833" s="54"/>
      <c r="R833" s="1"/>
      <c r="S833" s="1"/>
      <c r="T833" s="1"/>
    </row>
    <row r="834" spans="1:20" ht="13.5" customHeight="1" x14ac:dyDescent="0.25">
      <c r="A834" s="1"/>
      <c r="B834" s="1"/>
      <c r="C834" s="41" t="s">
        <v>848</v>
      </c>
      <c r="D834" s="72"/>
      <c r="E834" s="67"/>
      <c r="F834" s="73"/>
      <c r="G834" s="73"/>
      <c r="H834" s="74"/>
      <c r="I834" s="74"/>
      <c r="J834" s="75"/>
      <c r="K834" s="76"/>
      <c r="L834" s="77"/>
      <c r="M834" s="77"/>
      <c r="N834" s="51"/>
      <c r="O834" s="52"/>
      <c r="P834" s="53"/>
      <c r="Q834" s="54"/>
      <c r="R834" s="1"/>
      <c r="S834" s="1"/>
      <c r="T834" s="1"/>
    </row>
    <row r="835" spans="1:20" ht="13.5" customHeight="1" x14ac:dyDescent="0.25">
      <c r="A835" s="1"/>
      <c r="B835" s="1" t="s">
        <v>849</v>
      </c>
      <c r="C835" s="1" t="s">
        <v>259</v>
      </c>
      <c r="D835" s="42">
        <v>1000</v>
      </c>
      <c r="E835" s="70">
        <v>0</v>
      </c>
      <c r="F835" s="45">
        <v>1000</v>
      </c>
      <c r="G835" s="45">
        <v>1000</v>
      </c>
      <c r="H835" s="74">
        <v>0</v>
      </c>
      <c r="I835" s="47">
        <f>H835/J835</f>
        <v>0</v>
      </c>
      <c r="J835" s="48">
        <v>1000</v>
      </c>
      <c r="K835" s="49">
        <v>1000</v>
      </c>
      <c r="L835" s="50">
        <v>55.98</v>
      </c>
      <c r="M835" s="50">
        <v>119.96</v>
      </c>
      <c r="N835" s="51">
        <v>686.24</v>
      </c>
      <c r="O835" s="52">
        <v>986.25</v>
      </c>
      <c r="P835" s="53">
        <v>157.5</v>
      </c>
      <c r="Q835" s="54">
        <v>466.39</v>
      </c>
      <c r="R835" s="1"/>
      <c r="S835" s="1"/>
      <c r="T835" s="1"/>
    </row>
    <row r="836" spans="1:20" ht="13.5" customHeight="1" x14ac:dyDescent="0.25">
      <c r="A836" s="1"/>
      <c r="B836" s="1" t="s">
        <v>850</v>
      </c>
      <c r="C836" s="55" t="s">
        <v>265</v>
      </c>
      <c r="D836" s="42">
        <v>0</v>
      </c>
      <c r="E836" s="70">
        <v>639.99</v>
      </c>
      <c r="F836" s="73" t="s">
        <v>16</v>
      </c>
      <c r="G836" s="73" t="s">
        <v>16</v>
      </c>
      <c r="H836" s="74" t="s">
        <v>16</v>
      </c>
      <c r="I836" s="74"/>
      <c r="J836" s="75" t="s">
        <v>16</v>
      </c>
      <c r="K836" s="76" t="s">
        <v>16</v>
      </c>
      <c r="L836" s="77" t="s">
        <v>16</v>
      </c>
      <c r="M836" s="77" t="s">
        <v>16</v>
      </c>
      <c r="N836" s="51">
        <v>1319.98</v>
      </c>
      <c r="O836" s="52"/>
      <c r="P836" s="53"/>
      <c r="Q836" s="54"/>
      <c r="R836" s="1"/>
      <c r="S836" s="1"/>
      <c r="T836" s="1"/>
    </row>
    <row r="837" spans="1:20" ht="13.5" customHeight="1" x14ac:dyDescent="0.25">
      <c r="A837" s="1"/>
      <c r="B837" s="1" t="s">
        <v>851</v>
      </c>
      <c r="C837" s="1" t="s">
        <v>267</v>
      </c>
      <c r="D837" s="42">
        <v>300</v>
      </c>
      <c r="E837" s="70">
        <v>0</v>
      </c>
      <c r="F837" s="45">
        <v>300</v>
      </c>
      <c r="G837" s="45">
        <v>300</v>
      </c>
      <c r="H837" s="74">
        <v>0</v>
      </c>
      <c r="I837" s="47">
        <f>H837/J837</f>
        <v>0</v>
      </c>
      <c r="J837" s="48">
        <v>300</v>
      </c>
      <c r="K837" s="49">
        <v>300</v>
      </c>
      <c r="L837" s="77">
        <v>0</v>
      </c>
      <c r="M837" s="77">
        <v>0</v>
      </c>
      <c r="N837" s="51">
        <v>287.98</v>
      </c>
      <c r="O837" s="52"/>
      <c r="P837" s="53"/>
      <c r="Q837" s="54"/>
      <c r="R837" s="1"/>
      <c r="S837" s="1"/>
      <c r="T837" s="1"/>
    </row>
    <row r="838" spans="1:20" ht="13.5" customHeight="1" x14ac:dyDescent="0.25">
      <c r="A838" s="1"/>
      <c r="B838" s="1"/>
      <c r="C838" s="1"/>
      <c r="D838" s="56">
        <v>1300</v>
      </c>
      <c r="E838" s="57">
        <f t="shared" ref="E838" si="344">SUM(E835:E837)</f>
        <v>639.99</v>
      </c>
      <c r="F838" s="58">
        <f>SUM(F834:F837)</f>
        <v>1300</v>
      </c>
      <c r="G838" s="58">
        <v>1300</v>
      </c>
      <c r="H838" s="59">
        <f>SUM(H835:H837)</f>
        <v>0</v>
      </c>
      <c r="I838" s="59"/>
      <c r="J838" s="60">
        <f t="shared" ref="J838:Q838" si="345">SUM(J835:J837)</f>
        <v>1300</v>
      </c>
      <c r="K838" s="61">
        <f t="shared" si="345"/>
        <v>1300</v>
      </c>
      <c r="L838" s="62">
        <f t="shared" si="345"/>
        <v>55.98</v>
      </c>
      <c r="M838" s="62">
        <f t="shared" si="345"/>
        <v>119.96</v>
      </c>
      <c r="N838" s="63">
        <f t="shared" si="345"/>
        <v>2294.1999999999998</v>
      </c>
      <c r="O838" s="64">
        <f t="shared" si="345"/>
        <v>986.25</v>
      </c>
      <c r="P838" s="63">
        <f t="shared" si="345"/>
        <v>157.5</v>
      </c>
      <c r="Q838" s="65">
        <f t="shared" si="345"/>
        <v>466.39</v>
      </c>
      <c r="R838" s="1"/>
      <c r="S838" s="1"/>
      <c r="T838" s="1"/>
    </row>
    <row r="839" spans="1:20" ht="13.5" customHeight="1" x14ac:dyDescent="0.25">
      <c r="A839" s="1"/>
      <c r="B839" s="1"/>
      <c r="C839" s="1"/>
      <c r="D839" s="42"/>
      <c r="E839" s="67"/>
      <c r="F839" s="45"/>
      <c r="G839" s="45"/>
      <c r="H839" s="74"/>
      <c r="I839" s="66"/>
      <c r="J839" s="48"/>
      <c r="K839" s="49"/>
      <c r="L839" s="77"/>
      <c r="M839" s="77"/>
      <c r="N839" s="51"/>
      <c r="O839" s="52"/>
      <c r="P839" s="53"/>
      <c r="Q839" s="54"/>
      <c r="R839" s="1"/>
      <c r="S839" s="1"/>
      <c r="T839" s="1"/>
    </row>
    <row r="840" spans="1:20" ht="13.5" hidden="1" customHeight="1" x14ac:dyDescent="0.25">
      <c r="A840" s="1"/>
      <c r="B840" s="1" t="s">
        <v>852</v>
      </c>
      <c r="C840" s="1" t="s">
        <v>614</v>
      </c>
      <c r="D840" s="72" t="s">
        <v>16</v>
      </c>
      <c r="E840" s="67"/>
      <c r="F840" s="73" t="s">
        <v>16</v>
      </c>
      <c r="G840" s="73" t="s">
        <v>16</v>
      </c>
      <c r="H840" s="74" t="s">
        <v>16</v>
      </c>
      <c r="I840" s="74"/>
      <c r="J840" s="75" t="s">
        <v>16</v>
      </c>
      <c r="K840" s="76" t="s">
        <v>16</v>
      </c>
      <c r="L840" s="77" t="s">
        <v>16</v>
      </c>
      <c r="M840" s="77" t="s">
        <v>16</v>
      </c>
      <c r="N840" s="51">
        <v>142.56</v>
      </c>
      <c r="O840" s="52"/>
      <c r="P840" s="53"/>
      <c r="Q840" s="54"/>
      <c r="R840" s="1"/>
      <c r="S840" s="1"/>
      <c r="T840" s="1"/>
    </row>
    <row r="841" spans="1:20" ht="13.5" hidden="1" customHeight="1" x14ac:dyDescent="0.25">
      <c r="A841" s="1"/>
      <c r="B841" s="1" t="s">
        <v>853</v>
      </c>
      <c r="C841" s="1" t="s">
        <v>275</v>
      </c>
      <c r="D841" s="42">
        <v>0</v>
      </c>
      <c r="E841" s="70">
        <v>0</v>
      </c>
      <c r="F841" s="45">
        <v>0</v>
      </c>
      <c r="G841" s="45">
        <v>0</v>
      </c>
      <c r="H841" s="74">
        <v>0</v>
      </c>
      <c r="I841" s="47">
        <f t="shared" ref="I841:I842" si="346">H841/J841</f>
        <v>0</v>
      </c>
      <c r="J841" s="48">
        <v>1500</v>
      </c>
      <c r="K841" s="49">
        <v>1500</v>
      </c>
      <c r="L841" s="77">
        <v>0</v>
      </c>
      <c r="M841" s="77">
        <v>0</v>
      </c>
      <c r="N841" s="51">
        <v>1048.42</v>
      </c>
      <c r="O841" s="52">
        <v>665.77</v>
      </c>
      <c r="P841" s="53">
        <v>327.56</v>
      </c>
      <c r="Q841" s="54">
        <v>0</v>
      </c>
      <c r="R841" s="1"/>
      <c r="S841" s="1"/>
      <c r="T841" s="1"/>
    </row>
    <row r="842" spans="1:20" ht="13.5" customHeight="1" x14ac:dyDescent="0.25">
      <c r="A842" s="1"/>
      <c r="B842" s="1" t="s">
        <v>854</v>
      </c>
      <c r="C842" s="1" t="s">
        <v>814</v>
      </c>
      <c r="D842" s="42">
        <v>1956</v>
      </c>
      <c r="E842" s="43">
        <v>189.95</v>
      </c>
      <c r="F842" s="45">
        <v>1956</v>
      </c>
      <c r="G842" s="45">
        <v>1956</v>
      </c>
      <c r="H842" s="46">
        <v>455.88</v>
      </c>
      <c r="I842" s="47">
        <f t="shared" si="346"/>
        <v>0.99973684210526315</v>
      </c>
      <c r="J842" s="48">
        <v>456</v>
      </c>
      <c r="K842" s="49">
        <v>456</v>
      </c>
      <c r="L842" s="50">
        <v>455.88</v>
      </c>
      <c r="M842" s="50">
        <v>455.88</v>
      </c>
      <c r="N842" s="51">
        <v>455.88</v>
      </c>
      <c r="O842" s="52">
        <v>455.88</v>
      </c>
      <c r="P842" s="53">
        <v>455.88</v>
      </c>
      <c r="Q842" s="54">
        <v>0</v>
      </c>
      <c r="R842" s="1"/>
      <c r="S842" s="1"/>
      <c r="T842" s="1"/>
    </row>
    <row r="843" spans="1:20" ht="13.5" customHeight="1" x14ac:dyDescent="0.25">
      <c r="A843" s="1"/>
      <c r="B843" s="1"/>
      <c r="C843" s="1"/>
      <c r="D843" s="56">
        <v>1956</v>
      </c>
      <c r="E843" s="57">
        <f t="shared" ref="E843" si="347">SUM(E840:E842)</f>
        <v>189.95</v>
      </c>
      <c r="F843" s="58">
        <f>SUM(F839:F842)</f>
        <v>1956</v>
      </c>
      <c r="G843" s="58">
        <v>1956</v>
      </c>
      <c r="H843" s="59">
        <f>SUM(H840:H842)</f>
        <v>455.88</v>
      </c>
      <c r="I843" s="59"/>
      <c r="J843" s="60">
        <f t="shared" ref="J843:Q843" si="348">SUM(J840:J842)</f>
        <v>1956</v>
      </c>
      <c r="K843" s="61">
        <f t="shared" si="348"/>
        <v>1956</v>
      </c>
      <c r="L843" s="62">
        <f t="shared" si="348"/>
        <v>455.88</v>
      </c>
      <c r="M843" s="62">
        <f t="shared" si="348"/>
        <v>455.88</v>
      </c>
      <c r="N843" s="63">
        <f t="shared" si="348"/>
        <v>1646.8600000000001</v>
      </c>
      <c r="O843" s="64">
        <f t="shared" si="348"/>
        <v>1121.6500000000001</v>
      </c>
      <c r="P843" s="63">
        <f t="shared" si="348"/>
        <v>783.44</v>
      </c>
      <c r="Q843" s="65">
        <f t="shared" si="348"/>
        <v>0</v>
      </c>
      <c r="R843" s="1"/>
      <c r="S843" s="1"/>
      <c r="T843" s="1"/>
    </row>
    <row r="844" spans="1:20" ht="13.5" hidden="1" customHeight="1" x14ac:dyDescent="0.25">
      <c r="A844" s="1"/>
      <c r="B844" s="1"/>
      <c r="C844" s="1"/>
      <c r="D844" s="42"/>
      <c r="E844" s="44"/>
      <c r="F844" s="45"/>
      <c r="G844" s="45"/>
      <c r="H844" s="66"/>
      <c r="I844" s="66"/>
      <c r="J844" s="48"/>
      <c r="K844" s="49"/>
      <c r="L844" s="50"/>
      <c r="M844" s="50"/>
      <c r="N844" s="51"/>
      <c r="O844" s="52"/>
      <c r="P844" s="53"/>
      <c r="Q844" s="54"/>
      <c r="R844" s="1"/>
      <c r="S844" s="1"/>
      <c r="T844" s="1"/>
    </row>
    <row r="845" spans="1:20" ht="13.5" hidden="1" customHeight="1" x14ac:dyDescent="0.25">
      <c r="A845" s="1"/>
      <c r="B845" s="1" t="s">
        <v>855</v>
      </c>
      <c r="C845" s="1" t="s">
        <v>414</v>
      </c>
      <c r="D845" s="72" t="s">
        <v>16</v>
      </c>
      <c r="E845" s="70">
        <v>0</v>
      </c>
      <c r="F845" s="73" t="s">
        <v>16</v>
      </c>
      <c r="G845" s="73" t="s">
        <v>16</v>
      </c>
      <c r="H845" s="74" t="s">
        <v>16</v>
      </c>
      <c r="I845" s="74"/>
      <c r="J845" s="75" t="s">
        <v>16</v>
      </c>
      <c r="K845" s="76" t="s">
        <v>16</v>
      </c>
      <c r="L845" s="77" t="s">
        <v>16</v>
      </c>
      <c r="M845" s="77" t="s">
        <v>16</v>
      </c>
      <c r="N845" s="51">
        <v>20826.87</v>
      </c>
      <c r="O845" s="52">
        <v>0</v>
      </c>
      <c r="P845" s="53">
        <v>0</v>
      </c>
      <c r="Q845" s="54">
        <v>629.99</v>
      </c>
      <c r="R845" s="1"/>
      <c r="S845" s="1"/>
      <c r="T845" s="1"/>
    </row>
    <row r="846" spans="1:20" ht="13.5" hidden="1" customHeight="1" x14ac:dyDescent="0.25">
      <c r="A846" s="1"/>
      <c r="B846" s="1"/>
      <c r="C846" s="1"/>
      <c r="D846" s="88">
        <v>0</v>
      </c>
      <c r="E846" s="89">
        <f t="shared" ref="E846" si="349">SUM(E845)</f>
        <v>0</v>
      </c>
      <c r="F846" s="90">
        <v>0</v>
      </c>
      <c r="G846" s="90">
        <v>0</v>
      </c>
      <c r="H846" s="91">
        <f>SUM(H845)</f>
        <v>0</v>
      </c>
      <c r="I846" s="91"/>
      <c r="J846" s="92">
        <f t="shared" ref="J846:Q846" si="350">SUM(J845)</f>
        <v>0</v>
      </c>
      <c r="K846" s="93">
        <f t="shared" si="350"/>
        <v>0</v>
      </c>
      <c r="L846" s="94">
        <f t="shared" si="350"/>
        <v>0</v>
      </c>
      <c r="M846" s="94">
        <f t="shared" si="350"/>
        <v>0</v>
      </c>
      <c r="N846" s="95">
        <f t="shared" si="350"/>
        <v>20826.87</v>
      </c>
      <c r="O846" s="96">
        <f t="shared" si="350"/>
        <v>0</v>
      </c>
      <c r="P846" s="95">
        <f t="shared" si="350"/>
        <v>0</v>
      </c>
      <c r="Q846" s="97">
        <f t="shared" si="350"/>
        <v>629.99</v>
      </c>
      <c r="R846" s="1"/>
      <c r="S846" s="1"/>
      <c r="T846" s="1"/>
    </row>
    <row r="847" spans="1:20" ht="13.5" customHeight="1" thickBot="1" x14ac:dyDescent="0.3">
      <c r="A847" s="1"/>
      <c r="B847" s="1"/>
      <c r="C847" s="116" t="s">
        <v>856</v>
      </c>
      <c r="D847" s="184">
        <v>3256</v>
      </c>
      <c r="E847" s="185">
        <f t="shared" ref="E847" si="351">SUM(E838+E843+E846)</f>
        <v>829.94</v>
      </c>
      <c r="F847" s="186">
        <f>SUM(F838,F843)</f>
        <v>3256</v>
      </c>
      <c r="G847" s="186">
        <v>3256</v>
      </c>
      <c r="H847" s="187">
        <f>SUM(H838+H843+H846)</f>
        <v>455.88</v>
      </c>
      <c r="I847" s="187"/>
      <c r="J847" s="188">
        <f t="shared" ref="J847:Q847" si="352">SUM(J838+J843+J846)</f>
        <v>3256</v>
      </c>
      <c r="K847" s="189">
        <f t="shared" si="352"/>
        <v>3256</v>
      </c>
      <c r="L847" s="190">
        <f t="shared" si="352"/>
        <v>511.86</v>
      </c>
      <c r="M847" s="190">
        <f t="shared" si="352"/>
        <v>575.84</v>
      </c>
      <c r="N847" s="191">
        <f t="shared" si="352"/>
        <v>24767.93</v>
      </c>
      <c r="O847" s="192">
        <f t="shared" si="352"/>
        <v>2107.9</v>
      </c>
      <c r="P847" s="191">
        <f t="shared" si="352"/>
        <v>940.94</v>
      </c>
      <c r="Q847" s="193">
        <f t="shared" si="352"/>
        <v>1096.3800000000001</v>
      </c>
      <c r="R847" s="1"/>
      <c r="S847" s="1"/>
      <c r="T847" s="1"/>
    </row>
    <row r="848" spans="1:20" ht="13.5" customHeight="1" thickTop="1" x14ac:dyDescent="0.25">
      <c r="A848" s="1"/>
      <c r="B848" s="1"/>
      <c r="C848" s="1"/>
      <c r="D848" s="72"/>
      <c r="E848" s="67"/>
      <c r="F848" s="73"/>
      <c r="G848" s="73"/>
      <c r="H848" s="74"/>
      <c r="I848" s="74"/>
      <c r="J848" s="75"/>
      <c r="K848" s="76"/>
      <c r="L848" s="77"/>
      <c r="M848" s="77"/>
      <c r="N848" s="51"/>
      <c r="O848" s="52"/>
      <c r="P848" s="53"/>
      <c r="Q848" s="54"/>
      <c r="R848" s="1"/>
      <c r="S848" s="1"/>
      <c r="T848" s="1"/>
    </row>
    <row r="849" spans="1:20" ht="13.5" customHeight="1" x14ac:dyDescent="0.25">
      <c r="A849" s="1"/>
      <c r="B849" s="1"/>
      <c r="C849" s="1"/>
      <c r="D849" s="72"/>
      <c r="E849" s="67"/>
      <c r="F849" s="73"/>
      <c r="G849" s="73"/>
      <c r="H849" s="74"/>
      <c r="I849" s="74"/>
      <c r="J849" s="75"/>
      <c r="K849" s="76"/>
      <c r="L849" s="77"/>
      <c r="M849" s="77"/>
      <c r="N849" s="51"/>
      <c r="O849" s="52"/>
      <c r="P849" s="53"/>
      <c r="Q849" s="54"/>
      <c r="R849" s="1"/>
      <c r="S849" s="1"/>
      <c r="T849" s="1"/>
    </row>
    <row r="850" spans="1:20" ht="13.5" customHeight="1" x14ac:dyDescent="0.25">
      <c r="A850" s="1"/>
      <c r="B850" s="1"/>
      <c r="C850" s="41" t="s">
        <v>857</v>
      </c>
      <c r="D850" s="72"/>
      <c r="E850" s="67"/>
      <c r="F850" s="73"/>
      <c r="G850" s="73"/>
      <c r="H850" s="74"/>
      <c r="I850" s="74"/>
      <c r="J850" s="75"/>
      <c r="K850" s="76"/>
      <c r="L850" s="77"/>
      <c r="M850" s="77"/>
      <c r="N850" s="51"/>
      <c r="O850" s="52"/>
      <c r="P850" s="53"/>
      <c r="Q850" s="54"/>
      <c r="R850" s="1"/>
      <c r="S850" s="1"/>
      <c r="T850" s="1"/>
    </row>
    <row r="851" spans="1:20" ht="13.5" customHeight="1" x14ac:dyDescent="0.25">
      <c r="A851" s="1"/>
      <c r="B851" s="1" t="s">
        <v>858</v>
      </c>
      <c r="C851" s="1" t="s">
        <v>420</v>
      </c>
      <c r="D851" s="42">
        <v>6000</v>
      </c>
      <c r="E851" s="43">
        <v>2317.5</v>
      </c>
      <c r="F851" s="45">
        <v>6000</v>
      </c>
      <c r="G851" s="45">
        <v>6000</v>
      </c>
      <c r="H851" s="46">
        <v>5081.75</v>
      </c>
      <c r="I851" s="47">
        <f>H851/J851</f>
        <v>0.84695833333333337</v>
      </c>
      <c r="J851" s="48">
        <v>6000</v>
      </c>
      <c r="K851" s="49">
        <v>6000</v>
      </c>
      <c r="L851" s="50">
        <v>4863.25</v>
      </c>
      <c r="M851" s="50">
        <v>4365</v>
      </c>
      <c r="N851" s="51">
        <v>4324.5</v>
      </c>
      <c r="O851" s="52">
        <v>5193</v>
      </c>
      <c r="P851" s="53">
        <v>4594.5</v>
      </c>
      <c r="Q851" s="54">
        <v>4923</v>
      </c>
      <c r="R851" s="1"/>
      <c r="S851" s="1"/>
      <c r="T851" s="1"/>
    </row>
    <row r="852" spans="1:20" ht="13.5" customHeight="1" x14ac:dyDescent="0.25">
      <c r="A852" s="1"/>
      <c r="B852" s="1"/>
      <c r="C852" s="1"/>
      <c r="D852" s="56">
        <v>6000</v>
      </c>
      <c r="E852" s="57">
        <f t="shared" ref="E852" si="353">SUM(E851)</f>
        <v>2317.5</v>
      </c>
      <c r="F852" s="58">
        <f>SUM(F850:F851)</f>
        <v>6000</v>
      </c>
      <c r="G852" s="58">
        <v>6000</v>
      </c>
      <c r="H852" s="59">
        <f>SUM(H851)</f>
        <v>5081.75</v>
      </c>
      <c r="I852" s="59"/>
      <c r="J852" s="60">
        <f t="shared" ref="J852:Q852" si="354">SUM(J851)</f>
        <v>6000</v>
      </c>
      <c r="K852" s="61">
        <f t="shared" si="354"/>
        <v>6000</v>
      </c>
      <c r="L852" s="62">
        <f t="shared" si="354"/>
        <v>4863.25</v>
      </c>
      <c r="M852" s="62">
        <f t="shared" si="354"/>
        <v>4365</v>
      </c>
      <c r="N852" s="63">
        <f t="shared" si="354"/>
        <v>4324.5</v>
      </c>
      <c r="O852" s="64">
        <f t="shared" si="354"/>
        <v>5193</v>
      </c>
      <c r="P852" s="63">
        <f t="shared" si="354"/>
        <v>4594.5</v>
      </c>
      <c r="Q852" s="65">
        <f t="shared" si="354"/>
        <v>4923</v>
      </c>
      <c r="R852" s="1"/>
      <c r="S852" s="1"/>
      <c r="T852" s="1"/>
    </row>
    <row r="853" spans="1:20" ht="13.5" customHeight="1" x14ac:dyDescent="0.25">
      <c r="A853" s="1"/>
      <c r="B853" s="1"/>
      <c r="C853" s="1"/>
      <c r="D853" s="42"/>
      <c r="E853" s="44"/>
      <c r="F853" s="45"/>
      <c r="G853" s="45"/>
      <c r="H853" s="66"/>
      <c r="I853" s="66"/>
      <c r="J853" s="48"/>
      <c r="K853" s="49"/>
      <c r="L853" s="50"/>
      <c r="M853" s="50"/>
      <c r="N853" s="51"/>
      <c r="O853" s="52"/>
      <c r="P853" s="53"/>
      <c r="Q853" s="54"/>
      <c r="R853" s="1"/>
      <c r="S853" s="1"/>
      <c r="T853" s="1"/>
    </row>
    <row r="854" spans="1:20" ht="13.5" customHeight="1" x14ac:dyDescent="0.25">
      <c r="A854" s="1"/>
      <c r="B854" s="1" t="s">
        <v>859</v>
      </c>
      <c r="C854" s="1" t="s">
        <v>247</v>
      </c>
      <c r="D854" s="42">
        <v>459</v>
      </c>
      <c r="E854" s="43">
        <v>161.43</v>
      </c>
      <c r="F854" s="45">
        <v>459</v>
      </c>
      <c r="G854" s="45">
        <v>459</v>
      </c>
      <c r="H854" s="46">
        <v>356.98</v>
      </c>
      <c r="I854" s="47">
        <f t="shared" ref="I854:I856" si="355">H854/J854</f>
        <v>0.77773420479302835</v>
      </c>
      <c r="J854" s="48">
        <v>459</v>
      </c>
      <c r="K854" s="49">
        <v>459</v>
      </c>
      <c r="L854" s="50">
        <v>337.7</v>
      </c>
      <c r="M854" s="50">
        <v>304.38</v>
      </c>
      <c r="N854" s="51">
        <v>297.94</v>
      </c>
      <c r="O854" s="52">
        <v>361.36</v>
      </c>
      <c r="P854" s="53">
        <v>351.42</v>
      </c>
      <c r="Q854" s="54">
        <v>369.5</v>
      </c>
      <c r="R854" s="1"/>
      <c r="S854" s="1"/>
      <c r="T854" s="1"/>
    </row>
    <row r="855" spans="1:20" ht="13.5" customHeight="1" x14ac:dyDescent="0.25">
      <c r="A855" s="1"/>
      <c r="B855" s="1" t="s">
        <v>860</v>
      </c>
      <c r="C855" s="1" t="s">
        <v>251</v>
      </c>
      <c r="D855" s="42">
        <v>901.2</v>
      </c>
      <c r="E855" s="43">
        <v>348.14</v>
      </c>
      <c r="F855" s="45">
        <v>901.2</v>
      </c>
      <c r="G855" s="45">
        <v>901.2</v>
      </c>
      <c r="H855" s="46">
        <v>738.58</v>
      </c>
      <c r="I855" s="47">
        <f t="shared" si="355"/>
        <v>0.84699541284403679</v>
      </c>
      <c r="J855" s="48">
        <v>872</v>
      </c>
      <c r="K855" s="49">
        <v>872</v>
      </c>
      <c r="L855" s="50">
        <v>704.4</v>
      </c>
      <c r="M855" s="50">
        <v>608.27</v>
      </c>
      <c r="N855" s="51">
        <v>594.58000000000004</v>
      </c>
      <c r="O855" s="52">
        <v>694.4</v>
      </c>
      <c r="P855" s="53">
        <v>639.38</v>
      </c>
      <c r="Q855" s="54">
        <v>632.29999999999995</v>
      </c>
      <c r="R855" s="1"/>
      <c r="S855" s="1"/>
      <c r="T855" s="1"/>
    </row>
    <row r="856" spans="1:20" ht="13.5" customHeight="1" x14ac:dyDescent="0.25">
      <c r="A856" s="1"/>
      <c r="B856" s="1" t="s">
        <v>861</v>
      </c>
      <c r="C856" s="1" t="s">
        <v>253</v>
      </c>
      <c r="D856" s="42">
        <v>9.6</v>
      </c>
      <c r="E856" s="43">
        <v>3.62</v>
      </c>
      <c r="F856" s="45">
        <v>9.6</v>
      </c>
      <c r="G856" s="45">
        <v>9.6</v>
      </c>
      <c r="H856" s="46">
        <v>7.99</v>
      </c>
      <c r="I856" s="47">
        <f t="shared" si="355"/>
        <v>0.79900000000000004</v>
      </c>
      <c r="J856" s="48">
        <v>10</v>
      </c>
      <c r="K856" s="49">
        <v>10</v>
      </c>
      <c r="L856" s="50">
        <v>8.76</v>
      </c>
      <c r="M856" s="50">
        <v>8.39</v>
      </c>
      <c r="N856" s="51">
        <v>10.38</v>
      </c>
      <c r="O856" s="52">
        <v>13.05</v>
      </c>
      <c r="P856" s="53">
        <v>13.04</v>
      </c>
      <c r="Q856" s="54">
        <v>11.05</v>
      </c>
      <c r="R856" s="1"/>
      <c r="S856" s="1"/>
      <c r="T856" s="1"/>
    </row>
    <row r="857" spans="1:20" ht="13.5" customHeight="1" x14ac:dyDescent="0.25">
      <c r="A857" s="1"/>
      <c r="B857" s="1"/>
      <c r="C857" s="1"/>
      <c r="D857" s="56">
        <v>1369.8</v>
      </c>
      <c r="E857" s="57">
        <f t="shared" ref="E857" si="356">SUM(E854:E856)</f>
        <v>513.18999999999994</v>
      </c>
      <c r="F857" s="58">
        <f>SUM(F853:F856)</f>
        <v>1369.8</v>
      </c>
      <c r="G857" s="58">
        <v>1369.8</v>
      </c>
      <c r="H857" s="59">
        <f>SUM(H854:H856)</f>
        <v>1103.55</v>
      </c>
      <c r="I857" s="59"/>
      <c r="J857" s="60">
        <f t="shared" ref="J857:Q857" si="357">SUM(J854:J856)</f>
        <v>1341</v>
      </c>
      <c r="K857" s="61">
        <f t="shared" si="357"/>
        <v>1341</v>
      </c>
      <c r="L857" s="62">
        <f t="shared" si="357"/>
        <v>1050.8599999999999</v>
      </c>
      <c r="M857" s="62">
        <f t="shared" si="357"/>
        <v>921.04</v>
      </c>
      <c r="N857" s="63">
        <f t="shared" si="357"/>
        <v>902.9</v>
      </c>
      <c r="O857" s="64">
        <f t="shared" si="357"/>
        <v>1068.81</v>
      </c>
      <c r="P857" s="63">
        <f t="shared" si="357"/>
        <v>1003.8399999999999</v>
      </c>
      <c r="Q857" s="65">
        <f t="shared" si="357"/>
        <v>1012.8499999999999</v>
      </c>
      <c r="R857" s="1"/>
      <c r="S857" s="1"/>
      <c r="T857" s="1"/>
    </row>
    <row r="858" spans="1:20" ht="13.5" customHeight="1" x14ac:dyDescent="0.25">
      <c r="A858" s="1"/>
      <c r="B858" s="1"/>
      <c r="C858" s="1"/>
      <c r="D858" s="42"/>
      <c r="E858" s="44"/>
      <c r="F858" s="45"/>
      <c r="G858" s="45"/>
      <c r="H858" s="66"/>
      <c r="I858" s="66"/>
      <c r="J858" s="48"/>
      <c r="K858" s="49"/>
      <c r="L858" s="50"/>
      <c r="M858" s="50"/>
      <c r="N858" s="51"/>
      <c r="O858" s="52"/>
      <c r="P858" s="53"/>
      <c r="Q858" s="54"/>
      <c r="R858" s="1"/>
      <c r="S858" s="1"/>
      <c r="T858" s="1"/>
    </row>
    <row r="859" spans="1:20" ht="13.5" customHeight="1" x14ac:dyDescent="0.25">
      <c r="A859" s="1"/>
      <c r="B859" s="1" t="s">
        <v>862</v>
      </c>
      <c r="C859" s="55" t="s">
        <v>273</v>
      </c>
      <c r="D859" s="42">
        <v>2500</v>
      </c>
      <c r="E859" s="43">
        <v>823.03</v>
      </c>
      <c r="F859" s="45">
        <v>2500</v>
      </c>
      <c r="G859" s="45">
        <v>2500</v>
      </c>
      <c r="H859" s="46">
        <v>1530.93</v>
      </c>
      <c r="I859" s="47">
        <f>H859/J859</f>
        <v>0.61237200000000003</v>
      </c>
      <c r="J859" s="48">
        <v>2500</v>
      </c>
      <c r="K859" s="49">
        <v>2500</v>
      </c>
      <c r="L859" s="50">
        <v>1623.37</v>
      </c>
      <c r="M859" s="50">
        <v>1417.4</v>
      </c>
      <c r="N859" s="51">
        <v>1384.93</v>
      </c>
      <c r="O859" s="52">
        <v>1663.81</v>
      </c>
      <c r="P859" s="53">
        <v>1095.92</v>
      </c>
      <c r="Q859" s="54">
        <v>2267.35</v>
      </c>
      <c r="R859" s="1"/>
      <c r="S859" s="1"/>
      <c r="T859" s="1"/>
    </row>
    <row r="860" spans="1:20" ht="13.5" customHeight="1" x14ac:dyDescent="0.25">
      <c r="A860" s="1"/>
      <c r="B860" s="1"/>
      <c r="C860" s="1"/>
      <c r="D860" s="56">
        <v>2500</v>
      </c>
      <c r="E860" s="57">
        <f t="shared" ref="E860" si="358">SUM(E859)</f>
        <v>823.03</v>
      </c>
      <c r="F860" s="58">
        <f>SUM(F858:F859)</f>
        <v>2500</v>
      </c>
      <c r="G860" s="58">
        <v>2500</v>
      </c>
      <c r="H860" s="59">
        <f>SUM(H859)</f>
        <v>1530.93</v>
      </c>
      <c r="I860" s="59"/>
      <c r="J860" s="60">
        <f t="shared" ref="J860:Q860" si="359">SUM(J859)</f>
        <v>2500</v>
      </c>
      <c r="K860" s="61">
        <f t="shared" si="359"/>
        <v>2500</v>
      </c>
      <c r="L860" s="62">
        <f t="shared" si="359"/>
        <v>1623.37</v>
      </c>
      <c r="M860" s="62">
        <f t="shared" si="359"/>
        <v>1417.4</v>
      </c>
      <c r="N860" s="63">
        <f t="shared" si="359"/>
        <v>1384.93</v>
      </c>
      <c r="O860" s="64">
        <f t="shared" si="359"/>
        <v>1663.81</v>
      </c>
      <c r="P860" s="63">
        <f t="shared" si="359"/>
        <v>1095.92</v>
      </c>
      <c r="Q860" s="65">
        <f t="shared" si="359"/>
        <v>2267.35</v>
      </c>
      <c r="R860" s="1"/>
      <c r="S860" s="1"/>
      <c r="T860" s="1"/>
    </row>
    <row r="861" spans="1:20" ht="13.5" customHeight="1" thickBot="1" x14ac:dyDescent="0.3">
      <c r="A861" s="1"/>
      <c r="B861" s="1"/>
      <c r="C861" s="116" t="s">
        <v>863</v>
      </c>
      <c r="D861" s="267">
        <v>9869.7999999999993</v>
      </c>
      <c r="E861" s="173">
        <f t="shared" ref="E861" si="360">SUM(E852+E857+E860)</f>
        <v>3653.7200000000003</v>
      </c>
      <c r="F861" s="174">
        <f>SUM(F852,F857,F860)</f>
        <v>9869.7999999999993</v>
      </c>
      <c r="G861" s="174">
        <v>9869.7999999999993</v>
      </c>
      <c r="H861" s="175">
        <f>SUM(H852+H857+H860)</f>
        <v>7716.2300000000005</v>
      </c>
      <c r="I861" s="175"/>
      <c r="J861" s="176">
        <f t="shared" ref="J861:Q861" si="361">SUM(J852+J857+J860)</f>
        <v>9841</v>
      </c>
      <c r="K861" s="177">
        <f t="shared" si="361"/>
        <v>9841</v>
      </c>
      <c r="L861" s="178">
        <f t="shared" si="361"/>
        <v>7537.48</v>
      </c>
      <c r="M861" s="178">
        <f t="shared" si="361"/>
        <v>6703.4400000000005</v>
      </c>
      <c r="N861" s="179">
        <f t="shared" si="361"/>
        <v>6612.33</v>
      </c>
      <c r="O861" s="180">
        <f t="shared" si="361"/>
        <v>7925.619999999999</v>
      </c>
      <c r="P861" s="179">
        <f t="shared" si="361"/>
        <v>6694.26</v>
      </c>
      <c r="Q861" s="181">
        <f t="shared" si="361"/>
        <v>8203.2000000000007</v>
      </c>
      <c r="R861" s="1"/>
      <c r="S861" s="1"/>
      <c r="T861" s="1"/>
    </row>
    <row r="862" spans="1:20" ht="13.5" customHeight="1" thickTop="1" x14ac:dyDescent="0.25">
      <c r="A862" s="1"/>
      <c r="B862" s="1"/>
      <c r="C862" s="116"/>
      <c r="D862" s="42"/>
      <c r="E862" s="44"/>
      <c r="F862" s="45"/>
      <c r="G862" s="45"/>
      <c r="H862" s="66"/>
      <c r="I862" s="66"/>
      <c r="J862" s="48"/>
      <c r="K862" s="49"/>
      <c r="L862" s="50"/>
      <c r="M862" s="50"/>
      <c r="N862" s="51"/>
      <c r="O862" s="52"/>
      <c r="P862" s="53"/>
      <c r="Q862" s="54"/>
      <c r="R862" s="1"/>
      <c r="S862" s="1"/>
      <c r="T862" s="1"/>
    </row>
    <row r="863" spans="1:20" ht="13.5" customHeight="1" x14ac:dyDescent="0.25">
      <c r="A863" s="1"/>
      <c r="B863" s="1"/>
      <c r="C863" s="116"/>
      <c r="D863" s="42"/>
      <c r="E863" s="44"/>
      <c r="F863" s="45"/>
      <c r="G863" s="45"/>
      <c r="H863" s="66"/>
      <c r="I863" s="66"/>
      <c r="J863" s="48"/>
      <c r="K863" s="49"/>
      <c r="L863" s="50"/>
      <c r="M863" s="50"/>
      <c r="N863" s="51"/>
      <c r="O863" s="52"/>
      <c r="P863" s="53"/>
      <c r="Q863" s="54"/>
      <c r="R863" s="1"/>
      <c r="S863" s="1"/>
      <c r="T863" s="1"/>
    </row>
    <row r="864" spans="1:20" ht="13.5" customHeight="1" x14ac:dyDescent="0.25">
      <c r="A864" s="1"/>
      <c r="B864" s="1"/>
      <c r="C864" s="41" t="s">
        <v>864</v>
      </c>
      <c r="D864" s="42"/>
      <c r="E864" s="44"/>
      <c r="F864" s="45"/>
      <c r="G864" s="45"/>
      <c r="H864" s="66"/>
      <c r="I864" s="66"/>
      <c r="J864" s="48"/>
      <c r="K864" s="49"/>
      <c r="L864" s="50"/>
      <c r="M864" s="50"/>
      <c r="N864" s="51"/>
      <c r="O864" s="52"/>
      <c r="P864" s="53"/>
      <c r="Q864" s="54"/>
      <c r="R864" s="1"/>
      <c r="S864" s="1"/>
      <c r="T864" s="1"/>
    </row>
    <row r="865" spans="1:20" ht="13.5" customHeight="1" x14ac:dyDescent="0.25">
      <c r="A865" s="1"/>
      <c r="B865" s="1" t="s">
        <v>865</v>
      </c>
      <c r="C865" s="1" t="s">
        <v>418</v>
      </c>
      <c r="D865" s="42">
        <v>84000</v>
      </c>
      <c r="E865" s="43">
        <v>39738.47</v>
      </c>
      <c r="F865" s="45">
        <v>84000</v>
      </c>
      <c r="G865" s="45">
        <v>84000</v>
      </c>
      <c r="H865" s="46">
        <v>77285.850000000006</v>
      </c>
      <c r="I865" s="47">
        <f t="shared" ref="I865:I867" si="362">H865/J865</f>
        <v>1.0046648120945834</v>
      </c>
      <c r="J865" s="48">
        <v>76927</v>
      </c>
      <c r="K865" s="49">
        <v>76927</v>
      </c>
      <c r="L865" s="50">
        <v>75509.17</v>
      </c>
      <c r="M865" s="50">
        <v>73891.070000000007</v>
      </c>
      <c r="N865" s="51">
        <v>72726.28</v>
      </c>
      <c r="O865" s="52">
        <v>62655.43</v>
      </c>
      <c r="P865" s="53">
        <v>62551.62</v>
      </c>
      <c r="Q865" s="54">
        <v>62533.8</v>
      </c>
      <c r="R865" s="1"/>
      <c r="S865" s="1"/>
      <c r="T865" s="1"/>
    </row>
    <row r="866" spans="1:20" ht="13.5" customHeight="1" x14ac:dyDescent="0.25">
      <c r="A866" s="1"/>
      <c r="B866" s="1" t="s">
        <v>866</v>
      </c>
      <c r="C866" s="1" t="s">
        <v>420</v>
      </c>
      <c r="D866" s="42">
        <v>732041</v>
      </c>
      <c r="E866" s="43">
        <v>324430.36</v>
      </c>
      <c r="F866" s="45">
        <v>698733</v>
      </c>
      <c r="G866" s="45">
        <v>698733</v>
      </c>
      <c r="H866" s="46">
        <v>543378.31999999995</v>
      </c>
      <c r="I866" s="47">
        <f t="shared" si="362"/>
        <v>1.0605421589159163</v>
      </c>
      <c r="J866" s="48">
        <v>512359</v>
      </c>
      <c r="K866" s="49">
        <v>512359</v>
      </c>
      <c r="L866" s="50">
        <v>496536.98</v>
      </c>
      <c r="M866" s="50">
        <v>470992.56</v>
      </c>
      <c r="N866" s="51">
        <v>469165.05</v>
      </c>
      <c r="O866" s="52">
        <v>440046.27</v>
      </c>
      <c r="P866" s="53">
        <v>429280.91</v>
      </c>
      <c r="Q866" s="54">
        <v>418172.44</v>
      </c>
      <c r="R866" s="1"/>
      <c r="S866" s="1"/>
      <c r="T866" s="1"/>
    </row>
    <row r="867" spans="1:20" ht="13.5" customHeight="1" x14ac:dyDescent="0.25">
      <c r="A867" s="1"/>
      <c r="B867" s="1" t="s">
        <v>867</v>
      </c>
      <c r="C867" s="55" t="s">
        <v>868</v>
      </c>
      <c r="D867" s="42">
        <v>11796</v>
      </c>
      <c r="E867" s="43">
        <v>6030.45</v>
      </c>
      <c r="F867" s="71">
        <v>13000</v>
      </c>
      <c r="G867" s="45">
        <v>0</v>
      </c>
      <c r="H867" s="46">
        <v>35460.68</v>
      </c>
      <c r="I867" s="47">
        <f t="shared" si="362"/>
        <v>0.91025181610493622</v>
      </c>
      <c r="J867" s="48">
        <v>38957</v>
      </c>
      <c r="K867" s="49">
        <v>38957</v>
      </c>
      <c r="L867" s="50">
        <v>32412.080000000002</v>
      </c>
      <c r="M867" s="50">
        <v>32221.96</v>
      </c>
      <c r="N867" s="51">
        <v>26268.11</v>
      </c>
      <c r="O867" s="52">
        <v>23169.82</v>
      </c>
      <c r="P867" s="53">
        <v>19006.72</v>
      </c>
      <c r="Q867" s="54">
        <v>16631.009999999998</v>
      </c>
      <c r="R867" s="1"/>
      <c r="S867" s="1"/>
      <c r="T867" s="1"/>
    </row>
    <row r="868" spans="1:20" ht="13.5" hidden="1" customHeight="1" x14ac:dyDescent="0.25">
      <c r="A868" s="1"/>
      <c r="B868" s="1" t="s">
        <v>869</v>
      </c>
      <c r="C868" s="1" t="s">
        <v>870</v>
      </c>
      <c r="D868" s="42">
        <v>0</v>
      </c>
      <c r="E868" s="70">
        <v>0</v>
      </c>
      <c r="F868" s="86">
        <v>0</v>
      </c>
      <c r="G868" s="86">
        <v>0</v>
      </c>
      <c r="H868" s="68">
        <v>0</v>
      </c>
      <c r="I868" s="47"/>
      <c r="J868" s="75" t="s">
        <v>16</v>
      </c>
      <c r="K868" s="76" t="s">
        <v>16</v>
      </c>
      <c r="L868" s="50">
        <v>296.64</v>
      </c>
      <c r="M868" s="77" t="s">
        <v>16</v>
      </c>
      <c r="N868" s="53" t="s">
        <v>16</v>
      </c>
      <c r="O868" s="52">
        <v>0</v>
      </c>
      <c r="P868" s="53">
        <v>12.97</v>
      </c>
      <c r="Q868" s="54">
        <v>0</v>
      </c>
      <c r="R868" s="1"/>
      <c r="S868" s="1"/>
      <c r="T868" s="1"/>
    </row>
    <row r="869" spans="1:20" ht="13.5" customHeight="1" x14ac:dyDescent="0.25">
      <c r="A869" s="1"/>
      <c r="B869" s="1" t="s">
        <v>871</v>
      </c>
      <c r="C869" s="1" t="s">
        <v>243</v>
      </c>
      <c r="D869" s="42">
        <v>9000</v>
      </c>
      <c r="E869" s="70">
        <v>4499.95</v>
      </c>
      <c r="F869" s="45">
        <v>9000</v>
      </c>
      <c r="G869" s="45">
        <v>9000</v>
      </c>
      <c r="H869" s="46">
        <v>8999.9</v>
      </c>
      <c r="I869" s="47">
        <f t="shared" ref="I869:I870" si="363">H869/J869</f>
        <v>0.99998888888888882</v>
      </c>
      <c r="J869" s="48">
        <v>9000</v>
      </c>
      <c r="K869" s="49">
        <v>9000</v>
      </c>
      <c r="L869" s="50">
        <v>8999.9</v>
      </c>
      <c r="M869" s="50">
        <v>8999.9</v>
      </c>
      <c r="N869" s="51">
        <v>8999.9</v>
      </c>
      <c r="O869" s="52">
        <v>3478.95</v>
      </c>
      <c r="P869" s="53">
        <v>3350.1</v>
      </c>
      <c r="Q869" s="54">
        <v>3350.1</v>
      </c>
      <c r="R869" s="1"/>
      <c r="S869" s="1"/>
      <c r="T869" s="1"/>
    </row>
    <row r="870" spans="1:20" ht="13.5" customHeight="1" x14ac:dyDescent="0.25">
      <c r="A870" s="1"/>
      <c r="B870" s="1" t="s">
        <v>872</v>
      </c>
      <c r="C870" s="1" t="s">
        <v>245</v>
      </c>
      <c r="D870" s="42">
        <v>84000</v>
      </c>
      <c r="E870" s="43">
        <v>42000.01</v>
      </c>
      <c r="F870" s="45">
        <v>84000</v>
      </c>
      <c r="G870" s="45">
        <v>84000</v>
      </c>
      <c r="H870" s="46">
        <v>70000.06</v>
      </c>
      <c r="I870" s="47">
        <f t="shared" si="363"/>
        <v>1.0000008571428571</v>
      </c>
      <c r="J870" s="48">
        <v>70000</v>
      </c>
      <c r="K870" s="49">
        <v>70000</v>
      </c>
      <c r="L870" s="50">
        <v>68653.899999999994</v>
      </c>
      <c r="M870" s="77">
        <v>0</v>
      </c>
      <c r="N870" s="53" t="s">
        <v>16</v>
      </c>
      <c r="O870" s="52"/>
      <c r="P870" s="53"/>
      <c r="Q870" s="54"/>
      <c r="R870" s="1"/>
      <c r="S870" s="1"/>
      <c r="T870" s="1"/>
    </row>
    <row r="871" spans="1:20" ht="13.5" customHeight="1" x14ac:dyDescent="0.25">
      <c r="A871" s="1"/>
      <c r="B871" s="1"/>
      <c r="C871" s="1"/>
      <c r="D871" s="56">
        <v>920837</v>
      </c>
      <c r="E871" s="57">
        <f t="shared" ref="E871" si="364">SUM(E865:E870)</f>
        <v>416699.24</v>
      </c>
      <c r="F871" s="58">
        <f>SUM(F864:F870)</f>
        <v>888733</v>
      </c>
      <c r="G871" s="58">
        <v>875733</v>
      </c>
      <c r="H871" s="59">
        <f>SUM(H865:H870)</f>
        <v>735124.81</v>
      </c>
      <c r="I871" s="59"/>
      <c r="J871" s="60">
        <f t="shared" ref="J871:Q871" si="365">SUM(J865:J870)</f>
        <v>707243</v>
      </c>
      <c r="K871" s="61">
        <f t="shared" si="365"/>
        <v>707243</v>
      </c>
      <c r="L871" s="62">
        <f t="shared" si="365"/>
        <v>682408.67</v>
      </c>
      <c r="M871" s="62">
        <f t="shared" si="365"/>
        <v>586105.49</v>
      </c>
      <c r="N871" s="63">
        <f t="shared" si="365"/>
        <v>577159.34</v>
      </c>
      <c r="O871" s="64">
        <f t="shared" si="365"/>
        <v>529350.47</v>
      </c>
      <c r="P871" s="63">
        <f t="shared" si="365"/>
        <v>514202.31999999995</v>
      </c>
      <c r="Q871" s="65">
        <f t="shared" si="365"/>
        <v>500687.35</v>
      </c>
      <c r="R871" s="1"/>
      <c r="S871" s="1"/>
      <c r="T871" s="1"/>
    </row>
    <row r="872" spans="1:20" ht="13.5" customHeight="1" x14ac:dyDescent="0.25">
      <c r="A872" s="1"/>
      <c r="B872" s="1"/>
      <c r="C872" s="1"/>
      <c r="D872" s="42"/>
      <c r="E872" s="44"/>
      <c r="F872" s="45"/>
      <c r="G872" s="45"/>
      <c r="H872" s="66"/>
      <c r="I872" s="66"/>
      <c r="J872" s="48"/>
      <c r="K872" s="49"/>
      <c r="L872" s="50"/>
      <c r="M872" s="77"/>
      <c r="N872" s="53"/>
      <c r="O872" s="52"/>
      <c r="P872" s="53"/>
      <c r="Q872" s="54"/>
      <c r="R872" s="1"/>
      <c r="S872" s="1"/>
      <c r="T872" s="1"/>
    </row>
    <row r="873" spans="1:20" ht="13.5" customHeight="1" x14ac:dyDescent="0.25">
      <c r="A873" s="1"/>
      <c r="B873" s="1" t="s">
        <v>873</v>
      </c>
      <c r="C873" s="1" t="s">
        <v>247</v>
      </c>
      <c r="D873" s="42">
        <v>70444.030500000008</v>
      </c>
      <c r="E873" s="43">
        <v>29669.759999999998</v>
      </c>
      <c r="F873" s="45">
        <v>67941.868499999997</v>
      </c>
      <c r="G873" s="45">
        <v>67941.868499999997</v>
      </c>
      <c r="H873" s="46">
        <v>51455.02</v>
      </c>
      <c r="I873" s="47">
        <f t="shared" ref="I873:I878" si="366">H873/J873</f>
        <v>0.95023120960295471</v>
      </c>
      <c r="J873" s="48">
        <v>54150</v>
      </c>
      <c r="K873" s="49">
        <v>54150</v>
      </c>
      <c r="L873" s="50">
        <v>46996.03</v>
      </c>
      <c r="M873" s="50">
        <v>44895.6</v>
      </c>
      <c r="N873" s="51">
        <v>44638.92</v>
      </c>
      <c r="O873" s="52">
        <v>42459.7</v>
      </c>
      <c r="P873" s="53">
        <v>41058.71</v>
      </c>
      <c r="Q873" s="54">
        <v>36638.449999999997</v>
      </c>
      <c r="R873" s="1"/>
      <c r="S873" s="1"/>
      <c r="T873" s="1"/>
    </row>
    <row r="874" spans="1:20" ht="13.5" customHeight="1" x14ac:dyDescent="0.25">
      <c r="A874" s="1"/>
      <c r="B874" s="1" t="s">
        <v>874</v>
      </c>
      <c r="C874" s="1" t="s">
        <v>249</v>
      </c>
      <c r="D874" s="42">
        <v>146488.08719999998</v>
      </c>
      <c r="E874" s="43">
        <v>63716.95</v>
      </c>
      <c r="F874" s="45">
        <v>136022.55679999999</v>
      </c>
      <c r="G874" s="45">
        <v>136022.55679999999</v>
      </c>
      <c r="H874" s="46">
        <v>111936.66</v>
      </c>
      <c r="I874" s="47">
        <f t="shared" si="366"/>
        <v>1.0035562130177516</v>
      </c>
      <c r="J874" s="48">
        <v>111540</v>
      </c>
      <c r="K874" s="49">
        <v>111540</v>
      </c>
      <c r="L874" s="50">
        <v>111539.75</v>
      </c>
      <c r="M874" s="50">
        <v>108147.34</v>
      </c>
      <c r="N874" s="51">
        <v>110974.02</v>
      </c>
      <c r="O874" s="52">
        <v>104613.2</v>
      </c>
      <c r="P874" s="53">
        <v>105582.39999999999</v>
      </c>
      <c r="Q874" s="54">
        <v>105784.8</v>
      </c>
      <c r="R874" s="1"/>
      <c r="S874" s="1"/>
      <c r="T874" s="1"/>
    </row>
    <row r="875" spans="1:20" ht="13.5" customHeight="1" x14ac:dyDescent="0.25">
      <c r="A875" s="1"/>
      <c r="B875" s="1" t="s">
        <v>875</v>
      </c>
      <c r="C875" s="1" t="s">
        <v>251</v>
      </c>
      <c r="D875" s="42">
        <v>138309.71739999996</v>
      </c>
      <c r="E875" s="43">
        <v>62250.85</v>
      </c>
      <c r="F875" s="45">
        <v>133306.85579999996</v>
      </c>
      <c r="G875" s="45">
        <v>133306.85579999996</v>
      </c>
      <c r="H875" s="46">
        <v>107026.08</v>
      </c>
      <c r="I875" s="47">
        <f t="shared" si="366"/>
        <v>1.0422046508004519</v>
      </c>
      <c r="J875" s="48">
        <v>102692</v>
      </c>
      <c r="K875" s="49">
        <v>102692</v>
      </c>
      <c r="L875" s="50">
        <v>99400.97</v>
      </c>
      <c r="M875" s="50">
        <v>91027.8</v>
      </c>
      <c r="N875" s="51">
        <v>88969.5</v>
      </c>
      <c r="O875" s="52">
        <v>82319.47</v>
      </c>
      <c r="P875" s="53">
        <v>79524.210000000006</v>
      </c>
      <c r="Q875" s="54">
        <v>65072.55</v>
      </c>
      <c r="R875" s="1"/>
      <c r="S875" s="1"/>
      <c r="T875" s="1"/>
    </row>
    <row r="876" spans="1:20" ht="13.5" customHeight="1" x14ac:dyDescent="0.25">
      <c r="A876" s="1"/>
      <c r="B876" s="1" t="s">
        <v>876</v>
      </c>
      <c r="C876" s="1" t="s">
        <v>253</v>
      </c>
      <c r="D876" s="42">
        <v>1473.3391999999999</v>
      </c>
      <c r="E876" s="43">
        <v>663.26</v>
      </c>
      <c r="F876" s="45">
        <v>1420.0464000000002</v>
      </c>
      <c r="G876" s="45">
        <v>1420.0464000000002</v>
      </c>
      <c r="H876" s="46">
        <v>1178.3</v>
      </c>
      <c r="I876" s="47">
        <f t="shared" si="366"/>
        <v>1.0409010600706714</v>
      </c>
      <c r="J876" s="48">
        <v>1132</v>
      </c>
      <c r="K876" s="49">
        <v>1132</v>
      </c>
      <c r="L876" s="50">
        <v>1255.21</v>
      </c>
      <c r="M876" s="50">
        <v>1241.1099999999999</v>
      </c>
      <c r="N876" s="51">
        <v>1545.77</v>
      </c>
      <c r="O876" s="52">
        <v>1606.16</v>
      </c>
      <c r="P876" s="53">
        <v>1476</v>
      </c>
      <c r="Q876" s="54">
        <v>1219.17</v>
      </c>
      <c r="R876" s="1"/>
      <c r="S876" s="1"/>
      <c r="T876" s="1"/>
    </row>
    <row r="877" spans="1:20" ht="13.5" customHeight="1" x14ac:dyDescent="0.25">
      <c r="A877" s="1"/>
      <c r="B877" s="1" t="s">
        <v>877</v>
      </c>
      <c r="C877" s="1" t="s">
        <v>255</v>
      </c>
      <c r="D877" s="42">
        <v>4915.6799999999994</v>
      </c>
      <c r="E877" s="43">
        <v>2035.24</v>
      </c>
      <c r="F877" s="45">
        <v>4355</v>
      </c>
      <c r="G877" s="45">
        <v>4355</v>
      </c>
      <c r="H877" s="46">
        <v>3295.36</v>
      </c>
      <c r="I877" s="47">
        <f t="shared" si="366"/>
        <v>0.93036702428006779</v>
      </c>
      <c r="J877" s="48">
        <v>3542</v>
      </c>
      <c r="K877" s="49">
        <v>3542</v>
      </c>
      <c r="L877" s="50">
        <v>3392</v>
      </c>
      <c r="M877" s="50">
        <v>3223.24</v>
      </c>
      <c r="N877" s="51">
        <v>3596.99</v>
      </c>
      <c r="O877" s="52">
        <v>3465.8</v>
      </c>
      <c r="P877" s="53">
        <v>3549.65</v>
      </c>
      <c r="Q877" s="54">
        <v>3523.3</v>
      </c>
      <c r="R877" s="1"/>
      <c r="S877" s="1"/>
      <c r="T877" s="1"/>
    </row>
    <row r="878" spans="1:20" ht="13.5" customHeight="1" x14ac:dyDescent="0.25">
      <c r="A878" s="1"/>
      <c r="B878" s="1" t="s">
        <v>878</v>
      </c>
      <c r="C878" s="1" t="s">
        <v>257</v>
      </c>
      <c r="D878" s="42">
        <v>0</v>
      </c>
      <c r="E878" s="43">
        <v>275</v>
      </c>
      <c r="F878" s="45">
        <v>600</v>
      </c>
      <c r="G878" s="45">
        <v>600</v>
      </c>
      <c r="H878" s="46">
        <v>600</v>
      </c>
      <c r="I878" s="47">
        <f t="shared" si="366"/>
        <v>1</v>
      </c>
      <c r="J878" s="48">
        <v>600</v>
      </c>
      <c r="K878" s="49">
        <v>600</v>
      </c>
      <c r="L878" s="50">
        <v>600</v>
      </c>
      <c r="M878" s="50">
        <v>600</v>
      </c>
      <c r="N878" s="51">
        <v>600</v>
      </c>
      <c r="O878" s="52">
        <v>575</v>
      </c>
      <c r="P878" s="53">
        <v>625</v>
      </c>
      <c r="Q878" s="54">
        <v>0</v>
      </c>
      <c r="R878" s="1"/>
      <c r="S878" s="1"/>
      <c r="T878" s="1"/>
    </row>
    <row r="879" spans="1:20" ht="13.5" customHeight="1" x14ac:dyDescent="0.25">
      <c r="A879" s="1"/>
      <c r="B879" s="1"/>
      <c r="C879" s="1"/>
      <c r="D879" s="56">
        <v>361630.85429999995</v>
      </c>
      <c r="E879" s="57">
        <f t="shared" ref="E879" si="367">SUM(E873:E878)</f>
        <v>158611.06</v>
      </c>
      <c r="F879" s="58">
        <f>SUM(F872:F878)</f>
        <v>343646.32749999996</v>
      </c>
      <c r="G879" s="58">
        <v>343646.32749999996</v>
      </c>
      <c r="H879" s="59">
        <f>SUM(H873:H878)</f>
        <v>275491.42</v>
      </c>
      <c r="I879" s="59"/>
      <c r="J879" s="60">
        <f t="shared" ref="J879:Q879" si="368">SUM(J873:J878)</f>
        <v>273656</v>
      </c>
      <c r="K879" s="61">
        <f t="shared" si="368"/>
        <v>273656</v>
      </c>
      <c r="L879" s="62">
        <f t="shared" si="368"/>
        <v>263183.95999999996</v>
      </c>
      <c r="M879" s="62">
        <f t="shared" si="368"/>
        <v>249135.08999999997</v>
      </c>
      <c r="N879" s="63">
        <f t="shared" si="368"/>
        <v>250325.19999999998</v>
      </c>
      <c r="O879" s="64">
        <f t="shared" si="368"/>
        <v>235039.33</v>
      </c>
      <c r="P879" s="63">
        <f t="shared" si="368"/>
        <v>231815.97</v>
      </c>
      <c r="Q879" s="65">
        <f t="shared" si="368"/>
        <v>212238.27</v>
      </c>
      <c r="R879" s="1"/>
      <c r="S879" s="1"/>
      <c r="T879" s="1"/>
    </row>
    <row r="880" spans="1:20" ht="13.5" customHeight="1" x14ac:dyDescent="0.25">
      <c r="A880" s="1"/>
      <c r="B880" s="1"/>
      <c r="C880" s="1"/>
      <c r="D880" s="42"/>
      <c r="E880" s="44"/>
      <c r="F880" s="45"/>
      <c r="G880" s="45"/>
      <c r="H880" s="66"/>
      <c r="I880" s="66"/>
      <c r="J880" s="48"/>
      <c r="K880" s="49"/>
      <c r="L880" s="50"/>
      <c r="M880" s="50"/>
      <c r="N880" s="51"/>
      <c r="O880" s="52"/>
      <c r="P880" s="53"/>
      <c r="Q880" s="54"/>
      <c r="R880" s="1"/>
      <c r="S880" s="1"/>
      <c r="T880" s="1"/>
    </row>
    <row r="881" spans="1:20" ht="13.5" customHeight="1" x14ac:dyDescent="0.25">
      <c r="A881" s="1"/>
      <c r="B881" s="1" t="s">
        <v>879</v>
      </c>
      <c r="C881" s="1" t="s">
        <v>259</v>
      </c>
      <c r="D881" s="42">
        <v>6000</v>
      </c>
      <c r="E881" s="43">
        <v>1098.95</v>
      </c>
      <c r="F881" s="45">
        <v>6000</v>
      </c>
      <c r="G881" s="45">
        <v>6000</v>
      </c>
      <c r="H881" s="46">
        <v>3475.81</v>
      </c>
      <c r="I881" s="47">
        <f t="shared" ref="I881:I883" si="369">H881/J881</f>
        <v>0.59415555555555555</v>
      </c>
      <c r="J881" s="48">
        <v>5850</v>
      </c>
      <c r="K881" s="49">
        <v>6000</v>
      </c>
      <c r="L881" s="50">
        <v>6290.61</v>
      </c>
      <c r="M881" s="50">
        <v>4057.03</v>
      </c>
      <c r="N881" s="51">
        <v>3926.65</v>
      </c>
      <c r="O881" s="52">
        <v>4008.12</v>
      </c>
      <c r="P881" s="53">
        <v>5339.92</v>
      </c>
      <c r="Q881" s="54">
        <v>6132.96</v>
      </c>
      <c r="R881" s="1"/>
      <c r="S881" s="1"/>
      <c r="T881" s="1"/>
    </row>
    <row r="882" spans="1:20" ht="13.5" customHeight="1" x14ac:dyDescent="0.25">
      <c r="A882" s="1"/>
      <c r="B882" s="1" t="s">
        <v>880</v>
      </c>
      <c r="C882" s="1" t="s">
        <v>261</v>
      </c>
      <c r="D882" s="42">
        <v>5300</v>
      </c>
      <c r="E882" s="43">
        <v>1540.34</v>
      </c>
      <c r="F882" s="45">
        <v>5300</v>
      </c>
      <c r="G882" s="45">
        <v>5300</v>
      </c>
      <c r="H882" s="46">
        <v>4756.3900000000003</v>
      </c>
      <c r="I882" s="47">
        <f t="shared" si="369"/>
        <v>0.89743207547169812</v>
      </c>
      <c r="J882" s="48">
        <v>5300</v>
      </c>
      <c r="K882" s="49">
        <v>5300</v>
      </c>
      <c r="L882" s="50">
        <v>4924.57</v>
      </c>
      <c r="M882" s="50">
        <v>3445.29</v>
      </c>
      <c r="N882" s="51">
        <v>4238.57</v>
      </c>
      <c r="O882" s="52">
        <v>3303.8</v>
      </c>
      <c r="P882" s="53">
        <v>4050.6</v>
      </c>
      <c r="Q882" s="54">
        <v>5552.61</v>
      </c>
      <c r="R882" s="1"/>
      <c r="S882" s="1"/>
      <c r="T882" s="1"/>
    </row>
    <row r="883" spans="1:20" ht="13.5" customHeight="1" x14ac:dyDescent="0.25">
      <c r="A883" s="1"/>
      <c r="B883" s="1" t="s">
        <v>881</v>
      </c>
      <c r="C883" s="1" t="s">
        <v>435</v>
      </c>
      <c r="D883" s="42">
        <v>3000</v>
      </c>
      <c r="E883" s="43">
        <v>551</v>
      </c>
      <c r="F883" s="45">
        <v>3000</v>
      </c>
      <c r="G883" s="45">
        <v>3000</v>
      </c>
      <c r="H883" s="46">
        <v>4141.74</v>
      </c>
      <c r="I883" s="47">
        <f t="shared" si="369"/>
        <v>1.3805799999999999</v>
      </c>
      <c r="J883" s="48">
        <v>3000</v>
      </c>
      <c r="K883" s="49">
        <v>3000</v>
      </c>
      <c r="L883" s="50">
        <v>948.56</v>
      </c>
      <c r="M883" s="50">
        <v>2401.0300000000002</v>
      </c>
      <c r="N883" s="51">
        <v>2571.5</v>
      </c>
      <c r="O883" s="52">
        <v>2651.38</v>
      </c>
      <c r="P883" s="53">
        <v>1590.43</v>
      </c>
      <c r="Q883" s="54">
        <v>2568.8200000000002</v>
      </c>
      <c r="R883" s="1"/>
      <c r="S883" s="1"/>
      <c r="T883" s="1"/>
    </row>
    <row r="884" spans="1:20" ht="13.5" customHeight="1" x14ac:dyDescent="0.25">
      <c r="A884" s="1"/>
      <c r="B884" s="1" t="s">
        <v>882</v>
      </c>
      <c r="C884" s="55" t="s">
        <v>265</v>
      </c>
      <c r="D884" s="42">
        <v>0</v>
      </c>
      <c r="E884" s="70">
        <v>0</v>
      </c>
      <c r="F884" s="73">
        <v>0</v>
      </c>
      <c r="G884" s="73">
        <v>0</v>
      </c>
      <c r="H884" s="68">
        <v>1199.94</v>
      </c>
      <c r="I884" s="47">
        <v>0</v>
      </c>
      <c r="J884" s="75">
        <v>0</v>
      </c>
      <c r="K884" s="76">
        <v>0</v>
      </c>
      <c r="L884" s="50">
        <v>577.49</v>
      </c>
      <c r="M884" s="77">
        <v>0</v>
      </c>
      <c r="N884" s="53" t="s">
        <v>16</v>
      </c>
      <c r="O884" s="52">
        <v>0</v>
      </c>
      <c r="P884" s="53">
        <v>0</v>
      </c>
      <c r="Q884" s="54">
        <v>655.98</v>
      </c>
      <c r="R884" s="1"/>
      <c r="S884" s="1"/>
      <c r="T884" s="1"/>
    </row>
    <row r="885" spans="1:20" ht="13.5" customHeight="1" x14ac:dyDescent="0.25">
      <c r="A885" s="1"/>
      <c r="B885" s="1" t="s">
        <v>883</v>
      </c>
      <c r="C885" s="55" t="s">
        <v>438</v>
      </c>
      <c r="D885" s="42">
        <v>0</v>
      </c>
      <c r="E885" s="70">
        <v>0</v>
      </c>
      <c r="F885" s="73">
        <v>0</v>
      </c>
      <c r="G885" s="73">
        <v>0</v>
      </c>
      <c r="H885" s="68">
        <v>2542.16</v>
      </c>
      <c r="I885" s="47">
        <v>0</v>
      </c>
      <c r="J885" s="75">
        <v>0</v>
      </c>
      <c r="K885" s="76">
        <v>0</v>
      </c>
      <c r="L885" s="50">
        <v>453.79</v>
      </c>
      <c r="M885" s="50">
        <v>99.71</v>
      </c>
      <c r="N885" s="53" t="s">
        <v>16</v>
      </c>
      <c r="O885" s="52">
        <v>0</v>
      </c>
      <c r="P885" s="53">
        <v>233.99</v>
      </c>
      <c r="Q885" s="54">
        <v>0</v>
      </c>
      <c r="R885" s="1"/>
      <c r="S885" s="1"/>
      <c r="T885" s="1"/>
    </row>
    <row r="886" spans="1:20" ht="13.5" customHeight="1" x14ac:dyDescent="0.25">
      <c r="A886" s="1"/>
      <c r="B886" s="1" t="s">
        <v>884</v>
      </c>
      <c r="C886" s="1" t="s">
        <v>267</v>
      </c>
      <c r="D886" s="42">
        <v>0</v>
      </c>
      <c r="E886" s="43">
        <v>24.87</v>
      </c>
      <c r="F886" s="73">
        <v>0</v>
      </c>
      <c r="G886" s="73">
        <v>0</v>
      </c>
      <c r="H886" s="46">
        <v>1053.97</v>
      </c>
      <c r="I886" s="47">
        <f>H886/J886</f>
        <v>7.0264666666666669</v>
      </c>
      <c r="J886" s="48">
        <v>150</v>
      </c>
      <c r="K886" s="76">
        <v>0</v>
      </c>
      <c r="L886" s="50">
        <v>173.05</v>
      </c>
      <c r="M886" s="50">
        <v>1419</v>
      </c>
      <c r="N886" s="51">
        <v>203.39</v>
      </c>
      <c r="O886" s="52"/>
      <c r="P886" s="53"/>
      <c r="Q886" s="54"/>
      <c r="R886" s="1"/>
      <c r="S886" s="1"/>
      <c r="T886" s="1"/>
    </row>
    <row r="887" spans="1:20" ht="13.5" customHeight="1" x14ac:dyDescent="0.25">
      <c r="A887" s="1"/>
      <c r="B887" s="1"/>
      <c r="C887" s="1"/>
      <c r="D887" s="88">
        <v>14300</v>
      </c>
      <c r="E887" s="89">
        <f t="shared" ref="E887" si="370">SUM(E881:E886)</f>
        <v>3215.16</v>
      </c>
      <c r="F887" s="90">
        <f>SUM(F880:F886)</f>
        <v>14300</v>
      </c>
      <c r="G887" s="90">
        <v>14300</v>
      </c>
      <c r="H887" s="91">
        <f>SUM(H881:H886)</f>
        <v>17170.010000000002</v>
      </c>
      <c r="I887" s="91"/>
      <c r="J887" s="92">
        <f t="shared" ref="J887:Q887" si="371">SUM(J881:J886)</f>
        <v>14300</v>
      </c>
      <c r="K887" s="93">
        <f t="shared" si="371"/>
        <v>14300</v>
      </c>
      <c r="L887" s="94">
        <f t="shared" si="371"/>
        <v>13368.07</v>
      </c>
      <c r="M887" s="94">
        <f t="shared" si="371"/>
        <v>11422.06</v>
      </c>
      <c r="N887" s="95">
        <f t="shared" si="371"/>
        <v>10940.109999999999</v>
      </c>
      <c r="O887" s="96">
        <f t="shared" si="371"/>
        <v>9963.2999999999993</v>
      </c>
      <c r="P887" s="95">
        <f t="shared" si="371"/>
        <v>11214.94</v>
      </c>
      <c r="Q887" s="97">
        <f t="shared" si="371"/>
        <v>14910.369999999999</v>
      </c>
      <c r="R887" s="1"/>
      <c r="S887" s="1"/>
      <c r="T887" s="1"/>
    </row>
    <row r="888" spans="1:20" ht="13.5" customHeight="1" x14ac:dyDescent="0.25">
      <c r="A888" s="1"/>
      <c r="B888" s="1"/>
      <c r="C888" s="1"/>
      <c r="D888" s="72"/>
      <c r="E888" s="44"/>
      <c r="F888" s="73"/>
      <c r="G888" s="73"/>
      <c r="H888" s="66"/>
      <c r="I888" s="66"/>
      <c r="J888" s="48"/>
      <c r="K888" s="76"/>
      <c r="L888" s="50"/>
      <c r="M888" s="50"/>
      <c r="N888" s="51"/>
      <c r="O888" s="52"/>
      <c r="P888" s="53"/>
      <c r="Q888" s="54"/>
      <c r="R888" s="1"/>
      <c r="S888" s="1"/>
      <c r="T888" s="1"/>
    </row>
    <row r="889" spans="1:20" ht="13.5" customHeight="1" x14ac:dyDescent="0.25">
      <c r="A889" s="1"/>
      <c r="B889" s="1" t="s">
        <v>885</v>
      </c>
      <c r="C889" s="1" t="s">
        <v>886</v>
      </c>
      <c r="D889" s="42">
        <v>500</v>
      </c>
      <c r="E889" s="43">
        <v>0</v>
      </c>
      <c r="F889" s="45">
        <v>500</v>
      </c>
      <c r="G889" s="45">
        <v>500</v>
      </c>
      <c r="H889" s="46">
        <v>518.27</v>
      </c>
      <c r="I889" s="47">
        <f t="shared" ref="I889:I893" si="372">H889/J889</f>
        <v>1.03654</v>
      </c>
      <c r="J889" s="48">
        <v>500</v>
      </c>
      <c r="K889" s="49">
        <v>500</v>
      </c>
      <c r="L889" s="50">
        <v>240.55</v>
      </c>
      <c r="M889" s="77" t="s">
        <v>16</v>
      </c>
      <c r="N889" s="53" t="s">
        <v>16</v>
      </c>
      <c r="O889" s="52">
        <v>513.75</v>
      </c>
      <c r="P889" s="53">
        <v>0</v>
      </c>
      <c r="Q889" s="54">
        <v>605.5</v>
      </c>
      <c r="R889" s="1"/>
      <c r="S889" s="1"/>
      <c r="T889" s="1"/>
    </row>
    <row r="890" spans="1:20" ht="13.5" customHeight="1" x14ac:dyDescent="0.25">
      <c r="A890" s="1"/>
      <c r="B890" s="1" t="s">
        <v>887</v>
      </c>
      <c r="C890" s="55" t="s">
        <v>273</v>
      </c>
      <c r="D890" s="42">
        <v>750</v>
      </c>
      <c r="E890" s="70">
        <v>28.75</v>
      </c>
      <c r="F890" s="45">
        <v>750</v>
      </c>
      <c r="G890" s="45">
        <v>750</v>
      </c>
      <c r="H890" s="68">
        <v>186.42</v>
      </c>
      <c r="I890" s="47">
        <f t="shared" si="372"/>
        <v>0.24855999999999998</v>
      </c>
      <c r="J890" s="48">
        <v>750</v>
      </c>
      <c r="K890" s="49">
        <v>750</v>
      </c>
      <c r="L890" s="50">
        <v>185.84</v>
      </c>
      <c r="M890" s="50">
        <v>739.92</v>
      </c>
      <c r="N890" s="51">
        <v>301.32</v>
      </c>
      <c r="O890" s="52">
        <v>62.1</v>
      </c>
      <c r="P890" s="53">
        <v>270.7</v>
      </c>
      <c r="Q890" s="54">
        <v>398.65</v>
      </c>
      <c r="R890" s="1"/>
      <c r="S890" s="1"/>
      <c r="T890" s="1"/>
    </row>
    <row r="891" spans="1:20" ht="13.5" customHeight="1" x14ac:dyDescent="0.25">
      <c r="A891" s="1"/>
      <c r="B891" s="1" t="s">
        <v>888</v>
      </c>
      <c r="C891" s="1" t="s">
        <v>404</v>
      </c>
      <c r="D891" s="42">
        <v>9500</v>
      </c>
      <c r="E891" s="43">
        <v>3508.7</v>
      </c>
      <c r="F891" s="45">
        <v>8500</v>
      </c>
      <c r="G891" s="45">
        <v>8500</v>
      </c>
      <c r="H891" s="46">
        <v>8311.5</v>
      </c>
      <c r="I891" s="47">
        <f t="shared" si="372"/>
        <v>0.97782352941176476</v>
      </c>
      <c r="J891" s="48">
        <v>8500</v>
      </c>
      <c r="K891" s="49">
        <v>8500</v>
      </c>
      <c r="L891" s="50">
        <v>7231.84</v>
      </c>
      <c r="M891" s="50">
        <v>6583.57</v>
      </c>
      <c r="N891" s="51">
        <v>7038</v>
      </c>
      <c r="O891" s="52">
        <v>3263.35</v>
      </c>
      <c r="P891" s="53">
        <v>5416.58</v>
      </c>
      <c r="Q891" s="54">
        <v>4364.05</v>
      </c>
      <c r="R891" s="1"/>
      <c r="S891" s="1"/>
      <c r="T891" s="1"/>
    </row>
    <row r="892" spans="1:20" ht="13.5" customHeight="1" x14ac:dyDescent="0.25">
      <c r="A892" s="1"/>
      <c r="B892" s="1" t="s">
        <v>889</v>
      </c>
      <c r="C892" s="1" t="s">
        <v>277</v>
      </c>
      <c r="D892" s="42">
        <v>5500</v>
      </c>
      <c r="E892" s="43">
        <v>3818.7</v>
      </c>
      <c r="F892" s="45">
        <v>4500</v>
      </c>
      <c r="G892" s="45">
        <v>4500</v>
      </c>
      <c r="H892" s="46">
        <v>4507.58</v>
      </c>
      <c r="I892" s="47">
        <f t="shared" si="372"/>
        <v>1.0374177215189873</v>
      </c>
      <c r="J892" s="48">
        <v>4345</v>
      </c>
      <c r="K892" s="49">
        <v>4500</v>
      </c>
      <c r="L892" s="50">
        <v>5248.34</v>
      </c>
      <c r="M892" s="50">
        <v>4442.5</v>
      </c>
      <c r="N892" s="51">
        <v>3822.45</v>
      </c>
      <c r="O892" s="52">
        <v>4101</v>
      </c>
      <c r="P892" s="53">
        <v>3271.57</v>
      </c>
      <c r="Q892" s="54">
        <v>2796.79</v>
      </c>
      <c r="R892" s="1"/>
      <c r="S892" s="1"/>
      <c r="T892" s="1"/>
    </row>
    <row r="893" spans="1:20" ht="13.5" customHeight="1" x14ac:dyDescent="0.25">
      <c r="A893" s="1"/>
      <c r="B893" s="1" t="s">
        <v>890</v>
      </c>
      <c r="C893" s="1" t="s">
        <v>489</v>
      </c>
      <c r="D893" s="42">
        <v>0</v>
      </c>
      <c r="E893" s="43">
        <v>0</v>
      </c>
      <c r="F893" s="73">
        <v>0</v>
      </c>
      <c r="G893" s="73">
        <v>0</v>
      </c>
      <c r="H893" s="46">
        <v>38.75</v>
      </c>
      <c r="I893" s="47">
        <f t="shared" si="372"/>
        <v>0.25</v>
      </c>
      <c r="J893" s="48">
        <v>155</v>
      </c>
      <c r="K893" s="76">
        <v>0</v>
      </c>
      <c r="L893" s="50">
        <v>122.76</v>
      </c>
      <c r="M893" s="77" t="s">
        <v>16</v>
      </c>
      <c r="N893" s="53" t="s">
        <v>16</v>
      </c>
      <c r="O893" s="52"/>
      <c r="P893" s="53"/>
      <c r="Q893" s="54"/>
      <c r="R893" s="1"/>
      <c r="S893" s="1"/>
      <c r="T893" s="1"/>
    </row>
    <row r="894" spans="1:20" ht="13.5" customHeight="1" x14ac:dyDescent="0.25">
      <c r="A894" s="1"/>
      <c r="B894" s="55" t="s">
        <v>891</v>
      </c>
      <c r="C894" s="55" t="s">
        <v>408</v>
      </c>
      <c r="D894" s="42">
        <v>0</v>
      </c>
      <c r="E894" s="43">
        <v>551.20000000000005</v>
      </c>
      <c r="F894" s="45"/>
      <c r="G894" s="45"/>
      <c r="H894" s="46"/>
      <c r="I894" s="47"/>
      <c r="J894" s="48"/>
      <c r="K894" s="49"/>
      <c r="L894" s="50"/>
      <c r="M894" s="50"/>
      <c r="N894" s="51"/>
      <c r="O894" s="52"/>
      <c r="P894" s="53"/>
      <c r="Q894" s="54"/>
      <c r="R894" s="1"/>
      <c r="S894" s="1"/>
      <c r="T894" s="1"/>
    </row>
    <row r="895" spans="1:20" ht="13.5" customHeight="1" x14ac:dyDescent="0.25">
      <c r="A895" s="1"/>
      <c r="B895" s="1" t="s">
        <v>892</v>
      </c>
      <c r="C895" s="1" t="s">
        <v>814</v>
      </c>
      <c r="D895" s="42">
        <v>915</v>
      </c>
      <c r="E895" s="43">
        <v>379.9</v>
      </c>
      <c r="F895" s="45">
        <v>915</v>
      </c>
      <c r="G895" s="45">
        <v>915</v>
      </c>
      <c r="H895" s="46">
        <v>911.76</v>
      </c>
      <c r="I895" s="47">
        <f>H895/J895</f>
        <v>0.99645901639344259</v>
      </c>
      <c r="J895" s="48">
        <v>915</v>
      </c>
      <c r="K895" s="49">
        <v>915</v>
      </c>
      <c r="L895" s="50">
        <v>911.76</v>
      </c>
      <c r="M895" s="50">
        <v>911.76</v>
      </c>
      <c r="N895" s="51">
        <v>911.76</v>
      </c>
      <c r="O895" s="52">
        <v>949.75</v>
      </c>
      <c r="P895" s="53">
        <v>455.88</v>
      </c>
      <c r="Q895" s="54">
        <v>0</v>
      </c>
      <c r="R895" s="1"/>
      <c r="S895" s="1"/>
      <c r="T895" s="1"/>
    </row>
    <row r="896" spans="1:20" ht="13.5" customHeight="1" x14ac:dyDescent="0.25">
      <c r="A896" s="1"/>
      <c r="B896" s="1" t="s">
        <v>893</v>
      </c>
      <c r="C896" s="1" t="s">
        <v>279</v>
      </c>
      <c r="D896" s="42">
        <v>0</v>
      </c>
      <c r="E896" s="70">
        <v>71</v>
      </c>
      <c r="F896" s="73">
        <v>0</v>
      </c>
      <c r="G896" s="73">
        <v>0</v>
      </c>
      <c r="H896" s="68">
        <v>142</v>
      </c>
      <c r="I896" s="47"/>
      <c r="J896" s="75">
        <v>0</v>
      </c>
      <c r="K896" s="76">
        <v>0</v>
      </c>
      <c r="L896" s="77">
        <v>0</v>
      </c>
      <c r="M896" s="50">
        <v>177.5</v>
      </c>
      <c r="N896" s="51">
        <v>142</v>
      </c>
      <c r="O896" s="52">
        <v>71</v>
      </c>
      <c r="P896" s="53">
        <v>0</v>
      </c>
      <c r="Q896" s="54">
        <v>0</v>
      </c>
      <c r="R896" s="1"/>
      <c r="S896" s="1"/>
      <c r="T896" s="1"/>
    </row>
    <row r="897" spans="1:20" ht="13.5" customHeight="1" x14ac:dyDescent="0.25">
      <c r="A897" s="1"/>
      <c r="B897" s="1" t="s">
        <v>894</v>
      </c>
      <c r="C897" s="1" t="s">
        <v>281</v>
      </c>
      <c r="D897" s="42">
        <v>6000</v>
      </c>
      <c r="E897" s="43">
        <v>1983.73</v>
      </c>
      <c r="F897" s="45">
        <v>6000</v>
      </c>
      <c r="G897" s="45">
        <v>6000</v>
      </c>
      <c r="H897" s="46">
        <v>4374.57</v>
      </c>
      <c r="I897" s="47">
        <f>H897/J897</f>
        <v>0.72909499999999994</v>
      </c>
      <c r="J897" s="48">
        <v>6000</v>
      </c>
      <c r="K897" s="49">
        <v>6000</v>
      </c>
      <c r="L897" s="50">
        <v>4413.45</v>
      </c>
      <c r="M897" s="50">
        <v>4900.78</v>
      </c>
      <c r="N897" s="51">
        <v>4508.2</v>
      </c>
      <c r="O897" s="52">
        <v>4927.83</v>
      </c>
      <c r="P897" s="53">
        <v>5399.98</v>
      </c>
      <c r="Q897" s="54">
        <v>5742.16</v>
      </c>
      <c r="R897" s="1"/>
      <c r="S897" s="1"/>
      <c r="T897" s="1"/>
    </row>
    <row r="898" spans="1:20" ht="13.5" customHeight="1" x14ac:dyDescent="0.25">
      <c r="A898" s="1"/>
      <c r="B898" s="1"/>
      <c r="C898" s="1"/>
      <c r="D898" s="56">
        <v>23165</v>
      </c>
      <c r="E898" s="57">
        <f t="shared" ref="E898" si="373">SUM(E889:E897)</f>
        <v>10341.98</v>
      </c>
      <c r="F898" s="58">
        <f>SUM(F888:F897)</f>
        <v>21165</v>
      </c>
      <c r="G898" s="58">
        <v>21165</v>
      </c>
      <c r="H898" s="59">
        <f>SUM(H889:H897)</f>
        <v>18990.849999999999</v>
      </c>
      <c r="I898" s="59"/>
      <c r="J898" s="60">
        <f t="shared" ref="J898:Q898" si="374">SUM(J889:J897)</f>
        <v>21165</v>
      </c>
      <c r="K898" s="61">
        <f t="shared" si="374"/>
        <v>21165</v>
      </c>
      <c r="L898" s="62">
        <f t="shared" si="374"/>
        <v>18354.54</v>
      </c>
      <c r="M898" s="62">
        <f t="shared" si="374"/>
        <v>17756.03</v>
      </c>
      <c r="N898" s="63">
        <f t="shared" si="374"/>
        <v>16723.73</v>
      </c>
      <c r="O898" s="64">
        <f t="shared" si="374"/>
        <v>13888.78</v>
      </c>
      <c r="P898" s="63">
        <f t="shared" si="374"/>
        <v>14814.71</v>
      </c>
      <c r="Q898" s="65">
        <f t="shared" si="374"/>
        <v>13907.15</v>
      </c>
      <c r="R898" s="1"/>
      <c r="S898" s="1"/>
      <c r="T898" s="1"/>
    </row>
    <row r="899" spans="1:20" ht="13.5" customHeight="1" thickBot="1" x14ac:dyDescent="0.3">
      <c r="A899" s="1"/>
      <c r="B899" s="1"/>
      <c r="C899" s="1"/>
      <c r="D899" s="267">
        <v>1319932.8543</v>
      </c>
      <c r="E899" s="173">
        <f t="shared" ref="E899" si="375">SUM(E871+E879+E887+E898)</f>
        <v>588867.44000000006</v>
      </c>
      <c r="F899" s="174">
        <f>SUM(F871,F879,F887,F898)</f>
        <v>1267844.3274999999</v>
      </c>
      <c r="G899" s="174">
        <v>1254844.3274999999</v>
      </c>
      <c r="H899" s="175">
        <f>SUM(H871+H879+H887+H898)</f>
        <v>1046777.09</v>
      </c>
      <c r="I899" s="175"/>
      <c r="J899" s="176">
        <f t="shared" ref="J899:Q899" si="376">SUM(J871+J879+J887+J898)</f>
        <v>1016364</v>
      </c>
      <c r="K899" s="177">
        <f t="shared" si="376"/>
        <v>1016364</v>
      </c>
      <c r="L899" s="178">
        <f t="shared" si="376"/>
        <v>977315.24</v>
      </c>
      <c r="M899" s="178">
        <f t="shared" si="376"/>
        <v>864418.67</v>
      </c>
      <c r="N899" s="179">
        <f t="shared" si="376"/>
        <v>855148.37999999989</v>
      </c>
      <c r="O899" s="180">
        <f t="shared" si="376"/>
        <v>788241.88</v>
      </c>
      <c r="P899" s="179">
        <f t="shared" si="376"/>
        <v>772047.93999999983</v>
      </c>
      <c r="Q899" s="181">
        <f t="shared" si="376"/>
        <v>741743.14</v>
      </c>
      <c r="R899" s="1"/>
      <c r="S899" s="1"/>
      <c r="T899" s="1"/>
    </row>
    <row r="900" spans="1:20" ht="13.5" customHeight="1" thickTop="1" x14ac:dyDescent="0.25">
      <c r="A900" s="1"/>
      <c r="B900" s="1"/>
      <c r="C900" s="1"/>
      <c r="D900" s="42"/>
      <c r="E900" s="44"/>
      <c r="F900" s="45"/>
      <c r="G900" s="45"/>
      <c r="H900" s="66"/>
      <c r="I900" s="66"/>
      <c r="J900" s="48"/>
      <c r="K900" s="49"/>
      <c r="L900" s="50"/>
      <c r="M900" s="50"/>
      <c r="N900" s="51"/>
      <c r="O900" s="52"/>
      <c r="P900" s="53"/>
      <c r="Q900" s="54"/>
      <c r="R900" s="1"/>
      <c r="S900" s="1"/>
      <c r="T900" s="1"/>
    </row>
    <row r="901" spans="1:20" ht="13.5" customHeight="1" x14ac:dyDescent="0.25">
      <c r="A901" s="1"/>
      <c r="B901" s="1"/>
      <c r="C901" s="41"/>
      <c r="D901" s="42"/>
      <c r="E901" s="44"/>
      <c r="F901" s="45"/>
      <c r="G901" s="45"/>
      <c r="H901" s="66"/>
      <c r="I901" s="66"/>
      <c r="J901" s="48"/>
      <c r="K901" s="49"/>
      <c r="L901" s="50"/>
      <c r="M901" s="50"/>
      <c r="N901" s="51"/>
      <c r="O901" s="52"/>
      <c r="P901" s="53"/>
      <c r="Q901" s="54"/>
      <c r="R901" s="1"/>
      <c r="S901" s="1"/>
      <c r="T901" s="1"/>
    </row>
    <row r="902" spans="1:20" ht="13.5" customHeight="1" x14ac:dyDescent="0.25">
      <c r="A902" s="1"/>
      <c r="B902" s="1"/>
      <c r="C902" s="41" t="s">
        <v>895</v>
      </c>
      <c r="D902" s="42"/>
      <c r="E902" s="44"/>
      <c r="F902" s="45"/>
      <c r="G902" s="45"/>
      <c r="H902" s="66"/>
      <c r="I902" s="66"/>
      <c r="J902" s="48"/>
      <c r="K902" s="49"/>
      <c r="L902" s="50"/>
      <c r="M902" s="50"/>
      <c r="N902" s="51"/>
      <c r="O902" s="52"/>
      <c r="P902" s="53"/>
      <c r="Q902" s="54"/>
      <c r="R902" s="1"/>
      <c r="S902" s="1"/>
      <c r="T902" s="1"/>
    </row>
    <row r="903" spans="1:20" ht="13.5" customHeight="1" x14ac:dyDescent="0.25">
      <c r="A903" s="1"/>
      <c r="B903" s="1" t="s">
        <v>896</v>
      </c>
      <c r="C903" s="1" t="s">
        <v>420</v>
      </c>
      <c r="D903" s="42">
        <v>119788</v>
      </c>
      <c r="E903" s="43">
        <v>55649.01</v>
      </c>
      <c r="F903" s="45">
        <v>117632</v>
      </c>
      <c r="G903" s="45">
        <v>117632</v>
      </c>
      <c r="H903" s="46">
        <v>108061.09</v>
      </c>
      <c r="I903" s="47">
        <f t="shared" ref="I903:I906" si="377">H903/J903</f>
        <v>0.98468307484828044</v>
      </c>
      <c r="J903" s="48">
        <v>109742</v>
      </c>
      <c r="K903" s="49">
        <v>109742</v>
      </c>
      <c r="L903" s="50">
        <v>103889.92</v>
      </c>
      <c r="M903" s="50">
        <v>96261.89</v>
      </c>
      <c r="N903" s="51">
        <v>101251.9</v>
      </c>
      <c r="O903" s="52">
        <v>88301.93</v>
      </c>
      <c r="P903" s="53">
        <v>98251.81</v>
      </c>
      <c r="Q903" s="54">
        <v>106243.17</v>
      </c>
      <c r="R903" s="1"/>
      <c r="S903" s="1"/>
      <c r="T903" s="1"/>
    </row>
    <row r="904" spans="1:20" ht="13.5" customHeight="1" x14ac:dyDescent="0.25">
      <c r="A904" s="1"/>
      <c r="B904" s="1" t="s">
        <v>897</v>
      </c>
      <c r="C904" s="1" t="s">
        <v>237</v>
      </c>
      <c r="D904" s="42">
        <v>28200</v>
      </c>
      <c r="E904" s="43">
        <v>16526.3</v>
      </c>
      <c r="F904" s="45">
        <v>44200</v>
      </c>
      <c r="G904" s="45">
        <v>44200</v>
      </c>
      <c r="H904" s="46">
        <v>30061.02</v>
      </c>
      <c r="I904" s="47">
        <f t="shared" si="377"/>
        <v>0.68011357466063349</v>
      </c>
      <c r="J904" s="48">
        <v>44200</v>
      </c>
      <c r="K904" s="49">
        <v>44200</v>
      </c>
      <c r="L904" s="50">
        <v>30513.18</v>
      </c>
      <c r="M904" s="50">
        <v>36078.5</v>
      </c>
      <c r="N904" s="51">
        <v>31129.599999999999</v>
      </c>
      <c r="O904" s="52">
        <v>27280.400000000001</v>
      </c>
      <c r="P904" s="53">
        <v>29025.200000000001</v>
      </c>
      <c r="Q904" s="54">
        <v>36180.68</v>
      </c>
      <c r="R904" s="1"/>
      <c r="S904" s="1"/>
      <c r="T904" s="1"/>
    </row>
    <row r="905" spans="1:20" ht="13.5" customHeight="1" x14ac:dyDescent="0.25">
      <c r="A905" s="1"/>
      <c r="B905" s="1" t="s">
        <v>898</v>
      </c>
      <c r="C905" s="1" t="s">
        <v>423</v>
      </c>
      <c r="D905" s="42">
        <v>0</v>
      </c>
      <c r="E905" s="43">
        <v>0</v>
      </c>
      <c r="F905" s="45">
        <v>0</v>
      </c>
      <c r="G905" s="45">
        <v>0</v>
      </c>
      <c r="H905" s="46">
        <v>7047.83</v>
      </c>
      <c r="I905" s="47">
        <f t="shared" si="377"/>
        <v>1.0270810259399592</v>
      </c>
      <c r="J905" s="48">
        <v>6862</v>
      </c>
      <c r="K905" s="49">
        <v>6862</v>
      </c>
      <c r="L905" s="50">
        <v>6744.88</v>
      </c>
      <c r="M905" s="50">
        <v>5631.26</v>
      </c>
      <c r="N905" s="51">
        <v>4994.3100000000004</v>
      </c>
      <c r="O905" s="52">
        <v>4120.63</v>
      </c>
      <c r="P905" s="53">
        <v>5265.48</v>
      </c>
      <c r="Q905" s="54">
        <v>6742.31</v>
      </c>
      <c r="R905" s="1"/>
      <c r="S905" s="1"/>
      <c r="T905" s="1"/>
    </row>
    <row r="906" spans="1:20" ht="13.5" customHeight="1" x14ac:dyDescent="0.25">
      <c r="A906" s="1"/>
      <c r="B906" s="1" t="s">
        <v>899</v>
      </c>
      <c r="C906" s="1" t="s">
        <v>651</v>
      </c>
      <c r="D906" s="42">
        <v>1000</v>
      </c>
      <c r="E906" s="43">
        <v>499.98</v>
      </c>
      <c r="F906" s="45">
        <v>1000</v>
      </c>
      <c r="G906" s="45">
        <v>1000</v>
      </c>
      <c r="H906" s="46">
        <v>999.96</v>
      </c>
      <c r="I906" s="47">
        <f t="shared" si="377"/>
        <v>0.99996000000000007</v>
      </c>
      <c r="J906" s="48">
        <v>1000</v>
      </c>
      <c r="K906" s="49">
        <v>1000</v>
      </c>
      <c r="L906" s="50">
        <v>999.96</v>
      </c>
      <c r="M906" s="50">
        <v>846.12</v>
      </c>
      <c r="N906" s="51">
        <v>1499.94</v>
      </c>
      <c r="O906" s="52">
        <v>1557.63</v>
      </c>
      <c r="P906" s="53">
        <v>1499.94</v>
      </c>
      <c r="Q906" s="54">
        <v>1499.94</v>
      </c>
      <c r="R906" s="1"/>
      <c r="S906" s="1"/>
      <c r="T906" s="1"/>
    </row>
    <row r="907" spans="1:20" ht="13.5" customHeight="1" x14ac:dyDescent="0.25">
      <c r="A907" s="1"/>
      <c r="B907" s="1"/>
      <c r="C907" s="1"/>
      <c r="D907" s="56">
        <v>148988</v>
      </c>
      <c r="E907" s="57">
        <f t="shared" ref="E907" si="378">SUM(E903:E906)</f>
        <v>72675.289999999994</v>
      </c>
      <c r="F907" s="58">
        <f>SUM(F902:F906)</f>
        <v>162832</v>
      </c>
      <c r="G907" s="58">
        <v>162832</v>
      </c>
      <c r="H907" s="59">
        <f>SUM(H903:H906)</f>
        <v>146169.89999999997</v>
      </c>
      <c r="I907" s="59"/>
      <c r="J907" s="60">
        <f t="shared" ref="J907:Q907" si="379">SUM(J903:J906)</f>
        <v>161804</v>
      </c>
      <c r="K907" s="61">
        <f t="shared" si="379"/>
        <v>161804</v>
      </c>
      <c r="L907" s="62">
        <f t="shared" si="379"/>
        <v>142147.94</v>
      </c>
      <c r="M907" s="62">
        <f t="shared" si="379"/>
        <v>138817.77000000002</v>
      </c>
      <c r="N907" s="63">
        <f t="shared" si="379"/>
        <v>138875.75</v>
      </c>
      <c r="O907" s="64">
        <f t="shared" si="379"/>
        <v>121260.59</v>
      </c>
      <c r="P907" s="63">
        <f t="shared" si="379"/>
        <v>134042.43</v>
      </c>
      <c r="Q907" s="65">
        <f t="shared" si="379"/>
        <v>150666.1</v>
      </c>
      <c r="R907" s="1"/>
      <c r="S907" s="1"/>
      <c r="T907" s="1"/>
    </row>
    <row r="908" spans="1:20" ht="13.5" customHeight="1" x14ac:dyDescent="0.25">
      <c r="A908" s="1"/>
      <c r="B908" s="1"/>
      <c r="C908" s="1"/>
      <c r="D908" s="42"/>
      <c r="E908" s="44"/>
      <c r="F908" s="45"/>
      <c r="G908" s="45"/>
      <c r="H908" s="66"/>
      <c r="I908" s="66"/>
      <c r="J908" s="48"/>
      <c r="K908" s="49"/>
      <c r="L908" s="50"/>
      <c r="M908" s="50"/>
      <c r="N908" s="51"/>
      <c r="O908" s="52"/>
      <c r="P908" s="53"/>
      <c r="Q908" s="54"/>
      <c r="R908" s="1"/>
      <c r="S908" s="1"/>
      <c r="T908" s="1"/>
    </row>
    <row r="909" spans="1:20" ht="13.5" customHeight="1" x14ac:dyDescent="0.25">
      <c r="A909" s="1"/>
      <c r="B909" s="1" t="s">
        <v>900</v>
      </c>
      <c r="C909" s="1" t="s">
        <v>247</v>
      </c>
      <c r="D909" s="42">
        <v>11397.581999999999</v>
      </c>
      <c r="E909" s="43">
        <v>5057</v>
      </c>
      <c r="F909" s="45">
        <v>12456.647999999999</v>
      </c>
      <c r="G909" s="45">
        <v>12456.647999999999</v>
      </c>
      <c r="H909" s="46">
        <v>10074.959999999999</v>
      </c>
      <c r="I909" s="47">
        <f t="shared" ref="I909:I913" si="380">H909/J909</f>
        <v>0.8139408628211342</v>
      </c>
      <c r="J909" s="48">
        <v>12378</v>
      </c>
      <c r="K909" s="49">
        <v>12378</v>
      </c>
      <c r="L909" s="50">
        <v>9939.36</v>
      </c>
      <c r="M909" s="50">
        <v>9866.7900000000009</v>
      </c>
      <c r="N909" s="51">
        <v>10027.59</v>
      </c>
      <c r="O909" s="52">
        <v>8949.32</v>
      </c>
      <c r="P909" s="53">
        <v>9956.07</v>
      </c>
      <c r="Q909" s="54">
        <v>11163.34</v>
      </c>
      <c r="R909" s="1"/>
      <c r="S909" s="1"/>
      <c r="T909" s="1"/>
    </row>
    <row r="910" spans="1:20" ht="13.5" customHeight="1" x14ac:dyDescent="0.25">
      <c r="A910" s="1"/>
      <c r="B910" s="1" t="s">
        <v>901</v>
      </c>
      <c r="C910" s="1" t="s">
        <v>249</v>
      </c>
      <c r="D910" s="42">
        <v>31390.304400000001</v>
      </c>
      <c r="E910" s="43">
        <v>15534.54</v>
      </c>
      <c r="F910" s="45">
        <v>31389.820800000001</v>
      </c>
      <c r="G910" s="45">
        <v>31389.820800000001</v>
      </c>
      <c r="H910" s="46">
        <v>30528.18</v>
      </c>
      <c r="I910" s="47">
        <f t="shared" si="380"/>
        <v>0.9933031821435544</v>
      </c>
      <c r="J910" s="48">
        <v>30734</v>
      </c>
      <c r="K910" s="49">
        <v>30734</v>
      </c>
      <c r="L910" s="50">
        <v>30420</v>
      </c>
      <c r="M910" s="50">
        <v>26192.5</v>
      </c>
      <c r="N910" s="51">
        <v>30496.799999999999</v>
      </c>
      <c r="O910" s="52">
        <v>24472.18</v>
      </c>
      <c r="P910" s="53">
        <v>29933.4</v>
      </c>
      <c r="Q910" s="54">
        <v>32829.599999999999</v>
      </c>
      <c r="R910" s="1"/>
      <c r="S910" s="1"/>
      <c r="T910" s="1"/>
    </row>
    <row r="911" spans="1:20" ht="13.5" customHeight="1" x14ac:dyDescent="0.25">
      <c r="A911" s="1"/>
      <c r="B911" s="1" t="s">
        <v>902</v>
      </c>
      <c r="C911" s="1" t="s">
        <v>251</v>
      </c>
      <c r="D911" s="42">
        <v>22377.997599999999</v>
      </c>
      <c r="E911" s="43">
        <v>10911.78</v>
      </c>
      <c r="F911" s="45">
        <v>24457.366400000003</v>
      </c>
      <c r="G911" s="45">
        <v>24457.366400000003</v>
      </c>
      <c r="H911" s="46">
        <v>21044.13</v>
      </c>
      <c r="I911" s="47">
        <f t="shared" si="380"/>
        <v>0.89572358900144722</v>
      </c>
      <c r="J911" s="48">
        <v>23494</v>
      </c>
      <c r="K911" s="49">
        <v>23494</v>
      </c>
      <c r="L911" s="50">
        <v>20584.810000000001</v>
      </c>
      <c r="M911" s="50">
        <v>19341.810000000001</v>
      </c>
      <c r="N911" s="51">
        <v>15410.04</v>
      </c>
      <c r="O911" s="52">
        <v>12911.33</v>
      </c>
      <c r="P911" s="53">
        <v>13620.37</v>
      </c>
      <c r="Q911" s="54">
        <v>14647.86</v>
      </c>
      <c r="R911" s="1"/>
      <c r="S911" s="1"/>
      <c r="T911" s="1"/>
    </row>
    <row r="912" spans="1:20" ht="13.5" customHeight="1" x14ac:dyDescent="0.25">
      <c r="A912" s="1"/>
      <c r="B912" s="1" t="s">
        <v>903</v>
      </c>
      <c r="C912" s="1" t="s">
        <v>253</v>
      </c>
      <c r="D912" s="42">
        <v>238.38080000000002</v>
      </c>
      <c r="E912" s="43">
        <v>116.23</v>
      </c>
      <c r="F912" s="45">
        <v>260.53120000000001</v>
      </c>
      <c r="G912" s="45">
        <v>260.53120000000001</v>
      </c>
      <c r="H912" s="46">
        <v>231.66</v>
      </c>
      <c r="I912" s="47">
        <f t="shared" si="380"/>
        <v>0.89444015444015446</v>
      </c>
      <c r="J912" s="48">
        <v>259</v>
      </c>
      <c r="K912" s="49">
        <v>259</v>
      </c>
      <c r="L912" s="50">
        <v>259.89999999999998</v>
      </c>
      <c r="M912" s="50">
        <v>262.58</v>
      </c>
      <c r="N912" s="51">
        <v>268.38</v>
      </c>
      <c r="O912" s="52">
        <v>253.38</v>
      </c>
      <c r="P912" s="53">
        <v>261.22000000000003</v>
      </c>
      <c r="Q912" s="54">
        <v>276.13</v>
      </c>
      <c r="R912" s="1"/>
      <c r="S912" s="1"/>
      <c r="T912" s="1"/>
    </row>
    <row r="913" spans="1:20" ht="13.5" customHeight="1" x14ac:dyDescent="0.25">
      <c r="A913" s="1"/>
      <c r="B913" s="1" t="s">
        <v>904</v>
      </c>
      <c r="C913" s="1" t="s">
        <v>255</v>
      </c>
      <c r="D913" s="42">
        <v>1053.3600000000001</v>
      </c>
      <c r="E913" s="43">
        <v>501.84</v>
      </c>
      <c r="F913" s="45">
        <v>1005</v>
      </c>
      <c r="G913" s="45">
        <v>1005</v>
      </c>
      <c r="H913" s="46">
        <v>971.88</v>
      </c>
      <c r="I913" s="47">
        <f t="shared" si="380"/>
        <v>1.0060869565217392</v>
      </c>
      <c r="J913" s="48">
        <v>966</v>
      </c>
      <c r="K913" s="49">
        <v>966</v>
      </c>
      <c r="L913" s="50">
        <v>939.72</v>
      </c>
      <c r="M913" s="50">
        <v>781.26</v>
      </c>
      <c r="N913" s="51">
        <v>988.62</v>
      </c>
      <c r="O913" s="52">
        <v>810.55</v>
      </c>
      <c r="P913" s="53">
        <v>1006.2</v>
      </c>
      <c r="Q913" s="54">
        <v>1093.0999999999999</v>
      </c>
      <c r="R913" s="1"/>
      <c r="S913" s="1"/>
      <c r="T913" s="1"/>
    </row>
    <row r="914" spans="1:20" ht="13.5" customHeight="1" x14ac:dyDescent="0.25">
      <c r="A914" s="1"/>
      <c r="B914" s="1"/>
      <c r="C914" s="1"/>
      <c r="D914" s="56">
        <v>66457.624800000005</v>
      </c>
      <c r="E914" s="57">
        <f t="shared" ref="E914" si="381">SUM(E909:E913)</f>
        <v>32121.39</v>
      </c>
      <c r="F914" s="58">
        <f>SUM(F908:F913)</f>
        <v>69569.366399999999</v>
      </c>
      <c r="G914" s="58">
        <v>69569.366399999999</v>
      </c>
      <c r="H914" s="59">
        <f>SUM(H909:H913)</f>
        <v>62850.810000000005</v>
      </c>
      <c r="I914" s="59"/>
      <c r="J914" s="60">
        <f t="shared" ref="J914:Q914" si="382">SUM(J909:J913)</f>
        <v>67831</v>
      </c>
      <c r="K914" s="61">
        <f t="shared" si="382"/>
        <v>67831</v>
      </c>
      <c r="L914" s="62">
        <f t="shared" si="382"/>
        <v>62143.79</v>
      </c>
      <c r="M914" s="62">
        <f t="shared" si="382"/>
        <v>56444.94000000001</v>
      </c>
      <c r="N914" s="63">
        <f t="shared" si="382"/>
        <v>57191.43</v>
      </c>
      <c r="O914" s="64">
        <f t="shared" si="382"/>
        <v>47396.76</v>
      </c>
      <c r="P914" s="63">
        <f t="shared" si="382"/>
        <v>54777.26</v>
      </c>
      <c r="Q914" s="65">
        <f t="shared" si="382"/>
        <v>60010.03</v>
      </c>
      <c r="R914" s="1"/>
      <c r="S914" s="1"/>
      <c r="T914" s="1"/>
    </row>
    <row r="915" spans="1:20" ht="13.5" customHeight="1" x14ac:dyDescent="0.25">
      <c r="A915" s="1"/>
      <c r="B915" s="1"/>
      <c r="C915" s="1"/>
      <c r="D915" s="42"/>
      <c r="E915" s="44"/>
      <c r="F915" s="45"/>
      <c r="G915" s="45"/>
      <c r="H915" s="66"/>
      <c r="I915" s="66"/>
      <c r="J915" s="48"/>
      <c r="K915" s="49"/>
      <c r="L915" s="50"/>
      <c r="M915" s="50"/>
      <c r="N915" s="51"/>
      <c r="O915" s="52"/>
      <c r="P915" s="53"/>
      <c r="Q915" s="54"/>
      <c r="R915" s="1"/>
      <c r="S915" s="1"/>
      <c r="T915" s="1"/>
    </row>
    <row r="916" spans="1:20" ht="13.5" customHeight="1" x14ac:dyDescent="0.25">
      <c r="A916" s="1"/>
      <c r="B916" s="1" t="s">
        <v>905</v>
      </c>
      <c r="C916" s="1" t="s">
        <v>259</v>
      </c>
      <c r="D916" s="42">
        <v>4800</v>
      </c>
      <c r="E916" s="43">
        <v>1867.47</v>
      </c>
      <c r="F916" s="45">
        <v>4800</v>
      </c>
      <c r="G916" s="45">
        <v>4800</v>
      </c>
      <c r="H916" s="46">
        <v>4806.28</v>
      </c>
      <c r="I916" s="47">
        <f t="shared" ref="I916:I918" si="383">H916/J916</f>
        <v>1.0013083333333332</v>
      </c>
      <c r="J916" s="48">
        <v>4800</v>
      </c>
      <c r="K916" s="49">
        <v>4800</v>
      </c>
      <c r="L916" s="50">
        <v>2407.4499999999998</v>
      </c>
      <c r="M916" s="50">
        <v>1207.3900000000001</v>
      </c>
      <c r="N916" s="51">
        <v>1359.95</v>
      </c>
      <c r="O916" s="52">
        <v>2665.98</v>
      </c>
      <c r="P916" s="53">
        <v>1825.68</v>
      </c>
      <c r="Q916" s="54">
        <v>3134.42</v>
      </c>
      <c r="R916" s="1"/>
      <c r="S916" s="1"/>
      <c r="T916" s="1"/>
    </row>
    <row r="917" spans="1:20" ht="13.5" customHeight="1" x14ac:dyDescent="0.25">
      <c r="A917" s="1"/>
      <c r="B917" s="1" t="s">
        <v>906</v>
      </c>
      <c r="C917" s="1" t="s">
        <v>471</v>
      </c>
      <c r="D917" s="42">
        <v>3500</v>
      </c>
      <c r="E917" s="43">
        <v>540.70000000000005</v>
      </c>
      <c r="F917" s="45">
        <v>3500</v>
      </c>
      <c r="G917" s="45">
        <v>3500</v>
      </c>
      <c r="H917" s="46">
        <v>1937.85</v>
      </c>
      <c r="I917" s="47">
        <f t="shared" si="383"/>
        <v>0.55367142857142859</v>
      </c>
      <c r="J917" s="48">
        <v>3500</v>
      </c>
      <c r="K917" s="49">
        <v>3500</v>
      </c>
      <c r="L917" s="50">
        <v>1075.47</v>
      </c>
      <c r="M917" s="50">
        <v>1076.8900000000001</v>
      </c>
      <c r="N917" s="51">
        <v>980.73</v>
      </c>
      <c r="O917" s="52">
        <v>1329.85</v>
      </c>
      <c r="P917" s="53">
        <v>2612.9</v>
      </c>
      <c r="Q917" s="54">
        <v>3392.56</v>
      </c>
      <c r="R917" s="1"/>
      <c r="S917" s="1"/>
      <c r="T917" s="1"/>
    </row>
    <row r="918" spans="1:20" ht="13.5" customHeight="1" x14ac:dyDescent="0.25">
      <c r="A918" s="1"/>
      <c r="B918" s="1" t="s">
        <v>907</v>
      </c>
      <c r="C918" s="1" t="s">
        <v>908</v>
      </c>
      <c r="D918" s="42">
        <v>400</v>
      </c>
      <c r="E918" s="70">
        <v>0</v>
      </c>
      <c r="F918" s="45">
        <v>400</v>
      </c>
      <c r="G918" s="45">
        <v>400</v>
      </c>
      <c r="H918" s="74">
        <v>0</v>
      </c>
      <c r="I918" s="47">
        <f t="shared" si="383"/>
        <v>0</v>
      </c>
      <c r="J918" s="48">
        <v>400</v>
      </c>
      <c r="K918" s="49">
        <v>400</v>
      </c>
      <c r="L918" s="77">
        <v>0</v>
      </c>
      <c r="M918" s="50">
        <v>262</v>
      </c>
      <c r="N918" s="51">
        <v>220</v>
      </c>
      <c r="O918" s="52">
        <v>298</v>
      </c>
      <c r="P918" s="53">
        <v>345.89</v>
      </c>
      <c r="Q918" s="54">
        <v>181.09</v>
      </c>
      <c r="R918" s="1"/>
      <c r="S918" s="1"/>
      <c r="T918" s="1"/>
    </row>
    <row r="919" spans="1:20" ht="13.5" customHeight="1" x14ac:dyDescent="0.25">
      <c r="A919" s="1"/>
      <c r="B919" s="1" t="s">
        <v>909</v>
      </c>
      <c r="C919" s="1" t="s">
        <v>473</v>
      </c>
      <c r="D919" s="42">
        <v>700</v>
      </c>
      <c r="E919" s="70">
        <v>0</v>
      </c>
      <c r="F919" s="45">
        <v>700</v>
      </c>
      <c r="G919" s="45">
        <v>700</v>
      </c>
      <c r="H919" s="74">
        <v>0</v>
      </c>
      <c r="I919" s="47">
        <v>0</v>
      </c>
      <c r="J919" s="75">
        <v>0</v>
      </c>
      <c r="K919" s="76">
        <v>0</v>
      </c>
      <c r="L919" s="77">
        <v>0</v>
      </c>
      <c r="M919" s="50">
        <v>544.08000000000004</v>
      </c>
      <c r="N919" s="53" t="s">
        <v>16</v>
      </c>
      <c r="O919" s="52">
        <v>541.08000000000004</v>
      </c>
      <c r="P919" s="53">
        <v>272.49</v>
      </c>
      <c r="Q919" s="54">
        <v>0</v>
      </c>
      <c r="R919" s="1"/>
      <c r="S919" s="1"/>
      <c r="T919" s="1"/>
    </row>
    <row r="920" spans="1:20" ht="13.5" customHeight="1" x14ac:dyDescent="0.25">
      <c r="A920" s="1"/>
      <c r="B920" s="1" t="s">
        <v>910</v>
      </c>
      <c r="C920" s="1" t="s">
        <v>438</v>
      </c>
      <c r="D920" s="42">
        <v>200</v>
      </c>
      <c r="E920" s="70">
        <v>0</v>
      </c>
      <c r="F920" s="45">
        <v>200</v>
      </c>
      <c r="G920" s="45">
        <v>200</v>
      </c>
      <c r="H920" s="74">
        <v>0</v>
      </c>
      <c r="I920" s="47">
        <f>H920/J920</f>
        <v>0</v>
      </c>
      <c r="J920" s="48">
        <v>200</v>
      </c>
      <c r="K920" s="49">
        <v>200</v>
      </c>
      <c r="L920" s="77">
        <v>0</v>
      </c>
      <c r="M920" s="50">
        <v>199.99</v>
      </c>
      <c r="N920" s="51">
        <v>249.99</v>
      </c>
      <c r="O920" s="52">
        <v>0</v>
      </c>
      <c r="P920" s="53">
        <v>0</v>
      </c>
      <c r="Q920" s="54">
        <v>0</v>
      </c>
      <c r="R920" s="1"/>
      <c r="S920" s="1"/>
      <c r="T920" s="1"/>
    </row>
    <row r="921" spans="1:20" ht="13.5" customHeight="1" x14ac:dyDescent="0.25">
      <c r="A921" s="1"/>
      <c r="B921" s="1" t="s">
        <v>911</v>
      </c>
      <c r="C921" s="1" t="s">
        <v>267</v>
      </c>
      <c r="D921" s="42">
        <v>0</v>
      </c>
      <c r="E921" s="67">
        <f>49.99+359.36</f>
        <v>409.35</v>
      </c>
      <c r="F921" s="73">
        <v>0</v>
      </c>
      <c r="G921" s="73">
        <v>0</v>
      </c>
      <c r="H921" s="74">
        <v>0</v>
      </c>
      <c r="I921" s="47">
        <v>0</v>
      </c>
      <c r="J921" s="75">
        <v>0</v>
      </c>
      <c r="K921" s="76">
        <v>0</v>
      </c>
      <c r="L921" s="50">
        <v>947.58</v>
      </c>
      <c r="M921" s="50">
        <v>717.99</v>
      </c>
      <c r="N921" s="53" t="s">
        <v>16</v>
      </c>
      <c r="O921" s="52"/>
      <c r="P921" s="53"/>
      <c r="Q921" s="54"/>
      <c r="R921" s="1"/>
      <c r="S921" s="1"/>
      <c r="T921" s="1"/>
    </row>
    <row r="922" spans="1:20" ht="13.5" customHeight="1" x14ac:dyDescent="0.25">
      <c r="A922" s="1"/>
      <c r="B922" s="1"/>
      <c r="C922" s="1"/>
      <c r="D922" s="88">
        <v>9600</v>
      </c>
      <c r="E922" s="89">
        <f t="shared" ref="E922" si="384">SUM(E916:E921)</f>
        <v>2817.52</v>
      </c>
      <c r="F922" s="90">
        <f>SUM(F915:F921)</f>
        <v>9600</v>
      </c>
      <c r="G922" s="90">
        <v>9600</v>
      </c>
      <c r="H922" s="91">
        <f>SUM(H916:H921)</f>
        <v>6744.1299999999992</v>
      </c>
      <c r="I922" s="91"/>
      <c r="J922" s="92">
        <f t="shared" ref="J922:Q922" si="385">SUM(J916:J921)</f>
        <v>8900</v>
      </c>
      <c r="K922" s="93">
        <f t="shared" si="385"/>
        <v>8900</v>
      </c>
      <c r="L922" s="94">
        <f t="shared" si="385"/>
        <v>4430.5</v>
      </c>
      <c r="M922" s="94">
        <f t="shared" si="385"/>
        <v>4008.34</v>
      </c>
      <c r="N922" s="95">
        <f t="shared" si="385"/>
        <v>2810.67</v>
      </c>
      <c r="O922" s="96">
        <f t="shared" si="385"/>
        <v>4834.91</v>
      </c>
      <c r="P922" s="95">
        <f t="shared" si="385"/>
        <v>5056.96</v>
      </c>
      <c r="Q922" s="97">
        <f t="shared" si="385"/>
        <v>6708.07</v>
      </c>
      <c r="R922" s="1"/>
      <c r="S922" s="1"/>
      <c r="T922" s="1"/>
    </row>
    <row r="923" spans="1:20" ht="13.5" customHeight="1" x14ac:dyDescent="0.25">
      <c r="A923" s="1"/>
      <c r="B923" s="1"/>
      <c r="C923" s="1"/>
      <c r="D923" s="72"/>
      <c r="E923" s="67"/>
      <c r="F923" s="73"/>
      <c r="G923" s="73"/>
      <c r="H923" s="74"/>
      <c r="I923" s="74"/>
      <c r="J923" s="75"/>
      <c r="K923" s="76"/>
      <c r="L923" s="50"/>
      <c r="M923" s="50"/>
      <c r="N923" s="53"/>
      <c r="O923" s="52"/>
      <c r="P923" s="53"/>
      <c r="Q923" s="54"/>
      <c r="R923" s="1"/>
      <c r="S923" s="1"/>
      <c r="T923" s="1"/>
    </row>
    <row r="924" spans="1:20" ht="13.5" customHeight="1" x14ac:dyDescent="0.25">
      <c r="A924" s="1"/>
      <c r="B924" s="1" t="s">
        <v>912</v>
      </c>
      <c r="C924" s="1" t="s">
        <v>271</v>
      </c>
      <c r="D924" s="42">
        <v>2500</v>
      </c>
      <c r="E924" s="43">
        <v>0</v>
      </c>
      <c r="F924" s="45">
        <v>2500</v>
      </c>
      <c r="G924" s="45">
        <v>2500</v>
      </c>
      <c r="H924" s="46">
        <v>937.5</v>
      </c>
      <c r="I924" s="47">
        <f t="shared" ref="I924:I930" si="386">H924/J924</f>
        <v>0.6097560975609756</v>
      </c>
      <c r="J924" s="48">
        <f>37.5+1500</f>
        <v>1537.5</v>
      </c>
      <c r="K924" s="49">
        <v>0</v>
      </c>
      <c r="L924" s="77">
        <v>0</v>
      </c>
      <c r="M924" s="77">
        <v>0</v>
      </c>
      <c r="N924" s="53">
        <v>0</v>
      </c>
      <c r="O924" s="52">
        <v>0</v>
      </c>
      <c r="P924" s="53">
        <v>0</v>
      </c>
      <c r="Q924" s="54"/>
      <c r="R924" s="1"/>
      <c r="S924" s="1"/>
      <c r="T924" s="1"/>
    </row>
    <row r="925" spans="1:20" ht="13.5" customHeight="1" x14ac:dyDescent="0.25">
      <c r="A925" s="1"/>
      <c r="B925" s="1" t="s">
        <v>913</v>
      </c>
      <c r="C925" s="55" t="s">
        <v>273</v>
      </c>
      <c r="D925" s="42">
        <v>250</v>
      </c>
      <c r="E925" s="70">
        <v>0</v>
      </c>
      <c r="F925" s="45">
        <v>250</v>
      </c>
      <c r="G925" s="45">
        <v>250</v>
      </c>
      <c r="H925" s="74">
        <v>0</v>
      </c>
      <c r="I925" s="47">
        <f t="shared" si="386"/>
        <v>0</v>
      </c>
      <c r="J925" s="48">
        <v>250</v>
      </c>
      <c r="K925" s="49">
        <v>250</v>
      </c>
      <c r="L925" s="77">
        <v>0</v>
      </c>
      <c r="M925" s="77">
        <v>0</v>
      </c>
      <c r="N925" s="53">
        <v>0</v>
      </c>
      <c r="O925" s="52">
        <v>0</v>
      </c>
      <c r="P925" s="53">
        <v>259.83999999999997</v>
      </c>
      <c r="Q925" s="54">
        <v>119.65</v>
      </c>
      <c r="R925" s="1"/>
      <c r="S925" s="1"/>
      <c r="T925" s="1"/>
    </row>
    <row r="926" spans="1:20" ht="13.5" customHeight="1" x14ac:dyDescent="0.25">
      <c r="A926" s="1"/>
      <c r="B926" s="1" t="s">
        <v>914</v>
      </c>
      <c r="C926" s="1" t="s">
        <v>404</v>
      </c>
      <c r="D926" s="42">
        <v>2500</v>
      </c>
      <c r="E926" s="67">
        <f>390+1232</f>
        <v>1622</v>
      </c>
      <c r="F926" s="45">
        <v>2500</v>
      </c>
      <c r="G926" s="45">
        <v>2500</v>
      </c>
      <c r="H926" s="68">
        <v>846.57</v>
      </c>
      <c r="I926" s="47">
        <f t="shared" si="386"/>
        <v>0.33862800000000004</v>
      </c>
      <c r="J926" s="48">
        <v>2500</v>
      </c>
      <c r="K926" s="49">
        <v>2500</v>
      </c>
      <c r="L926" s="50">
        <v>2382.25</v>
      </c>
      <c r="M926" s="50">
        <v>1511.79</v>
      </c>
      <c r="N926" s="51">
        <v>900.62</v>
      </c>
      <c r="O926" s="52">
        <v>1577.17</v>
      </c>
      <c r="P926" s="53">
        <v>1969.46</v>
      </c>
      <c r="Q926" s="54">
        <v>2280.1999999999998</v>
      </c>
      <c r="R926" s="1"/>
      <c r="S926" s="1"/>
      <c r="T926" s="1"/>
    </row>
    <row r="927" spans="1:20" ht="13.5" customHeight="1" x14ac:dyDescent="0.25">
      <c r="A927" s="1"/>
      <c r="B927" s="1" t="s">
        <v>915</v>
      </c>
      <c r="C927" s="1" t="s">
        <v>277</v>
      </c>
      <c r="D927" s="42">
        <v>750</v>
      </c>
      <c r="E927" s="43">
        <v>0</v>
      </c>
      <c r="F927" s="45">
        <v>750</v>
      </c>
      <c r="G927" s="45">
        <v>750</v>
      </c>
      <c r="H927" s="66">
        <v>50</v>
      </c>
      <c r="I927" s="47">
        <f t="shared" si="386"/>
        <v>6.6666666666666666E-2</v>
      </c>
      <c r="J927" s="48">
        <v>750</v>
      </c>
      <c r="K927" s="49">
        <v>750</v>
      </c>
      <c r="L927" s="50">
        <v>100</v>
      </c>
      <c r="M927" s="50">
        <v>210.3</v>
      </c>
      <c r="N927" s="51">
        <v>205</v>
      </c>
      <c r="O927" s="52">
        <v>0</v>
      </c>
      <c r="P927" s="53">
        <v>200</v>
      </c>
      <c r="Q927" s="54">
        <v>465</v>
      </c>
      <c r="R927" s="1"/>
      <c r="S927" s="1"/>
      <c r="T927" s="1"/>
    </row>
    <row r="928" spans="1:20" ht="13.5" customHeight="1" x14ac:dyDescent="0.25">
      <c r="A928" s="1"/>
      <c r="B928" s="1" t="s">
        <v>916</v>
      </c>
      <c r="C928" s="1" t="s">
        <v>489</v>
      </c>
      <c r="D928" s="42">
        <v>1500</v>
      </c>
      <c r="E928" s="70">
        <v>67.989999999999995</v>
      </c>
      <c r="F928" s="45">
        <v>1500</v>
      </c>
      <c r="G928" s="45">
        <v>1500</v>
      </c>
      <c r="H928" s="68">
        <v>75</v>
      </c>
      <c r="I928" s="47">
        <f t="shared" si="386"/>
        <v>0.05</v>
      </c>
      <c r="J928" s="48">
        <v>1500</v>
      </c>
      <c r="K928" s="49">
        <v>1500</v>
      </c>
      <c r="L928" s="50">
        <v>1576.9</v>
      </c>
      <c r="M928" s="50">
        <v>80.739999999999995</v>
      </c>
      <c r="N928" s="51">
        <v>1249.23</v>
      </c>
      <c r="O928" s="52">
        <v>542.23</v>
      </c>
      <c r="P928" s="53">
        <v>2242.11</v>
      </c>
      <c r="Q928" s="54">
        <v>520.17999999999995</v>
      </c>
      <c r="R928" s="1"/>
      <c r="S928" s="1"/>
      <c r="T928" s="1"/>
    </row>
    <row r="929" spans="1:20" ht="13.5" customHeight="1" x14ac:dyDescent="0.25">
      <c r="A929" s="1"/>
      <c r="B929" s="1" t="s">
        <v>891</v>
      </c>
      <c r="C929" s="1" t="s">
        <v>408</v>
      </c>
      <c r="D929" s="42">
        <v>3600</v>
      </c>
      <c r="E929" s="43">
        <v>3600</v>
      </c>
      <c r="F929" s="45">
        <v>3600</v>
      </c>
      <c r="G929" s="45">
        <v>3600</v>
      </c>
      <c r="H929" s="46">
        <v>3600</v>
      </c>
      <c r="I929" s="47">
        <f t="shared" si="386"/>
        <v>1</v>
      </c>
      <c r="J929" s="48">
        <v>3600</v>
      </c>
      <c r="K929" s="49">
        <v>3600</v>
      </c>
      <c r="L929" s="50">
        <v>3600</v>
      </c>
      <c r="M929" s="50">
        <v>3600</v>
      </c>
      <c r="N929" s="51"/>
      <c r="O929" s="52"/>
      <c r="P929" s="53"/>
      <c r="Q929" s="54"/>
      <c r="R929" s="1"/>
      <c r="S929" s="1"/>
      <c r="T929" s="1"/>
    </row>
    <row r="930" spans="1:20" ht="13.5" customHeight="1" x14ac:dyDescent="0.25">
      <c r="A930" s="1"/>
      <c r="B930" s="1" t="s">
        <v>917</v>
      </c>
      <c r="C930" s="1" t="s">
        <v>281</v>
      </c>
      <c r="D930" s="42">
        <v>3600</v>
      </c>
      <c r="E930" s="43">
        <v>1189.3499999999999</v>
      </c>
      <c r="F930" s="45">
        <v>3600</v>
      </c>
      <c r="G930" s="45">
        <v>3600</v>
      </c>
      <c r="H930" s="46">
        <v>2960.32</v>
      </c>
      <c r="I930" s="47">
        <f t="shared" si="386"/>
        <v>0.8223111111111111</v>
      </c>
      <c r="J930" s="48">
        <v>3600</v>
      </c>
      <c r="K930" s="49">
        <v>3600</v>
      </c>
      <c r="L930" s="50">
        <v>3113.99</v>
      </c>
      <c r="M930" s="50">
        <v>3131.91</v>
      </c>
      <c r="N930" s="51">
        <v>2869.96</v>
      </c>
      <c r="O930" s="52">
        <v>3080.42</v>
      </c>
      <c r="P930" s="53">
        <v>3416.52</v>
      </c>
      <c r="Q930" s="54">
        <v>3701.23</v>
      </c>
      <c r="R930" s="1"/>
      <c r="S930" s="1"/>
      <c r="T930" s="1"/>
    </row>
    <row r="931" spans="1:20" ht="13.5" customHeight="1" x14ac:dyDescent="0.25">
      <c r="A931" s="1"/>
      <c r="B931" s="1"/>
      <c r="C931" s="1"/>
      <c r="D931" s="56">
        <v>14700</v>
      </c>
      <c r="E931" s="57">
        <f t="shared" ref="E931" si="387">SUM(E924:E930)</f>
        <v>6479.34</v>
      </c>
      <c r="F931" s="58">
        <f>SUM(F923:F930)</f>
        <v>14700</v>
      </c>
      <c r="G931" s="58">
        <v>14700</v>
      </c>
      <c r="H931" s="59">
        <f>SUM(H924:H930)</f>
        <v>8469.39</v>
      </c>
      <c r="I931" s="59"/>
      <c r="J931" s="60">
        <f t="shared" ref="J931:K931" si="388">SUM(J924:J930)</f>
        <v>13737.5</v>
      </c>
      <c r="K931" s="61">
        <f t="shared" si="388"/>
        <v>12200</v>
      </c>
      <c r="L931" s="62">
        <f t="shared" ref="L931:Q931" si="389">SUM(L925:L930)</f>
        <v>10773.14</v>
      </c>
      <c r="M931" s="62">
        <f t="shared" si="389"/>
        <v>8534.74</v>
      </c>
      <c r="N931" s="63">
        <f t="shared" si="389"/>
        <v>5224.8099999999995</v>
      </c>
      <c r="O931" s="64">
        <f t="shared" si="389"/>
        <v>5199.82</v>
      </c>
      <c r="P931" s="63">
        <f t="shared" si="389"/>
        <v>8087.93</v>
      </c>
      <c r="Q931" s="65">
        <f t="shared" si="389"/>
        <v>7086.26</v>
      </c>
      <c r="R931" s="1"/>
      <c r="S931" s="1"/>
      <c r="T931" s="1"/>
    </row>
    <row r="932" spans="1:20" ht="13.5" hidden="1" customHeight="1" x14ac:dyDescent="0.25">
      <c r="A932" s="1"/>
      <c r="B932" s="1"/>
      <c r="C932" s="1"/>
      <c r="D932" s="42"/>
      <c r="E932" s="44"/>
      <c r="F932" s="45"/>
      <c r="G932" s="45"/>
      <c r="H932" s="66"/>
      <c r="I932" s="66"/>
      <c r="J932" s="48"/>
      <c r="K932" s="49"/>
      <c r="L932" s="50"/>
      <c r="M932" s="50"/>
      <c r="N932" s="51"/>
      <c r="O932" s="52"/>
      <c r="P932" s="53"/>
      <c r="Q932" s="54"/>
      <c r="R932" s="1"/>
      <c r="S932" s="1"/>
      <c r="T932" s="1"/>
    </row>
    <row r="933" spans="1:20" ht="13.5" hidden="1" customHeight="1" x14ac:dyDescent="0.25">
      <c r="A933" s="1"/>
      <c r="B933" s="1" t="s">
        <v>918</v>
      </c>
      <c r="C933" s="1" t="s">
        <v>919</v>
      </c>
      <c r="D933" s="42">
        <v>0</v>
      </c>
      <c r="E933" s="67">
        <v>0</v>
      </c>
      <c r="F933" s="73">
        <v>0</v>
      </c>
      <c r="G933" s="73">
        <v>0</v>
      </c>
      <c r="H933" s="66">
        <v>33630.76</v>
      </c>
      <c r="I933" s="47">
        <f t="shared" ref="I933:I934" si="390">H933/J933</f>
        <v>0.96087885714285715</v>
      </c>
      <c r="J933" s="48">
        <v>35000</v>
      </c>
      <c r="K933" s="49">
        <v>35000</v>
      </c>
      <c r="L933" s="77">
        <v>0</v>
      </c>
      <c r="M933" s="77">
        <v>0</v>
      </c>
      <c r="N933" s="53" t="s">
        <v>16</v>
      </c>
      <c r="O933" s="52"/>
      <c r="P933" s="53"/>
      <c r="Q933" s="54"/>
      <c r="R933" s="1"/>
      <c r="S933" s="1"/>
      <c r="T933" s="1"/>
    </row>
    <row r="934" spans="1:20" ht="13.5" hidden="1" customHeight="1" x14ac:dyDescent="0.25">
      <c r="A934" s="1"/>
      <c r="B934" s="1" t="s">
        <v>920</v>
      </c>
      <c r="C934" s="1" t="s">
        <v>414</v>
      </c>
      <c r="D934" s="42">
        <v>0</v>
      </c>
      <c r="E934" s="44">
        <v>0</v>
      </c>
      <c r="F934" s="45">
        <v>0</v>
      </c>
      <c r="G934" s="45">
        <v>0</v>
      </c>
      <c r="H934" s="66">
        <v>0</v>
      </c>
      <c r="I934" s="47" t="e">
        <f t="shared" si="390"/>
        <v>#DIV/0!</v>
      </c>
      <c r="J934" s="48">
        <v>0</v>
      </c>
      <c r="K934" s="49">
        <v>0</v>
      </c>
      <c r="L934" s="50">
        <v>0</v>
      </c>
      <c r="M934" s="50">
        <v>0</v>
      </c>
      <c r="N934" s="51">
        <v>3600</v>
      </c>
      <c r="O934" s="52">
        <v>3600</v>
      </c>
      <c r="P934" s="53">
        <v>3600</v>
      </c>
      <c r="Q934" s="54">
        <v>3600</v>
      </c>
      <c r="R934" s="1"/>
      <c r="S934" s="1"/>
      <c r="T934" s="1"/>
    </row>
    <row r="935" spans="1:20" ht="13.5" hidden="1" customHeight="1" x14ac:dyDescent="0.25">
      <c r="A935" s="1"/>
      <c r="B935" s="1"/>
      <c r="C935" s="1"/>
      <c r="D935" s="56">
        <v>0</v>
      </c>
      <c r="E935" s="57">
        <f t="shared" ref="E935" si="391">SUM(E933:E934)</f>
        <v>0</v>
      </c>
      <c r="F935" s="58">
        <f>SUM(F932:F933)</f>
        <v>0</v>
      </c>
      <c r="G935" s="58">
        <v>0</v>
      </c>
      <c r="H935" s="59">
        <f>SUM(H933:H934)</f>
        <v>33630.76</v>
      </c>
      <c r="I935" s="59"/>
      <c r="J935" s="60">
        <f t="shared" ref="J935:Q935" si="392">SUM(J933:J934)</f>
        <v>35000</v>
      </c>
      <c r="K935" s="61">
        <f t="shared" si="392"/>
        <v>35000</v>
      </c>
      <c r="L935" s="62">
        <f t="shared" si="392"/>
        <v>0</v>
      </c>
      <c r="M935" s="62">
        <f t="shared" si="392"/>
        <v>0</v>
      </c>
      <c r="N935" s="63">
        <f t="shared" si="392"/>
        <v>3600</v>
      </c>
      <c r="O935" s="64">
        <f t="shared" si="392"/>
        <v>3600</v>
      </c>
      <c r="P935" s="63">
        <f t="shared" si="392"/>
        <v>3600</v>
      </c>
      <c r="Q935" s="65">
        <f t="shared" si="392"/>
        <v>3600</v>
      </c>
      <c r="R935" s="1"/>
      <c r="S935" s="1"/>
      <c r="T935" s="1"/>
    </row>
    <row r="936" spans="1:20" ht="13.5" customHeight="1" thickBot="1" x14ac:dyDescent="0.3">
      <c r="A936" s="1"/>
      <c r="B936" s="1"/>
      <c r="C936" s="116" t="s">
        <v>921</v>
      </c>
      <c r="D936" s="267">
        <v>239745.62479999999</v>
      </c>
      <c r="E936" s="173">
        <f t="shared" ref="E936" si="393">SUM(E907+E914+E922+E931+E935)</f>
        <v>114093.54</v>
      </c>
      <c r="F936" s="174">
        <f>SUM(F907,F914,F922,F931,F935)</f>
        <v>256701.3664</v>
      </c>
      <c r="G936" s="174">
        <v>256701.3664</v>
      </c>
      <c r="H936" s="175">
        <f>SUM(H907+H914+H922+H931+H935)</f>
        <v>257864.99</v>
      </c>
      <c r="I936" s="175"/>
      <c r="J936" s="176">
        <f t="shared" ref="J936:Q936" si="394">SUM(J907+J914+J922+J931+J935)</f>
        <v>287272.5</v>
      </c>
      <c r="K936" s="177">
        <f t="shared" si="394"/>
        <v>285735</v>
      </c>
      <c r="L936" s="178">
        <f t="shared" si="394"/>
        <v>219495.37</v>
      </c>
      <c r="M936" s="178">
        <f t="shared" si="394"/>
        <v>207805.79</v>
      </c>
      <c r="N936" s="179">
        <f t="shared" si="394"/>
        <v>207702.66</v>
      </c>
      <c r="O936" s="180">
        <f t="shared" si="394"/>
        <v>182292.08000000002</v>
      </c>
      <c r="P936" s="179">
        <f t="shared" si="394"/>
        <v>205564.58</v>
      </c>
      <c r="Q936" s="181">
        <f t="shared" si="394"/>
        <v>228070.46000000002</v>
      </c>
      <c r="R936" s="1"/>
      <c r="S936" s="1"/>
      <c r="T936" s="1"/>
    </row>
    <row r="937" spans="1:20" ht="13.5" customHeight="1" thickTop="1" x14ac:dyDescent="0.25">
      <c r="A937" s="1"/>
      <c r="B937" s="1"/>
      <c r="C937" s="1"/>
      <c r="D937" s="42"/>
      <c r="E937" s="44"/>
      <c r="F937" s="45"/>
      <c r="G937" s="45"/>
      <c r="H937" s="66"/>
      <c r="I937" s="66"/>
      <c r="J937" s="48"/>
      <c r="K937" s="49"/>
      <c r="L937" s="50"/>
      <c r="M937" s="50"/>
      <c r="N937" s="51"/>
      <c r="O937" s="151"/>
      <c r="P937" s="51"/>
      <c r="Q937" s="152"/>
      <c r="R937" s="1"/>
      <c r="S937" s="1"/>
      <c r="T937" s="1"/>
    </row>
    <row r="938" spans="1:20" ht="13.5" customHeight="1" x14ac:dyDescent="0.25">
      <c r="A938" s="1"/>
      <c r="B938" s="1"/>
      <c r="C938" s="41" t="s">
        <v>922</v>
      </c>
      <c r="D938" s="42"/>
      <c r="E938" s="44"/>
      <c r="F938" s="45"/>
      <c r="G938" s="45"/>
      <c r="H938" s="66"/>
      <c r="I938" s="66"/>
      <c r="J938" s="48"/>
      <c r="K938" s="49"/>
      <c r="L938" s="50"/>
      <c r="M938" s="50"/>
      <c r="N938" s="51"/>
      <c r="O938" s="52"/>
      <c r="P938" s="53"/>
      <c r="Q938" s="54"/>
      <c r="R938" s="1"/>
      <c r="S938" s="1"/>
      <c r="T938" s="1"/>
    </row>
    <row r="939" spans="1:20" ht="13.5" customHeight="1" x14ac:dyDescent="0.25">
      <c r="A939" s="1"/>
      <c r="B939" s="1" t="s">
        <v>923</v>
      </c>
      <c r="C939" s="1" t="s">
        <v>924</v>
      </c>
      <c r="D939" s="42">
        <v>9000</v>
      </c>
      <c r="E939" s="43">
        <v>4257.6400000000003</v>
      </c>
      <c r="F939" s="45">
        <v>9000</v>
      </c>
      <c r="G939" s="45">
        <v>9000</v>
      </c>
      <c r="H939" s="46">
        <v>7702.96</v>
      </c>
      <c r="I939" s="47">
        <f t="shared" ref="I939:I942" si="395">H939/J939</f>
        <v>1.096038702333523</v>
      </c>
      <c r="J939" s="48">
        <v>7028</v>
      </c>
      <c r="K939" s="49">
        <v>7028</v>
      </c>
      <c r="L939" s="50">
        <v>6898.12</v>
      </c>
      <c r="M939" s="50">
        <v>6680.23</v>
      </c>
      <c r="N939" s="51">
        <v>6347.84</v>
      </c>
      <c r="O939" s="52">
        <v>97.25</v>
      </c>
      <c r="P939" s="53">
        <v>0</v>
      </c>
      <c r="Q939" s="54">
        <v>0</v>
      </c>
      <c r="R939" s="1"/>
      <c r="S939" s="1"/>
      <c r="T939" s="1"/>
    </row>
    <row r="940" spans="1:20" ht="13.5" customHeight="1" x14ac:dyDescent="0.25">
      <c r="A940" s="1"/>
      <c r="B940" s="1" t="s">
        <v>925</v>
      </c>
      <c r="C940" s="55" t="s">
        <v>926</v>
      </c>
      <c r="D940" s="42">
        <v>832504</v>
      </c>
      <c r="E940" s="43">
        <v>363240.45</v>
      </c>
      <c r="F940" s="45">
        <v>812639</v>
      </c>
      <c r="G940" s="45">
        <v>812639</v>
      </c>
      <c r="H940" s="46">
        <v>882083.33</v>
      </c>
      <c r="I940" s="47">
        <f t="shared" si="395"/>
        <v>0.96243091228085487</v>
      </c>
      <c r="J940" s="48">
        <v>916516</v>
      </c>
      <c r="K940" s="49">
        <v>916516</v>
      </c>
      <c r="L940" s="50">
        <v>834366.59</v>
      </c>
      <c r="M940" s="50">
        <v>808178.27</v>
      </c>
      <c r="N940" s="51">
        <v>768184.96</v>
      </c>
      <c r="O940" s="52">
        <v>734147.88</v>
      </c>
      <c r="P940" s="53">
        <v>727365.43</v>
      </c>
      <c r="Q940" s="54">
        <v>694632.4</v>
      </c>
      <c r="R940" s="1"/>
      <c r="S940" s="1"/>
      <c r="T940" s="1"/>
    </row>
    <row r="941" spans="1:20" ht="13.5" customHeight="1" x14ac:dyDescent="0.25">
      <c r="A941" s="1"/>
      <c r="B941" s="1" t="s">
        <v>927</v>
      </c>
      <c r="C941" s="55" t="s">
        <v>928</v>
      </c>
      <c r="D941" s="42">
        <v>0</v>
      </c>
      <c r="E941" s="70">
        <v>0</v>
      </c>
      <c r="F941" s="73">
        <v>0</v>
      </c>
      <c r="G941" s="73">
        <v>0</v>
      </c>
      <c r="H941" s="68">
        <v>5829.51</v>
      </c>
      <c r="I941" s="47">
        <f t="shared" si="395"/>
        <v>0.62281089743589746</v>
      </c>
      <c r="J941" s="75">
        <v>9360</v>
      </c>
      <c r="K941" s="76">
        <v>0</v>
      </c>
      <c r="L941" s="50">
        <v>2050</v>
      </c>
      <c r="M941" s="50">
        <v>2290</v>
      </c>
      <c r="N941" s="51">
        <v>18391.5</v>
      </c>
      <c r="O941" s="52">
        <v>10670.85</v>
      </c>
      <c r="P941" s="53">
        <v>8135.1</v>
      </c>
      <c r="Q941" s="54">
        <v>262.39999999999998</v>
      </c>
      <c r="R941" s="1"/>
      <c r="S941" s="1"/>
      <c r="T941" s="1"/>
    </row>
    <row r="942" spans="1:20" ht="13.5" customHeight="1" x14ac:dyDescent="0.25">
      <c r="A942" s="1"/>
      <c r="B942" s="1" t="s">
        <v>929</v>
      </c>
      <c r="C942" s="55" t="s">
        <v>868</v>
      </c>
      <c r="D942" s="42">
        <v>7200</v>
      </c>
      <c r="E942" s="43">
        <v>3288.8</v>
      </c>
      <c r="F942" s="71">
        <v>7800</v>
      </c>
      <c r="G942" s="45">
        <v>0</v>
      </c>
      <c r="H942" s="46">
        <v>24274.84</v>
      </c>
      <c r="I942" s="47">
        <f t="shared" si="395"/>
        <v>0.70419006730099787</v>
      </c>
      <c r="J942" s="48">
        <v>34472</v>
      </c>
      <c r="K942" s="49">
        <v>34472</v>
      </c>
      <c r="L942" s="50">
        <v>29865.5</v>
      </c>
      <c r="M942" s="50">
        <v>31277.06</v>
      </c>
      <c r="N942" s="51">
        <v>31854.01</v>
      </c>
      <c r="O942" s="52">
        <v>30104.94</v>
      </c>
      <c r="P942" s="53">
        <v>38218.58</v>
      </c>
      <c r="Q942" s="54">
        <v>29584.37</v>
      </c>
      <c r="R942" s="1"/>
      <c r="S942" s="1"/>
      <c r="T942" s="1"/>
    </row>
    <row r="943" spans="1:20" ht="13.5" hidden="1" customHeight="1" x14ac:dyDescent="0.25">
      <c r="A943" s="1"/>
      <c r="B943" s="1" t="s">
        <v>930</v>
      </c>
      <c r="C943" s="1" t="s">
        <v>931</v>
      </c>
      <c r="D943" s="42">
        <v>0</v>
      </c>
      <c r="E943" s="70">
        <v>0</v>
      </c>
      <c r="F943" s="73">
        <v>0</v>
      </c>
      <c r="G943" s="73">
        <v>0</v>
      </c>
      <c r="H943" s="74">
        <v>0</v>
      </c>
      <c r="I943" s="47">
        <v>0</v>
      </c>
      <c r="J943" s="75">
        <v>0</v>
      </c>
      <c r="K943" s="76">
        <v>0</v>
      </c>
      <c r="L943" s="50">
        <v>0</v>
      </c>
      <c r="M943" s="77">
        <v>0</v>
      </c>
      <c r="N943" s="53" t="s">
        <v>16</v>
      </c>
      <c r="O943" s="52">
        <v>2076.84</v>
      </c>
      <c r="P943" s="53">
        <v>1999.92</v>
      </c>
      <c r="Q943" s="54">
        <v>1999.92</v>
      </c>
      <c r="R943" s="1"/>
      <c r="S943" s="1"/>
      <c r="T943" s="1"/>
    </row>
    <row r="944" spans="1:20" ht="13.5" customHeight="1" x14ac:dyDescent="0.25">
      <c r="A944" s="1"/>
      <c r="B944" s="1" t="s">
        <v>932</v>
      </c>
      <c r="C944" s="1" t="s">
        <v>651</v>
      </c>
      <c r="D944" s="42">
        <v>1500</v>
      </c>
      <c r="E944" s="43">
        <v>749.97</v>
      </c>
      <c r="F944" s="45">
        <v>1500</v>
      </c>
      <c r="G944" s="45">
        <v>1500</v>
      </c>
      <c r="H944" s="46">
        <v>1499.94</v>
      </c>
      <c r="I944" s="47">
        <f t="shared" ref="I944:I946" si="396">H944/J944</f>
        <v>0.49998000000000004</v>
      </c>
      <c r="J944" s="48">
        <v>3000</v>
      </c>
      <c r="K944" s="49">
        <v>3000</v>
      </c>
      <c r="L944" s="50">
        <f>1499.94+292.7</f>
        <v>1792.64</v>
      </c>
      <c r="M944" s="50">
        <v>2999.88</v>
      </c>
      <c r="N944" s="51">
        <v>1999.92</v>
      </c>
      <c r="O944" s="52">
        <v>9346.0499999999993</v>
      </c>
      <c r="P944" s="53">
        <v>8999.9</v>
      </c>
      <c r="Q944" s="54">
        <v>8999.9</v>
      </c>
      <c r="R944" s="1"/>
      <c r="S944" s="1"/>
      <c r="T944" s="1"/>
    </row>
    <row r="945" spans="1:20" ht="13.5" customHeight="1" x14ac:dyDescent="0.25">
      <c r="A945" s="1"/>
      <c r="B945" s="1" t="s">
        <v>933</v>
      </c>
      <c r="C945" s="1" t="s">
        <v>243</v>
      </c>
      <c r="D945" s="42">
        <v>9000</v>
      </c>
      <c r="E945" s="43">
        <v>4499.95</v>
      </c>
      <c r="F945" s="45">
        <v>9000</v>
      </c>
      <c r="G945" s="45">
        <v>9000</v>
      </c>
      <c r="H945" s="46">
        <v>8999.9</v>
      </c>
      <c r="I945" s="47">
        <f t="shared" si="396"/>
        <v>0.99998888888888882</v>
      </c>
      <c r="J945" s="48">
        <v>9000</v>
      </c>
      <c r="K945" s="49">
        <v>9000</v>
      </c>
      <c r="L945" s="50">
        <v>8999.9</v>
      </c>
      <c r="M945" s="50">
        <v>8999.91</v>
      </c>
      <c r="N945" s="51">
        <v>8999.9</v>
      </c>
      <c r="O945" s="52">
        <v>1213.3800000000001</v>
      </c>
      <c r="P945" s="53">
        <v>0</v>
      </c>
      <c r="Q945" s="54">
        <v>0</v>
      </c>
      <c r="R945" s="1"/>
      <c r="S945" s="1"/>
      <c r="T945" s="1"/>
    </row>
    <row r="946" spans="1:20" ht="13.5" customHeight="1" x14ac:dyDescent="0.25">
      <c r="A946" s="1"/>
      <c r="B946" s="1" t="s">
        <v>934</v>
      </c>
      <c r="C946" s="1" t="s">
        <v>245</v>
      </c>
      <c r="D946" s="42">
        <v>0</v>
      </c>
      <c r="E946" s="43">
        <v>0</v>
      </c>
      <c r="F946" s="45">
        <v>0</v>
      </c>
      <c r="G946" s="45">
        <v>0</v>
      </c>
      <c r="H946" s="46">
        <v>2423.16</v>
      </c>
      <c r="I946" s="47">
        <f t="shared" si="396"/>
        <v>0.69233142857142849</v>
      </c>
      <c r="J946" s="48">
        <v>3500</v>
      </c>
      <c r="K946" s="49">
        <v>3500</v>
      </c>
      <c r="L946" s="50">
        <v>3500.12</v>
      </c>
      <c r="M946" s="50">
        <v>3500.12</v>
      </c>
      <c r="N946" s="51">
        <v>3500.12</v>
      </c>
      <c r="O946" s="52"/>
      <c r="P946" s="53"/>
      <c r="Q946" s="54"/>
      <c r="R946" s="1"/>
      <c r="S946" s="1"/>
      <c r="T946" s="1"/>
    </row>
    <row r="947" spans="1:20" ht="13.5" customHeight="1" x14ac:dyDescent="0.25">
      <c r="A947" s="1"/>
      <c r="B947" s="1"/>
      <c r="C947" s="1"/>
      <c r="D947" s="56">
        <v>859204</v>
      </c>
      <c r="E947" s="57">
        <f t="shared" ref="E947" si="397">SUM(E939:E946)</f>
        <v>376036.81</v>
      </c>
      <c r="F947" s="58">
        <f>SUM(F938:F946)</f>
        <v>839939</v>
      </c>
      <c r="G947" s="58">
        <v>832139</v>
      </c>
      <c r="H947" s="59">
        <f>SUM(H939:H946)</f>
        <v>932813.6399999999</v>
      </c>
      <c r="I947" s="59"/>
      <c r="J947" s="60">
        <f t="shared" ref="J947:Q947" si="398">SUM(J939:J946)</f>
        <v>982876</v>
      </c>
      <c r="K947" s="61">
        <f t="shared" si="398"/>
        <v>973516</v>
      </c>
      <c r="L947" s="62">
        <f t="shared" si="398"/>
        <v>887472.87</v>
      </c>
      <c r="M947" s="62">
        <f t="shared" si="398"/>
        <v>863925.47000000009</v>
      </c>
      <c r="N947" s="63">
        <f t="shared" si="398"/>
        <v>839278.25</v>
      </c>
      <c r="O947" s="64">
        <f t="shared" si="398"/>
        <v>787657.19</v>
      </c>
      <c r="P947" s="63">
        <f t="shared" si="398"/>
        <v>784718.93</v>
      </c>
      <c r="Q947" s="65">
        <f t="shared" si="398"/>
        <v>735478.99000000011</v>
      </c>
      <c r="R947" s="1"/>
      <c r="S947" s="1"/>
      <c r="T947" s="1"/>
    </row>
    <row r="948" spans="1:20" ht="13.5" customHeight="1" x14ac:dyDescent="0.25">
      <c r="A948" s="1"/>
      <c r="B948" s="1"/>
      <c r="C948" s="1"/>
      <c r="D948" s="42"/>
      <c r="E948" s="44"/>
      <c r="F948" s="45"/>
      <c r="G948" s="45"/>
      <c r="H948" s="66"/>
      <c r="I948" s="66"/>
      <c r="J948" s="48"/>
      <c r="K948" s="49"/>
      <c r="L948" s="50"/>
      <c r="M948" s="50"/>
      <c r="N948" s="51"/>
      <c r="O948" s="52"/>
      <c r="P948" s="53"/>
      <c r="Q948" s="54"/>
      <c r="R948" s="1"/>
      <c r="S948" s="1"/>
      <c r="T948" s="1"/>
    </row>
    <row r="949" spans="1:20" ht="13.5" customHeight="1" x14ac:dyDescent="0.25">
      <c r="A949" s="1"/>
      <c r="B949" s="1" t="s">
        <v>935</v>
      </c>
      <c r="C949" s="1" t="s">
        <v>247</v>
      </c>
      <c r="D949" s="42">
        <v>65911.405500000008</v>
      </c>
      <c r="E949" s="43">
        <v>26817.34</v>
      </c>
      <c r="F949" s="45">
        <v>64436.813685000001</v>
      </c>
      <c r="G949" s="45">
        <v>64436.813685000001</v>
      </c>
      <c r="H949" s="46">
        <v>66612.710000000006</v>
      </c>
      <c r="I949" s="47">
        <f t="shared" ref="I949:I954" si="399">H949/J949</f>
        <v>0.88705768769808513</v>
      </c>
      <c r="J949" s="48">
        <v>75094</v>
      </c>
      <c r="K949" s="49">
        <v>75094</v>
      </c>
      <c r="L949" s="50">
        <v>63356.43</v>
      </c>
      <c r="M949" s="50">
        <v>62524.86</v>
      </c>
      <c r="N949" s="51">
        <v>59867.01</v>
      </c>
      <c r="O949" s="52">
        <v>56763.38</v>
      </c>
      <c r="P949" s="53">
        <v>56255.12</v>
      </c>
      <c r="Q949" s="54">
        <v>52628.32</v>
      </c>
      <c r="R949" s="1"/>
      <c r="S949" s="1"/>
      <c r="T949" s="1"/>
    </row>
    <row r="950" spans="1:20" ht="13.5" customHeight="1" x14ac:dyDescent="0.25">
      <c r="A950" s="1"/>
      <c r="B950" s="1" t="s">
        <v>936</v>
      </c>
      <c r="C950" s="1" t="s">
        <v>249</v>
      </c>
      <c r="D950" s="42">
        <v>156951.52199999997</v>
      </c>
      <c r="E950" s="43">
        <v>62075.65</v>
      </c>
      <c r="F950" s="45">
        <v>156949.10399999996</v>
      </c>
      <c r="G950" s="45">
        <v>156949.10399999996</v>
      </c>
      <c r="H950" s="46">
        <v>136988.35</v>
      </c>
      <c r="I950" s="47">
        <f t="shared" si="399"/>
        <v>0.79468818888502146</v>
      </c>
      <c r="J950" s="48">
        <v>172380</v>
      </c>
      <c r="K950" s="49">
        <v>172380</v>
      </c>
      <c r="L950" s="50">
        <v>148722.87</v>
      </c>
      <c r="M950" s="50">
        <v>138578.6</v>
      </c>
      <c r="N950" s="51">
        <v>137251.54</v>
      </c>
      <c r="O950" s="52">
        <v>144271.62</v>
      </c>
      <c r="P950" s="53">
        <v>148022.29999999999</v>
      </c>
      <c r="Q950" s="54">
        <v>142660.32</v>
      </c>
      <c r="R950" s="1"/>
      <c r="S950" s="1"/>
      <c r="T950" s="1"/>
    </row>
    <row r="951" spans="1:20" ht="13.5" customHeight="1" x14ac:dyDescent="0.25">
      <c r="A951" s="1"/>
      <c r="B951" s="1" t="s">
        <v>937</v>
      </c>
      <c r="C951" s="1" t="s">
        <v>251</v>
      </c>
      <c r="D951" s="42">
        <v>129410.36740000002</v>
      </c>
      <c r="E951" s="43">
        <v>56600.06</v>
      </c>
      <c r="F951" s="45">
        <v>126515.15575800001</v>
      </c>
      <c r="G951" s="45">
        <v>126515.15575800001</v>
      </c>
      <c r="H951" s="46">
        <v>135635.99</v>
      </c>
      <c r="I951" s="47">
        <f t="shared" si="399"/>
        <v>0.95162448870771965</v>
      </c>
      <c r="J951" s="48">
        <v>142531</v>
      </c>
      <c r="K951" s="49">
        <v>142531</v>
      </c>
      <c r="L951" s="50">
        <v>128574.46</v>
      </c>
      <c r="M951" s="50">
        <v>120333.87</v>
      </c>
      <c r="N951" s="51">
        <v>113189.82</v>
      </c>
      <c r="O951" s="52">
        <v>107201.5</v>
      </c>
      <c r="P951" s="53">
        <v>105500.27</v>
      </c>
      <c r="Q951" s="54">
        <v>93804.07</v>
      </c>
      <c r="R951" s="1"/>
      <c r="S951" s="1"/>
      <c r="T951" s="1"/>
    </row>
    <row r="952" spans="1:20" ht="13.5" customHeight="1" x14ac:dyDescent="0.25">
      <c r="A952" s="1"/>
      <c r="B952" s="1" t="s">
        <v>938</v>
      </c>
      <c r="C952" s="1" t="s">
        <v>253</v>
      </c>
      <c r="D952" s="42">
        <v>1378.5392000000002</v>
      </c>
      <c r="E952" s="43">
        <v>603.08000000000004</v>
      </c>
      <c r="F952" s="45">
        <v>1347.6980640000002</v>
      </c>
      <c r="G952" s="45">
        <v>1347.6980640000002</v>
      </c>
      <c r="H952" s="46">
        <v>1493.62</v>
      </c>
      <c r="I952" s="47">
        <f t="shared" si="399"/>
        <v>0.95074474856779112</v>
      </c>
      <c r="J952" s="48">
        <v>1571</v>
      </c>
      <c r="K952" s="49">
        <v>1571</v>
      </c>
      <c r="L952" s="50">
        <v>1620.68</v>
      </c>
      <c r="M952" s="50">
        <v>1641.2</v>
      </c>
      <c r="N952" s="51">
        <v>1967.09</v>
      </c>
      <c r="O952" s="52">
        <v>2109.12</v>
      </c>
      <c r="P952" s="53">
        <v>1919.28</v>
      </c>
      <c r="Q952" s="54">
        <v>1900.86</v>
      </c>
      <c r="R952" s="1"/>
      <c r="S952" s="1"/>
      <c r="T952" s="1"/>
    </row>
    <row r="953" spans="1:20" ht="13.5" customHeight="1" x14ac:dyDescent="0.25">
      <c r="A953" s="1"/>
      <c r="B953" s="1" t="s">
        <v>939</v>
      </c>
      <c r="C953" s="1" t="s">
        <v>255</v>
      </c>
      <c r="D953" s="42">
        <v>5266.7999999999993</v>
      </c>
      <c r="E953" s="43">
        <v>2314.04</v>
      </c>
      <c r="F953" s="45">
        <v>5025</v>
      </c>
      <c r="G953" s="45">
        <v>5025</v>
      </c>
      <c r="H953" s="46">
        <v>4873.37</v>
      </c>
      <c r="I953" s="47">
        <f t="shared" si="399"/>
        <v>0.89027584947022287</v>
      </c>
      <c r="J953" s="48">
        <v>5474</v>
      </c>
      <c r="K953" s="49">
        <v>5474</v>
      </c>
      <c r="L953" s="50">
        <v>4593.8999999999996</v>
      </c>
      <c r="M953" s="50">
        <v>4356.66</v>
      </c>
      <c r="N953" s="51">
        <v>4831.3</v>
      </c>
      <c r="O953" s="52">
        <v>5114.8500000000004</v>
      </c>
      <c r="P953" s="53">
        <v>5310.5</v>
      </c>
      <c r="Q953" s="54">
        <v>5071.92</v>
      </c>
      <c r="R953" s="1"/>
      <c r="S953" s="1"/>
      <c r="T953" s="1"/>
    </row>
    <row r="954" spans="1:20" ht="13.5" customHeight="1" x14ac:dyDescent="0.25">
      <c r="A954" s="1"/>
      <c r="B954" s="1" t="s">
        <v>940</v>
      </c>
      <c r="C954" s="1" t="s">
        <v>257</v>
      </c>
      <c r="D954" s="42">
        <v>0</v>
      </c>
      <c r="E954" s="43">
        <v>300</v>
      </c>
      <c r="F954" s="45">
        <v>600</v>
      </c>
      <c r="G954" s="45">
        <v>600</v>
      </c>
      <c r="H954" s="46">
        <v>600</v>
      </c>
      <c r="I954" s="47">
        <f t="shared" si="399"/>
        <v>1</v>
      </c>
      <c r="J954" s="48">
        <v>600</v>
      </c>
      <c r="K954" s="49">
        <v>600</v>
      </c>
      <c r="L954" s="50">
        <v>600</v>
      </c>
      <c r="M954" s="50">
        <v>550</v>
      </c>
      <c r="N954" s="51">
        <v>600</v>
      </c>
      <c r="O954" s="52">
        <v>575</v>
      </c>
      <c r="P954" s="53">
        <v>625</v>
      </c>
      <c r="Q954" s="54">
        <v>0</v>
      </c>
      <c r="R954" s="1"/>
      <c r="S954" s="1"/>
      <c r="T954" s="1"/>
    </row>
    <row r="955" spans="1:20" ht="13.5" customHeight="1" x14ac:dyDescent="0.25">
      <c r="A955" s="1"/>
      <c r="B955" s="1"/>
      <c r="C955" s="1"/>
      <c r="D955" s="56">
        <v>358918.63409999997</v>
      </c>
      <c r="E955" s="57">
        <f t="shared" ref="E955" si="400">SUM(E949:E954)</f>
        <v>148710.16999999998</v>
      </c>
      <c r="F955" s="58">
        <f>SUM(F948:F954)</f>
        <v>354873.77150699997</v>
      </c>
      <c r="G955" s="58">
        <v>354873.77150699997</v>
      </c>
      <c r="H955" s="59">
        <f>SUM(H949:H954)</f>
        <v>346204.04</v>
      </c>
      <c r="I955" s="59"/>
      <c r="J955" s="60">
        <f t="shared" ref="J955:Q955" si="401">SUM(J949:J954)</f>
        <v>397650</v>
      </c>
      <c r="K955" s="61">
        <f t="shared" si="401"/>
        <v>397650</v>
      </c>
      <c r="L955" s="62">
        <f t="shared" si="401"/>
        <v>347468.34</v>
      </c>
      <c r="M955" s="62">
        <f t="shared" si="401"/>
        <v>327985.19</v>
      </c>
      <c r="N955" s="63">
        <f t="shared" si="401"/>
        <v>317706.76</v>
      </c>
      <c r="O955" s="64">
        <f t="shared" si="401"/>
        <v>316035.46999999997</v>
      </c>
      <c r="P955" s="63">
        <f t="shared" si="401"/>
        <v>317632.47000000003</v>
      </c>
      <c r="Q955" s="65">
        <f t="shared" si="401"/>
        <v>296065.49</v>
      </c>
      <c r="R955" s="1"/>
      <c r="S955" s="1"/>
      <c r="T955" s="1"/>
    </row>
    <row r="956" spans="1:20" ht="13.5" customHeight="1" x14ac:dyDescent="0.25">
      <c r="A956" s="1"/>
      <c r="B956" s="1"/>
      <c r="C956" s="1"/>
      <c r="D956" s="42"/>
      <c r="E956" s="44"/>
      <c r="F956" s="45"/>
      <c r="G956" s="45"/>
      <c r="H956" s="66"/>
      <c r="I956" s="66"/>
      <c r="J956" s="48"/>
      <c r="K956" s="49"/>
      <c r="L956" s="50"/>
      <c r="M956" s="50"/>
      <c r="N956" s="51"/>
      <c r="O956" s="52"/>
      <c r="P956" s="53"/>
      <c r="Q956" s="54"/>
      <c r="R956" s="1"/>
      <c r="S956" s="1"/>
      <c r="T956" s="1"/>
    </row>
    <row r="957" spans="1:20" ht="13.5" customHeight="1" x14ac:dyDescent="0.25">
      <c r="A957" s="1"/>
      <c r="B957" s="1" t="s">
        <v>941</v>
      </c>
      <c r="C957" s="1" t="s">
        <v>259</v>
      </c>
      <c r="D957" s="42">
        <v>7000</v>
      </c>
      <c r="E957" s="43">
        <v>2497.59</v>
      </c>
      <c r="F957" s="45">
        <v>7000</v>
      </c>
      <c r="G957" s="45">
        <v>7000</v>
      </c>
      <c r="H957" s="46">
        <v>7455.96</v>
      </c>
      <c r="I957" s="47">
        <f t="shared" ref="I957:I961" si="402">H957/J957</f>
        <v>1.4911920000000001</v>
      </c>
      <c r="J957" s="48">
        <v>5000</v>
      </c>
      <c r="K957" s="49">
        <v>5000</v>
      </c>
      <c r="L957" s="50">
        <v>5668.82</v>
      </c>
      <c r="M957" s="50">
        <v>7116.61</v>
      </c>
      <c r="N957" s="51">
        <v>6574.32</v>
      </c>
      <c r="O957" s="52">
        <v>7229.53</v>
      </c>
      <c r="P957" s="53">
        <v>8768.3700000000008</v>
      </c>
      <c r="Q957" s="54">
        <v>6234.21</v>
      </c>
      <c r="R957" s="1"/>
      <c r="S957" s="1"/>
      <c r="T957" s="1"/>
    </row>
    <row r="958" spans="1:20" ht="13.5" customHeight="1" x14ac:dyDescent="0.25">
      <c r="A958" s="1"/>
      <c r="B958" s="1" t="s">
        <v>942</v>
      </c>
      <c r="C958" s="1" t="s">
        <v>261</v>
      </c>
      <c r="D958" s="42">
        <v>500</v>
      </c>
      <c r="E958" s="43">
        <v>196.09</v>
      </c>
      <c r="F958" s="45">
        <v>500</v>
      </c>
      <c r="G958" s="45">
        <v>500</v>
      </c>
      <c r="H958" s="46">
        <v>722.11</v>
      </c>
      <c r="I958" s="47">
        <f t="shared" si="402"/>
        <v>0.48140666666666665</v>
      </c>
      <c r="J958" s="48">
        <v>1500</v>
      </c>
      <c r="K958" s="49">
        <v>1500</v>
      </c>
      <c r="L958" s="50">
        <v>915.14</v>
      </c>
      <c r="M958" s="50">
        <v>1848.04</v>
      </c>
      <c r="N958" s="51">
        <v>5896.78</v>
      </c>
      <c r="O958" s="52">
        <v>3855.12</v>
      </c>
      <c r="P958" s="53">
        <v>3643.4</v>
      </c>
      <c r="Q958" s="54">
        <v>3503.96</v>
      </c>
      <c r="R958" s="1"/>
      <c r="S958" s="1"/>
      <c r="T958" s="1"/>
    </row>
    <row r="959" spans="1:20" ht="13.5" customHeight="1" x14ac:dyDescent="0.25">
      <c r="A959" s="1"/>
      <c r="B959" s="1" t="s">
        <v>943</v>
      </c>
      <c r="C959" s="1" t="s">
        <v>471</v>
      </c>
      <c r="D959" s="42">
        <v>6500</v>
      </c>
      <c r="E959" s="43">
        <v>2000.73</v>
      </c>
      <c r="F959" s="45">
        <v>6000</v>
      </c>
      <c r="G959" s="45">
        <v>6000</v>
      </c>
      <c r="H959" s="46">
        <v>6256.38</v>
      </c>
      <c r="I959" s="47">
        <f t="shared" si="402"/>
        <v>1.0427299999999999</v>
      </c>
      <c r="J959" s="48">
        <v>6000</v>
      </c>
      <c r="K959" s="49">
        <v>6000</v>
      </c>
      <c r="L959" s="50">
        <v>6721.76</v>
      </c>
      <c r="M959" s="50">
        <v>3996.77</v>
      </c>
      <c r="N959" s="51">
        <v>4010.37</v>
      </c>
      <c r="O959" s="52">
        <v>4991.43</v>
      </c>
      <c r="P959" s="53">
        <v>5341.97</v>
      </c>
      <c r="Q959" s="54">
        <v>6669.15</v>
      </c>
      <c r="R959" s="1"/>
      <c r="S959" s="1"/>
      <c r="T959" s="1"/>
    </row>
    <row r="960" spans="1:20" ht="13.5" customHeight="1" x14ac:dyDescent="0.25">
      <c r="A960" s="1"/>
      <c r="B960" s="1" t="s">
        <v>944</v>
      </c>
      <c r="C960" s="1" t="s">
        <v>473</v>
      </c>
      <c r="D960" s="42">
        <v>2000</v>
      </c>
      <c r="E960" s="70">
        <v>550</v>
      </c>
      <c r="F960" s="45">
        <v>600</v>
      </c>
      <c r="G960" s="45">
        <v>600</v>
      </c>
      <c r="H960" s="68">
        <v>564</v>
      </c>
      <c r="I960" s="47">
        <f t="shared" si="402"/>
        <v>0.94</v>
      </c>
      <c r="J960" s="48">
        <v>600</v>
      </c>
      <c r="K960" s="49">
        <v>600</v>
      </c>
      <c r="L960" s="50">
        <v>886</v>
      </c>
      <c r="M960" s="50">
        <v>12</v>
      </c>
      <c r="N960" s="51">
        <v>1984.94</v>
      </c>
      <c r="O960" s="52">
        <v>545.26</v>
      </c>
      <c r="P960" s="53">
        <v>0</v>
      </c>
      <c r="Q960" s="54">
        <v>0</v>
      </c>
      <c r="R960" s="1"/>
      <c r="S960" s="1"/>
      <c r="T960" s="1"/>
    </row>
    <row r="961" spans="1:20" ht="13.5" customHeight="1" x14ac:dyDescent="0.25">
      <c r="A961" s="1"/>
      <c r="B961" s="1" t="s">
        <v>945</v>
      </c>
      <c r="C961" s="1" t="s">
        <v>435</v>
      </c>
      <c r="D961" s="42">
        <v>2000</v>
      </c>
      <c r="E961" s="70">
        <v>0</v>
      </c>
      <c r="F961" s="45">
        <v>2000</v>
      </c>
      <c r="G961" s="45">
        <v>2000</v>
      </c>
      <c r="H961" s="68">
        <v>1265</v>
      </c>
      <c r="I961" s="47">
        <f t="shared" si="402"/>
        <v>0.83941605839416056</v>
      </c>
      <c r="J961" s="48">
        <v>1507</v>
      </c>
      <c r="K961" s="49">
        <v>2000</v>
      </c>
      <c r="L961" s="50">
        <v>180.24</v>
      </c>
      <c r="M961" s="50">
        <v>1798.19</v>
      </c>
      <c r="N961" s="51">
        <v>664</v>
      </c>
      <c r="O961" s="52">
        <v>2070.0300000000002</v>
      </c>
      <c r="P961" s="53">
        <v>603.55999999999995</v>
      </c>
      <c r="Q961" s="54">
        <v>2205.67</v>
      </c>
      <c r="R961" s="1"/>
      <c r="S961" s="1"/>
      <c r="T961" s="1"/>
    </row>
    <row r="962" spans="1:20" ht="13.5" customHeight="1" x14ac:dyDescent="0.25">
      <c r="A962" s="1"/>
      <c r="B962" s="1" t="s">
        <v>946</v>
      </c>
      <c r="C962" s="55" t="s">
        <v>265</v>
      </c>
      <c r="D962" s="42">
        <v>0</v>
      </c>
      <c r="E962" s="70">
        <v>0</v>
      </c>
      <c r="F962" s="73">
        <v>0</v>
      </c>
      <c r="G962" s="73">
        <v>0</v>
      </c>
      <c r="H962" s="68">
        <v>0</v>
      </c>
      <c r="I962" s="74">
        <v>0</v>
      </c>
      <c r="J962" s="75">
        <v>0</v>
      </c>
      <c r="K962" s="76">
        <v>0</v>
      </c>
      <c r="L962" s="77">
        <v>0</v>
      </c>
      <c r="M962" s="50">
        <v>725.99</v>
      </c>
      <c r="N962" s="53" t="s">
        <v>16</v>
      </c>
      <c r="O962" s="52">
        <v>0</v>
      </c>
      <c r="P962" s="53">
        <v>987.95</v>
      </c>
      <c r="Q962" s="54">
        <v>0</v>
      </c>
      <c r="R962" s="1"/>
      <c r="S962" s="1"/>
      <c r="T962" s="1"/>
    </row>
    <row r="963" spans="1:20" ht="13.5" customHeight="1" x14ac:dyDescent="0.25">
      <c r="A963" s="1"/>
      <c r="B963" s="1" t="s">
        <v>947</v>
      </c>
      <c r="C963" s="1" t="s">
        <v>438</v>
      </c>
      <c r="D963" s="42">
        <v>750</v>
      </c>
      <c r="E963" s="70">
        <v>183.98</v>
      </c>
      <c r="F963" s="73">
        <v>0</v>
      </c>
      <c r="G963" s="73">
        <v>0</v>
      </c>
      <c r="H963" s="68">
        <v>0</v>
      </c>
      <c r="I963" s="74">
        <v>0</v>
      </c>
      <c r="J963" s="75">
        <v>0</v>
      </c>
      <c r="K963" s="76">
        <v>0</v>
      </c>
      <c r="L963" s="50">
        <v>319.97000000000003</v>
      </c>
      <c r="M963" s="77">
        <v>0</v>
      </c>
      <c r="N963" s="51">
        <v>881.56</v>
      </c>
      <c r="O963" s="52"/>
      <c r="P963" s="53"/>
      <c r="Q963" s="54"/>
      <c r="R963" s="1"/>
      <c r="S963" s="1"/>
      <c r="T963" s="1"/>
    </row>
    <row r="964" spans="1:20" ht="13.5" customHeight="1" x14ac:dyDescent="0.25">
      <c r="A964" s="1"/>
      <c r="B964" s="1" t="s">
        <v>948</v>
      </c>
      <c r="C964" s="1" t="s">
        <v>267</v>
      </c>
      <c r="D964" s="42">
        <v>500</v>
      </c>
      <c r="E964" s="43">
        <v>0</v>
      </c>
      <c r="F964" s="45">
        <v>500</v>
      </c>
      <c r="G964" s="45">
        <v>500</v>
      </c>
      <c r="H964" s="46">
        <v>692.69</v>
      </c>
      <c r="I964" s="47">
        <f>H964/J964</f>
        <v>0.99955266955266964</v>
      </c>
      <c r="J964" s="48">
        <v>693</v>
      </c>
      <c r="K964" s="49">
        <v>200</v>
      </c>
      <c r="L964" s="77">
        <v>0</v>
      </c>
      <c r="M964" s="50">
        <v>79.989999999999995</v>
      </c>
      <c r="N964" s="53" t="s">
        <v>16</v>
      </c>
      <c r="O964" s="52">
        <v>0</v>
      </c>
      <c r="P964" s="53">
        <v>502.18</v>
      </c>
      <c r="Q964" s="54">
        <v>0</v>
      </c>
      <c r="R964" s="1"/>
      <c r="S964" s="1"/>
      <c r="T964" s="1"/>
    </row>
    <row r="965" spans="1:20" ht="13.5" customHeight="1" x14ac:dyDescent="0.25">
      <c r="A965" s="1"/>
      <c r="B965" s="1"/>
      <c r="C965" s="1"/>
      <c r="D965" s="56">
        <v>19250</v>
      </c>
      <c r="E965" s="57">
        <f t="shared" ref="E965" si="403">SUM(E957:E964)</f>
        <v>5428.3899999999994</v>
      </c>
      <c r="F965" s="58">
        <f>SUM(F956:F964)</f>
        <v>16600</v>
      </c>
      <c r="G965" s="58">
        <v>16600</v>
      </c>
      <c r="H965" s="59">
        <f>SUM(H957:H964)</f>
        <v>16956.14</v>
      </c>
      <c r="I965" s="59"/>
      <c r="J965" s="60">
        <f t="shared" ref="J965:Q965" si="404">SUM(J957:J964)</f>
        <v>15300</v>
      </c>
      <c r="K965" s="61">
        <f t="shared" si="404"/>
        <v>15300</v>
      </c>
      <c r="L965" s="62">
        <f t="shared" si="404"/>
        <v>14691.93</v>
      </c>
      <c r="M965" s="62">
        <f t="shared" si="404"/>
        <v>15577.59</v>
      </c>
      <c r="N965" s="63">
        <f t="shared" si="404"/>
        <v>20011.969999999998</v>
      </c>
      <c r="O965" s="64">
        <f t="shared" si="404"/>
        <v>18691.37</v>
      </c>
      <c r="P965" s="63">
        <f t="shared" si="404"/>
        <v>19847.430000000004</v>
      </c>
      <c r="Q965" s="65">
        <f t="shared" si="404"/>
        <v>18612.989999999998</v>
      </c>
      <c r="R965" s="1"/>
      <c r="S965" s="1"/>
      <c r="T965" s="1"/>
    </row>
    <row r="966" spans="1:20" ht="13.5" customHeight="1" x14ac:dyDescent="0.25">
      <c r="A966" s="1"/>
      <c r="B966" s="1"/>
      <c r="C966" s="1"/>
      <c r="D966" s="42"/>
      <c r="E966" s="44"/>
      <c r="F966" s="45"/>
      <c r="G966" s="45"/>
      <c r="H966" s="66"/>
      <c r="I966" s="66"/>
      <c r="J966" s="48"/>
      <c r="K966" s="49"/>
      <c r="L966" s="77"/>
      <c r="M966" s="50"/>
      <c r="N966" s="53"/>
      <c r="O966" s="52"/>
      <c r="P966" s="53"/>
      <c r="Q966" s="54"/>
      <c r="R966" s="1"/>
      <c r="S966" s="1"/>
      <c r="T966" s="1"/>
    </row>
    <row r="967" spans="1:20" ht="13.5" customHeight="1" x14ac:dyDescent="0.25">
      <c r="A967" s="1"/>
      <c r="B967" s="1" t="s">
        <v>949</v>
      </c>
      <c r="C967" s="1" t="s">
        <v>886</v>
      </c>
      <c r="D967" s="42">
        <v>5000</v>
      </c>
      <c r="E967" s="43">
        <f>205.5+25</f>
        <v>230.5</v>
      </c>
      <c r="F967" s="45">
        <v>5000</v>
      </c>
      <c r="G967" s="45">
        <v>5000</v>
      </c>
      <c r="H967" s="46">
        <v>3932.5</v>
      </c>
      <c r="I967" s="47">
        <f t="shared" ref="I967:I975" si="405">H967/J967</f>
        <v>0.60499999999999998</v>
      </c>
      <c r="J967" s="48">
        <v>6500</v>
      </c>
      <c r="K967" s="49">
        <v>6500</v>
      </c>
      <c r="L967" s="50">
        <v>6457.66</v>
      </c>
      <c r="M967" s="50">
        <v>3061.49</v>
      </c>
      <c r="N967" s="51">
        <v>1237.82</v>
      </c>
      <c r="O967" s="52">
        <v>1589.62</v>
      </c>
      <c r="P967" s="53">
        <v>834.76</v>
      </c>
      <c r="Q967" s="54">
        <v>4443.32</v>
      </c>
      <c r="R967" s="1"/>
      <c r="S967" s="1"/>
      <c r="T967" s="1"/>
    </row>
    <row r="968" spans="1:20" ht="13.5" customHeight="1" x14ac:dyDescent="0.25">
      <c r="A968" s="1"/>
      <c r="B968" s="1" t="s">
        <v>950</v>
      </c>
      <c r="C968" s="1" t="s">
        <v>271</v>
      </c>
      <c r="D968" s="42">
        <v>10000</v>
      </c>
      <c r="E968" s="44">
        <f>1725+1240</f>
        <v>2965</v>
      </c>
      <c r="F968" s="45">
        <v>10000</v>
      </c>
      <c r="G968" s="45">
        <v>10000</v>
      </c>
      <c r="H968" s="46">
        <v>3368.5</v>
      </c>
      <c r="I968" s="47">
        <f t="shared" si="405"/>
        <v>0.56141666666666667</v>
      </c>
      <c r="J968" s="48">
        <v>6000</v>
      </c>
      <c r="K968" s="49">
        <v>6000</v>
      </c>
      <c r="L968" s="50">
        <v>6408.5</v>
      </c>
      <c r="M968" s="50">
        <v>1834.5</v>
      </c>
      <c r="N968" s="51">
        <v>910.11</v>
      </c>
      <c r="O968" s="52">
        <v>58.52</v>
      </c>
      <c r="P968" s="53">
        <v>2100</v>
      </c>
      <c r="Q968" s="54">
        <v>0</v>
      </c>
      <c r="R968" s="1"/>
      <c r="S968" s="1"/>
      <c r="T968" s="1"/>
    </row>
    <row r="969" spans="1:20" ht="13.5" customHeight="1" x14ac:dyDescent="0.25">
      <c r="A969" s="1"/>
      <c r="B969" s="1" t="s">
        <v>951</v>
      </c>
      <c r="C969" s="1" t="s">
        <v>273</v>
      </c>
      <c r="D969" s="42">
        <v>500</v>
      </c>
      <c r="E969" s="70">
        <v>0</v>
      </c>
      <c r="F969" s="45">
        <v>500</v>
      </c>
      <c r="G969" s="45">
        <v>500</v>
      </c>
      <c r="H969" s="74">
        <v>0</v>
      </c>
      <c r="I969" s="47">
        <f t="shared" si="405"/>
        <v>0</v>
      </c>
      <c r="J969" s="48">
        <v>500</v>
      </c>
      <c r="K969" s="49">
        <v>500</v>
      </c>
      <c r="L969" s="77">
        <v>0</v>
      </c>
      <c r="M969" s="77">
        <v>0</v>
      </c>
      <c r="N969" s="51">
        <v>92.02</v>
      </c>
      <c r="O969" s="52">
        <v>0</v>
      </c>
      <c r="P969" s="53">
        <v>295.43</v>
      </c>
      <c r="Q969" s="54">
        <v>291.23</v>
      </c>
      <c r="R969" s="1"/>
      <c r="S969" s="1"/>
      <c r="T969" s="1"/>
    </row>
    <row r="970" spans="1:20" ht="13.5" customHeight="1" x14ac:dyDescent="0.25">
      <c r="A970" s="1"/>
      <c r="B970" s="1" t="s">
        <v>952</v>
      </c>
      <c r="C970" s="1" t="s">
        <v>404</v>
      </c>
      <c r="D970" s="42">
        <v>9500</v>
      </c>
      <c r="E970" s="44">
        <f>1949.42+479.32</f>
        <v>2428.7400000000002</v>
      </c>
      <c r="F970" s="45">
        <v>5000</v>
      </c>
      <c r="G970" s="45">
        <v>5000</v>
      </c>
      <c r="H970" s="46">
        <v>4938.21</v>
      </c>
      <c r="I970" s="47">
        <f t="shared" si="405"/>
        <v>0.98764200000000002</v>
      </c>
      <c r="J970" s="48">
        <v>5000</v>
      </c>
      <c r="K970" s="49">
        <v>5000</v>
      </c>
      <c r="L970" s="50">
        <v>4859.26</v>
      </c>
      <c r="M970" s="50">
        <v>3274.15</v>
      </c>
      <c r="N970" s="51">
        <v>6487.79</v>
      </c>
      <c r="O970" s="52">
        <v>5046.9799999999996</v>
      </c>
      <c r="P970" s="53">
        <v>3947.07</v>
      </c>
      <c r="Q970" s="54">
        <v>6386.15</v>
      </c>
      <c r="R970" s="1"/>
      <c r="S970" s="1"/>
      <c r="T970" s="1"/>
    </row>
    <row r="971" spans="1:20" ht="13.5" customHeight="1" x14ac:dyDescent="0.25">
      <c r="A971" s="1"/>
      <c r="B971" s="1" t="s">
        <v>953</v>
      </c>
      <c r="C971" s="1" t="s">
        <v>277</v>
      </c>
      <c r="D971" s="42">
        <v>5000</v>
      </c>
      <c r="E971" s="43">
        <v>3368</v>
      </c>
      <c r="F971" s="45">
        <v>6000</v>
      </c>
      <c r="G971" s="45">
        <v>6000</v>
      </c>
      <c r="H971" s="46">
        <v>4218</v>
      </c>
      <c r="I971" s="47">
        <f t="shared" si="405"/>
        <v>0.91695652173913045</v>
      </c>
      <c r="J971" s="48">
        <v>4600</v>
      </c>
      <c r="K971" s="49">
        <v>4600</v>
      </c>
      <c r="L971" s="50">
        <v>3885</v>
      </c>
      <c r="M971" s="50">
        <v>3795</v>
      </c>
      <c r="N971" s="51">
        <v>4172.5</v>
      </c>
      <c r="O971" s="52">
        <v>3991</v>
      </c>
      <c r="P971" s="53">
        <v>4031</v>
      </c>
      <c r="Q971" s="54">
        <v>5246.5</v>
      </c>
      <c r="R971" s="1"/>
      <c r="S971" s="1"/>
      <c r="T971" s="1"/>
    </row>
    <row r="972" spans="1:20" ht="13.5" customHeight="1" x14ac:dyDescent="0.25">
      <c r="A972" s="1"/>
      <c r="B972" s="1" t="s">
        <v>954</v>
      </c>
      <c r="C972" s="1" t="s">
        <v>489</v>
      </c>
      <c r="D972" s="42">
        <v>1500</v>
      </c>
      <c r="E972" s="43">
        <v>1899.85</v>
      </c>
      <c r="F972" s="45">
        <v>750</v>
      </c>
      <c r="G972" s="45">
        <v>750</v>
      </c>
      <c r="H972" s="46">
        <v>1603.89</v>
      </c>
      <c r="I972" s="47">
        <f t="shared" si="405"/>
        <v>1.3365750000000001</v>
      </c>
      <c r="J972" s="48">
        <v>1200</v>
      </c>
      <c r="K972" s="49">
        <v>1200</v>
      </c>
      <c r="L972" s="50">
        <v>807.96</v>
      </c>
      <c r="M972" s="50">
        <v>780.13</v>
      </c>
      <c r="N972" s="51">
        <v>1028.4100000000001</v>
      </c>
      <c r="O972" s="52">
        <v>2181.73</v>
      </c>
      <c r="P972" s="53">
        <v>6002.19</v>
      </c>
      <c r="Q972" s="54">
        <v>902.15</v>
      </c>
      <c r="R972" s="1"/>
      <c r="S972" s="1"/>
      <c r="T972" s="1"/>
    </row>
    <row r="973" spans="1:20" ht="13.5" customHeight="1" x14ac:dyDescent="0.25">
      <c r="A973" s="1"/>
      <c r="B973" s="1" t="s">
        <v>955</v>
      </c>
      <c r="C973" s="1" t="s">
        <v>814</v>
      </c>
      <c r="D973" s="42">
        <v>2000</v>
      </c>
      <c r="E973" s="43">
        <v>569.85</v>
      </c>
      <c r="F973" s="45">
        <v>2200</v>
      </c>
      <c r="G973" s="45">
        <v>2200</v>
      </c>
      <c r="H973" s="46">
        <v>2571.17</v>
      </c>
      <c r="I973" s="47">
        <f t="shared" si="405"/>
        <v>1.285585</v>
      </c>
      <c r="J973" s="48">
        <v>2000</v>
      </c>
      <c r="K973" s="49">
        <v>2000</v>
      </c>
      <c r="L973" s="50">
        <v>1823.52</v>
      </c>
      <c r="M973" s="50">
        <v>1823.52</v>
      </c>
      <c r="N973" s="51">
        <v>1823.52</v>
      </c>
      <c r="O973" s="52">
        <v>1785.53</v>
      </c>
      <c r="P973" s="53">
        <v>2522.98</v>
      </c>
      <c r="Q973" s="54">
        <v>0</v>
      </c>
      <c r="R973" s="1"/>
      <c r="S973" s="1"/>
      <c r="T973" s="1"/>
    </row>
    <row r="974" spans="1:20" ht="13.5" customHeight="1" x14ac:dyDescent="0.25">
      <c r="A974" s="1"/>
      <c r="B974" s="1" t="s">
        <v>956</v>
      </c>
      <c r="C974" s="1" t="s">
        <v>279</v>
      </c>
      <c r="D974" s="42">
        <v>200</v>
      </c>
      <c r="E974" s="70">
        <v>0</v>
      </c>
      <c r="F974" s="45">
        <v>200</v>
      </c>
      <c r="G974" s="45">
        <v>200</v>
      </c>
      <c r="H974" s="74">
        <v>0</v>
      </c>
      <c r="I974" s="47">
        <f t="shared" si="405"/>
        <v>0</v>
      </c>
      <c r="J974" s="48">
        <v>200</v>
      </c>
      <c r="K974" s="49">
        <v>200</v>
      </c>
      <c r="L974" s="50">
        <v>71</v>
      </c>
      <c r="M974" s="50">
        <v>497</v>
      </c>
      <c r="N974" s="51">
        <v>142</v>
      </c>
      <c r="O974" s="52">
        <v>284</v>
      </c>
      <c r="P974" s="53">
        <v>0</v>
      </c>
      <c r="Q974" s="54">
        <v>71</v>
      </c>
      <c r="R974" s="1"/>
      <c r="S974" s="1"/>
      <c r="T974" s="1"/>
    </row>
    <row r="975" spans="1:20" ht="13.5" customHeight="1" x14ac:dyDescent="0.25">
      <c r="A975" s="1"/>
      <c r="B975" s="1" t="s">
        <v>957</v>
      </c>
      <c r="C975" s="1" t="s">
        <v>281</v>
      </c>
      <c r="D975" s="42">
        <v>8000</v>
      </c>
      <c r="E975" s="43">
        <v>3219.75</v>
      </c>
      <c r="F975" s="45">
        <v>8000</v>
      </c>
      <c r="G975" s="45">
        <v>8000</v>
      </c>
      <c r="H975" s="46">
        <v>8020.43</v>
      </c>
      <c r="I975" s="47">
        <f t="shared" si="405"/>
        <v>0.92188850574712644</v>
      </c>
      <c r="J975" s="48">
        <v>8700</v>
      </c>
      <c r="K975" s="49">
        <v>8700</v>
      </c>
      <c r="L975" s="50">
        <v>9169.0499999999993</v>
      </c>
      <c r="M975" s="50">
        <v>9297.42</v>
      </c>
      <c r="N975" s="51">
        <v>9035.02</v>
      </c>
      <c r="O975" s="52">
        <v>10037.35</v>
      </c>
      <c r="P975" s="53">
        <v>9360.9599999999991</v>
      </c>
      <c r="Q975" s="54">
        <v>9360.9599999999991</v>
      </c>
      <c r="R975" s="1"/>
      <c r="S975" s="1"/>
      <c r="T975" s="1"/>
    </row>
    <row r="976" spans="1:20" ht="13.5" customHeight="1" x14ac:dyDescent="0.25">
      <c r="A976" s="1"/>
      <c r="B976" s="1"/>
      <c r="C976" s="1"/>
      <c r="D976" s="56">
        <v>41700</v>
      </c>
      <c r="E976" s="57">
        <f t="shared" ref="E976" si="406">SUM(E967:E975)</f>
        <v>14681.69</v>
      </c>
      <c r="F976" s="58">
        <f>SUM(F966:F975)</f>
        <v>37650</v>
      </c>
      <c r="G976" s="58">
        <v>37650</v>
      </c>
      <c r="H976" s="59">
        <f>SUM(H967:H975)</f>
        <v>28652.699999999997</v>
      </c>
      <c r="I976" s="59"/>
      <c r="J976" s="60">
        <f t="shared" ref="J976:Q976" si="407">SUM(J967:J975)</f>
        <v>34700</v>
      </c>
      <c r="K976" s="61">
        <f t="shared" si="407"/>
        <v>34700</v>
      </c>
      <c r="L976" s="62">
        <f t="shared" si="407"/>
        <v>33481.949999999997</v>
      </c>
      <c r="M976" s="62">
        <f t="shared" si="407"/>
        <v>24363.21</v>
      </c>
      <c r="N976" s="63">
        <f t="shared" si="407"/>
        <v>24929.190000000002</v>
      </c>
      <c r="O976" s="64">
        <f t="shared" si="407"/>
        <v>24974.73</v>
      </c>
      <c r="P976" s="63">
        <f t="shared" si="407"/>
        <v>29094.39</v>
      </c>
      <c r="Q976" s="65">
        <f t="shared" si="407"/>
        <v>26701.309999999998</v>
      </c>
      <c r="R976" s="1"/>
      <c r="S976" s="1"/>
      <c r="T976" s="1"/>
    </row>
    <row r="977" spans="1:20" ht="13.5" customHeight="1" thickBot="1" x14ac:dyDescent="0.3">
      <c r="A977" s="1"/>
      <c r="B977" s="1"/>
      <c r="C977" s="116" t="s">
        <v>958</v>
      </c>
      <c r="D977" s="267">
        <v>1279072.6340999999</v>
      </c>
      <c r="E977" s="173">
        <f t="shared" ref="E977" si="408">SUM(E947+E955+E965+E976)</f>
        <v>544857.05999999994</v>
      </c>
      <c r="F977" s="174">
        <f>SUM(F947,F955,F965,F976)</f>
        <v>1249062.7715070001</v>
      </c>
      <c r="G977" s="174">
        <v>1241262.7715070001</v>
      </c>
      <c r="H977" s="175">
        <f>SUM(H947+H955+H965+H976)</f>
        <v>1324626.5199999998</v>
      </c>
      <c r="I977" s="175"/>
      <c r="J977" s="176">
        <f t="shared" ref="J977:Q977" si="409">SUM(J947+J955+J965+J976)</f>
        <v>1430526</v>
      </c>
      <c r="K977" s="177">
        <f t="shared" si="409"/>
        <v>1421166</v>
      </c>
      <c r="L977" s="178">
        <f t="shared" si="409"/>
        <v>1283115.0899999999</v>
      </c>
      <c r="M977" s="178">
        <f t="shared" si="409"/>
        <v>1231851.4600000002</v>
      </c>
      <c r="N977" s="179">
        <f t="shared" si="409"/>
        <v>1201926.17</v>
      </c>
      <c r="O977" s="180">
        <f t="shared" si="409"/>
        <v>1147358.76</v>
      </c>
      <c r="P977" s="179">
        <f t="shared" si="409"/>
        <v>1151293.22</v>
      </c>
      <c r="Q977" s="181">
        <f t="shared" si="409"/>
        <v>1076858.7800000003</v>
      </c>
      <c r="R977" s="1"/>
      <c r="S977" s="1"/>
      <c r="T977" s="1"/>
    </row>
    <row r="978" spans="1:20" ht="13.5" customHeight="1" thickTop="1" x14ac:dyDescent="0.25">
      <c r="A978" s="1"/>
      <c r="B978" s="1"/>
      <c r="C978" s="1"/>
      <c r="D978" s="42"/>
      <c r="E978" s="44"/>
      <c r="F978" s="45"/>
      <c r="G978" s="45"/>
      <c r="H978" s="66"/>
      <c r="I978" s="66"/>
      <c r="J978" s="48"/>
      <c r="K978" s="49"/>
      <c r="L978" s="50"/>
      <c r="M978" s="50"/>
      <c r="N978" s="51"/>
      <c r="O978" s="52"/>
      <c r="P978" s="53"/>
      <c r="Q978" s="54"/>
      <c r="R978" s="1"/>
      <c r="S978" s="1"/>
      <c r="T978" s="1"/>
    </row>
    <row r="979" spans="1:20" ht="13.5" customHeight="1" x14ac:dyDescent="0.25">
      <c r="A979" s="1"/>
      <c r="B979" s="1"/>
      <c r="C979" s="114" t="s">
        <v>959</v>
      </c>
      <c r="D979" s="42"/>
      <c r="E979" s="44"/>
      <c r="F979" s="45"/>
      <c r="G979" s="45"/>
      <c r="H979" s="66"/>
      <c r="I979" s="66"/>
      <c r="J979" s="48"/>
      <c r="K979" s="49"/>
      <c r="L979" s="50"/>
      <c r="M979" s="50"/>
      <c r="N979" s="51"/>
      <c r="O979" s="52"/>
      <c r="P979" s="53"/>
      <c r="Q979" s="54"/>
      <c r="R979" s="1"/>
      <c r="S979" s="1"/>
      <c r="T979" s="1"/>
    </row>
    <row r="980" spans="1:20" ht="13.5" customHeight="1" x14ac:dyDescent="0.25">
      <c r="A980" s="1"/>
      <c r="B980" s="1" t="s">
        <v>960</v>
      </c>
      <c r="C980" s="1" t="s">
        <v>259</v>
      </c>
      <c r="D980" s="42">
        <v>2500</v>
      </c>
      <c r="E980" s="70">
        <v>0</v>
      </c>
      <c r="F980" s="45">
        <v>2500</v>
      </c>
      <c r="G980" s="45">
        <v>2500</v>
      </c>
      <c r="H980" s="68">
        <v>381.9</v>
      </c>
      <c r="I980" s="47">
        <f t="shared" ref="I980:I984" si="410">H980/J980</f>
        <v>0.15275999999999998</v>
      </c>
      <c r="J980" s="48">
        <v>2500</v>
      </c>
      <c r="K980" s="49">
        <v>2500</v>
      </c>
      <c r="L980" s="50">
        <v>389.39</v>
      </c>
      <c r="M980" s="50">
        <v>1015.59</v>
      </c>
      <c r="N980" s="51">
        <v>664.28</v>
      </c>
      <c r="O980" s="52">
        <v>801.55</v>
      </c>
      <c r="P980" s="53">
        <v>0</v>
      </c>
      <c r="Q980" s="54">
        <v>0</v>
      </c>
      <c r="R980" s="1"/>
      <c r="S980" s="1"/>
      <c r="T980" s="1"/>
    </row>
    <row r="981" spans="1:20" ht="13.5" customHeight="1" x14ac:dyDescent="0.25">
      <c r="A981" s="1"/>
      <c r="B981" s="1" t="s">
        <v>961</v>
      </c>
      <c r="C981" s="1" t="s">
        <v>261</v>
      </c>
      <c r="D981" s="42">
        <v>500</v>
      </c>
      <c r="E981" s="70">
        <v>96.75</v>
      </c>
      <c r="F981" s="45">
        <v>500</v>
      </c>
      <c r="G981" s="45">
        <v>500</v>
      </c>
      <c r="H981" s="68">
        <v>25.8</v>
      </c>
      <c r="I981" s="47">
        <f t="shared" si="410"/>
        <v>5.16E-2</v>
      </c>
      <c r="J981" s="48">
        <v>500</v>
      </c>
      <c r="K981" s="49">
        <v>500</v>
      </c>
      <c r="L981" s="50">
        <v>293.24</v>
      </c>
      <c r="M981" s="77">
        <v>0</v>
      </c>
      <c r="N981" s="53" t="s">
        <v>16</v>
      </c>
      <c r="O981" s="52">
        <v>0</v>
      </c>
      <c r="P981" s="53">
        <v>0</v>
      </c>
      <c r="Q981" s="54">
        <v>0</v>
      </c>
      <c r="R981" s="1"/>
      <c r="S981" s="1"/>
      <c r="T981" s="1"/>
    </row>
    <row r="982" spans="1:20" ht="13.5" customHeight="1" x14ac:dyDescent="0.25">
      <c r="A982" s="1"/>
      <c r="B982" s="1" t="s">
        <v>962</v>
      </c>
      <c r="C982" s="1" t="s">
        <v>963</v>
      </c>
      <c r="D982" s="42">
        <v>1380</v>
      </c>
      <c r="E982" s="70">
        <v>0</v>
      </c>
      <c r="F982" s="45">
        <v>1380</v>
      </c>
      <c r="G982" s="45">
        <v>1380</v>
      </c>
      <c r="H982" s="74">
        <v>0</v>
      </c>
      <c r="I982" s="47">
        <f t="shared" si="410"/>
        <v>0</v>
      </c>
      <c r="J982" s="48">
        <v>1380</v>
      </c>
      <c r="K982" s="49">
        <v>1380</v>
      </c>
      <c r="L982" s="77">
        <v>0</v>
      </c>
      <c r="M982" s="77">
        <v>0</v>
      </c>
      <c r="N982" s="53" t="s">
        <v>16</v>
      </c>
      <c r="O982" s="52">
        <v>0</v>
      </c>
      <c r="P982" s="53">
        <v>0</v>
      </c>
      <c r="Q982" s="54">
        <v>0</v>
      </c>
      <c r="R982" s="1"/>
      <c r="S982" s="1"/>
      <c r="T982" s="1"/>
    </row>
    <row r="983" spans="1:20" ht="13.5" customHeight="1" x14ac:dyDescent="0.25">
      <c r="A983" s="1"/>
      <c r="B983" s="1" t="s">
        <v>964</v>
      </c>
      <c r="C983" s="1" t="s">
        <v>965</v>
      </c>
      <c r="D983" s="42">
        <v>1000</v>
      </c>
      <c r="E983" s="70">
        <v>0</v>
      </c>
      <c r="F983" s="45">
        <v>1000</v>
      </c>
      <c r="G983" s="45">
        <v>1000</v>
      </c>
      <c r="H983" s="74">
        <v>0</v>
      </c>
      <c r="I983" s="47">
        <f t="shared" si="410"/>
        <v>0</v>
      </c>
      <c r="J983" s="48">
        <v>1000</v>
      </c>
      <c r="K983" s="49">
        <v>1000</v>
      </c>
      <c r="L983" s="77">
        <v>0</v>
      </c>
      <c r="M983" s="77">
        <v>0</v>
      </c>
      <c r="N983" s="53" t="s">
        <v>16</v>
      </c>
      <c r="O983" s="52">
        <v>0</v>
      </c>
      <c r="P983" s="53">
        <v>0</v>
      </c>
      <c r="Q983" s="54">
        <v>0</v>
      </c>
      <c r="R983" s="1"/>
      <c r="S983" s="1"/>
      <c r="T983" s="1"/>
    </row>
    <row r="984" spans="1:20" ht="13.5" customHeight="1" x14ac:dyDescent="0.25">
      <c r="A984" s="1"/>
      <c r="B984" s="1" t="s">
        <v>966</v>
      </c>
      <c r="C984" s="1" t="s">
        <v>267</v>
      </c>
      <c r="D984" s="42">
        <v>120</v>
      </c>
      <c r="E984" s="70">
        <v>0</v>
      </c>
      <c r="F984" s="45">
        <v>120</v>
      </c>
      <c r="G984" s="45">
        <v>120</v>
      </c>
      <c r="H984" s="74">
        <v>0</v>
      </c>
      <c r="I984" s="47">
        <f t="shared" si="410"/>
        <v>0</v>
      </c>
      <c r="J984" s="48">
        <v>120</v>
      </c>
      <c r="K984" s="49">
        <v>120</v>
      </c>
      <c r="L984" s="50">
        <v>179.97</v>
      </c>
      <c r="M984" s="77">
        <v>0</v>
      </c>
      <c r="N984" s="51">
        <v>17.39</v>
      </c>
      <c r="O984" s="52">
        <v>0</v>
      </c>
      <c r="P984" s="53">
        <v>0</v>
      </c>
      <c r="Q984" s="54">
        <v>0</v>
      </c>
      <c r="R984" s="1"/>
      <c r="S984" s="1"/>
      <c r="T984" s="1"/>
    </row>
    <row r="985" spans="1:20" ht="13.5" customHeight="1" x14ac:dyDescent="0.25">
      <c r="A985" s="1"/>
      <c r="B985" s="1"/>
      <c r="C985" s="1"/>
      <c r="D985" s="56">
        <v>5500</v>
      </c>
      <c r="E985" s="57">
        <f t="shared" ref="E985" si="411">SUM(E980:E984)</f>
        <v>96.75</v>
      </c>
      <c r="F985" s="58">
        <f>SUM(F979:F984)</f>
        <v>5500</v>
      </c>
      <c r="G985" s="58">
        <v>5500</v>
      </c>
      <c r="H985" s="59">
        <f>SUM(H980:H984)</f>
        <v>407.7</v>
      </c>
      <c r="I985" s="59"/>
      <c r="J985" s="60">
        <f t="shared" ref="J985:Q985" si="412">SUM(J980:J984)</f>
        <v>5500</v>
      </c>
      <c r="K985" s="61">
        <f t="shared" si="412"/>
        <v>5500</v>
      </c>
      <c r="L985" s="62">
        <f t="shared" si="412"/>
        <v>862.6</v>
      </c>
      <c r="M985" s="62">
        <f t="shared" si="412"/>
        <v>1015.59</v>
      </c>
      <c r="N985" s="63">
        <f t="shared" si="412"/>
        <v>681.67</v>
      </c>
      <c r="O985" s="64">
        <f t="shared" si="412"/>
        <v>801.55</v>
      </c>
      <c r="P985" s="63">
        <f t="shared" si="412"/>
        <v>0</v>
      </c>
      <c r="Q985" s="65">
        <f t="shared" si="412"/>
        <v>0</v>
      </c>
      <c r="R985" s="1"/>
      <c r="S985" s="1"/>
      <c r="T985" s="1"/>
    </row>
    <row r="986" spans="1:20" ht="13.5" customHeight="1" x14ac:dyDescent="0.25">
      <c r="A986" s="1"/>
      <c r="B986" s="1"/>
      <c r="C986" s="1"/>
      <c r="D986" s="42"/>
      <c r="E986" s="67"/>
      <c r="F986" s="45"/>
      <c r="G986" s="45"/>
      <c r="H986" s="74"/>
      <c r="I986" s="66"/>
      <c r="J986" s="48"/>
      <c r="K986" s="49"/>
      <c r="L986" s="50"/>
      <c r="M986" s="77"/>
      <c r="N986" s="51"/>
      <c r="O986" s="52"/>
      <c r="P986" s="53"/>
      <c r="Q986" s="54"/>
      <c r="R986" s="1"/>
      <c r="S986" s="1"/>
      <c r="T986" s="1"/>
    </row>
    <row r="987" spans="1:20" ht="13.5" customHeight="1" x14ac:dyDescent="0.25">
      <c r="A987" s="1"/>
      <c r="B987" s="1" t="s">
        <v>967</v>
      </c>
      <c r="C987" s="1" t="s">
        <v>968</v>
      </c>
      <c r="D987" s="42">
        <v>212900</v>
      </c>
      <c r="E987" s="43">
        <v>12168.44</v>
      </c>
      <c r="F987" s="45">
        <v>212900</v>
      </c>
      <c r="G987" s="45">
        <v>212900</v>
      </c>
      <c r="H987" s="46">
        <v>62769.69</v>
      </c>
      <c r="I987" s="47">
        <f t="shared" ref="I987:I989" si="413">H987/J987</f>
        <v>0.29483179896665102</v>
      </c>
      <c r="J987" s="48">
        <v>212900</v>
      </c>
      <c r="K987" s="49">
        <v>212900</v>
      </c>
      <c r="L987" s="50">
        <v>26479.73</v>
      </c>
      <c r="M987" s="50">
        <v>13476.65</v>
      </c>
      <c r="N987" s="51">
        <v>122183.91</v>
      </c>
      <c r="O987" s="52">
        <v>60702.26</v>
      </c>
      <c r="P987" s="53">
        <v>0</v>
      </c>
      <c r="Q987" s="54">
        <v>0</v>
      </c>
      <c r="R987" s="1"/>
      <c r="S987" s="1"/>
      <c r="T987" s="1"/>
    </row>
    <row r="988" spans="1:20" ht="13.5" customHeight="1" x14ac:dyDescent="0.25">
      <c r="A988" s="1"/>
      <c r="B988" s="1" t="s">
        <v>969</v>
      </c>
      <c r="C988" s="1" t="s">
        <v>970</v>
      </c>
      <c r="D988" s="42">
        <v>40000</v>
      </c>
      <c r="E988" s="70">
        <v>0</v>
      </c>
      <c r="F988" s="45">
        <v>40000</v>
      </c>
      <c r="G988" s="45">
        <v>40000</v>
      </c>
      <c r="H988" s="74">
        <v>0</v>
      </c>
      <c r="I988" s="47">
        <f t="shared" si="413"/>
        <v>0</v>
      </c>
      <c r="J988" s="48">
        <v>30203</v>
      </c>
      <c r="K988" s="49">
        <v>40000</v>
      </c>
      <c r="L988" s="77">
        <v>0</v>
      </c>
      <c r="M988" s="50">
        <v>22214.47</v>
      </c>
      <c r="N988" s="51">
        <v>76577.5</v>
      </c>
      <c r="O988" s="52">
        <v>15605</v>
      </c>
      <c r="P988" s="53">
        <v>0</v>
      </c>
      <c r="Q988" s="54">
        <v>0</v>
      </c>
      <c r="R988" s="1"/>
      <c r="S988" s="1"/>
      <c r="T988" s="1"/>
    </row>
    <row r="989" spans="1:20" ht="13.5" customHeight="1" x14ac:dyDescent="0.25">
      <c r="A989" s="1"/>
      <c r="B989" s="1" t="s">
        <v>971</v>
      </c>
      <c r="C989" s="1" t="s">
        <v>886</v>
      </c>
      <c r="D989" s="42">
        <v>10000</v>
      </c>
      <c r="E989" s="43">
        <v>0</v>
      </c>
      <c r="F989" s="45">
        <v>10000</v>
      </c>
      <c r="G989" s="45">
        <v>10000</v>
      </c>
      <c r="H989" s="46">
        <v>14113.32</v>
      </c>
      <c r="I989" s="47">
        <f t="shared" si="413"/>
        <v>0.71290195484164265</v>
      </c>
      <c r="J989" s="48">
        <v>19797</v>
      </c>
      <c r="K989" s="49">
        <v>10000</v>
      </c>
      <c r="L989" s="50">
        <v>5626.29</v>
      </c>
      <c r="M989" s="77">
        <v>0</v>
      </c>
      <c r="N989" s="51">
        <v>1308</v>
      </c>
      <c r="O989" s="52">
        <v>35478.22</v>
      </c>
      <c r="P989" s="53">
        <v>1686</v>
      </c>
      <c r="Q989" s="54">
        <v>0</v>
      </c>
      <c r="R989" s="1"/>
      <c r="S989" s="1"/>
      <c r="T989" s="1"/>
    </row>
    <row r="990" spans="1:20" ht="13.5" customHeight="1" x14ac:dyDescent="0.25">
      <c r="A990" s="1"/>
      <c r="B990" s="1" t="s">
        <v>972</v>
      </c>
      <c r="C990" s="1" t="s">
        <v>269</v>
      </c>
      <c r="D990" s="42">
        <v>10000</v>
      </c>
      <c r="E990" s="70">
        <v>0</v>
      </c>
      <c r="F990" s="45">
        <v>10000</v>
      </c>
      <c r="G990" s="45">
        <v>10000</v>
      </c>
      <c r="H990" s="74">
        <v>0</v>
      </c>
      <c r="I990" s="47">
        <v>0</v>
      </c>
      <c r="J990" s="75">
        <v>0</v>
      </c>
      <c r="K990" s="76">
        <v>0</v>
      </c>
      <c r="L990" s="77">
        <v>0</v>
      </c>
      <c r="M990" s="77">
        <v>0</v>
      </c>
      <c r="N990" s="53" t="s">
        <v>16</v>
      </c>
      <c r="O990" s="52"/>
      <c r="P990" s="53"/>
      <c r="Q990" s="54"/>
      <c r="R990" s="1"/>
      <c r="S990" s="1"/>
      <c r="T990" s="1"/>
    </row>
    <row r="991" spans="1:20" ht="13.5" customHeight="1" x14ac:dyDescent="0.25">
      <c r="A991" s="1"/>
      <c r="B991" s="1" t="s">
        <v>973</v>
      </c>
      <c r="C991" s="1" t="s">
        <v>271</v>
      </c>
      <c r="D991" s="42">
        <v>63627</v>
      </c>
      <c r="E991" s="43">
        <v>4068.75</v>
      </c>
      <c r="F991" s="45">
        <v>63627</v>
      </c>
      <c r="G991" s="45">
        <v>63627</v>
      </c>
      <c r="H991" s="46">
        <v>97060.7</v>
      </c>
      <c r="I991" s="47">
        <f t="shared" ref="I991:I993" si="414">H991/J991</f>
        <v>0.970607</v>
      </c>
      <c r="J991" s="48">
        <v>100000</v>
      </c>
      <c r="K991" s="49">
        <v>100000</v>
      </c>
      <c r="L991" s="50">
        <v>64325.55</v>
      </c>
      <c r="M991" s="50">
        <v>76210.820000000007</v>
      </c>
      <c r="N991" s="51">
        <v>86883.57</v>
      </c>
      <c r="O991" s="52">
        <v>44984.7</v>
      </c>
      <c r="P991" s="53">
        <v>42296.68</v>
      </c>
      <c r="Q991" s="54">
        <v>0</v>
      </c>
      <c r="R991" s="1"/>
      <c r="S991" s="1"/>
      <c r="T991" s="1"/>
    </row>
    <row r="992" spans="1:20" ht="13.5" customHeight="1" x14ac:dyDescent="0.25">
      <c r="A992" s="1"/>
      <c r="B992" s="1" t="s">
        <v>974</v>
      </c>
      <c r="C992" s="1" t="s">
        <v>273</v>
      </c>
      <c r="D992" s="42">
        <v>2500</v>
      </c>
      <c r="E992" s="70">
        <v>0</v>
      </c>
      <c r="F992" s="45">
        <v>2500</v>
      </c>
      <c r="G992" s="45">
        <v>2500</v>
      </c>
      <c r="H992" s="74">
        <v>0</v>
      </c>
      <c r="I992" s="47">
        <f t="shared" si="414"/>
        <v>0</v>
      </c>
      <c r="J992" s="48">
        <v>2500</v>
      </c>
      <c r="K992" s="49">
        <v>2500</v>
      </c>
      <c r="L992" s="77">
        <v>0</v>
      </c>
      <c r="M992" s="77">
        <v>0</v>
      </c>
      <c r="N992" s="53" t="s">
        <v>16</v>
      </c>
      <c r="O992" s="52">
        <v>113.85</v>
      </c>
      <c r="P992" s="53">
        <v>0</v>
      </c>
      <c r="Q992" s="54">
        <v>0</v>
      </c>
      <c r="R992" s="1"/>
      <c r="S992" s="1"/>
      <c r="T992" s="1"/>
    </row>
    <row r="993" spans="1:20" ht="13.5" customHeight="1" x14ac:dyDescent="0.25">
      <c r="A993" s="1"/>
      <c r="B993" s="1" t="s">
        <v>975</v>
      </c>
      <c r="C993" s="1" t="s">
        <v>275</v>
      </c>
      <c r="D993" s="42">
        <v>1000</v>
      </c>
      <c r="E993" s="70">
        <v>0</v>
      </c>
      <c r="F993" s="45">
        <v>1000</v>
      </c>
      <c r="G993" s="45">
        <v>1000</v>
      </c>
      <c r="H993" s="74">
        <v>0</v>
      </c>
      <c r="I993" s="47">
        <f t="shared" si="414"/>
        <v>0</v>
      </c>
      <c r="J993" s="48">
        <v>1000</v>
      </c>
      <c r="K993" s="49">
        <v>1000</v>
      </c>
      <c r="L993" s="77">
        <v>0</v>
      </c>
      <c r="M993" s="77">
        <v>0</v>
      </c>
      <c r="N993" s="53" t="s">
        <v>16</v>
      </c>
      <c r="O993" s="52">
        <v>985.39</v>
      </c>
      <c r="P993" s="53">
        <v>0</v>
      </c>
      <c r="Q993" s="54">
        <v>0</v>
      </c>
      <c r="R993" s="1"/>
      <c r="S993" s="1"/>
      <c r="T993" s="1"/>
    </row>
    <row r="994" spans="1:20" ht="13.5" customHeight="1" x14ac:dyDescent="0.25">
      <c r="A994" s="1"/>
      <c r="B994" s="78" t="s">
        <v>976</v>
      </c>
      <c r="C994" s="78" t="s">
        <v>406</v>
      </c>
      <c r="D994" s="42">
        <v>1200</v>
      </c>
      <c r="E994" s="70">
        <v>0</v>
      </c>
      <c r="F994" s="45">
        <v>1200</v>
      </c>
      <c r="G994" s="45">
        <v>1200</v>
      </c>
      <c r="H994" s="74">
        <v>0</v>
      </c>
      <c r="I994" s="47">
        <v>0</v>
      </c>
      <c r="J994" s="48">
        <v>1200</v>
      </c>
      <c r="K994" s="49">
        <v>1200</v>
      </c>
      <c r="L994" s="50">
        <v>0</v>
      </c>
      <c r="M994" s="77">
        <v>0</v>
      </c>
      <c r="N994" s="53"/>
      <c r="O994" s="52"/>
      <c r="P994" s="53"/>
      <c r="Q994" s="54"/>
      <c r="R994" s="1"/>
      <c r="S994" s="1"/>
      <c r="T994" s="1"/>
    </row>
    <row r="995" spans="1:20" ht="13.5" customHeight="1" x14ac:dyDescent="0.25">
      <c r="A995" s="1"/>
      <c r="B995" s="78" t="s">
        <v>977</v>
      </c>
      <c r="C995" s="78" t="s">
        <v>408</v>
      </c>
      <c r="D995" s="42">
        <v>500</v>
      </c>
      <c r="E995" s="70">
        <v>0</v>
      </c>
      <c r="F995" s="45">
        <v>500</v>
      </c>
      <c r="G995" s="45">
        <v>500</v>
      </c>
      <c r="H995" s="74">
        <v>0</v>
      </c>
      <c r="I995" s="47">
        <v>0</v>
      </c>
      <c r="J995" s="48">
        <v>500</v>
      </c>
      <c r="K995" s="49">
        <v>500</v>
      </c>
      <c r="L995" s="50">
        <v>0</v>
      </c>
      <c r="M995" s="77">
        <v>0</v>
      </c>
      <c r="N995" s="53"/>
      <c r="O995" s="52"/>
      <c r="P995" s="53"/>
      <c r="Q995" s="54"/>
      <c r="R995" s="1"/>
      <c r="S995" s="1"/>
      <c r="T995" s="1"/>
    </row>
    <row r="996" spans="1:20" ht="13.5" customHeight="1" x14ac:dyDescent="0.25">
      <c r="A996" s="1"/>
      <c r="B996" s="78" t="s">
        <v>978</v>
      </c>
      <c r="C996" s="78" t="s">
        <v>979</v>
      </c>
      <c r="D996" s="42">
        <v>26373</v>
      </c>
      <c r="E996" s="70">
        <v>26373</v>
      </c>
      <c r="F996" s="45">
        <v>26373</v>
      </c>
      <c r="G996" s="45">
        <v>26373</v>
      </c>
      <c r="H996" s="74">
        <v>0</v>
      </c>
      <c r="I996" s="47">
        <v>0</v>
      </c>
      <c r="J996" s="48">
        <v>0</v>
      </c>
      <c r="K996" s="49">
        <v>0</v>
      </c>
      <c r="L996" s="50">
        <v>0</v>
      </c>
      <c r="M996" s="77">
        <v>0</v>
      </c>
      <c r="N996" s="53"/>
      <c r="O996" s="52"/>
      <c r="P996" s="53"/>
      <c r="Q996" s="54"/>
      <c r="R996" s="1"/>
      <c r="S996" s="1"/>
      <c r="T996" s="1"/>
    </row>
    <row r="997" spans="1:20" ht="13.5" customHeight="1" x14ac:dyDescent="0.25">
      <c r="A997" s="1"/>
      <c r="B997" s="1" t="s">
        <v>980</v>
      </c>
      <c r="C997" s="1" t="s">
        <v>981</v>
      </c>
      <c r="D997" s="42">
        <v>1700</v>
      </c>
      <c r="E997" s="70">
        <v>0</v>
      </c>
      <c r="F997" s="45">
        <v>1700</v>
      </c>
      <c r="G997" s="45">
        <v>1700</v>
      </c>
      <c r="H997" s="74">
        <v>0</v>
      </c>
      <c r="I997" s="47">
        <f t="shared" ref="I997:I998" si="415">H997/J997</f>
        <v>0</v>
      </c>
      <c r="J997" s="48">
        <v>1500</v>
      </c>
      <c r="K997" s="49">
        <v>1500</v>
      </c>
      <c r="L997" s="50">
        <v>95.57</v>
      </c>
      <c r="M997" s="77">
        <v>0</v>
      </c>
      <c r="N997" s="53" t="s">
        <v>16</v>
      </c>
      <c r="O997" s="52">
        <v>0</v>
      </c>
      <c r="P997" s="53">
        <v>0</v>
      </c>
      <c r="Q997" s="54">
        <v>0</v>
      </c>
      <c r="R997" s="1"/>
      <c r="S997" s="1"/>
      <c r="T997" s="1"/>
    </row>
    <row r="998" spans="1:20" ht="13.5" customHeight="1" x14ac:dyDescent="0.25">
      <c r="A998" s="1"/>
      <c r="B998" s="1" t="s">
        <v>982</v>
      </c>
      <c r="C998" s="1" t="s">
        <v>281</v>
      </c>
      <c r="D998" s="42">
        <v>1000</v>
      </c>
      <c r="E998" s="70">
        <v>0</v>
      </c>
      <c r="F998" s="45">
        <v>1000</v>
      </c>
      <c r="G998" s="45">
        <v>1000</v>
      </c>
      <c r="H998" s="74">
        <v>0</v>
      </c>
      <c r="I998" s="47">
        <f t="shared" si="415"/>
        <v>0</v>
      </c>
      <c r="J998" s="48">
        <v>1200</v>
      </c>
      <c r="K998" s="49">
        <v>1200</v>
      </c>
      <c r="L998" s="77">
        <v>0</v>
      </c>
      <c r="M998" s="77">
        <v>0</v>
      </c>
      <c r="N998" s="53" t="s">
        <v>16</v>
      </c>
      <c r="O998" s="52">
        <v>0</v>
      </c>
      <c r="P998" s="53">
        <v>0</v>
      </c>
      <c r="Q998" s="54">
        <v>0</v>
      </c>
      <c r="R998" s="1"/>
      <c r="S998" s="1"/>
      <c r="T998" s="1"/>
    </row>
    <row r="999" spans="1:20" ht="13.5" customHeight="1" x14ac:dyDescent="0.25">
      <c r="A999" s="1"/>
      <c r="B999" s="1"/>
      <c r="C999" s="1"/>
      <c r="D999" s="56">
        <v>370800</v>
      </c>
      <c r="E999" s="57">
        <f t="shared" ref="E999" si="416">SUM(E987:E998)</f>
        <v>42610.19</v>
      </c>
      <c r="F999" s="58">
        <f>SUM(F986:F998)</f>
        <v>370800</v>
      </c>
      <c r="G999" s="58">
        <v>370800</v>
      </c>
      <c r="H999" s="59">
        <f>SUM(H987:H998)</f>
        <v>173943.71000000002</v>
      </c>
      <c r="I999" s="59"/>
      <c r="J999" s="60">
        <f t="shared" ref="J999:Q999" si="417">SUM(J987:J998)</f>
        <v>370800</v>
      </c>
      <c r="K999" s="61">
        <f t="shared" si="417"/>
        <v>370800</v>
      </c>
      <c r="L999" s="62">
        <f t="shared" si="417"/>
        <v>96527.140000000014</v>
      </c>
      <c r="M999" s="62">
        <f t="shared" si="417"/>
        <v>111901.94</v>
      </c>
      <c r="N999" s="63">
        <f t="shared" si="417"/>
        <v>286952.98</v>
      </c>
      <c r="O999" s="64">
        <f t="shared" si="417"/>
        <v>157869.42000000001</v>
      </c>
      <c r="P999" s="63">
        <f t="shared" si="417"/>
        <v>43982.68</v>
      </c>
      <c r="Q999" s="65">
        <f t="shared" si="417"/>
        <v>0</v>
      </c>
      <c r="R999" s="1"/>
      <c r="S999" s="1"/>
      <c r="T999" s="1"/>
    </row>
    <row r="1000" spans="1:20" ht="13.5" customHeight="1" x14ac:dyDescent="0.25">
      <c r="A1000" s="1"/>
      <c r="B1000" s="1"/>
      <c r="C1000" s="1"/>
      <c r="D1000" s="42"/>
      <c r="E1000" s="67"/>
      <c r="F1000" s="45"/>
      <c r="G1000" s="45"/>
      <c r="H1000" s="74"/>
      <c r="I1000" s="66"/>
      <c r="J1000" s="48"/>
      <c r="K1000" s="49"/>
      <c r="L1000" s="77"/>
      <c r="M1000" s="77"/>
      <c r="N1000" s="53"/>
      <c r="O1000" s="52"/>
      <c r="P1000" s="53"/>
      <c r="Q1000" s="54"/>
      <c r="R1000" s="1"/>
      <c r="S1000" s="1"/>
      <c r="T1000" s="1"/>
    </row>
    <row r="1001" spans="1:20" ht="13.5" hidden="1" customHeight="1" x14ac:dyDescent="0.25">
      <c r="A1001" s="1"/>
      <c r="B1001" s="1" t="s">
        <v>983</v>
      </c>
      <c r="C1001" s="1" t="s">
        <v>984</v>
      </c>
      <c r="D1001" s="42">
        <v>0</v>
      </c>
      <c r="E1001" s="70">
        <v>0</v>
      </c>
      <c r="F1001" s="45">
        <v>0</v>
      </c>
      <c r="G1001" s="45">
        <v>0</v>
      </c>
      <c r="H1001" s="74">
        <v>0</v>
      </c>
      <c r="I1001" s="47" t="e">
        <f t="shared" ref="I1001:I1002" si="418">H1001/J1001</f>
        <v>#DIV/0!</v>
      </c>
      <c r="J1001" s="48">
        <v>0</v>
      </c>
      <c r="K1001" s="49">
        <v>0</v>
      </c>
      <c r="L1001" s="77">
        <v>0</v>
      </c>
      <c r="M1001" s="77">
        <v>0</v>
      </c>
      <c r="N1001" s="53" t="s">
        <v>16</v>
      </c>
      <c r="O1001" s="52">
        <v>0</v>
      </c>
      <c r="P1001" s="53">
        <v>0</v>
      </c>
      <c r="Q1001" s="54">
        <v>0</v>
      </c>
      <c r="R1001" s="1"/>
      <c r="S1001" s="1"/>
      <c r="T1001" s="1"/>
    </row>
    <row r="1002" spans="1:20" ht="13.5" hidden="1" customHeight="1" x14ac:dyDescent="0.25">
      <c r="A1002" s="1"/>
      <c r="B1002" s="1" t="s">
        <v>985</v>
      </c>
      <c r="C1002" s="1" t="s">
        <v>986</v>
      </c>
      <c r="D1002" s="42">
        <v>0</v>
      </c>
      <c r="E1002" s="70">
        <v>0</v>
      </c>
      <c r="F1002" s="45">
        <v>0</v>
      </c>
      <c r="G1002" s="45">
        <v>0</v>
      </c>
      <c r="H1002" s="74">
        <v>0</v>
      </c>
      <c r="I1002" s="47" t="e">
        <f t="shared" si="418"/>
        <v>#DIV/0!</v>
      </c>
      <c r="J1002" s="48">
        <v>0</v>
      </c>
      <c r="K1002" s="49">
        <v>0</v>
      </c>
      <c r="L1002" s="77">
        <v>0</v>
      </c>
      <c r="M1002" s="77">
        <v>0</v>
      </c>
      <c r="N1002" s="53" t="s">
        <v>16</v>
      </c>
      <c r="O1002" s="52">
        <v>0</v>
      </c>
      <c r="P1002" s="53">
        <v>0</v>
      </c>
      <c r="Q1002" s="54">
        <v>0</v>
      </c>
      <c r="R1002" s="1"/>
      <c r="S1002" s="1"/>
      <c r="T1002" s="1"/>
    </row>
    <row r="1003" spans="1:20" ht="13.5" hidden="1" customHeight="1" x14ac:dyDescent="0.25">
      <c r="A1003" s="1"/>
      <c r="B1003" s="1"/>
      <c r="C1003" s="1"/>
      <c r="D1003" s="56">
        <v>0</v>
      </c>
      <c r="E1003" s="57">
        <f t="shared" ref="E1003" si="419">SUM(E1001:E1002)</f>
        <v>0</v>
      </c>
      <c r="F1003" s="58">
        <v>0</v>
      </c>
      <c r="G1003" s="58">
        <v>0</v>
      </c>
      <c r="H1003" s="59">
        <f>SUM(H1001:H1002)</f>
        <v>0</v>
      </c>
      <c r="I1003" s="59"/>
      <c r="J1003" s="60">
        <f t="shared" ref="J1003:Q1003" si="420">SUM(J1001:J1002)</f>
        <v>0</v>
      </c>
      <c r="K1003" s="61">
        <f t="shared" si="420"/>
        <v>0</v>
      </c>
      <c r="L1003" s="62">
        <f t="shared" si="420"/>
        <v>0</v>
      </c>
      <c r="M1003" s="62">
        <f t="shared" si="420"/>
        <v>0</v>
      </c>
      <c r="N1003" s="63">
        <f t="shared" si="420"/>
        <v>0</v>
      </c>
      <c r="O1003" s="64">
        <f t="shared" si="420"/>
        <v>0</v>
      </c>
      <c r="P1003" s="63">
        <f t="shared" si="420"/>
        <v>0</v>
      </c>
      <c r="Q1003" s="65">
        <f t="shared" si="420"/>
        <v>0</v>
      </c>
      <c r="R1003" s="1"/>
      <c r="S1003" s="1"/>
      <c r="T1003" s="1"/>
    </row>
    <row r="1004" spans="1:20" ht="13.5" hidden="1" customHeight="1" x14ac:dyDescent="0.25">
      <c r="A1004" s="1"/>
      <c r="B1004" s="1"/>
      <c r="C1004" s="1"/>
      <c r="D1004" s="42"/>
      <c r="E1004" s="67"/>
      <c r="F1004" s="45"/>
      <c r="G1004" s="45"/>
      <c r="H1004" s="74"/>
      <c r="I1004" s="66"/>
      <c r="J1004" s="48"/>
      <c r="K1004" s="49"/>
      <c r="L1004" s="77"/>
      <c r="M1004" s="77"/>
      <c r="N1004" s="53"/>
      <c r="O1004" s="52"/>
      <c r="P1004" s="53"/>
      <c r="Q1004" s="54"/>
      <c r="R1004" s="1"/>
      <c r="S1004" s="1"/>
      <c r="T1004" s="1"/>
    </row>
    <row r="1005" spans="1:20" ht="13.5" customHeight="1" x14ac:dyDescent="0.25">
      <c r="A1005" s="1"/>
      <c r="B1005" s="1" t="s">
        <v>987</v>
      </c>
      <c r="C1005" s="1" t="s">
        <v>988</v>
      </c>
      <c r="D1005" s="42">
        <v>5000</v>
      </c>
      <c r="E1005" s="70">
        <v>0</v>
      </c>
      <c r="F1005" s="45">
        <v>5000</v>
      </c>
      <c r="G1005" s="45">
        <v>5000</v>
      </c>
      <c r="H1005" s="74">
        <v>0</v>
      </c>
      <c r="I1005" s="47">
        <f t="shared" ref="I1005:I1007" si="421">H1005/J1005</f>
        <v>0</v>
      </c>
      <c r="J1005" s="48">
        <v>5000</v>
      </c>
      <c r="K1005" s="49">
        <v>5000</v>
      </c>
      <c r="L1005" s="77">
        <v>0</v>
      </c>
      <c r="M1005" s="77">
        <v>0</v>
      </c>
      <c r="N1005" s="53" t="s">
        <v>16</v>
      </c>
      <c r="O1005" s="52">
        <v>0</v>
      </c>
      <c r="P1005" s="53">
        <v>0</v>
      </c>
      <c r="Q1005" s="54">
        <v>0</v>
      </c>
      <c r="R1005" s="1"/>
      <c r="S1005" s="1"/>
      <c r="T1005" s="1"/>
    </row>
    <row r="1006" spans="1:20" ht="13.5" customHeight="1" x14ac:dyDescent="0.25">
      <c r="A1006" s="1"/>
      <c r="B1006" s="1" t="s">
        <v>989</v>
      </c>
      <c r="C1006" s="1" t="s">
        <v>990</v>
      </c>
      <c r="D1006" s="42">
        <v>12500</v>
      </c>
      <c r="E1006" s="70">
        <v>0</v>
      </c>
      <c r="F1006" s="45">
        <v>12500</v>
      </c>
      <c r="G1006" s="45">
        <v>12500</v>
      </c>
      <c r="H1006" s="74">
        <v>0</v>
      </c>
      <c r="I1006" s="47">
        <f t="shared" si="421"/>
        <v>0</v>
      </c>
      <c r="J1006" s="48">
        <v>12500</v>
      </c>
      <c r="K1006" s="49">
        <v>12500</v>
      </c>
      <c r="L1006" s="77">
        <v>0</v>
      </c>
      <c r="M1006" s="77">
        <v>0</v>
      </c>
      <c r="N1006" s="51">
        <v>8685.1299999999992</v>
      </c>
      <c r="O1006" s="52">
        <v>0</v>
      </c>
      <c r="P1006" s="53">
        <v>0</v>
      </c>
      <c r="Q1006" s="54">
        <v>0</v>
      </c>
      <c r="R1006" s="1"/>
      <c r="S1006" s="1"/>
      <c r="T1006" s="1"/>
    </row>
    <row r="1007" spans="1:20" ht="13.5" customHeight="1" x14ac:dyDescent="0.25">
      <c r="A1007" s="1"/>
      <c r="B1007" s="1" t="s">
        <v>991</v>
      </c>
      <c r="C1007" s="1" t="s">
        <v>72</v>
      </c>
      <c r="D1007" s="42">
        <v>5000</v>
      </c>
      <c r="E1007" s="70">
        <v>0</v>
      </c>
      <c r="F1007" s="45">
        <v>5000</v>
      </c>
      <c r="G1007" s="45">
        <v>5000</v>
      </c>
      <c r="H1007" s="74">
        <v>0</v>
      </c>
      <c r="I1007" s="47">
        <f t="shared" si="421"/>
        <v>0</v>
      </c>
      <c r="J1007" s="48">
        <v>5000</v>
      </c>
      <c r="K1007" s="49">
        <v>5000</v>
      </c>
      <c r="L1007" s="77">
        <v>0</v>
      </c>
      <c r="M1007" s="77">
        <v>0</v>
      </c>
      <c r="N1007" s="53" t="s">
        <v>16</v>
      </c>
      <c r="O1007" s="52"/>
      <c r="P1007" s="53"/>
      <c r="Q1007" s="54">
        <v>0</v>
      </c>
      <c r="R1007" s="1"/>
      <c r="S1007" s="1"/>
      <c r="T1007" s="1"/>
    </row>
    <row r="1008" spans="1:20" ht="13.5" customHeight="1" x14ac:dyDescent="0.25">
      <c r="A1008" s="1"/>
      <c r="B1008" s="1"/>
      <c r="C1008" s="1"/>
      <c r="D1008" s="56">
        <v>22500</v>
      </c>
      <c r="E1008" s="57">
        <f t="shared" ref="E1008" si="422">SUM(E1005:E1007)</f>
        <v>0</v>
      </c>
      <c r="F1008" s="58">
        <f>SUM(F1004:F1007)</f>
        <v>22500</v>
      </c>
      <c r="G1008" s="58">
        <v>22500</v>
      </c>
      <c r="H1008" s="59">
        <f>SUM(H1005:H1007)</f>
        <v>0</v>
      </c>
      <c r="I1008" s="59"/>
      <c r="J1008" s="60">
        <f t="shared" ref="J1008:Q1008" si="423">SUM(J1005:J1007)</f>
        <v>22500</v>
      </c>
      <c r="K1008" s="61">
        <f t="shared" si="423"/>
        <v>22500</v>
      </c>
      <c r="L1008" s="62">
        <f t="shared" si="423"/>
        <v>0</v>
      </c>
      <c r="M1008" s="62">
        <f t="shared" si="423"/>
        <v>0</v>
      </c>
      <c r="N1008" s="63">
        <f t="shared" si="423"/>
        <v>8685.1299999999992</v>
      </c>
      <c r="O1008" s="64">
        <f t="shared" si="423"/>
        <v>0</v>
      </c>
      <c r="P1008" s="63">
        <f t="shared" si="423"/>
        <v>0</v>
      </c>
      <c r="Q1008" s="65">
        <f t="shared" si="423"/>
        <v>0</v>
      </c>
      <c r="R1008" s="1"/>
      <c r="S1008" s="1"/>
      <c r="T1008" s="1"/>
    </row>
    <row r="1009" spans="1:20" ht="13.5" customHeight="1" thickBot="1" x14ac:dyDescent="0.3">
      <c r="A1009" s="1"/>
      <c r="B1009" s="1"/>
      <c r="C1009" s="116" t="s">
        <v>992</v>
      </c>
      <c r="D1009" s="267">
        <v>398800</v>
      </c>
      <c r="E1009" s="173">
        <f t="shared" ref="E1009" si="424">SUM(E985+E999+E1003+E1008)</f>
        <v>42706.94</v>
      </c>
      <c r="F1009" s="174">
        <f>SUM(F985,F999,F1008)</f>
        <v>398800</v>
      </c>
      <c r="G1009" s="174">
        <v>398800</v>
      </c>
      <c r="H1009" s="175">
        <f>SUM(H985+H999+H1003+H1008)</f>
        <v>174351.41000000003</v>
      </c>
      <c r="I1009" s="175"/>
      <c r="J1009" s="176">
        <f t="shared" ref="J1009:Q1009" si="425">SUM(J985+J999+J1003+J1008)</f>
        <v>398800</v>
      </c>
      <c r="K1009" s="177">
        <f t="shared" si="425"/>
        <v>398800</v>
      </c>
      <c r="L1009" s="178">
        <f t="shared" si="425"/>
        <v>97389.74000000002</v>
      </c>
      <c r="M1009" s="178">
        <f t="shared" si="425"/>
        <v>112917.53</v>
      </c>
      <c r="N1009" s="179">
        <f t="shared" si="425"/>
        <v>296319.77999999997</v>
      </c>
      <c r="O1009" s="180">
        <f t="shared" si="425"/>
        <v>158670.97</v>
      </c>
      <c r="P1009" s="179">
        <f t="shared" si="425"/>
        <v>43982.68</v>
      </c>
      <c r="Q1009" s="181">
        <f t="shared" si="425"/>
        <v>0</v>
      </c>
      <c r="R1009" s="1"/>
      <c r="S1009" s="1"/>
      <c r="T1009" s="1"/>
    </row>
    <row r="1010" spans="1:20" ht="13.5" customHeight="1" thickTop="1" x14ac:dyDescent="0.25">
      <c r="A1010" s="1"/>
      <c r="B1010" s="206"/>
      <c r="C1010" s="1"/>
      <c r="D1010" s="42"/>
      <c r="E1010" s="67"/>
      <c r="F1010" s="45"/>
      <c r="G1010" s="45"/>
      <c r="H1010" s="74"/>
      <c r="I1010" s="66"/>
      <c r="J1010" s="48"/>
      <c r="K1010" s="49"/>
      <c r="L1010" s="77"/>
      <c r="M1010" s="77"/>
      <c r="N1010" s="53"/>
      <c r="O1010" s="52"/>
      <c r="P1010" s="53"/>
      <c r="Q1010" s="54"/>
      <c r="R1010" s="1"/>
      <c r="S1010" s="1"/>
      <c r="T1010" s="1"/>
    </row>
    <row r="1011" spans="1:20" ht="13.5" customHeight="1" x14ac:dyDescent="0.25">
      <c r="A1011" s="1"/>
      <c r="B1011" s="1"/>
      <c r="C1011" s="41"/>
      <c r="D1011" s="42"/>
      <c r="E1011" s="67"/>
      <c r="F1011" s="45"/>
      <c r="G1011" s="45"/>
      <c r="H1011" s="74"/>
      <c r="I1011" s="66"/>
      <c r="J1011" s="48"/>
      <c r="K1011" s="49"/>
      <c r="L1011" s="77"/>
      <c r="M1011" s="77"/>
      <c r="N1011" s="53"/>
      <c r="O1011" s="52"/>
      <c r="P1011" s="53"/>
      <c r="Q1011" s="54"/>
      <c r="R1011" s="1"/>
      <c r="S1011" s="1"/>
      <c r="T1011" s="1"/>
    </row>
    <row r="1012" spans="1:20" ht="13.5" customHeight="1" x14ac:dyDescent="0.25">
      <c r="A1012" s="1"/>
      <c r="B1012" s="1"/>
      <c r="C1012" s="41" t="s">
        <v>993</v>
      </c>
      <c r="D1012" s="42"/>
      <c r="E1012" s="67"/>
      <c r="F1012" s="45"/>
      <c r="G1012" s="45"/>
      <c r="H1012" s="74"/>
      <c r="I1012" s="66"/>
      <c r="J1012" s="48"/>
      <c r="K1012" s="49"/>
      <c r="L1012" s="77"/>
      <c r="M1012" s="77"/>
      <c r="N1012" s="53"/>
      <c r="O1012" s="52"/>
      <c r="P1012" s="53"/>
      <c r="Q1012" s="54"/>
      <c r="R1012" s="1"/>
      <c r="S1012" s="1"/>
      <c r="T1012" s="1"/>
    </row>
    <row r="1013" spans="1:20" ht="13.5" customHeight="1" x14ac:dyDescent="0.25">
      <c r="A1013" s="1"/>
      <c r="B1013" s="1" t="s">
        <v>994</v>
      </c>
      <c r="C1013" s="1" t="s">
        <v>420</v>
      </c>
      <c r="D1013" s="42">
        <v>499851</v>
      </c>
      <c r="E1013" s="43">
        <v>233140.12</v>
      </c>
      <c r="F1013" s="45">
        <v>492692</v>
      </c>
      <c r="G1013" s="45">
        <v>492692</v>
      </c>
      <c r="H1013" s="46">
        <v>467367.87</v>
      </c>
      <c r="I1013" s="47">
        <f>H1013/J1013</f>
        <v>0.98800084135936617</v>
      </c>
      <c r="J1013" s="48">
        <v>473044</v>
      </c>
      <c r="K1013" s="49">
        <v>473044</v>
      </c>
      <c r="L1013" s="50">
        <v>430212.77</v>
      </c>
      <c r="M1013" s="50">
        <v>442616.6</v>
      </c>
      <c r="N1013" s="51">
        <v>410026.05</v>
      </c>
      <c r="O1013" s="52">
        <v>373515.69</v>
      </c>
      <c r="P1013" s="53">
        <v>357476.04</v>
      </c>
      <c r="Q1013" s="54">
        <v>323717.94</v>
      </c>
      <c r="R1013" s="1"/>
      <c r="S1013" s="1"/>
      <c r="T1013" s="1"/>
    </row>
    <row r="1014" spans="1:20" ht="13.5" customHeight="1" x14ac:dyDescent="0.25">
      <c r="A1014" s="1"/>
      <c r="B1014" s="1" t="s">
        <v>995</v>
      </c>
      <c r="C1014" s="1" t="s">
        <v>237</v>
      </c>
      <c r="D1014" s="42">
        <v>0</v>
      </c>
      <c r="E1014" s="70">
        <v>0</v>
      </c>
      <c r="F1014" s="73">
        <v>0</v>
      </c>
      <c r="G1014" s="73">
        <v>0</v>
      </c>
      <c r="H1014" s="74">
        <v>0</v>
      </c>
      <c r="I1014" s="74">
        <v>0</v>
      </c>
      <c r="J1014" s="75">
        <v>0</v>
      </c>
      <c r="K1014" s="76">
        <v>0</v>
      </c>
      <c r="L1014" s="77">
        <v>0</v>
      </c>
      <c r="M1014" s="50">
        <v>2044.25</v>
      </c>
      <c r="N1014" s="51">
        <v>10225.75</v>
      </c>
      <c r="O1014" s="52">
        <v>23814.94</v>
      </c>
      <c r="P1014" s="53">
        <v>49725.31</v>
      </c>
      <c r="Q1014" s="54">
        <v>56007.89</v>
      </c>
      <c r="R1014" s="1"/>
      <c r="S1014" s="1"/>
      <c r="T1014" s="1"/>
    </row>
    <row r="1015" spans="1:20" ht="13.5" hidden="1" customHeight="1" x14ac:dyDescent="0.25">
      <c r="A1015" s="1"/>
      <c r="B1015" s="1" t="s">
        <v>996</v>
      </c>
      <c r="C1015" s="1" t="s">
        <v>423</v>
      </c>
      <c r="D1015" s="42">
        <v>0</v>
      </c>
      <c r="E1015" s="43">
        <v>0</v>
      </c>
      <c r="F1015" s="45">
        <v>0</v>
      </c>
      <c r="G1015" s="45">
        <v>0</v>
      </c>
      <c r="H1015" s="46">
        <v>18130.38</v>
      </c>
      <c r="I1015" s="47">
        <f>H1015/J1015</f>
        <v>0.95892420796530387</v>
      </c>
      <c r="J1015" s="48">
        <v>18907</v>
      </c>
      <c r="K1015" s="49">
        <v>18907</v>
      </c>
      <c r="L1015" s="50">
        <v>15924.65</v>
      </c>
      <c r="M1015" s="50">
        <v>17611.63</v>
      </c>
      <c r="N1015" s="51">
        <v>16682.990000000002</v>
      </c>
      <c r="O1015" s="52">
        <v>16020.83</v>
      </c>
      <c r="P1015" s="53">
        <v>15002.82</v>
      </c>
      <c r="Q1015" s="54">
        <v>15210.14</v>
      </c>
      <c r="R1015" s="1"/>
      <c r="S1015" s="1"/>
      <c r="T1015" s="1"/>
    </row>
    <row r="1016" spans="1:20" ht="13.5" hidden="1" customHeight="1" x14ac:dyDescent="0.25">
      <c r="A1016" s="1"/>
      <c r="B1016" s="1" t="s">
        <v>997</v>
      </c>
      <c r="C1016" s="1" t="s">
        <v>425</v>
      </c>
      <c r="D1016" s="42">
        <v>0</v>
      </c>
      <c r="E1016" s="70">
        <v>0</v>
      </c>
      <c r="F1016" s="73">
        <v>0</v>
      </c>
      <c r="G1016" s="73">
        <v>0</v>
      </c>
      <c r="H1016" s="74">
        <v>0</v>
      </c>
      <c r="I1016" s="74">
        <v>0</v>
      </c>
      <c r="J1016" s="75">
        <v>0</v>
      </c>
      <c r="K1016" s="76">
        <v>0</v>
      </c>
      <c r="L1016" s="50">
        <v>0</v>
      </c>
      <c r="M1016" s="50">
        <v>85.65</v>
      </c>
      <c r="N1016" s="51">
        <v>174.32</v>
      </c>
      <c r="O1016" s="52">
        <v>131.55000000000001</v>
      </c>
      <c r="P1016" s="53">
        <v>224.65</v>
      </c>
      <c r="Q1016" s="54">
        <v>34.61</v>
      </c>
      <c r="R1016" s="1"/>
      <c r="S1016" s="1"/>
      <c r="T1016" s="1"/>
    </row>
    <row r="1017" spans="1:20" ht="13.5" customHeight="1" x14ac:dyDescent="0.25">
      <c r="A1017" s="1"/>
      <c r="B1017" s="1" t="s">
        <v>998</v>
      </c>
      <c r="C1017" s="1" t="s">
        <v>241</v>
      </c>
      <c r="D1017" s="42">
        <v>500</v>
      </c>
      <c r="E1017" s="70">
        <v>0</v>
      </c>
      <c r="F1017" s="45">
        <v>500</v>
      </c>
      <c r="G1017" s="45">
        <v>500</v>
      </c>
      <c r="H1017" s="68">
        <v>40.630000000000003</v>
      </c>
      <c r="I1017" s="47">
        <f>H1017/J1017</f>
        <v>8.1259999999999999E-2</v>
      </c>
      <c r="J1017" s="48">
        <v>500</v>
      </c>
      <c r="K1017" s="49">
        <v>500</v>
      </c>
      <c r="L1017" s="77">
        <v>306.43</v>
      </c>
      <c r="M1017" s="77">
        <v>0</v>
      </c>
      <c r="N1017" s="51">
        <v>140.27000000000001</v>
      </c>
      <c r="O1017" s="52">
        <v>0</v>
      </c>
      <c r="P1017" s="53">
        <v>0</v>
      </c>
      <c r="Q1017" s="54">
        <v>0</v>
      </c>
      <c r="R1017" s="1"/>
      <c r="S1017" s="1"/>
      <c r="T1017" s="1"/>
    </row>
    <row r="1018" spans="1:20" ht="13.5" customHeight="1" x14ac:dyDescent="0.25">
      <c r="A1018" s="1"/>
      <c r="B1018" s="1"/>
      <c r="C1018" s="1"/>
      <c r="D1018" s="56">
        <v>500351</v>
      </c>
      <c r="E1018" s="57">
        <f t="shared" ref="E1018" si="426">SUM(E1013:E1017)</f>
        <v>233140.12</v>
      </c>
      <c r="F1018" s="58">
        <f>SUM(F1012:F1017)</f>
        <v>493192</v>
      </c>
      <c r="G1018" s="58">
        <v>493192</v>
      </c>
      <c r="H1018" s="59">
        <f>SUM(H1013:H1017)</f>
        <v>485538.88</v>
      </c>
      <c r="I1018" s="59"/>
      <c r="J1018" s="60">
        <f t="shared" ref="J1018:Q1018" si="427">SUM(J1013:J1017)</f>
        <v>492451</v>
      </c>
      <c r="K1018" s="61">
        <f t="shared" si="427"/>
        <v>492451</v>
      </c>
      <c r="L1018" s="62">
        <f t="shared" si="427"/>
        <v>446443.85000000003</v>
      </c>
      <c r="M1018" s="62">
        <f t="shared" si="427"/>
        <v>462358.13</v>
      </c>
      <c r="N1018" s="63">
        <f t="shared" si="427"/>
        <v>437249.38</v>
      </c>
      <c r="O1018" s="64">
        <f t="shared" si="427"/>
        <v>413483.01</v>
      </c>
      <c r="P1018" s="63">
        <f t="shared" si="427"/>
        <v>422428.82</v>
      </c>
      <c r="Q1018" s="65">
        <f t="shared" si="427"/>
        <v>394970.58</v>
      </c>
      <c r="R1018" s="1"/>
      <c r="S1018" s="1"/>
      <c r="T1018" s="1"/>
    </row>
    <row r="1019" spans="1:20" ht="13.5" customHeight="1" x14ac:dyDescent="0.25">
      <c r="A1019" s="1"/>
      <c r="B1019" s="1"/>
      <c r="C1019" s="1"/>
      <c r="D1019" s="42"/>
      <c r="E1019" s="67"/>
      <c r="F1019" s="45"/>
      <c r="G1019" s="45"/>
      <c r="H1019" s="74"/>
      <c r="I1019" s="66"/>
      <c r="J1019" s="48"/>
      <c r="K1019" s="49"/>
      <c r="L1019" s="77"/>
      <c r="M1019" s="77"/>
      <c r="N1019" s="51"/>
      <c r="O1019" s="52"/>
      <c r="P1019" s="53"/>
      <c r="Q1019" s="54"/>
      <c r="R1019" s="1"/>
      <c r="S1019" s="1"/>
      <c r="T1019" s="1"/>
    </row>
    <row r="1020" spans="1:20" ht="13.5" customHeight="1" x14ac:dyDescent="0.25">
      <c r="A1020" s="1"/>
      <c r="B1020" s="1" t="s">
        <v>999</v>
      </c>
      <c r="C1020" s="1" t="s">
        <v>247</v>
      </c>
      <c r="D1020" s="42">
        <v>38276.851499999997</v>
      </c>
      <c r="E1020" s="43">
        <v>15699.53</v>
      </c>
      <c r="F1020" s="45">
        <v>37729.188000000002</v>
      </c>
      <c r="G1020" s="45">
        <v>37729.188000000002</v>
      </c>
      <c r="H1020" s="46">
        <v>32352.6</v>
      </c>
      <c r="I1020" s="47">
        <f t="shared" ref="I1020:I1024" si="428">H1020/J1020</f>
        <v>0.85877418841079811</v>
      </c>
      <c r="J1020" s="48">
        <v>37673</v>
      </c>
      <c r="K1020" s="49">
        <v>37673</v>
      </c>
      <c r="L1020" s="50">
        <v>30029.03</v>
      </c>
      <c r="M1020" s="50">
        <v>31152.22</v>
      </c>
      <c r="N1020" s="51">
        <v>30550.57</v>
      </c>
      <c r="O1020" s="52">
        <v>29525.83</v>
      </c>
      <c r="P1020" s="53">
        <v>30711.41</v>
      </c>
      <c r="Q1020" s="54">
        <v>29044.639999999999</v>
      </c>
      <c r="R1020" s="1"/>
      <c r="S1020" s="1"/>
      <c r="T1020" s="1"/>
    </row>
    <row r="1021" spans="1:20" ht="13.5" customHeight="1" x14ac:dyDescent="0.25">
      <c r="A1021" s="1"/>
      <c r="B1021" s="1" t="s">
        <v>1000</v>
      </c>
      <c r="C1021" s="1" t="s">
        <v>249</v>
      </c>
      <c r="D1021" s="42">
        <v>94170.91320000001</v>
      </c>
      <c r="E1021" s="43">
        <v>48270.75</v>
      </c>
      <c r="F1021" s="45">
        <v>94169.462400000004</v>
      </c>
      <c r="G1021" s="45">
        <v>94169.462400000004</v>
      </c>
      <c r="H1021" s="46">
        <v>87335.34</v>
      </c>
      <c r="I1021" s="47">
        <f t="shared" si="428"/>
        <v>0.94721741393896008</v>
      </c>
      <c r="J1021" s="48">
        <v>92202</v>
      </c>
      <c r="K1021" s="49">
        <v>92202</v>
      </c>
      <c r="L1021" s="50">
        <v>80274.17</v>
      </c>
      <c r="M1021" s="50">
        <v>87801.04</v>
      </c>
      <c r="N1021" s="51">
        <v>79635.759999999995</v>
      </c>
      <c r="O1021" s="52">
        <v>80993.279999999999</v>
      </c>
      <c r="P1021" s="53">
        <v>76505.600000000006</v>
      </c>
      <c r="Q1021" s="54">
        <v>63405.120000000003</v>
      </c>
      <c r="R1021" s="1"/>
      <c r="S1021" s="1"/>
      <c r="T1021" s="1"/>
    </row>
    <row r="1022" spans="1:20" ht="13.5" customHeight="1" x14ac:dyDescent="0.25">
      <c r="A1022" s="1"/>
      <c r="B1022" s="1" t="s">
        <v>1001</v>
      </c>
      <c r="C1022" s="1" t="s">
        <v>251</v>
      </c>
      <c r="D1022" s="42">
        <v>75152.720200000011</v>
      </c>
      <c r="E1022" s="43">
        <v>35017.660000000003</v>
      </c>
      <c r="F1022" s="45">
        <v>74077.438400000014</v>
      </c>
      <c r="G1022" s="45">
        <v>74077.438400000014</v>
      </c>
      <c r="H1022" s="46">
        <v>70566.48</v>
      </c>
      <c r="I1022" s="47">
        <f t="shared" si="428"/>
        <v>0.98688856567464756</v>
      </c>
      <c r="J1022" s="48">
        <v>71504</v>
      </c>
      <c r="K1022" s="49">
        <v>71504</v>
      </c>
      <c r="L1022" s="50">
        <v>64649.56</v>
      </c>
      <c r="M1022" s="50">
        <v>64402.76</v>
      </c>
      <c r="N1022" s="51">
        <v>60096.65</v>
      </c>
      <c r="O1022" s="52">
        <v>55866.54</v>
      </c>
      <c r="P1022" s="53">
        <v>57751.08</v>
      </c>
      <c r="Q1022" s="54">
        <v>50179.360000000001</v>
      </c>
      <c r="R1022" s="1"/>
      <c r="S1022" s="1"/>
      <c r="T1022" s="1"/>
    </row>
    <row r="1023" spans="1:20" ht="13.5" customHeight="1" x14ac:dyDescent="0.25">
      <c r="A1023" s="1"/>
      <c r="B1023" s="1" t="s">
        <v>1002</v>
      </c>
      <c r="C1023" s="1" t="s">
        <v>253</v>
      </c>
      <c r="D1023" s="42">
        <v>800.56160000000011</v>
      </c>
      <c r="E1023" s="43">
        <v>373.03</v>
      </c>
      <c r="F1023" s="45">
        <v>789.10719999999981</v>
      </c>
      <c r="G1023" s="45">
        <v>789.10719999999981</v>
      </c>
      <c r="H1023" s="46">
        <v>776.88</v>
      </c>
      <c r="I1023" s="47">
        <f t="shared" si="428"/>
        <v>0.98588832487309641</v>
      </c>
      <c r="J1023" s="48">
        <v>788</v>
      </c>
      <c r="K1023" s="49">
        <v>788</v>
      </c>
      <c r="L1023" s="50">
        <v>815.79</v>
      </c>
      <c r="M1023" s="50">
        <v>880.67</v>
      </c>
      <c r="N1023" s="51">
        <v>1043.5999999999999</v>
      </c>
      <c r="O1023" s="52">
        <v>1101.4000000000001</v>
      </c>
      <c r="P1023" s="53">
        <v>1045.6400000000001</v>
      </c>
      <c r="Q1023" s="54">
        <v>942.62</v>
      </c>
      <c r="R1023" s="1"/>
      <c r="S1023" s="1"/>
      <c r="T1023" s="1"/>
    </row>
    <row r="1024" spans="1:20" ht="13.5" customHeight="1" x14ac:dyDescent="0.25">
      <c r="A1024" s="1"/>
      <c r="B1024" s="1" t="s">
        <v>1003</v>
      </c>
      <c r="C1024" s="1" t="s">
        <v>255</v>
      </c>
      <c r="D1024" s="42">
        <v>3160.0799999999995</v>
      </c>
      <c r="E1024" s="43">
        <v>1477.64</v>
      </c>
      <c r="F1024" s="45">
        <v>3015</v>
      </c>
      <c r="G1024" s="45">
        <v>3015</v>
      </c>
      <c r="H1024" s="46">
        <v>2779.42</v>
      </c>
      <c r="I1024" s="47">
        <f t="shared" si="428"/>
        <v>0.95908212560386474</v>
      </c>
      <c r="J1024" s="48">
        <v>2898</v>
      </c>
      <c r="K1024" s="49">
        <v>2898</v>
      </c>
      <c r="L1024" s="50">
        <v>2481.6799999999998</v>
      </c>
      <c r="M1024" s="50">
        <v>2619</v>
      </c>
      <c r="N1024" s="51">
        <v>2748.12</v>
      </c>
      <c r="O1024" s="52">
        <v>2641.2</v>
      </c>
      <c r="P1024" s="53">
        <v>2521</v>
      </c>
      <c r="Q1024" s="54">
        <v>2062.52</v>
      </c>
      <c r="R1024" s="1"/>
      <c r="S1024" s="1"/>
      <c r="T1024" s="1"/>
    </row>
    <row r="1025" spans="1:20" ht="13.5" customHeight="1" x14ac:dyDescent="0.25">
      <c r="A1025" s="1"/>
      <c r="B1025" s="1"/>
      <c r="C1025" s="1"/>
      <c r="D1025" s="56">
        <v>211561.12649999998</v>
      </c>
      <c r="E1025" s="57">
        <f t="shared" ref="E1025" si="429">SUM(E1020:E1024)</f>
        <v>100838.61</v>
      </c>
      <c r="F1025" s="58">
        <f>SUM(F1019:F1024)</f>
        <v>209780.19600000003</v>
      </c>
      <c r="G1025" s="58">
        <v>209780.19600000003</v>
      </c>
      <c r="H1025" s="59">
        <f>SUM(H1020:H1024)</f>
        <v>193810.72</v>
      </c>
      <c r="I1025" s="59"/>
      <c r="J1025" s="60">
        <f t="shared" ref="J1025:Q1025" si="430">SUM(J1020:J1024)</f>
        <v>205065</v>
      </c>
      <c r="K1025" s="61">
        <f t="shared" si="430"/>
        <v>205065</v>
      </c>
      <c r="L1025" s="62">
        <f t="shared" si="430"/>
        <v>178250.23</v>
      </c>
      <c r="M1025" s="62">
        <f t="shared" si="430"/>
        <v>186855.69</v>
      </c>
      <c r="N1025" s="63">
        <f t="shared" si="430"/>
        <v>174074.69999999998</v>
      </c>
      <c r="O1025" s="64">
        <f t="shared" si="430"/>
        <v>170128.25</v>
      </c>
      <c r="P1025" s="63">
        <f t="shared" si="430"/>
        <v>168534.73000000004</v>
      </c>
      <c r="Q1025" s="65">
        <f t="shared" si="430"/>
        <v>145634.25999999998</v>
      </c>
      <c r="R1025" s="1"/>
      <c r="S1025" s="1"/>
      <c r="T1025" s="1"/>
    </row>
    <row r="1026" spans="1:20" ht="13.5" customHeight="1" x14ac:dyDescent="0.25">
      <c r="A1026" s="1"/>
      <c r="B1026" s="1"/>
      <c r="C1026" s="1"/>
      <c r="D1026" s="42"/>
      <c r="E1026" s="44"/>
      <c r="F1026" s="45"/>
      <c r="G1026" s="45"/>
      <c r="H1026" s="66"/>
      <c r="I1026" s="66"/>
      <c r="J1026" s="48"/>
      <c r="K1026" s="49"/>
      <c r="L1026" s="50"/>
      <c r="M1026" s="50"/>
      <c r="N1026" s="51"/>
      <c r="O1026" s="52"/>
      <c r="P1026" s="53"/>
      <c r="Q1026" s="54"/>
      <c r="R1026" s="1"/>
      <c r="S1026" s="1"/>
      <c r="T1026" s="1"/>
    </row>
    <row r="1027" spans="1:20" ht="13.5" customHeight="1" x14ac:dyDescent="0.25">
      <c r="A1027" s="1"/>
      <c r="B1027" s="1" t="s">
        <v>1004</v>
      </c>
      <c r="C1027" s="1" t="s">
        <v>259</v>
      </c>
      <c r="D1027" s="42">
        <v>2000</v>
      </c>
      <c r="E1027" s="43">
        <v>836.12</v>
      </c>
      <c r="F1027" s="45">
        <v>2500</v>
      </c>
      <c r="G1027" s="45">
        <v>2500</v>
      </c>
      <c r="H1027" s="46">
        <v>993.66</v>
      </c>
      <c r="I1027" s="47">
        <f t="shared" ref="I1027:I1028" si="431">H1027/J1027</f>
        <v>0.60998158379373846</v>
      </c>
      <c r="J1027" s="48">
        <v>1629</v>
      </c>
      <c r="K1027" s="49">
        <v>2500</v>
      </c>
      <c r="L1027" s="50">
        <v>1375.14</v>
      </c>
      <c r="M1027" s="50">
        <v>1195.3399999999999</v>
      </c>
      <c r="N1027" s="51">
        <v>1890.05</v>
      </c>
      <c r="O1027" s="52">
        <v>2156.77</v>
      </c>
      <c r="P1027" s="53">
        <v>2217.81</v>
      </c>
      <c r="Q1027" s="54">
        <v>1468.44</v>
      </c>
      <c r="R1027" s="1"/>
      <c r="S1027" s="1"/>
      <c r="T1027" s="1"/>
    </row>
    <row r="1028" spans="1:20" ht="13.5" customHeight="1" x14ac:dyDescent="0.25">
      <c r="A1028" s="1"/>
      <c r="B1028" s="1" t="s">
        <v>1005</v>
      </c>
      <c r="C1028" s="1" t="s">
        <v>261</v>
      </c>
      <c r="D1028" s="42">
        <v>430</v>
      </c>
      <c r="E1028" s="43">
        <v>177.3</v>
      </c>
      <c r="F1028" s="45">
        <v>430</v>
      </c>
      <c r="G1028" s="45">
        <v>430</v>
      </c>
      <c r="H1028" s="46">
        <v>365.88</v>
      </c>
      <c r="I1028" s="47">
        <f t="shared" si="431"/>
        <v>1.0605217391304347</v>
      </c>
      <c r="J1028" s="48">
        <v>345</v>
      </c>
      <c r="K1028" s="49">
        <v>430</v>
      </c>
      <c r="L1028" s="50">
        <v>235.52</v>
      </c>
      <c r="M1028" s="50">
        <v>452.63</v>
      </c>
      <c r="N1028" s="51">
        <v>601.05999999999995</v>
      </c>
      <c r="O1028" s="52">
        <v>300.39999999999998</v>
      </c>
      <c r="P1028" s="53">
        <v>354.06</v>
      </c>
      <c r="Q1028" s="54">
        <v>318.41000000000003</v>
      </c>
      <c r="R1028" s="1"/>
      <c r="S1028" s="1"/>
      <c r="T1028" s="1"/>
    </row>
    <row r="1029" spans="1:20" ht="13.5" customHeight="1" x14ac:dyDescent="0.25">
      <c r="A1029" s="1"/>
      <c r="B1029" s="1" t="s">
        <v>1006</v>
      </c>
      <c r="C1029" s="55" t="s">
        <v>265</v>
      </c>
      <c r="D1029" s="42">
        <v>0</v>
      </c>
      <c r="E1029" s="43">
        <v>0</v>
      </c>
      <c r="F1029" s="73">
        <v>0</v>
      </c>
      <c r="G1029" s="73">
        <v>0</v>
      </c>
      <c r="H1029" s="46">
        <v>659.99</v>
      </c>
      <c r="I1029" s="47">
        <v>0</v>
      </c>
      <c r="J1029" s="75">
        <v>0</v>
      </c>
      <c r="K1029" s="76">
        <v>0</v>
      </c>
      <c r="L1029" s="50">
        <v>2639.96</v>
      </c>
      <c r="M1029" s="77" t="s">
        <v>16</v>
      </c>
      <c r="N1029" s="53" t="s">
        <v>16</v>
      </c>
      <c r="O1029" s="52">
        <v>0</v>
      </c>
      <c r="P1029" s="53">
        <v>0</v>
      </c>
      <c r="Q1029" s="54">
        <v>0</v>
      </c>
      <c r="R1029" s="1"/>
      <c r="S1029" s="1"/>
      <c r="T1029" s="1"/>
    </row>
    <row r="1030" spans="1:20" ht="13.5" customHeight="1" x14ac:dyDescent="0.25">
      <c r="A1030" s="1"/>
      <c r="B1030" s="1" t="s">
        <v>1007</v>
      </c>
      <c r="C1030" s="1" t="s">
        <v>438</v>
      </c>
      <c r="D1030" s="42">
        <v>0</v>
      </c>
      <c r="E1030" s="43">
        <v>0</v>
      </c>
      <c r="F1030" s="73">
        <v>0</v>
      </c>
      <c r="G1030" s="73">
        <v>0</v>
      </c>
      <c r="H1030" s="46">
        <v>292.41000000000003</v>
      </c>
      <c r="I1030" s="47">
        <f t="shared" ref="I1030:I1031" si="432">H1030/J1030</f>
        <v>3.4401176470588237</v>
      </c>
      <c r="J1030" s="48">
        <v>85</v>
      </c>
      <c r="K1030" s="76">
        <v>0</v>
      </c>
      <c r="L1030" s="77">
        <v>0</v>
      </c>
      <c r="M1030" s="77" t="s">
        <v>16</v>
      </c>
      <c r="N1030" s="53" t="s">
        <v>16</v>
      </c>
      <c r="O1030" s="52">
        <v>0</v>
      </c>
      <c r="P1030" s="53">
        <v>0</v>
      </c>
      <c r="Q1030" s="54">
        <v>0</v>
      </c>
      <c r="R1030" s="1"/>
      <c r="S1030" s="1"/>
      <c r="T1030" s="1"/>
    </row>
    <row r="1031" spans="1:20" ht="13.5" customHeight="1" x14ac:dyDescent="0.25">
      <c r="A1031" s="1"/>
      <c r="B1031" s="1" t="s">
        <v>1008</v>
      </c>
      <c r="C1031" s="1" t="s">
        <v>267</v>
      </c>
      <c r="D1031" s="42">
        <v>750</v>
      </c>
      <c r="E1031" s="43">
        <v>738.99</v>
      </c>
      <c r="F1031" s="45">
        <v>770</v>
      </c>
      <c r="G1031" s="45">
        <v>770</v>
      </c>
      <c r="H1031" s="46">
        <v>1965.64</v>
      </c>
      <c r="I1031" s="47">
        <f t="shared" si="432"/>
        <v>1.1978305911029861</v>
      </c>
      <c r="J1031" s="48">
        <v>1641</v>
      </c>
      <c r="K1031" s="49">
        <v>770</v>
      </c>
      <c r="L1031" s="50">
        <v>733.58</v>
      </c>
      <c r="M1031" s="50">
        <v>387.83</v>
      </c>
      <c r="N1031" s="51">
        <v>637.07000000000005</v>
      </c>
      <c r="O1031" s="52">
        <v>167.72</v>
      </c>
      <c r="P1031" s="53">
        <v>193.76</v>
      </c>
      <c r="Q1031" s="54">
        <v>0</v>
      </c>
      <c r="R1031" s="1"/>
      <c r="S1031" s="1"/>
      <c r="T1031" s="1"/>
    </row>
    <row r="1032" spans="1:20" ht="13.5" customHeight="1" x14ac:dyDescent="0.25">
      <c r="A1032" s="1"/>
      <c r="B1032" s="1"/>
      <c r="C1032" s="1"/>
      <c r="D1032" s="56">
        <v>3180</v>
      </c>
      <c r="E1032" s="57">
        <f t="shared" ref="E1032" si="433">SUM(E1027:E1031)</f>
        <v>1752.41</v>
      </c>
      <c r="F1032" s="58">
        <f>SUM(F1026:F1031)</f>
        <v>3700</v>
      </c>
      <c r="G1032" s="58">
        <v>3700</v>
      </c>
      <c r="H1032" s="59">
        <f>SUM(H1027:H1031)</f>
        <v>4277.58</v>
      </c>
      <c r="I1032" s="59"/>
      <c r="J1032" s="60">
        <f t="shared" ref="J1032:Q1032" si="434">SUM(J1027:J1031)</f>
        <v>3700</v>
      </c>
      <c r="K1032" s="61">
        <f t="shared" si="434"/>
        <v>3700</v>
      </c>
      <c r="L1032" s="62">
        <f t="shared" si="434"/>
        <v>4984.2</v>
      </c>
      <c r="M1032" s="62">
        <f t="shared" si="434"/>
        <v>2035.7999999999997</v>
      </c>
      <c r="N1032" s="63">
        <f t="shared" si="434"/>
        <v>3128.18</v>
      </c>
      <c r="O1032" s="64">
        <f t="shared" si="434"/>
        <v>2624.89</v>
      </c>
      <c r="P1032" s="63">
        <f t="shared" si="434"/>
        <v>2765.63</v>
      </c>
      <c r="Q1032" s="65">
        <f t="shared" si="434"/>
        <v>1786.8500000000001</v>
      </c>
      <c r="R1032" s="1"/>
      <c r="S1032" s="1"/>
      <c r="T1032" s="1"/>
    </row>
    <row r="1033" spans="1:20" ht="13.5" customHeight="1" x14ac:dyDescent="0.25">
      <c r="A1033" s="1"/>
      <c r="B1033" s="1"/>
      <c r="C1033" s="1"/>
      <c r="D1033" s="42"/>
      <c r="E1033" s="44"/>
      <c r="F1033" s="45"/>
      <c r="G1033" s="45"/>
      <c r="H1033" s="66"/>
      <c r="I1033" s="66"/>
      <c r="J1033" s="48"/>
      <c r="K1033" s="49"/>
      <c r="L1033" s="50"/>
      <c r="M1033" s="50"/>
      <c r="N1033" s="51"/>
      <c r="O1033" s="52"/>
      <c r="P1033" s="53"/>
      <c r="Q1033" s="54"/>
      <c r="R1033" s="1"/>
      <c r="S1033" s="1"/>
      <c r="T1033" s="1"/>
    </row>
    <row r="1034" spans="1:20" ht="13.5" customHeight="1" x14ac:dyDescent="0.25">
      <c r="A1034" s="1"/>
      <c r="B1034" s="1" t="s">
        <v>1009</v>
      </c>
      <c r="C1034" s="1" t="s">
        <v>271</v>
      </c>
      <c r="D1034" s="42">
        <v>500</v>
      </c>
      <c r="E1034" s="70">
        <v>0</v>
      </c>
      <c r="F1034" s="45">
        <v>1500</v>
      </c>
      <c r="G1034" s="45">
        <v>1500</v>
      </c>
      <c r="H1034" s="74">
        <v>0</v>
      </c>
      <c r="I1034" s="47">
        <f t="shared" ref="I1034:I1039" si="435">H1034/J1034</f>
        <v>0</v>
      </c>
      <c r="J1034" s="48">
        <v>1463</v>
      </c>
      <c r="K1034" s="49">
        <v>1500</v>
      </c>
      <c r="L1034" s="77">
        <v>0</v>
      </c>
      <c r="M1034" s="50">
        <v>120</v>
      </c>
      <c r="N1034" s="53" t="s">
        <v>16</v>
      </c>
      <c r="O1034" s="52">
        <v>0</v>
      </c>
      <c r="P1034" s="53">
        <v>0</v>
      </c>
      <c r="Q1034" s="54">
        <v>0</v>
      </c>
      <c r="R1034" s="1"/>
      <c r="S1034" s="1"/>
      <c r="T1034" s="1"/>
    </row>
    <row r="1035" spans="1:20" ht="13.5" customHeight="1" x14ac:dyDescent="0.25">
      <c r="A1035" s="1"/>
      <c r="B1035" s="1" t="s">
        <v>1010</v>
      </c>
      <c r="C1035" s="55" t="s">
        <v>273</v>
      </c>
      <c r="D1035" s="42">
        <v>200</v>
      </c>
      <c r="E1035" s="43">
        <v>96.15</v>
      </c>
      <c r="F1035" s="45">
        <v>315</v>
      </c>
      <c r="G1035" s="45">
        <v>315</v>
      </c>
      <c r="H1035" s="66">
        <v>68.91</v>
      </c>
      <c r="I1035" s="47">
        <f t="shared" si="435"/>
        <v>0.21876190476190474</v>
      </c>
      <c r="J1035" s="48">
        <v>315</v>
      </c>
      <c r="K1035" s="49">
        <v>315</v>
      </c>
      <c r="L1035" s="77">
        <v>0</v>
      </c>
      <c r="M1035" s="50">
        <v>289</v>
      </c>
      <c r="N1035" s="51">
        <v>86.4</v>
      </c>
      <c r="O1035" s="52">
        <v>0</v>
      </c>
      <c r="P1035" s="53">
        <v>199.68</v>
      </c>
      <c r="Q1035" s="54">
        <v>299.45</v>
      </c>
      <c r="R1035" s="1"/>
      <c r="S1035" s="1"/>
      <c r="T1035" s="1"/>
    </row>
    <row r="1036" spans="1:20" ht="13.5" customHeight="1" x14ac:dyDescent="0.25">
      <c r="A1036" s="1"/>
      <c r="B1036" s="1" t="s">
        <v>1011</v>
      </c>
      <c r="C1036" s="1" t="s">
        <v>404</v>
      </c>
      <c r="D1036" s="42">
        <v>4000</v>
      </c>
      <c r="E1036" s="44">
        <f>359+824</f>
        <v>1183</v>
      </c>
      <c r="F1036" s="45">
        <v>5135</v>
      </c>
      <c r="G1036" s="45">
        <v>5135</v>
      </c>
      <c r="H1036" s="46">
        <v>1659.67</v>
      </c>
      <c r="I1036" s="47">
        <f t="shared" si="435"/>
        <v>0.32320740019474198</v>
      </c>
      <c r="J1036" s="48">
        <v>5135</v>
      </c>
      <c r="K1036" s="49">
        <v>5135</v>
      </c>
      <c r="L1036" s="50">
        <v>1746.59</v>
      </c>
      <c r="M1036" s="50">
        <v>5210.57</v>
      </c>
      <c r="N1036" s="51">
        <v>3372.33</v>
      </c>
      <c r="O1036" s="52">
        <v>4822.04</v>
      </c>
      <c r="P1036" s="53">
        <v>2172.77</v>
      </c>
      <c r="Q1036" s="54">
        <v>3567.29</v>
      </c>
      <c r="R1036" s="1"/>
      <c r="S1036" s="1"/>
      <c r="T1036" s="1"/>
    </row>
    <row r="1037" spans="1:20" ht="13.5" customHeight="1" x14ac:dyDescent="0.25">
      <c r="A1037" s="1"/>
      <c r="B1037" s="1" t="s">
        <v>1012</v>
      </c>
      <c r="C1037" s="1" t="s">
        <v>277</v>
      </c>
      <c r="D1037" s="42">
        <v>1100</v>
      </c>
      <c r="E1037" s="43">
        <f>619.88+75</f>
        <v>694.88</v>
      </c>
      <c r="F1037" s="45">
        <v>1000</v>
      </c>
      <c r="G1037" s="45">
        <v>1000</v>
      </c>
      <c r="H1037" s="66">
        <v>1119.8800000000001</v>
      </c>
      <c r="I1037" s="47">
        <f t="shared" si="435"/>
        <v>1.1198800000000002</v>
      </c>
      <c r="J1037" s="48">
        <v>1000</v>
      </c>
      <c r="K1037" s="49">
        <v>1000</v>
      </c>
      <c r="L1037" s="50">
        <v>1218</v>
      </c>
      <c r="M1037" s="50">
        <v>1345.76</v>
      </c>
      <c r="N1037" s="51">
        <v>1040.8800000000001</v>
      </c>
      <c r="O1037" s="52">
        <v>766</v>
      </c>
      <c r="P1037" s="53">
        <v>694</v>
      </c>
      <c r="Q1037" s="54">
        <v>546</v>
      </c>
      <c r="R1037" s="1"/>
      <c r="S1037" s="1"/>
      <c r="T1037" s="1"/>
    </row>
    <row r="1038" spans="1:20" ht="13.5" customHeight="1" x14ac:dyDescent="0.25">
      <c r="A1038" s="1"/>
      <c r="B1038" s="1" t="s">
        <v>1013</v>
      </c>
      <c r="C1038" s="1" t="s">
        <v>279</v>
      </c>
      <c r="D1038" s="42">
        <v>105</v>
      </c>
      <c r="E1038" s="43">
        <v>92.5</v>
      </c>
      <c r="F1038" s="45">
        <v>105</v>
      </c>
      <c r="G1038" s="45">
        <v>105</v>
      </c>
      <c r="H1038" s="66">
        <v>142</v>
      </c>
      <c r="I1038" s="47">
        <f t="shared" si="435"/>
        <v>1</v>
      </c>
      <c r="J1038" s="48">
        <v>142</v>
      </c>
      <c r="K1038" s="49">
        <v>105</v>
      </c>
      <c r="L1038" s="50">
        <v>92.5</v>
      </c>
      <c r="M1038" s="50">
        <v>71</v>
      </c>
      <c r="N1038" s="51">
        <v>92.5</v>
      </c>
      <c r="O1038" s="52">
        <v>0</v>
      </c>
      <c r="P1038" s="53">
        <v>92.5</v>
      </c>
      <c r="Q1038" s="54">
        <v>71</v>
      </c>
      <c r="R1038" s="1"/>
      <c r="S1038" s="1"/>
      <c r="T1038" s="1"/>
    </row>
    <row r="1039" spans="1:20" ht="13.5" customHeight="1" x14ac:dyDescent="0.25">
      <c r="A1039" s="1"/>
      <c r="B1039" s="1" t="s">
        <v>1014</v>
      </c>
      <c r="C1039" s="1" t="s">
        <v>281</v>
      </c>
      <c r="D1039" s="42">
        <v>4450</v>
      </c>
      <c r="E1039" s="43">
        <v>1479.87</v>
      </c>
      <c r="F1039" s="45">
        <v>4450</v>
      </c>
      <c r="G1039" s="45">
        <v>4450</v>
      </c>
      <c r="H1039" s="46">
        <v>3504.72</v>
      </c>
      <c r="I1039" s="47">
        <f t="shared" si="435"/>
        <v>0.78757752808988757</v>
      </c>
      <c r="J1039" s="48">
        <v>4450</v>
      </c>
      <c r="K1039" s="49">
        <v>4450</v>
      </c>
      <c r="L1039" s="50">
        <v>3507.05</v>
      </c>
      <c r="M1039" s="50">
        <v>3767.48</v>
      </c>
      <c r="N1039" s="51">
        <v>3976.8</v>
      </c>
      <c r="O1039" s="52">
        <v>4276.32</v>
      </c>
      <c r="P1039" s="53">
        <v>4313.1899999999996</v>
      </c>
      <c r="Q1039" s="54">
        <v>4746.17</v>
      </c>
      <c r="R1039" s="1"/>
      <c r="S1039" s="1"/>
      <c r="T1039" s="1"/>
    </row>
    <row r="1040" spans="1:20" ht="13.5" customHeight="1" x14ac:dyDescent="0.25">
      <c r="A1040" s="1"/>
      <c r="B1040" s="1"/>
      <c r="C1040" s="1"/>
      <c r="D1040" s="56">
        <v>10355</v>
      </c>
      <c r="E1040" s="57">
        <f t="shared" ref="E1040" si="436">SUM(E1034:E1039)</f>
        <v>3546.4</v>
      </c>
      <c r="F1040" s="58">
        <f>SUM(F1033:F1039)</f>
        <v>12505</v>
      </c>
      <c r="G1040" s="58">
        <v>12505</v>
      </c>
      <c r="H1040" s="59">
        <f>SUM(H1034:H1039)</f>
        <v>6495.18</v>
      </c>
      <c r="I1040" s="59"/>
      <c r="J1040" s="60">
        <f t="shared" ref="J1040:Q1040" si="437">SUM(J1034:J1039)</f>
        <v>12505</v>
      </c>
      <c r="K1040" s="61">
        <f t="shared" si="437"/>
        <v>12505</v>
      </c>
      <c r="L1040" s="62">
        <f t="shared" si="437"/>
        <v>6564.14</v>
      </c>
      <c r="M1040" s="62">
        <f t="shared" si="437"/>
        <v>10803.81</v>
      </c>
      <c r="N1040" s="63">
        <f t="shared" si="437"/>
        <v>8568.91</v>
      </c>
      <c r="O1040" s="64">
        <f t="shared" si="437"/>
        <v>9864.36</v>
      </c>
      <c r="P1040" s="63">
        <f t="shared" si="437"/>
        <v>7472.1399999999994</v>
      </c>
      <c r="Q1040" s="65">
        <f t="shared" si="437"/>
        <v>9229.91</v>
      </c>
      <c r="R1040" s="1"/>
      <c r="S1040" s="1"/>
      <c r="T1040" s="1"/>
    </row>
    <row r="1041" spans="1:20" ht="13.5" hidden="1" customHeight="1" x14ac:dyDescent="0.25">
      <c r="A1041" s="1"/>
      <c r="B1041" s="1"/>
      <c r="C1041" s="1"/>
      <c r="D1041" s="42"/>
      <c r="E1041" s="44"/>
      <c r="F1041" s="45"/>
      <c r="G1041" s="45"/>
      <c r="H1041" s="66"/>
      <c r="I1041" s="66"/>
      <c r="J1041" s="48"/>
      <c r="K1041" s="49"/>
      <c r="L1041" s="50"/>
      <c r="M1041" s="50"/>
      <c r="N1041" s="51"/>
      <c r="O1041" s="52"/>
      <c r="P1041" s="53"/>
      <c r="Q1041" s="54"/>
      <c r="R1041" s="1"/>
      <c r="S1041" s="1"/>
      <c r="T1041" s="1"/>
    </row>
    <row r="1042" spans="1:20" ht="13.5" hidden="1" customHeight="1" x14ac:dyDescent="0.25">
      <c r="A1042" s="1"/>
      <c r="B1042" s="1" t="s">
        <v>1015</v>
      </c>
      <c r="C1042" s="1" t="s">
        <v>412</v>
      </c>
      <c r="D1042" s="72" t="s">
        <v>16</v>
      </c>
      <c r="E1042" s="70">
        <v>0</v>
      </c>
      <c r="F1042" s="73" t="s">
        <v>16</v>
      </c>
      <c r="G1042" s="73" t="s">
        <v>16</v>
      </c>
      <c r="H1042" s="74" t="s">
        <v>16</v>
      </c>
      <c r="I1042" s="74"/>
      <c r="J1042" s="75" t="s">
        <v>16</v>
      </c>
      <c r="K1042" s="76" t="s">
        <v>16</v>
      </c>
      <c r="L1042" s="77" t="s">
        <v>16</v>
      </c>
      <c r="M1042" s="77" t="s">
        <v>16</v>
      </c>
      <c r="N1042" s="51">
        <v>669.99</v>
      </c>
      <c r="O1042" s="52">
        <v>755.48</v>
      </c>
      <c r="P1042" s="53">
        <v>0</v>
      </c>
      <c r="Q1042" s="54">
        <v>0</v>
      </c>
      <c r="R1042" s="1"/>
      <c r="S1042" s="1"/>
      <c r="T1042" s="1"/>
    </row>
    <row r="1043" spans="1:20" ht="13.5" hidden="1" customHeight="1" x14ac:dyDescent="0.25">
      <c r="A1043" s="1"/>
      <c r="B1043" s="1"/>
      <c r="C1043" s="1"/>
      <c r="D1043" s="88">
        <v>0</v>
      </c>
      <c r="E1043" s="89">
        <f t="shared" ref="E1043" si="438">SUM(E1042)</f>
        <v>0</v>
      </c>
      <c r="F1043" s="90">
        <v>0</v>
      </c>
      <c r="G1043" s="90">
        <v>0</v>
      </c>
      <c r="H1043" s="91">
        <f>SUM(H1042)</f>
        <v>0</v>
      </c>
      <c r="I1043" s="91"/>
      <c r="J1043" s="92">
        <f t="shared" ref="J1043:Q1043" si="439">SUM(J1042)</f>
        <v>0</v>
      </c>
      <c r="K1043" s="93">
        <f t="shared" si="439"/>
        <v>0</v>
      </c>
      <c r="L1043" s="94">
        <f t="shared" si="439"/>
        <v>0</v>
      </c>
      <c r="M1043" s="94">
        <f t="shared" si="439"/>
        <v>0</v>
      </c>
      <c r="N1043" s="95">
        <f t="shared" si="439"/>
        <v>669.99</v>
      </c>
      <c r="O1043" s="96">
        <f t="shared" si="439"/>
        <v>755.48</v>
      </c>
      <c r="P1043" s="95">
        <f t="shared" si="439"/>
        <v>0</v>
      </c>
      <c r="Q1043" s="97">
        <f t="shared" si="439"/>
        <v>0</v>
      </c>
      <c r="R1043" s="1"/>
      <c r="S1043" s="1"/>
      <c r="T1043" s="1"/>
    </row>
    <row r="1044" spans="1:20" ht="13.5" customHeight="1" thickBot="1" x14ac:dyDescent="0.3">
      <c r="A1044" s="1"/>
      <c r="B1044" s="1"/>
      <c r="C1044" s="116" t="s">
        <v>1016</v>
      </c>
      <c r="D1044" s="184">
        <v>725447.12650000001</v>
      </c>
      <c r="E1044" s="185">
        <f t="shared" ref="E1044" si="440">SUM(E1018+E1025+E1032+E1040+E1043)</f>
        <v>339277.54</v>
      </c>
      <c r="F1044" s="186">
        <f>SUM(F1018,F1025,F1032,F1040)</f>
        <v>719177.196</v>
      </c>
      <c r="G1044" s="186">
        <v>719177.196</v>
      </c>
      <c r="H1044" s="187">
        <f>SUM(H1018+H1025+H1032+H1040+H1043)</f>
        <v>690122.36</v>
      </c>
      <c r="I1044" s="187"/>
      <c r="J1044" s="188">
        <f t="shared" ref="J1044:Q1044" si="441">SUM(J1018+J1025+J1032+J1040+J1043)</f>
        <v>713721</v>
      </c>
      <c r="K1044" s="189">
        <f t="shared" si="441"/>
        <v>713721</v>
      </c>
      <c r="L1044" s="190">
        <f t="shared" si="441"/>
        <v>636242.42000000004</v>
      </c>
      <c r="M1044" s="190">
        <f t="shared" si="441"/>
        <v>662053.43000000017</v>
      </c>
      <c r="N1044" s="191">
        <f t="shared" si="441"/>
        <v>623691.16</v>
      </c>
      <c r="O1044" s="192">
        <f t="shared" si="441"/>
        <v>596855.99</v>
      </c>
      <c r="P1044" s="191">
        <f t="shared" si="441"/>
        <v>601201.32000000007</v>
      </c>
      <c r="Q1044" s="193">
        <f t="shared" si="441"/>
        <v>551621.6</v>
      </c>
      <c r="R1044" s="1"/>
      <c r="S1044" s="1"/>
      <c r="T1044" s="1"/>
    </row>
    <row r="1045" spans="1:20" ht="13.5" customHeight="1" thickTop="1" x14ac:dyDescent="0.25">
      <c r="A1045" s="1"/>
      <c r="B1045" s="1"/>
      <c r="C1045" s="1"/>
      <c r="D1045" s="72"/>
      <c r="E1045" s="67"/>
      <c r="F1045" s="73"/>
      <c r="G1045" s="73"/>
      <c r="H1045" s="74"/>
      <c r="I1045" s="74"/>
      <c r="J1045" s="75"/>
      <c r="K1045" s="76"/>
      <c r="L1045" s="77"/>
      <c r="M1045" s="77"/>
      <c r="N1045" s="51"/>
      <c r="O1045" s="52"/>
      <c r="P1045" s="53"/>
      <c r="Q1045" s="54"/>
      <c r="R1045" s="1"/>
      <c r="S1045" s="1"/>
      <c r="T1045" s="1"/>
    </row>
    <row r="1046" spans="1:20" ht="13.5" customHeight="1" x14ac:dyDescent="0.25">
      <c r="A1046" s="1"/>
      <c r="B1046" s="1"/>
      <c r="C1046" s="41" t="s">
        <v>1017</v>
      </c>
      <c r="D1046" s="72"/>
      <c r="E1046" s="67"/>
      <c r="F1046" s="73"/>
      <c r="G1046" s="73"/>
      <c r="H1046" s="74"/>
      <c r="I1046" s="74"/>
      <c r="J1046" s="75"/>
      <c r="K1046" s="76"/>
      <c r="L1046" s="77"/>
      <c r="M1046" s="77"/>
      <c r="N1046" s="51"/>
      <c r="O1046" s="52"/>
      <c r="P1046" s="53"/>
      <c r="Q1046" s="54"/>
      <c r="R1046" s="1"/>
      <c r="S1046" s="1"/>
      <c r="T1046" s="1"/>
    </row>
    <row r="1047" spans="1:20" ht="13.5" customHeight="1" x14ac:dyDescent="0.25">
      <c r="A1047" s="1"/>
      <c r="B1047" s="1" t="s">
        <v>1018</v>
      </c>
      <c r="C1047" s="1" t="s">
        <v>420</v>
      </c>
      <c r="D1047" s="42">
        <v>211095</v>
      </c>
      <c r="E1047" s="43">
        <v>99181.66</v>
      </c>
      <c r="F1047" s="45">
        <v>209651</v>
      </c>
      <c r="G1047" s="45">
        <v>209651</v>
      </c>
      <c r="H1047" s="46">
        <v>195152.57</v>
      </c>
      <c r="I1047" s="47">
        <f>H1047/J1047</f>
        <v>0.96261829715238423</v>
      </c>
      <c r="J1047" s="48">
        <v>202731</v>
      </c>
      <c r="K1047" s="49">
        <v>202731</v>
      </c>
      <c r="L1047" s="50">
        <v>180914.47</v>
      </c>
      <c r="M1047" s="50">
        <v>183584.26</v>
      </c>
      <c r="N1047" s="51">
        <v>148196.72</v>
      </c>
      <c r="O1047" s="52">
        <v>140528.03</v>
      </c>
      <c r="P1047" s="53">
        <v>137306.84</v>
      </c>
      <c r="Q1047" s="54">
        <v>130554.51</v>
      </c>
      <c r="R1047" s="1"/>
      <c r="S1047" s="1"/>
      <c r="T1047" s="1"/>
    </row>
    <row r="1048" spans="1:20" ht="13.5" customHeight="1" x14ac:dyDescent="0.25">
      <c r="A1048" s="1"/>
      <c r="B1048" s="1" t="s">
        <v>1019</v>
      </c>
      <c r="C1048" s="1" t="s">
        <v>237</v>
      </c>
      <c r="D1048" s="42">
        <v>0</v>
      </c>
      <c r="E1048" s="70">
        <v>0</v>
      </c>
      <c r="F1048" s="73" t="s">
        <v>16</v>
      </c>
      <c r="G1048" s="73" t="s">
        <v>16</v>
      </c>
      <c r="H1048" s="74" t="s">
        <v>16</v>
      </c>
      <c r="I1048" s="74"/>
      <c r="J1048" s="75" t="s">
        <v>16</v>
      </c>
      <c r="K1048" s="76" t="s">
        <v>16</v>
      </c>
      <c r="L1048" s="77" t="s">
        <v>16</v>
      </c>
      <c r="M1048" s="50">
        <v>157.5</v>
      </c>
      <c r="N1048" s="51">
        <v>15846.73</v>
      </c>
      <c r="O1048" s="52">
        <v>13116.74</v>
      </c>
      <c r="P1048" s="53">
        <v>750</v>
      </c>
      <c r="Q1048" s="54">
        <v>14178.14</v>
      </c>
      <c r="R1048" s="1"/>
      <c r="S1048" s="1"/>
      <c r="T1048" s="1"/>
    </row>
    <row r="1049" spans="1:20" ht="13.5" hidden="1" customHeight="1" x14ac:dyDescent="0.25">
      <c r="A1049" s="1"/>
      <c r="B1049" s="1" t="s">
        <v>1020</v>
      </c>
      <c r="C1049" s="1" t="s">
        <v>423</v>
      </c>
      <c r="D1049" s="42">
        <v>0</v>
      </c>
      <c r="E1049" s="43">
        <v>0</v>
      </c>
      <c r="F1049" s="45">
        <v>0</v>
      </c>
      <c r="G1049" s="45">
        <v>0</v>
      </c>
      <c r="H1049" s="46">
        <v>13850.13</v>
      </c>
      <c r="I1049" s="47">
        <f>H1049/J1049</f>
        <v>0.97604862579281182</v>
      </c>
      <c r="J1049" s="48">
        <v>14190</v>
      </c>
      <c r="K1049" s="49">
        <v>14190</v>
      </c>
      <c r="L1049" s="50">
        <v>12335.51</v>
      </c>
      <c r="M1049" s="50">
        <v>10259.64</v>
      </c>
      <c r="N1049" s="51">
        <v>9768.2800000000007</v>
      </c>
      <c r="O1049" s="52">
        <v>9235.1200000000008</v>
      </c>
      <c r="P1049" s="53">
        <v>8705.0400000000009</v>
      </c>
      <c r="Q1049" s="54">
        <v>8078.55</v>
      </c>
      <c r="R1049" s="1"/>
      <c r="S1049" s="1"/>
      <c r="T1049" s="1"/>
    </row>
    <row r="1050" spans="1:20" ht="13.5" hidden="1" customHeight="1" x14ac:dyDescent="0.25">
      <c r="A1050" s="1"/>
      <c r="B1050" s="1" t="s">
        <v>1021</v>
      </c>
      <c r="C1050" s="1" t="s">
        <v>1022</v>
      </c>
      <c r="D1050" s="42">
        <v>0</v>
      </c>
      <c r="E1050" s="70">
        <v>0</v>
      </c>
      <c r="F1050" s="73" t="s">
        <v>16</v>
      </c>
      <c r="G1050" s="73" t="s">
        <v>16</v>
      </c>
      <c r="H1050" s="74" t="s">
        <v>16</v>
      </c>
      <c r="I1050" s="74"/>
      <c r="J1050" s="75" t="s">
        <v>16</v>
      </c>
      <c r="K1050" s="76" t="s">
        <v>16</v>
      </c>
      <c r="L1050" s="50"/>
      <c r="M1050" s="50"/>
      <c r="N1050" s="51">
        <v>3641.46</v>
      </c>
      <c r="O1050" s="52">
        <v>4311.84</v>
      </c>
      <c r="P1050" s="53">
        <v>2448.9699999999998</v>
      </c>
      <c r="Q1050" s="54">
        <v>2994.51</v>
      </c>
      <c r="R1050" s="1"/>
      <c r="S1050" s="1"/>
      <c r="T1050" s="1"/>
    </row>
    <row r="1051" spans="1:20" ht="13.5" customHeight="1" x14ac:dyDescent="0.25">
      <c r="A1051" s="1"/>
      <c r="B1051" s="1" t="s">
        <v>1023</v>
      </c>
      <c r="C1051" s="1" t="s">
        <v>241</v>
      </c>
      <c r="D1051" s="42">
        <v>7000</v>
      </c>
      <c r="E1051" s="70">
        <v>0</v>
      </c>
      <c r="F1051" s="45">
        <v>7273</v>
      </c>
      <c r="G1051" s="45">
        <v>7273</v>
      </c>
      <c r="H1051" s="68">
        <v>620.42999999999995</v>
      </c>
      <c r="I1051" s="47">
        <f>H1051/J1051</f>
        <v>8.5305926027773954E-2</v>
      </c>
      <c r="J1051" s="48">
        <v>7273</v>
      </c>
      <c r="K1051" s="49">
        <v>7273</v>
      </c>
      <c r="L1051" s="77">
        <v>314.47000000000003</v>
      </c>
      <c r="M1051" s="77">
        <v>4109.34</v>
      </c>
      <c r="N1051" s="53">
        <v>0</v>
      </c>
      <c r="O1051" s="52">
        <v>2245.13</v>
      </c>
      <c r="P1051" s="53">
        <v>2243.5300000000002</v>
      </c>
      <c r="Q1051" s="54">
        <v>640.07000000000005</v>
      </c>
      <c r="R1051" s="1"/>
      <c r="S1051" s="1"/>
      <c r="T1051" s="1"/>
    </row>
    <row r="1052" spans="1:20" ht="13.5" customHeight="1" x14ac:dyDescent="0.25">
      <c r="A1052" s="1"/>
      <c r="B1052" s="1"/>
      <c r="C1052" s="1"/>
      <c r="D1052" s="56">
        <v>218095</v>
      </c>
      <c r="E1052" s="57">
        <f t="shared" ref="E1052" si="442">SUM(E1047:E1051)</f>
        <v>99181.66</v>
      </c>
      <c r="F1052" s="58">
        <f>SUM(F1046:F1051)</f>
        <v>216924</v>
      </c>
      <c r="G1052" s="58">
        <v>216924</v>
      </c>
      <c r="H1052" s="59">
        <f>SUM(H1047:H1051)</f>
        <v>209623.13</v>
      </c>
      <c r="I1052" s="59"/>
      <c r="J1052" s="60">
        <f t="shared" ref="J1052:Q1052" si="443">SUM(J1047:J1051)</f>
        <v>224194</v>
      </c>
      <c r="K1052" s="61">
        <f t="shared" si="443"/>
        <v>224194</v>
      </c>
      <c r="L1052" s="62">
        <f t="shared" si="443"/>
        <v>193564.45</v>
      </c>
      <c r="M1052" s="62">
        <f t="shared" si="443"/>
        <v>198110.74000000002</v>
      </c>
      <c r="N1052" s="63">
        <f t="shared" si="443"/>
        <v>177453.19</v>
      </c>
      <c r="O1052" s="64">
        <f t="shared" si="443"/>
        <v>169436.86</v>
      </c>
      <c r="P1052" s="63">
        <f t="shared" si="443"/>
        <v>151454.38</v>
      </c>
      <c r="Q1052" s="65">
        <f t="shared" si="443"/>
        <v>156445.78</v>
      </c>
      <c r="R1052" s="1"/>
      <c r="S1052" s="1"/>
      <c r="T1052" s="1"/>
    </row>
    <row r="1053" spans="1:20" ht="13.5" customHeight="1" x14ac:dyDescent="0.25">
      <c r="A1053" s="1"/>
      <c r="B1053" s="1"/>
      <c r="C1053" s="1"/>
      <c r="D1053" s="42"/>
      <c r="E1053" s="67"/>
      <c r="F1053" s="45"/>
      <c r="G1053" s="45"/>
      <c r="H1053" s="74"/>
      <c r="I1053" s="66"/>
      <c r="J1053" s="48"/>
      <c r="K1053" s="49"/>
      <c r="L1053" s="77"/>
      <c r="M1053" s="77"/>
      <c r="N1053" s="53"/>
      <c r="O1053" s="52"/>
      <c r="P1053" s="53"/>
      <c r="Q1053" s="54"/>
      <c r="R1053" s="1"/>
      <c r="S1053" s="1"/>
      <c r="T1053" s="1"/>
    </row>
    <row r="1054" spans="1:20" ht="13.5" customHeight="1" x14ac:dyDescent="0.25">
      <c r="A1054" s="1"/>
      <c r="B1054" s="1" t="s">
        <v>1024</v>
      </c>
      <c r="C1054" s="1" t="s">
        <v>247</v>
      </c>
      <c r="D1054" s="42">
        <v>16705.151999999998</v>
      </c>
      <c r="E1054" s="43">
        <v>6884.82</v>
      </c>
      <c r="F1054" s="45">
        <v>16594.686000000002</v>
      </c>
      <c r="G1054" s="45">
        <v>16594.686000000002</v>
      </c>
      <c r="H1054" s="46">
        <v>14520.06</v>
      </c>
      <c r="I1054" s="47">
        <f t="shared" ref="I1054:I1058" si="444">H1054/J1054</f>
        <v>0.84660136435193278</v>
      </c>
      <c r="J1054" s="48">
        <v>17151</v>
      </c>
      <c r="K1054" s="49">
        <v>17151</v>
      </c>
      <c r="L1054" s="50">
        <v>13584.84</v>
      </c>
      <c r="M1054" s="50">
        <v>13976.88</v>
      </c>
      <c r="N1054" s="51">
        <v>12788.62</v>
      </c>
      <c r="O1054" s="52">
        <v>12273.82</v>
      </c>
      <c r="P1054" s="53">
        <v>11134.96</v>
      </c>
      <c r="Q1054" s="54">
        <v>11518.32</v>
      </c>
      <c r="R1054" s="1"/>
      <c r="S1054" s="1"/>
      <c r="T1054" s="1"/>
    </row>
    <row r="1055" spans="1:20" ht="13.5" customHeight="1" x14ac:dyDescent="0.25">
      <c r="A1055" s="1"/>
      <c r="B1055" s="1" t="s">
        <v>1025</v>
      </c>
      <c r="C1055" s="1" t="s">
        <v>249</v>
      </c>
      <c r="D1055" s="42">
        <v>41853.739200000004</v>
      </c>
      <c r="E1055" s="43">
        <v>21075.599999999999</v>
      </c>
      <c r="F1055" s="45">
        <v>41853.094400000002</v>
      </c>
      <c r="G1055" s="45">
        <v>41853.094400000002</v>
      </c>
      <c r="H1055" s="46">
        <v>40704.239999999998</v>
      </c>
      <c r="I1055" s="47">
        <f t="shared" si="444"/>
        <v>0.99329510236950624</v>
      </c>
      <c r="J1055" s="48">
        <v>40979</v>
      </c>
      <c r="K1055" s="49">
        <v>40979</v>
      </c>
      <c r="L1055" s="50">
        <v>37179.75</v>
      </c>
      <c r="M1055" s="50">
        <v>40554.94</v>
      </c>
      <c r="N1055" s="51">
        <v>30496.799999999999</v>
      </c>
      <c r="O1055" s="52">
        <v>30372.48</v>
      </c>
      <c r="P1055" s="53">
        <v>29933.4</v>
      </c>
      <c r="Q1055" s="54">
        <v>28850.400000000001</v>
      </c>
      <c r="R1055" s="1"/>
      <c r="S1055" s="1"/>
      <c r="T1055" s="1"/>
    </row>
    <row r="1056" spans="1:20" ht="13.5" customHeight="1" x14ac:dyDescent="0.25">
      <c r="A1056" s="1"/>
      <c r="B1056" s="1" t="s">
        <v>1026</v>
      </c>
      <c r="C1056" s="1" t="s">
        <v>251</v>
      </c>
      <c r="D1056" s="42">
        <v>32798.873599999999</v>
      </c>
      <c r="E1056" s="43">
        <v>14897.07</v>
      </c>
      <c r="F1056" s="45">
        <v>32581.984799999998</v>
      </c>
      <c r="G1056" s="45">
        <v>32581.984799999998</v>
      </c>
      <c r="H1056" s="46">
        <v>30465.52</v>
      </c>
      <c r="I1056" s="47">
        <f t="shared" si="444"/>
        <v>0.93587442017632783</v>
      </c>
      <c r="J1056" s="48">
        <v>32553</v>
      </c>
      <c r="K1056" s="49">
        <v>32553</v>
      </c>
      <c r="L1056" s="50">
        <v>28030.25</v>
      </c>
      <c r="M1056" s="50">
        <v>27595.98</v>
      </c>
      <c r="N1056" s="51">
        <v>24390.76</v>
      </c>
      <c r="O1056" s="52">
        <v>23160.86</v>
      </c>
      <c r="P1056" s="53">
        <v>20580.32</v>
      </c>
      <c r="Q1056" s="54">
        <v>19987.23</v>
      </c>
      <c r="R1056" s="1"/>
      <c r="S1056" s="1"/>
      <c r="T1056" s="1"/>
    </row>
    <row r="1057" spans="1:20" ht="13.5" customHeight="1" x14ac:dyDescent="0.25">
      <c r="A1057" s="1"/>
      <c r="B1057" s="1" t="s">
        <v>1027</v>
      </c>
      <c r="C1057" s="1" t="s">
        <v>253</v>
      </c>
      <c r="D1057" s="42">
        <v>349.3888</v>
      </c>
      <c r="E1057" s="43">
        <v>158.68</v>
      </c>
      <c r="F1057" s="45">
        <v>347.07839999999999</v>
      </c>
      <c r="G1057" s="45">
        <v>347.07839999999999</v>
      </c>
      <c r="H1057" s="46">
        <v>335.42</v>
      </c>
      <c r="I1057" s="47">
        <f t="shared" si="444"/>
        <v>0.93431754874651818</v>
      </c>
      <c r="J1057" s="48">
        <v>359</v>
      </c>
      <c r="K1057" s="49">
        <v>359</v>
      </c>
      <c r="L1057" s="50">
        <v>354.29</v>
      </c>
      <c r="M1057" s="50">
        <v>375.85</v>
      </c>
      <c r="N1057" s="51">
        <v>423.7</v>
      </c>
      <c r="O1057" s="52">
        <v>453.83</v>
      </c>
      <c r="P1057" s="53">
        <v>373.65</v>
      </c>
      <c r="Q1057" s="54">
        <v>376.06</v>
      </c>
      <c r="R1057" s="1"/>
      <c r="S1057" s="1"/>
      <c r="T1057" s="1"/>
    </row>
    <row r="1058" spans="1:20" ht="13.5" customHeight="1" x14ac:dyDescent="0.25">
      <c r="A1058" s="1"/>
      <c r="B1058" s="1" t="s">
        <v>1028</v>
      </c>
      <c r="C1058" s="1" t="s">
        <v>255</v>
      </c>
      <c r="D1058" s="42">
        <v>1404.48</v>
      </c>
      <c r="E1058" s="43">
        <v>669.12</v>
      </c>
      <c r="F1058" s="45">
        <v>1340</v>
      </c>
      <c r="G1058" s="45">
        <v>1340</v>
      </c>
      <c r="H1058" s="46">
        <v>1295.8399999999999</v>
      </c>
      <c r="I1058" s="47">
        <f t="shared" si="444"/>
        <v>1.006086956521739</v>
      </c>
      <c r="J1058" s="48">
        <v>1288</v>
      </c>
      <c r="K1058" s="49">
        <v>1288</v>
      </c>
      <c r="L1058" s="50">
        <v>1149.1199999999999</v>
      </c>
      <c r="M1058" s="50">
        <v>1208.48</v>
      </c>
      <c r="N1058" s="51">
        <v>988.62</v>
      </c>
      <c r="O1058" s="52">
        <v>1006.2</v>
      </c>
      <c r="P1058" s="53">
        <v>1006.2</v>
      </c>
      <c r="Q1058" s="54">
        <v>960.9</v>
      </c>
      <c r="R1058" s="1"/>
      <c r="S1058" s="1"/>
      <c r="T1058" s="1"/>
    </row>
    <row r="1059" spans="1:20" ht="13.5" customHeight="1" x14ac:dyDescent="0.25">
      <c r="A1059" s="1"/>
      <c r="B1059" s="1"/>
      <c r="C1059" s="1"/>
      <c r="D1059" s="56">
        <v>93111.633600000001</v>
      </c>
      <c r="E1059" s="57">
        <f t="shared" ref="E1059" si="445">SUM(E1054:E1058)</f>
        <v>43685.29</v>
      </c>
      <c r="F1059" s="58">
        <f>SUM(F1053:F1058)</f>
        <v>92716.843599999993</v>
      </c>
      <c r="G1059" s="58">
        <v>92716.843599999993</v>
      </c>
      <c r="H1059" s="59">
        <f>SUM(H1054:H1058)</f>
        <v>87321.079999999987</v>
      </c>
      <c r="I1059" s="59"/>
      <c r="J1059" s="60">
        <f t="shared" ref="J1059:Q1059" si="446">SUM(J1054:J1058)</f>
        <v>92330</v>
      </c>
      <c r="K1059" s="61">
        <f t="shared" si="446"/>
        <v>92330</v>
      </c>
      <c r="L1059" s="62">
        <f t="shared" si="446"/>
        <v>80298.249999999985</v>
      </c>
      <c r="M1059" s="62">
        <f t="shared" si="446"/>
        <v>83712.13</v>
      </c>
      <c r="N1059" s="63">
        <f t="shared" si="446"/>
        <v>69088.499999999985</v>
      </c>
      <c r="O1059" s="64">
        <f t="shared" si="446"/>
        <v>67267.19</v>
      </c>
      <c r="P1059" s="63">
        <f t="shared" si="446"/>
        <v>63028.53</v>
      </c>
      <c r="Q1059" s="65">
        <f t="shared" si="446"/>
        <v>61692.909999999996</v>
      </c>
      <c r="R1059" s="1"/>
      <c r="S1059" s="1"/>
      <c r="T1059" s="1"/>
    </row>
    <row r="1060" spans="1:20" ht="13.5" customHeight="1" x14ac:dyDescent="0.25">
      <c r="A1060" s="1"/>
      <c r="B1060" s="1"/>
      <c r="C1060" s="1"/>
      <c r="D1060" s="42"/>
      <c r="E1060" s="44"/>
      <c r="F1060" s="45"/>
      <c r="G1060" s="45"/>
      <c r="H1060" s="66"/>
      <c r="I1060" s="66"/>
      <c r="J1060" s="48"/>
      <c r="K1060" s="49"/>
      <c r="L1060" s="50"/>
      <c r="M1060" s="50"/>
      <c r="N1060" s="51"/>
      <c r="O1060" s="52"/>
      <c r="P1060" s="53"/>
      <c r="Q1060" s="54"/>
      <c r="R1060" s="1"/>
      <c r="S1060" s="1"/>
      <c r="T1060" s="1"/>
    </row>
    <row r="1061" spans="1:20" ht="13.5" customHeight="1" x14ac:dyDescent="0.25">
      <c r="A1061" s="1"/>
      <c r="B1061" s="1" t="s">
        <v>1029</v>
      </c>
      <c r="C1061" s="1" t="s">
        <v>259</v>
      </c>
      <c r="D1061" s="42">
        <v>500</v>
      </c>
      <c r="E1061" s="43">
        <v>165.03</v>
      </c>
      <c r="F1061" s="45">
        <v>750</v>
      </c>
      <c r="G1061" s="45">
        <v>750</v>
      </c>
      <c r="H1061" s="46">
        <v>216.37</v>
      </c>
      <c r="I1061" s="47">
        <f t="shared" ref="I1061:I1062" si="447">H1061/J1061</f>
        <v>1.2020555555555557</v>
      </c>
      <c r="J1061" s="48">
        <v>180</v>
      </c>
      <c r="K1061" s="49">
        <v>750</v>
      </c>
      <c r="L1061" s="50">
        <v>218.99</v>
      </c>
      <c r="M1061" s="50">
        <v>114.58</v>
      </c>
      <c r="N1061" s="51">
        <v>330.05</v>
      </c>
      <c r="O1061" s="52">
        <v>121.62</v>
      </c>
      <c r="P1061" s="53">
        <v>564.64</v>
      </c>
      <c r="Q1061" s="54">
        <v>566.23</v>
      </c>
      <c r="R1061" s="1"/>
      <c r="S1061" s="1"/>
      <c r="T1061" s="1"/>
    </row>
    <row r="1062" spans="1:20" ht="13.5" customHeight="1" x14ac:dyDescent="0.25">
      <c r="A1062" s="1"/>
      <c r="B1062" s="1" t="s">
        <v>1030</v>
      </c>
      <c r="C1062" s="55" t="s">
        <v>265</v>
      </c>
      <c r="D1062" s="42">
        <v>0</v>
      </c>
      <c r="E1062" s="43">
        <v>0</v>
      </c>
      <c r="F1062" s="73">
        <v>0</v>
      </c>
      <c r="G1062" s="73">
        <v>0</v>
      </c>
      <c r="H1062" s="66">
        <v>569.99</v>
      </c>
      <c r="I1062" s="47">
        <f t="shared" si="447"/>
        <v>0.99998245614035086</v>
      </c>
      <c r="J1062" s="48">
        <v>570</v>
      </c>
      <c r="K1062" s="76">
        <v>0</v>
      </c>
      <c r="L1062" s="77">
        <v>0</v>
      </c>
      <c r="M1062" s="77">
        <v>719.94</v>
      </c>
      <c r="N1062" s="53" t="s">
        <v>16</v>
      </c>
      <c r="O1062" s="52">
        <v>399.98</v>
      </c>
      <c r="P1062" s="53">
        <v>299.99</v>
      </c>
      <c r="Q1062" s="54">
        <v>0</v>
      </c>
      <c r="R1062" s="1"/>
      <c r="S1062" s="1"/>
      <c r="T1062" s="1"/>
    </row>
    <row r="1063" spans="1:20" ht="13.5" customHeight="1" x14ac:dyDescent="0.25">
      <c r="A1063" s="1"/>
      <c r="B1063" s="1" t="s">
        <v>1031</v>
      </c>
      <c r="C1063" s="1" t="s">
        <v>267</v>
      </c>
      <c r="D1063" s="42">
        <v>0</v>
      </c>
      <c r="E1063" s="70">
        <v>0</v>
      </c>
      <c r="F1063" s="73">
        <v>0</v>
      </c>
      <c r="G1063" s="73">
        <v>0</v>
      </c>
      <c r="H1063" s="74">
        <v>0</v>
      </c>
      <c r="I1063" s="74">
        <v>0</v>
      </c>
      <c r="J1063" s="75">
        <v>0</v>
      </c>
      <c r="K1063" s="76">
        <v>0</v>
      </c>
      <c r="L1063" s="77">
        <v>0</v>
      </c>
      <c r="M1063" s="50">
        <v>0</v>
      </c>
      <c r="N1063" s="53" t="s">
        <v>16</v>
      </c>
      <c r="O1063" s="52">
        <v>175</v>
      </c>
      <c r="P1063" s="53">
        <v>0</v>
      </c>
      <c r="Q1063" s="54">
        <v>0</v>
      </c>
      <c r="R1063" s="1"/>
      <c r="S1063" s="1"/>
      <c r="T1063" s="1"/>
    </row>
    <row r="1064" spans="1:20" ht="13.5" customHeight="1" x14ac:dyDescent="0.25">
      <c r="A1064" s="1"/>
      <c r="B1064" s="1"/>
      <c r="C1064" s="1"/>
      <c r="D1064" s="88">
        <v>500</v>
      </c>
      <c r="E1064" s="89">
        <f t="shared" ref="E1064" si="448">SUM(E1061:E1063)</f>
        <v>165.03</v>
      </c>
      <c r="F1064" s="90">
        <f>SUM(F1060:F1062)</f>
        <v>750</v>
      </c>
      <c r="G1064" s="90">
        <v>750</v>
      </c>
      <c r="H1064" s="91">
        <f>SUM(H1061:H1063)</f>
        <v>786.36</v>
      </c>
      <c r="I1064" s="91"/>
      <c r="J1064" s="92">
        <f t="shared" ref="J1064:Q1064" si="449">SUM(J1061:J1063)</f>
        <v>750</v>
      </c>
      <c r="K1064" s="93">
        <f t="shared" si="449"/>
        <v>750</v>
      </c>
      <c r="L1064" s="94">
        <f t="shared" si="449"/>
        <v>218.99</v>
      </c>
      <c r="M1064" s="94">
        <f t="shared" si="449"/>
        <v>834.5200000000001</v>
      </c>
      <c r="N1064" s="95">
        <f t="shared" si="449"/>
        <v>330.05</v>
      </c>
      <c r="O1064" s="96">
        <f t="shared" si="449"/>
        <v>696.6</v>
      </c>
      <c r="P1064" s="95">
        <f t="shared" si="449"/>
        <v>864.63</v>
      </c>
      <c r="Q1064" s="97">
        <f t="shared" si="449"/>
        <v>566.23</v>
      </c>
      <c r="R1064" s="1"/>
      <c r="S1064" s="1"/>
      <c r="T1064" s="1"/>
    </row>
    <row r="1065" spans="1:20" ht="13.5" customHeight="1" x14ac:dyDescent="0.25">
      <c r="A1065" s="1"/>
      <c r="B1065" s="1"/>
      <c r="C1065" s="1"/>
      <c r="D1065" s="42"/>
      <c r="E1065" s="67"/>
      <c r="F1065" s="73"/>
      <c r="G1065" s="73"/>
      <c r="H1065" s="74"/>
      <c r="I1065" s="74"/>
      <c r="J1065" s="75"/>
      <c r="K1065" s="76"/>
      <c r="L1065" s="77"/>
      <c r="M1065" s="50"/>
      <c r="N1065" s="53"/>
      <c r="O1065" s="52"/>
      <c r="P1065" s="53"/>
      <c r="Q1065" s="54"/>
      <c r="R1065" s="1"/>
      <c r="S1065" s="1"/>
      <c r="T1065" s="1"/>
    </row>
    <row r="1066" spans="1:20" ht="13.5" customHeight="1" x14ac:dyDescent="0.25">
      <c r="A1066" s="1"/>
      <c r="B1066" s="1" t="s">
        <v>1032</v>
      </c>
      <c r="C1066" s="55" t="s">
        <v>273</v>
      </c>
      <c r="D1066" s="42">
        <v>1050</v>
      </c>
      <c r="E1066" s="70">
        <v>0</v>
      </c>
      <c r="F1066" s="45">
        <v>1050</v>
      </c>
      <c r="G1066" s="45">
        <v>1050</v>
      </c>
      <c r="H1066" s="68">
        <v>397.65</v>
      </c>
      <c r="I1066" s="47">
        <f>H1066/J1066</f>
        <v>0.37871428571428567</v>
      </c>
      <c r="J1066" s="48">
        <v>1050</v>
      </c>
      <c r="K1066" s="49">
        <v>1050</v>
      </c>
      <c r="L1066" s="50">
        <v>57.77</v>
      </c>
      <c r="M1066" s="50">
        <v>408.22</v>
      </c>
      <c r="N1066" s="51">
        <v>684.18</v>
      </c>
      <c r="O1066" s="52">
        <v>655.02</v>
      </c>
      <c r="P1066" s="53">
        <v>200.48</v>
      </c>
      <c r="Q1066" s="54">
        <v>596.73</v>
      </c>
      <c r="R1066" s="1"/>
      <c r="S1066" s="1"/>
      <c r="T1066" s="1"/>
    </row>
    <row r="1067" spans="1:20" ht="13.5" customHeight="1" x14ac:dyDescent="0.25">
      <c r="A1067" s="1"/>
      <c r="B1067" s="1" t="s">
        <v>1033</v>
      </c>
      <c r="C1067" s="1" t="s">
        <v>404</v>
      </c>
      <c r="D1067" s="42">
        <v>0</v>
      </c>
      <c r="E1067" s="70">
        <v>0</v>
      </c>
      <c r="F1067" s="73">
        <v>0</v>
      </c>
      <c r="G1067" s="73">
        <v>0</v>
      </c>
      <c r="H1067" s="74">
        <v>0</v>
      </c>
      <c r="I1067" s="74">
        <v>0</v>
      </c>
      <c r="J1067" s="75">
        <v>0</v>
      </c>
      <c r="K1067" s="76">
        <v>0</v>
      </c>
      <c r="L1067" s="77">
        <v>0</v>
      </c>
      <c r="M1067" s="50">
        <v>259.93</v>
      </c>
      <c r="N1067" s="53" t="s">
        <v>16</v>
      </c>
      <c r="O1067" s="52">
        <v>0</v>
      </c>
      <c r="P1067" s="53">
        <v>0</v>
      </c>
      <c r="Q1067" s="54">
        <v>0</v>
      </c>
      <c r="R1067" s="1"/>
      <c r="S1067" s="1"/>
      <c r="T1067" s="1"/>
    </row>
    <row r="1068" spans="1:20" ht="13.5" customHeight="1" x14ac:dyDescent="0.25">
      <c r="A1068" s="1"/>
      <c r="B1068" s="1"/>
      <c r="C1068" s="1"/>
      <c r="D1068" s="88">
        <v>1050</v>
      </c>
      <c r="E1068" s="89">
        <f t="shared" ref="E1068" si="450">SUM(E1066:E1067)</f>
        <v>0</v>
      </c>
      <c r="F1068" s="90">
        <f>SUM(F1065:F1067)</f>
        <v>1050</v>
      </c>
      <c r="G1068" s="90">
        <v>1050</v>
      </c>
      <c r="H1068" s="91">
        <f>SUM(H1066:H1067)</f>
        <v>397.65</v>
      </c>
      <c r="I1068" s="91"/>
      <c r="J1068" s="92">
        <f t="shared" ref="J1068:Q1068" si="451">SUM(J1066:J1067)</f>
        <v>1050</v>
      </c>
      <c r="K1068" s="93">
        <f t="shared" si="451"/>
        <v>1050</v>
      </c>
      <c r="L1068" s="94">
        <f t="shared" si="451"/>
        <v>57.77</v>
      </c>
      <c r="M1068" s="94">
        <f t="shared" si="451"/>
        <v>668.15000000000009</v>
      </c>
      <c r="N1068" s="95">
        <f t="shared" si="451"/>
        <v>684.18</v>
      </c>
      <c r="O1068" s="96">
        <f t="shared" si="451"/>
        <v>655.02</v>
      </c>
      <c r="P1068" s="95">
        <f t="shared" si="451"/>
        <v>200.48</v>
      </c>
      <c r="Q1068" s="97">
        <f t="shared" si="451"/>
        <v>596.73</v>
      </c>
      <c r="R1068" s="1"/>
      <c r="S1068" s="1"/>
      <c r="T1068" s="1"/>
    </row>
    <row r="1069" spans="1:20" ht="13.5" customHeight="1" x14ac:dyDescent="0.25">
      <c r="A1069" s="1"/>
      <c r="B1069" s="1"/>
      <c r="C1069" s="1"/>
      <c r="D1069" s="72"/>
      <c r="E1069" s="67"/>
      <c r="F1069" s="73"/>
      <c r="G1069" s="73"/>
      <c r="H1069" s="74"/>
      <c r="I1069" s="74"/>
      <c r="J1069" s="75"/>
      <c r="K1069" s="76"/>
      <c r="L1069" s="77"/>
      <c r="M1069" s="50"/>
      <c r="N1069" s="53"/>
      <c r="O1069" s="52"/>
      <c r="P1069" s="53"/>
      <c r="Q1069" s="54"/>
      <c r="R1069" s="1"/>
      <c r="S1069" s="1"/>
      <c r="T1069" s="1"/>
    </row>
    <row r="1070" spans="1:20" ht="13.5" customHeight="1" x14ac:dyDescent="0.25">
      <c r="A1070" s="1"/>
      <c r="B1070" s="1" t="s">
        <v>1034</v>
      </c>
      <c r="C1070" s="1" t="s">
        <v>335</v>
      </c>
      <c r="D1070" s="42">
        <v>0</v>
      </c>
      <c r="E1070" s="70">
        <v>0</v>
      </c>
      <c r="F1070" s="45">
        <v>525</v>
      </c>
      <c r="G1070" s="45">
        <v>525</v>
      </c>
      <c r="H1070" s="74">
        <v>0</v>
      </c>
      <c r="I1070" s="47">
        <f>H1070/J1070</f>
        <v>0</v>
      </c>
      <c r="J1070" s="48">
        <v>525</v>
      </c>
      <c r="K1070" s="49">
        <v>525</v>
      </c>
      <c r="L1070" s="77">
        <v>0</v>
      </c>
      <c r="M1070" s="77">
        <v>0</v>
      </c>
      <c r="N1070" s="53" t="s">
        <v>16</v>
      </c>
      <c r="O1070" s="52">
        <v>0</v>
      </c>
      <c r="P1070" s="53">
        <v>0</v>
      </c>
      <c r="Q1070" s="54">
        <v>0</v>
      </c>
      <c r="R1070" s="1"/>
      <c r="S1070" s="1"/>
      <c r="T1070" s="1"/>
    </row>
    <row r="1071" spans="1:20" ht="13.5" customHeight="1" x14ac:dyDescent="0.25">
      <c r="A1071" s="1"/>
      <c r="B1071" s="1"/>
      <c r="C1071" s="1"/>
      <c r="D1071" s="56">
        <v>0</v>
      </c>
      <c r="E1071" s="57">
        <f t="shared" ref="E1071" si="452">SUM(E1070)</f>
        <v>0</v>
      </c>
      <c r="F1071" s="58">
        <f>SUM(F1069:F1070)</f>
        <v>525</v>
      </c>
      <c r="G1071" s="58">
        <v>525</v>
      </c>
      <c r="H1071" s="59">
        <f>SUM(H1070)</f>
        <v>0</v>
      </c>
      <c r="I1071" s="59"/>
      <c r="J1071" s="60">
        <f t="shared" ref="J1071:Q1071" si="453">SUM(J1070)</f>
        <v>525</v>
      </c>
      <c r="K1071" s="61">
        <f t="shared" si="453"/>
        <v>525</v>
      </c>
      <c r="L1071" s="62">
        <f t="shared" si="453"/>
        <v>0</v>
      </c>
      <c r="M1071" s="62">
        <f t="shared" si="453"/>
        <v>0</v>
      </c>
      <c r="N1071" s="63">
        <f t="shared" si="453"/>
        <v>0</v>
      </c>
      <c r="O1071" s="64">
        <f t="shared" si="453"/>
        <v>0</v>
      </c>
      <c r="P1071" s="63">
        <f t="shared" si="453"/>
        <v>0</v>
      </c>
      <c r="Q1071" s="65">
        <f t="shared" si="453"/>
        <v>0</v>
      </c>
      <c r="R1071" s="1"/>
      <c r="S1071" s="1"/>
      <c r="T1071" s="1"/>
    </row>
    <row r="1072" spans="1:20" ht="13.5" customHeight="1" thickBot="1" x14ac:dyDescent="0.3">
      <c r="A1072" s="1"/>
      <c r="B1072" s="1"/>
      <c r="C1072" s="116" t="s">
        <v>1035</v>
      </c>
      <c r="D1072" s="194">
        <v>312756.6336</v>
      </c>
      <c r="E1072" s="101">
        <f>SUM(E1052+E1059+E1064+E1068+E1071)</f>
        <v>143031.98000000001</v>
      </c>
      <c r="F1072" s="195">
        <f>SUM(F1052,F1059,F1064,F1068,F1071)</f>
        <v>311965.84360000002</v>
      </c>
      <c r="G1072" s="195">
        <v>311965.84360000002</v>
      </c>
      <c r="H1072" s="196">
        <f>SUM(H1052+H1059+H1064+H1068+H1071)</f>
        <v>298128.21999999997</v>
      </c>
      <c r="I1072" s="196"/>
      <c r="J1072" s="197">
        <f t="shared" ref="J1072:Q1072" si="454">SUM(J1052+J1059+J1064+J1068+J1071)</f>
        <v>318849</v>
      </c>
      <c r="K1072" s="198">
        <f t="shared" si="454"/>
        <v>318849</v>
      </c>
      <c r="L1072" s="199">
        <f t="shared" si="454"/>
        <v>274139.46000000002</v>
      </c>
      <c r="M1072" s="199">
        <f t="shared" si="454"/>
        <v>283325.54000000004</v>
      </c>
      <c r="N1072" s="200">
        <f t="shared" si="454"/>
        <v>247555.91999999998</v>
      </c>
      <c r="O1072" s="201">
        <f t="shared" si="454"/>
        <v>238055.66999999998</v>
      </c>
      <c r="P1072" s="200">
        <f t="shared" si="454"/>
        <v>215548.02000000002</v>
      </c>
      <c r="Q1072" s="202">
        <f t="shared" si="454"/>
        <v>219301.65000000002</v>
      </c>
      <c r="R1072" s="1"/>
      <c r="S1072" s="1"/>
      <c r="T1072" s="1"/>
    </row>
    <row r="1073" spans="1:20" ht="13.5" customHeight="1" thickTop="1" x14ac:dyDescent="0.25">
      <c r="A1073" s="1"/>
      <c r="B1073" s="1"/>
      <c r="C1073" s="1"/>
      <c r="D1073" s="42"/>
      <c r="E1073" s="67"/>
      <c r="F1073" s="45"/>
      <c r="G1073" s="45"/>
      <c r="H1073" s="74"/>
      <c r="I1073" s="66"/>
      <c r="J1073" s="48"/>
      <c r="K1073" s="49"/>
      <c r="L1073" s="77"/>
      <c r="M1073" s="77"/>
      <c r="N1073" s="53"/>
      <c r="O1073" s="52"/>
      <c r="P1073" s="53"/>
      <c r="Q1073" s="54"/>
      <c r="R1073" s="1"/>
      <c r="S1073" s="1"/>
      <c r="T1073" s="1"/>
    </row>
    <row r="1074" spans="1:20" ht="13.5" customHeight="1" x14ac:dyDescent="0.25">
      <c r="A1074" s="1"/>
      <c r="B1074" s="1"/>
      <c r="C1074" s="41" t="s">
        <v>1036</v>
      </c>
      <c r="D1074" s="42"/>
      <c r="E1074" s="67"/>
      <c r="F1074" s="45"/>
      <c r="G1074" s="45"/>
      <c r="H1074" s="74"/>
      <c r="I1074" s="66"/>
      <c r="J1074" s="48"/>
      <c r="K1074" s="49"/>
      <c r="L1074" s="77"/>
      <c r="M1074" s="77"/>
      <c r="N1074" s="53"/>
      <c r="O1074" s="52"/>
      <c r="P1074" s="53"/>
      <c r="Q1074" s="54"/>
      <c r="R1074" s="1"/>
      <c r="S1074" s="1"/>
      <c r="T1074" s="1"/>
    </row>
    <row r="1075" spans="1:20" ht="13.5" customHeight="1" x14ac:dyDescent="0.25">
      <c r="A1075" s="1"/>
      <c r="B1075" s="1" t="s">
        <v>1037</v>
      </c>
      <c r="C1075" s="1" t="s">
        <v>418</v>
      </c>
      <c r="D1075" s="42">
        <v>60607</v>
      </c>
      <c r="E1075" s="43">
        <v>28156.18</v>
      </c>
      <c r="F1075" s="45">
        <v>59516</v>
      </c>
      <c r="G1075" s="45">
        <v>59516</v>
      </c>
      <c r="H1075" s="46">
        <v>54781.54</v>
      </c>
      <c r="I1075" s="47">
        <f t="shared" ref="I1075:I1077" si="455">H1075/J1075</f>
        <v>1.0046497212441314</v>
      </c>
      <c r="J1075" s="48">
        <v>54528</v>
      </c>
      <c r="K1075" s="49">
        <v>54528</v>
      </c>
      <c r="L1075" s="50">
        <v>53522.83</v>
      </c>
      <c r="M1075" s="50">
        <v>52375.95</v>
      </c>
      <c r="N1075" s="51">
        <v>51550.28</v>
      </c>
      <c r="O1075" s="52">
        <v>49546.33</v>
      </c>
      <c r="P1075" s="53">
        <v>49464.08</v>
      </c>
      <c r="Q1075" s="54">
        <v>47664.02</v>
      </c>
      <c r="R1075" s="1"/>
      <c r="S1075" s="1"/>
      <c r="T1075" s="1"/>
    </row>
    <row r="1076" spans="1:20" ht="13.5" customHeight="1" x14ac:dyDescent="0.25">
      <c r="A1076" s="1"/>
      <c r="B1076" s="1" t="s">
        <v>1038</v>
      </c>
      <c r="C1076" s="1" t="s">
        <v>420</v>
      </c>
      <c r="D1076" s="42">
        <v>90628</v>
      </c>
      <c r="E1076" s="43">
        <v>42985.25</v>
      </c>
      <c r="F1076" s="45">
        <v>90460</v>
      </c>
      <c r="G1076" s="45">
        <v>90460</v>
      </c>
      <c r="H1076" s="46">
        <v>80273.25</v>
      </c>
      <c r="I1076" s="47">
        <f t="shared" si="455"/>
        <v>1.0070283391667607</v>
      </c>
      <c r="J1076" s="48">
        <v>79713</v>
      </c>
      <c r="K1076" s="49">
        <v>79713</v>
      </c>
      <c r="L1076" s="50">
        <v>78244.12</v>
      </c>
      <c r="M1076" s="50">
        <v>76567.55</v>
      </c>
      <c r="N1076" s="51">
        <v>74395.039999999994</v>
      </c>
      <c r="O1076" s="52">
        <v>67970.490000000005</v>
      </c>
      <c r="P1076" s="53">
        <v>64913.58</v>
      </c>
      <c r="Q1076" s="54">
        <v>62436.23</v>
      </c>
      <c r="R1076" s="1"/>
      <c r="S1076" s="1"/>
      <c r="T1076" s="1"/>
    </row>
    <row r="1077" spans="1:20" ht="13.5" hidden="1" customHeight="1" x14ac:dyDescent="0.25">
      <c r="A1077" s="1"/>
      <c r="B1077" s="1" t="s">
        <v>1039</v>
      </c>
      <c r="C1077" s="1" t="s">
        <v>423</v>
      </c>
      <c r="D1077" s="42">
        <v>0</v>
      </c>
      <c r="E1077" s="43">
        <v>0</v>
      </c>
      <c r="F1077" s="45">
        <v>0</v>
      </c>
      <c r="G1077" s="45">
        <v>0</v>
      </c>
      <c r="H1077" s="46">
        <v>11848.81</v>
      </c>
      <c r="I1077" s="47">
        <f t="shared" si="455"/>
        <v>0.97440871710526311</v>
      </c>
      <c r="J1077" s="48">
        <v>12160</v>
      </c>
      <c r="K1077" s="49">
        <v>12160</v>
      </c>
      <c r="L1077" s="50">
        <v>11431.17</v>
      </c>
      <c r="M1077" s="50">
        <v>10575.16</v>
      </c>
      <c r="N1077" s="51">
        <v>9217.57</v>
      </c>
      <c r="O1077" s="52">
        <v>7216.47</v>
      </c>
      <c r="P1077" s="53">
        <v>6414.16</v>
      </c>
      <c r="Q1077" s="54">
        <v>5653.61</v>
      </c>
      <c r="R1077" s="1"/>
      <c r="S1077" s="1"/>
      <c r="T1077" s="1"/>
    </row>
    <row r="1078" spans="1:20" ht="13.5" hidden="1" customHeight="1" x14ac:dyDescent="0.25">
      <c r="A1078" s="1"/>
      <c r="B1078" s="1" t="s">
        <v>1040</v>
      </c>
      <c r="C1078" s="1" t="s">
        <v>1022</v>
      </c>
      <c r="D1078" s="42">
        <v>0</v>
      </c>
      <c r="E1078" s="43">
        <v>130.76</v>
      </c>
      <c r="F1078" s="73">
        <v>0</v>
      </c>
      <c r="G1078" s="73">
        <v>0</v>
      </c>
      <c r="H1078" s="66">
        <v>0</v>
      </c>
      <c r="I1078" s="47">
        <v>0</v>
      </c>
      <c r="J1078" s="48">
        <v>0</v>
      </c>
      <c r="K1078" s="76">
        <v>0</v>
      </c>
      <c r="L1078" s="50">
        <v>0</v>
      </c>
      <c r="M1078" s="50">
        <v>0</v>
      </c>
      <c r="N1078" s="51">
        <v>2740.86</v>
      </c>
      <c r="O1078" s="52">
        <v>2110.19</v>
      </c>
      <c r="P1078" s="53">
        <v>2181.41</v>
      </c>
      <c r="Q1078" s="54">
        <v>2106.31</v>
      </c>
      <c r="R1078" s="1"/>
      <c r="S1078" s="1"/>
      <c r="T1078" s="1"/>
    </row>
    <row r="1079" spans="1:20" ht="13.5" customHeight="1" x14ac:dyDescent="0.25">
      <c r="A1079" s="1"/>
      <c r="B1079" s="1" t="s">
        <v>1041</v>
      </c>
      <c r="C1079" s="1" t="s">
        <v>1042</v>
      </c>
      <c r="D1079" s="42">
        <v>4000</v>
      </c>
      <c r="E1079" s="43">
        <f>606.25+731.05</f>
        <v>1337.3</v>
      </c>
      <c r="F1079" s="45">
        <v>4000</v>
      </c>
      <c r="G1079" s="45">
        <v>4000</v>
      </c>
      <c r="H1079" s="46">
        <v>4799.3999999999996</v>
      </c>
      <c r="I1079" s="47">
        <f>H1079/J1079</f>
        <v>1.1998499999999999</v>
      </c>
      <c r="J1079" s="48">
        <f>3694+306</f>
        <v>4000</v>
      </c>
      <c r="K1079" s="49">
        <v>4000</v>
      </c>
      <c r="L1079" s="50">
        <f>2502.21+369.44</f>
        <v>2871.65</v>
      </c>
      <c r="M1079" s="50">
        <f>850.14+2299.06</f>
        <v>3149.2</v>
      </c>
      <c r="N1079" s="51">
        <v>1255.2</v>
      </c>
      <c r="O1079" s="52">
        <v>1928.09</v>
      </c>
      <c r="P1079" s="53">
        <v>1998.58</v>
      </c>
      <c r="Q1079" s="54">
        <v>1889</v>
      </c>
      <c r="R1079" s="1"/>
      <c r="S1079" s="1"/>
      <c r="T1079" s="1"/>
    </row>
    <row r="1080" spans="1:20" ht="13.5" customHeight="1" x14ac:dyDescent="0.25">
      <c r="A1080" s="1"/>
      <c r="B1080" s="1"/>
      <c r="C1080" s="1"/>
      <c r="D1080" s="56">
        <v>155235</v>
      </c>
      <c r="E1080" s="57">
        <f t="shared" ref="E1080" si="456">SUM(E1075:E1079)</f>
        <v>72609.489999999991</v>
      </c>
      <c r="F1080" s="58">
        <f>SUM(F1074:F1079)</f>
        <v>153976</v>
      </c>
      <c r="G1080" s="58">
        <v>153976</v>
      </c>
      <c r="H1080" s="59">
        <f>SUM(H1075:H1079)</f>
        <v>151703</v>
      </c>
      <c r="I1080" s="59"/>
      <c r="J1080" s="60">
        <f t="shared" ref="J1080:Q1080" si="457">SUM(J1075:J1079)</f>
        <v>150401</v>
      </c>
      <c r="K1080" s="61">
        <f t="shared" si="457"/>
        <v>150401</v>
      </c>
      <c r="L1080" s="62">
        <f t="shared" si="457"/>
        <v>146069.77000000002</v>
      </c>
      <c r="M1080" s="62">
        <f t="shared" si="457"/>
        <v>142667.86000000002</v>
      </c>
      <c r="N1080" s="63">
        <f t="shared" si="457"/>
        <v>139158.94999999998</v>
      </c>
      <c r="O1080" s="64">
        <f t="shared" si="457"/>
        <v>128771.57</v>
      </c>
      <c r="P1080" s="63">
        <f t="shared" si="457"/>
        <v>124971.81000000001</v>
      </c>
      <c r="Q1080" s="65">
        <f t="shared" si="457"/>
        <v>119749.17</v>
      </c>
      <c r="R1080" s="1"/>
      <c r="S1080" s="1"/>
      <c r="T1080" s="1"/>
    </row>
    <row r="1081" spans="1:20" ht="13.5" customHeight="1" x14ac:dyDescent="0.25">
      <c r="A1081" s="1"/>
      <c r="B1081" s="1"/>
      <c r="C1081" s="1"/>
      <c r="D1081" s="42"/>
      <c r="E1081" s="44"/>
      <c r="F1081" s="45"/>
      <c r="G1081" s="45"/>
      <c r="H1081" s="66"/>
      <c r="I1081" s="66"/>
      <c r="J1081" s="48"/>
      <c r="K1081" s="49"/>
      <c r="L1081" s="50"/>
      <c r="M1081" s="50"/>
      <c r="N1081" s="51"/>
      <c r="O1081" s="52"/>
      <c r="P1081" s="53"/>
      <c r="Q1081" s="54"/>
      <c r="R1081" s="1"/>
      <c r="S1081" s="1"/>
      <c r="T1081" s="1"/>
    </row>
    <row r="1082" spans="1:20" ht="13.5" customHeight="1" x14ac:dyDescent="0.25">
      <c r="A1082" s="1"/>
      <c r="B1082" s="1" t="s">
        <v>1043</v>
      </c>
      <c r="C1082" s="1" t="s">
        <v>247</v>
      </c>
      <c r="D1082" s="42">
        <v>11875.477500000001</v>
      </c>
      <c r="E1082" s="43">
        <v>4765.08</v>
      </c>
      <c r="F1082" s="45">
        <v>11779.163999999999</v>
      </c>
      <c r="G1082" s="45">
        <v>11779.163999999999</v>
      </c>
      <c r="H1082" s="46">
        <v>10049.17</v>
      </c>
      <c r="I1082" s="47">
        <f t="shared" ref="I1082:I1086" si="458">H1082/J1082</f>
        <v>0.87338519033547712</v>
      </c>
      <c r="J1082" s="48">
        <v>11506</v>
      </c>
      <c r="K1082" s="49">
        <v>11506</v>
      </c>
      <c r="L1082" s="50">
        <v>9726.6200000000008</v>
      </c>
      <c r="M1082" s="50">
        <v>9609.2000000000007</v>
      </c>
      <c r="N1082" s="51">
        <v>9185.4699999999993</v>
      </c>
      <c r="O1082" s="52">
        <v>8425.85</v>
      </c>
      <c r="P1082" s="53">
        <v>8163.17</v>
      </c>
      <c r="Q1082" s="54">
        <v>8122.57</v>
      </c>
      <c r="R1082" s="1"/>
      <c r="S1082" s="1"/>
      <c r="T1082" s="1"/>
    </row>
    <row r="1083" spans="1:20" ht="13.5" customHeight="1" x14ac:dyDescent="0.25">
      <c r="A1083" s="1"/>
      <c r="B1083" s="1" t="s">
        <v>1044</v>
      </c>
      <c r="C1083" s="1" t="s">
        <v>249</v>
      </c>
      <c r="D1083" s="42">
        <v>31390.304400000001</v>
      </c>
      <c r="E1083" s="43">
        <v>16260.3</v>
      </c>
      <c r="F1083" s="45">
        <v>31389.820800000001</v>
      </c>
      <c r="G1083" s="45">
        <v>31389.820800000001</v>
      </c>
      <c r="H1083" s="46">
        <v>30528.18</v>
      </c>
      <c r="I1083" s="47">
        <f t="shared" si="458"/>
        <v>0.9933031821435544</v>
      </c>
      <c r="J1083" s="48">
        <v>30734</v>
      </c>
      <c r="K1083" s="49">
        <v>30734</v>
      </c>
      <c r="L1083" s="50">
        <v>30420</v>
      </c>
      <c r="M1083" s="50">
        <v>30417</v>
      </c>
      <c r="N1083" s="51">
        <v>30496.799999999999</v>
      </c>
      <c r="O1083" s="52">
        <v>30372.48</v>
      </c>
      <c r="P1083" s="53">
        <v>29933.4</v>
      </c>
      <c r="Q1083" s="54">
        <v>28850.400000000001</v>
      </c>
      <c r="R1083" s="1"/>
      <c r="S1083" s="1"/>
      <c r="T1083" s="1"/>
    </row>
    <row r="1084" spans="1:20" ht="13.5" customHeight="1" x14ac:dyDescent="0.25">
      <c r="A1084" s="1"/>
      <c r="B1084" s="1" t="s">
        <v>1045</v>
      </c>
      <c r="C1084" s="1" t="s">
        <v>251</v>
      </c>
      <c r="D1084" s="42">
        <v>23316.296999999999</v>
      </c>
      <c r="E1084" s="43">
        <v>10886.31</v>
      </c>
      <c r="F1084" s="45">
        <v>23127.195200000002</v>
      </c>
      <c r="G1084" s="45">
        <v>23127.195200000002</v>
      </c>
      <c r="H1084" s="46">
        <v>22047.47</v>
      </c>
      <c r="I1084" s="47">
        <f t="shared" si="458"/>
        <v>1.0095457667475618</v>
      </c>
      <c r="J1084" s="48">
        <v>21839</v>
      </c>
      <c r="K1084" s="49">
        <v>21839</v>
      </c>
      <c r="L1084" s="50">
        <v>21148.95</v>
      </c>
      <c r="M1084" s="50">
        <v>19875.66</v>
      </c>
      <c r="N1084" s="51">
        <v>19127.66</v>
      </c>
      <c r="O1084" s="52">
        <v>17609.95</v>
      </c>
      <c r="P1084" s="53">
        <v>16972.830000000002</v>
      </c>
      <c r="Q1084" s="54">
        <v>15308.37</v>
      </c>
      <c r="R1084" s="1"/>
      <c r="S1084" s="1"/>
      <c r="T1084" s="1"/>
    </row>
    <row r="1085" spans="1:20" ht="13.5" customHeight="1" x14ac:dyDescent="0.25">
      <c r="A1085" s="1"/>
      <c r="B1085" s="1" t="s">
        <v>1046</v>
      </c>
      <c r="C1085" s="1" t="s">
        <v>253</v>
      </c>
      <c r="D1085" s="42">
        <v>248.376</v>
      </c>
      <c r="E1085" s="43">
        <v>115.97</v>
      </c>
      <c r="F1085" s="45">
        <v>246.36160000000001</v>
      </c>
      <c r="G1085" s="45">
        <v>246.36160000000001</v>
      </c>
      <c r="H1085" s="46">
        <v>242.71</v>
      </c>
      <c r="I1085" s="47">
        <f t="shared" si="458"/>
        <v>1.0070954356846473</v>
      </c>
      <c r="J1085" s="48">
        <v>241</v>
      </c>
      <c r="K1085" s="49">
        <v>241</v>
      </c>
      <c r="L1085" s="50">
        <v>267.08</v>
      </c>
      <c r="M1085" s="50">
        <v>270.92</v>
      </c>
      <c r="N1085" s="51">
        <v>332.48</v>
      </c>
      <c r="O1085" s="52">
        <v>345.68</v>
      </c>
      <c r="P1085" s="53">
        <v>309.01</v>
      </c>
      <c r="Q1085" s="54">
        <v>286.89999999999998</v>
      </c>
      <c r="R1085" s="1"/>
      <c r="S1085" s="1"/>
      <c r="T1085" s="1"/>
    </row>
    <row r="1086" spans="1:20" ht="13.5" customHeight="1" x14ac:dyDescent="0.25">
      <c r="A1086" s="1"/>
      <c r="B1086" s="1" t="s">
        <v>1047</v>
      </c>
      <c r="C1086" s="1" t="s">
        <v>255</v>
      </c>
      <c r="D1086" s="42">
        <v>1053.3600000000001</v>
      </c>
      <c r="E1086" s="43">
        <v>501.84</v>
      </c>
      <c r="F1086" s="45">
        <v>1005</v>
      </c>
      <c r="G1086" s="45">
        <v>1005</v>
      </c>
      <c r="H1086" s="46">
        <v>971.88</v>
      </c>
      <c r="I1086" s="47">
        <f t="shared" si="458"/>
        <v>1.0060869565217392</v>
      </c>
      <c r="J1086" s="48">
        <v>966</v>
      </c>
      <c r="K1086" s="49">
        <v>966</v>
      </c>
      <c r="L1086" s="50">
        <v>939.72</v>
      </c>
      <c r="M1086" s="50">
        <v>906.36</v>
      </c>
      <c r="N1086" s="51">
        <v>988.62</v>
      </c>
      <c r="O1086" s="52">
        <v>1006.2</v>
      </c>
      <c r="P1086" s="53">
        <v>1006.2</v>
      </c>
      <c r="Q1086" s="54">
        <v>960.9</v>
      </c>
      <c r="R1086" s="1"/>
      <c r="S1086" s="1"/>
      <c r="T1086" s="1"/>
    </row>
    <row r="1087" spans="1:20" ht="13.5" customHeight="1" x14ac:dyDescent="0.25">
      <c r="A1087" s="1"/>
      <c r="B1087" s="1"/>
      <c r="C1087" s="1"/>
      <c r="D1087" s="56">
        <v>67883.814899999998</v>
      </c>
      <c r="E1087" s="57">
        <f t="shared" ref="E1087" si="459">SUM(E1082:E1086)</f>
        <v>32529.499999999996</v>
      </c>
      <c r="F1087" s="58">
        <f>SUM(F1081:F1086)</f>
        <v>67547.541599999997</v>
      </c>
      <c r="G1087" s="58">
        <v>67547.541599999997</v>
      </c>
      <c r="H1087" s="59">
        <f>SUM(H1082:H1086)</f>
        <v>63839.409999999996</v>
      </c>
      <c r="I1087" s="59"/>
      <c r="J1087" s="60">
        <f t="shared" ref="J1087:Q1087" si="460">SUM(J1082:J1086)</f>
        <v>65286</v>
      </c>
      <c r="K1087" s="61">
        <f t="shared" si="460"/>
        <v>65286</v>
      </c>
      <c r="L1087" s="62">
        <f t="shared" si="460"/>
        <v>62502.37000000001</v>
      </c>
      <c r="M1087" s="62">
        <f t="shared" si="460"/>
        <v>61079.14</v>
      </c>
      <c r="N1087" s="63">
        <f t="shared" si="460"/>
        <v>60131.03</v>
      </c>
      <c r="O1087" s="64">
        <f t="shared" si="460"/>
        <v>57760.159999999996</v>
      </c>
      <c r="P1087" s="63">
        <f t="shared" si="460"/>
        <v>56384.61</v>
      </c>
      <c r="Q1087" s="65">
        <f t="shared" si="460"/>
        <v>53529.140000000007</v>
      </c>
      <c r="R1087" s="1"/>
      <c r="S1087" s="1"/>
      <c r="T1087" s="1"/>
    </row>
    <row r="1088" spans="1:20" ht="13.5" customHeight="1" x14ac:dyDescent="0.25">
      <c r="A1088" s="1"/>
      <c r="B1088" s="1"/>
      <c r="C1088" s="1"/>
      <c r="D1088" s="42"/>
      <c r="E1088" s="44"/>
      <c r="F1088" s="45"/>
      <c r="G1088" s="45"/>
      <c r="H1088" s="66"/>
      <c r="I1088" s="66"/>
      <c r="J1088" s="48"/>
      <c r="K1088" s="49"/>
      <c r="L1088" s="50"/>
      <c r="M1088" s="50"/>
      <c r="N1088" s="51"/>
      <c r="O1088" s="52"/>
      <c r="P1088" s="53"/>
      <c r="Q1088" s="54"/>
      <c r="R1088" s="1"/>
      <c r="S1088" s="1"/>
      <c r="T1088" s="1"/>
    </row>
    <row r="1089" spans="1:20" ht="13.5" customHeight="1" x14ac:dyDescent="0.25">
      <c r="A1089" s="1"/>
      <c r="B1089" s="1" t="s">
        <v>1048</v>
      </c>
      <c r="C1089" s="1" t="s">
        <v>259</v>
      </c>
      <c r="D1089" s="42">
        <v>3000</v>
      </c>
      <c r="E1089" s="43">
        <v>697.37</v>
      </c>
      <c r="F1089" s="45">
        <v>3000</v>
      </c>
      <c r="G1089" s="45">
        <v>3000</v>
      </c>
      <c r="H1089" s="46">
        <v>2392.59</v>
      </c>
      <c r="I1089" s="47">
        <f t="shared" ref="I1089:I1090" si="461">H1089/J1089</f>
        <v>0.79753000000000007</v>
      </c>
      <c r="J1089" s="48">
        <v>3000</v>
      </c>
      <c r="K1089" s="49">
        <v>3000</v>
      </c>
      <c r="L1089" s="50">
        <v>2808.36</v>
      </c>
      <c r="M1089" s="50">
        <v>2884.06</v>
      </c>
      <c r="N1089" s="51">
        <v>3185.84</v>
      </c>
      <c r="O1089" s="52">
        <v>3222.71</v>
      </c>
      <c r="P1089" s="53">
        <v>3612.71</v>
      </c>
      <c r="Q1089" s="54">
        <v>2648.82</v>
      </c>
      <c r="R1089" s="1"/>
      <c r="S1089" s="1"/>
      <c r="T1089" s="1"/>
    </row>
    <row r="1090" spans="1:20" ht="13.5" customHeight="1" x14ac:dyDescent="0.25">
      <c r="A1090" s="1"/>
      <c r="B1090" s="1" t="s">
        <v>1049</v>
      </c>
      <c r="C1090" s="1" t="s">
        <v>261</v>
      </c>
      <c r="D1090" s="42">
        <v>4000</v>
      </c>
      <c r="E1090" s="43">
        <v>1730.65</v>
      </c>
      <c r="F1090" s="45">
        <v>4000</v>
      </c>
      <c r="G1090" s="45">
        <v>4000</v>
      </c>
      <c r="H1090" s="46">
        <v>5192.8100000000004</v>
      </c>
      <c r="I1090" s="47">
        <f t="shared" si="461"/>
        <v>1.2982025000000001</v>
      </c>
      <c r="J1090" s="48">
        <v>4000</v>
      </c>
      <c r="K1090" s="49">
        <v>4000</v>
      </c>
      <c r="L1090" s="50">
        <v>4755.05</v>
      </c>
      <c r="M1090" s="50">
        <v>4529.5200000000004</v>
      </c>
      <c r="N1090" s="51">
        <v>3778.93</v>
      </c>
      <c r="O1090" s="52">
        <v>3637.87</v>
      </c>
      <c r="P1090" s="53">
        <v>4442.33</v>
      </c>
      <c r="Q1090" s="54">
        <v>4505.04</v>
      </c>
      <c r="R1090" s="1"/>
      <c r="S1090" s="1"/>
      <c r="T1090" s="1"/>
    </row>
    <row r="1091" spans="1:20" ht="13.5" customHeight="1" x14ac:dyDescent="0.25">
      <c r="A1091" s="1"/>
      <c r="B1091" s="1" t="s">
        <v>1050</v>
      </c>
      <c r="C1091" s="1" t="s">
        <v>435</v>
      </c>
      <c r="D1091" s="42">
        <v>0</v>
      </c>
      <c r="E1091" s="70">
        <v>679</v>
      </c>
      <c r="F1091" s="73">
        <v>0</v>
      </c>
      <c r="G1091" s="73">
        <v>0</v>
      </c>
      <c r="H1091" s="68">
        <v>77</v>
      </c>
      <c r="I1091" s="183">
        <v>0</v>
      </c>
      <c r="J1091" s="75">
        <v>0</v>
      </c>
      <c r="K1091" s="76">
        <v>0</v>
      </c>
      <c r="L1091" s="77">
        <v>0</v>
      </c>
      <c r="M1091" s="50">
        <v>73</v>
      </c>
      <c r="N1091" s="53" t="s">
        <v>16</v>
      </c>
      <c r="O1091" s="52">
        <v>64</v>
      </c>
      <c r="P1091" s="53">
        <v>0</v>
      </c>
      <c r="Q1091" s="54">
        <v>57</v>
      </c>
      <c r="R1091" s="1"/>
      <c r="S1091" s="1"/>
      <c r="T1091" s="1"/>
    </row>
    <row r="1092" spans="1:20" ht="13.5" customHeight="1" x14ac:dyDescent="0.25">
      <c r="A1092" s="1"/>
      <c r="B1092" s="1" t="s">
        <v>1051</v>
      </c>
      <c r="C1092" s="55" t="s">
        <v>265</v>
      </c>
      <c r="D1092" s="42">
        <v>600</v>
      </c>
      <c r="E1092" s="70">
        <v>0</v>
      </c>
      <c r="F1092" s="45">
        <v>600</v>
      </c>
      <c r="G1092" s="45">
        <v>600</v>
      </c>
      <c r="H1092" s="74">
        <v>0</v>
      </c>
      <c r="I1092" s="47">
        <f>H1092/J1092</f>
        <v>0</v>
      </c>
      <c r="J1092" s="48">
        <v>630</v>
      </c>
      <c r="K1092" s="49">
        <v>800</v>
      </c>
      <c r="L1092" s="77">
        <v>0</v>
      </c>
      <c r="M1092" s="50">
        <v>579.99</v>
      </c>
      <c r="N1092" s="53" t="s">
        <v>16</v>
      </c>
      <c r="O1092" s="52"/>
      <c r="P1092" s="53"/>
      <c r="Q1092" s="54">
        <v>879.99</v>
      </c>
      <c r="R1092" s="1"/>
      <c r="S1092" s="1"/>
      <c r="T1092" s="1"/>
    </row>
    <row r="1093" spans="1:20" ht="13.5" customHeight="1" x14ac:dyDescent="0.25">
      <c r="A1093" s="1"/>
      <c r="B1093" s="1" t="s">
        <v>1052</v>
      </c>
      <c r="C1093" s="1" t="s">
        <v>438</v>
      </c>
      <c r="D1093" s="42">
        <v>0</v>
      </c>
      <c r="E1093" s="70">
        <v>283.43</v>
      </c>
      <c r="F1093" s="73">
        <v>0</v>
      </c>
      <c r="G1093" s="73">
        <v>0</v>
      </c>
      <c r="H1093" s="68">
        <v>319.98</v>
      </c>
      <c r="I1093" s="183">
        <v>0</v>
      </c>
      <c r="J1093" s="75">
        <v>0</v>
      </c>
      <c r="K1093" s="76">
        <v>0</v>
      </c>
      <c r="L1093" s="50">
        <v>365.86</v>
      </c>
      <c r="M1093" s="77">
        <v>0</v>
      </c>
      <c r="N1093" s="51">
        <v>319.98</v>
      </c>
      <c r="O1093" s="52">
        <v>793.53</v>
      </c>
      <c r="P1093" s="53"/>
      <c r="Q1093" s="54"/>
      <c r="R1093" s="1"/>
      <c r="S1093" s="1"/>
      <c r="T1093" s="1"/>
    </row>
    <row r="1094" spans="1:20" ht="13.5" customHeight="1" x14ac:dyDescent="0.25">
      <c r="A1094" s="1"/>
      <c r="B1094" s="1" t="s">
        <v>1053</v>
      </c>
      <c r="C1094" s="1" t="s">
        <v>267</v>
      </c>
      <c r="D1094" s="42">
        <v>0</v>
      </c>
      <c r="E1094" s="43">
        <v>65.84</v>
      </c>
      <c r="F1094" s="73">
        <v>0</v>
      </c>
      <c r="G1094" s="73">
        <v>0</v>
      </c>
      <c r="H1094" s="46">
        <v>580.22</v>
      </c>
      <c r="I1094" s="47">
        <f>H1094/J1094</f>
        <v>3.4130588235294121</v>
      </c>
      <c r="J1094" s="48">
        <v>170</v>
      </c>
      <c r="K1094" s="76">
        <v>0</v>
      </c>
      <c r="L1094" s="77">
        <v>0</v>
      </c>
      <c r="M1094" s="50">
        <v>132.99</v>
      </c>
      <c r="N1094" s="51">
        <v>414.88</v>
      </c>
      <c r="O1094" s="52">
        <v>218.63</v>
      </c>
      <c r="P1094" s="53">
        <v>0</v>
      </c>
      <c r="Q1094" s="54">
        <v>0</v>
      </c>
      <c r="R1094" s="1"/>
      <c r="S1094" s="1"/>
      <c r="T1094" s="1"/>
    </row>
    <row r="1095" spans="1:20" ht="13.5" customHeight="1" x14ac:dyDescent="0.25">
      <c r="A1095" s="1"/>
      <c r="B1095" s="1"/>
      <c r="C1095" s="1"/>
      <c r="D1095" s="88">
        <v>7600</v>
      </c>
      <c r="E1095" s="89">
        <f t="shared" ref="E1095" si="462">SUM(E1089:E1094)</f>
        <v>3456.29</v>
      </c>
      <c r="F1095" s="90">
        <f>SUM(F1088:F1094)</f>
        <v>7600</v>
      </c>
      <c r="G1095" s="90">
        <v>7600</v>
      </c>
      <c r="H1095" s="91">
        <f>SUM(H1089:H1094)</f>
        <v>8562.6</v>
      </c>
      <c r="I1095" s="91"/>
      <c r="J1095" s="92">
        <f t="shared" ref="J1095:Q1095" si="463">SUM(J1089:J1094)</f>
        <v>7800</v>
      </c>
      <c r="K1095" s="93">
        <f t="shared" si="463"/>
        <v>7800</v>
      </c>
      <c r="L1095" s="94">
        <f t="shared" si="463"/>
        <v>7929.2699999999995</v>
      </c>
      <c r="M1095" s="94">
        <f t="shared" si="463"/>
        <v>8199.56</v>
      </c>
      <c r="N1095" s="95">
        <f t="shared" si="463"/>
        <v>7699.63</v>
      </c>
      <c r="O1095" s="96">
        <f t="shared" si="463"/>
        <v>7936.74</v>
      </c>
      <c r="P1095" s="95">
        <f t="shared" si="463"/>
        <v>8055.04</v>
      </c>
      <c r="Q1095" s="97">
        <f t="shared" si="463"/>
        <v>8090.85</v>
      </c>
      <c r="R1095" s="1"/>
      <c r="S1095" s="1"/>
      <c r="T1095" s="1"/>
    </row>
    <row r="1096" spans="1:20" ht="13.5" customHeight="1" x14ac:dyDescent="0.25">
      <c r="A1096" s="1"/>
      <c r="B1096" s="1"/>
      <c r="C1096" s="1"/>
      <c r="D1096" s="72"/>
      <c r="E1096" s="44"/>
      <c r="F1096" s="73"/>
      <c r="G1096" s="73"/>
      <c r="H1096" s="66"/>
      <c r="I1096" s="66"/>
      <c r="J1096" s="48"/>
      <c r="K1096" s="76"/>
      <c r="L1096" s="77"/>
      <c r="M1096" s="50"/>
      <c r="N1096" s="51"/>
      <c r="O1096" s="52"/>
      <c r="P1096" s="53"/>
      <c r="Q1096" s="54"/>
      <c r="R1096" s="1"/>
      <c r="S1096" s="1"/>
      <c r="T1096" s="1"/>
    </row>
    <row r="1097" spans="1:20" ht="13.5" customHeight="1" x14ac:dyDescent="0.25">
      <c r="A1097" s="1"/>
      <c r="B1097" s="1" t="s">
        <v>1054</v>
      </c>
      <c r="C1097" s="1" t="s">
        <v>275</v>
      </c>
      <c r="D1097" s="42">
        <v>2000</v>
      </c>
      <c r="E1097" s="44">
        <f>393+714</f>
        <v>1107</v>
      </c>
      <c r="F1097" s="45">
        <v>2000</v>
      </c>
      <c r="G1097" s="45">
        <v>2000</v>
      </c>
      <c r="H1097" s="46">
        <v>1285.25</v>
      </c>
      <c r="I1097" s="47">
        <f t="shared" ref="I1097:I1100" si="464">H1097/J1097</f>
        <v>0.54115789473684206</v>
      </c>
      <c r="J1097" s="48">
        <v>2375</v>
      </c>
      <c r="K1097" s="49">
        <v>2400</v>
      </c>
      <c r="L1097" s="50">
        <v>1332.37</v>
      </c>
      <c r="M1097" s="50">
        <v>1388.94</v>
      </c>
      <c r="N1097" s="51">
        <v>295</v>
      </c>
      <c r="O1097" s="52">
        <v>1502.04</v>
      </c>
      <c r="P1097" s="53">
        <v>2108.8200000000002</v>
      </c>
      <c r="Q1097" s="54">
        <v>2335.58</v>
      </c>
      <c r="R1097" s="1"/>
      <c r="S1097" s="1"/>
      <c r="T1097" s="1"/>
    </row>
    <row r="1098" spans="1:20" ht="13.5" customHeight="1" x14ac:dyDescent="0.25">
      <c r="A1098" s="1"/>
      <c r="B1098" s="1" t="s">
        <v>1055</v>
      </c>
      <c r="C1098" s="1" t="s">
        <v>482</v>
      </c>
      <c r="D1098" s="42">
        <v>150</v>
      </c>
      <c r="E1098" s="43">
        <v>175</v>
      </c>
      <c r="F1098" s="45">
        <v>150</v>
      </c>
      <c r="G1098" s="45">
        <v>150</v>
      </c>
      <c r="H1098" s="66">
        <v>150</v>
      </c>
      <c r="I1098" s="47">
        <f t="shared" si="464"/>
        <v>1</v>
      </c>
      <c r="J1098" s="48">
        <v>150</v>
      </c>
      <c r="K1098" s="49">
        <v>150</v>
      </c>
      <c r="L1098" s="50">
        <v>150</v>
      </c>
      <c r="M1098" s="50">
        <v>150</v>
      </c>
      <c r="N1098" s="51">
        <v>150</v>
      </c>
      <c r="O1098" s="52">
        <v>150</v>
      </c>
      <c r="P1098" s="53">
        <v>190</v>
      </c>
      <c r="Q1098" s="54">
        <v>150</v>
      </c>
      <c r="R1098" s="1"/>
      <c r="S1098" s="1"/>
      <c r="T1098" s="1"/>
    </row>
    <row r="1099" spans="1:20" ht="13.5" customHeight="1" x14ac:dyDescent="0.25">
      <c r="A1099" s="1"/>
      <c r="B1099" s="1" t="s">
        <v>1056</v>
      </c>
      <c r="C1099" s="1" t="s">
        <v>279</v>
      </c>
      <c r="D1099" s="42">
        <v>325</v>
      </c>
      <c r="E1099" s="43">
        <v>147</v>
      </c>
      <c r="F1099" s="45">
        <v>325</v>
      </c>
      <c r="G1099" s="45">
        <v>325</v>
      </c>
      <c r="H1099" s="66">
        <v>324.5</v>
      </c>
      <c r="I1099" s="47">
        <f t="shared" si="464"/>
        <v>0.99846153846153851</v>
      </c>
      <c r="J1099" s="48">
        <v>325</v>
      </c>
      <c r="K1099" s="49">
        <v>300</v>
      </c>
      <c r="L1099" s="50">
        <v>147</v>
      </c>
      <c r="M1099" s="50">
        <v>218</v>
      </c>
      <c r="N1099" s="51">
        <v>218</v>
      </c>
      <c r="O1099" s="52">
        <v>395.5</v>
      </c>
      <c r="P1099" s="53">
        <v>147</v>
      </c>
      <c r="Q1099" s="54">
        <v>71</v>
      </c>
      <c r="R1099" s="1"/>
      <c r="S1099" s="1"/>
      <c r="T1099" s="1"/>
    </row>
    <row r="1100" spans="1:20" ht="13.5" customHeight="1" x14ac:dyDescent="0.25">
      <c r="A1100" s="1"/>
      <c r="B1100" s="1" t="s">
        <v>1057</v>
      </c>
      <c r="C1100" s="1" t="s">
        <v>281</v>
      </c>
      <c r="D1100" s="42">
        <v>1000</v>
      </c>
      <c r="E1100" s="43">
        <v>119.37</v>
      </c>
      <c r="F1100" s="45">
        <v>1000</v>
      </c>
      <c r="G1100" s="45">
        <v>1000</v>
      </c>
      <c r="H1100" s="46">
        <v>1465.81</v>
      </c>
      <c r="I1100" s="47">
        <f t="shared" si="464"/>
        <v>1.0250419580419581</v>
      </c>
      <c r="J1100" s="48">
        <v>1430</v>
      </c>
      <c r="K1100" s="49">
        <v>1430</v>
      </c>
      <c r="L1100" s="50">
        <v>1445.83</v>
      </c>
      <c r="M1100" s="50">
        <v>1442.78</v>
      </c>
      <c r="N1100" s="51">
        <v>1309.55</v>
      </c>
      <c r="O1100" s="52">
        <v>1428.6</v>
      </c>
      <c r="P1100" s="53">
        <v>1428.6</v>
      </c>
      <c r="Q1100" s="54">
        <v>1547.65</v>
      </c>
      <c r="R1100" s="1"/>
      <c r="S1100" s="1"/>
      <c r="T1100" s="1"/>
    </row>
    <row r="1101" spans="1:20" ht="13.5" customHeight="1" x14ac:dyDescent="0.25">
      <c r="A1101" s="1"/>
      <c r="B1101" s="1"/>
      <c r="C1101" s="1"/>
      <c r="D1101" s="56">
        <v>3475</v>
      </c>
      <c r="E1101" s="57">
        <f t="shared" ref="E1101" si="465">SUM(E1097:E1100)</f>
        <v>1548.37</v>
      </c>
      <c r="F1101" s="58">
        <f>SUM(F1096:F1100)</f>
        <v>3475</v>
      </c>
      <c r="G1101" s="58">
        <v>3475</v>
      </c>
      <c r="H1101" s="59">
        <f>SUM(H1097:H1100)</f>
        <v>3225.56</v>
      </c>
      <c r="I1101" s="59"/>
      <c r="J1101" s="60">
        <f t="shared" ref="J1101:Q1101" si="466">SUM(J1097:J1100)</f>
        <v>4280</v>
      </c>
      <c r="K1101" s="61">
        <f t="shared" si="466"/>
        <v>4280</v>
      </c>
      <c r="L1101" s="62">
        <f t="shared" si="466"/>
        <v>3075.2</v>
      </c>
      <c r="M1101" s="62">
        <f t="shared" si="466"/>
        <v>3199.7200000000003</v>
      </c>
      <c r="N1101" s="63">
        <f t="shared" si="466"/>
        <v>1972.55</v>
      </c>
      <c r="O1101" s="64">
        <f t="shared" si="466"/>
        <v>3476.14</v>
      </c>
      <c r="P1101" s="63">
        <f t="shared" si="466"/>
        <v>3874.42</v>
      </c>
      <c r="Q1101" s="65">
        <f t="shared" si="466"/>
        <v>4104.2299999999996</v>
      </c>
      <c r="R1101" s="1"/>
      <c r="S1101" s="1"/>
      <c r="T1101" s="1"/>
    </row>
    <row r="1102" spans="1:20" ht="13.5" customHeight="1" thickBot="1" x14ac:dyDescent="0.3">
      <c r="A1102" s="1"/>
      <c r="B1102" s="1"/>
      <c r="C1102" s="116" t="s">
        <v>1058</v>
      </c>
      <c r="D1102" s="267">
        <v>234193.8149</v>
      </c>
      <c r="E1102" s="173">
        <f t="shared" ref="E1102" si="467">SUM(E1080+E1087+E1095+E1101)</f>
        <v>110143.64999999998</v>
      </c>
      <c r="F1102" s="174">
        <f>SUM(F1080,F1087,F1095,F1101)</f>
        <v>232598.5416</v>
      </c>
      <c r="G1102" s="174">
        <v>232598.5416</v>
      </c>
      <c r="H1102" s="175">
        <f>SUM(H1080+H1087+H1095+H1101)</f>
        <v>227330.57</v>
      </c>
      <c r="I1102" s="175"/>
      <c r="J1102" s="176">
        <f t="shared" ref="J1102:Q1102" si="468">SUM(J1080+J1087+J1095+J1101)</f>
        <v>227767</v>
      </c>
      <c r="K1102" s="177">
        <f t="shared" si="468"/>
        <v>227767</v>
      </c>
      <c r="L1102" s="178">
        <f t="shared" si="468"/>
        <v>219576.61000000002</v>
      </c>
      <c r="M1102" s="178">
        <f t="shared" si="468"/>
        <v>215146.28</v>
      </c>
      <c r="N1102" s="179">
        <f t="shared" si="468"/>
        <v>208962.15999999997</v>
      </c>
      <c r="O1102" s="180">
        <f t="shared" si="468"/>
        <v>197944.61000000002</v>
      </c>
      <c r="P1102" s="179">
        <f t="shared" si="468"/>
        <v>193285.88000000003</v>
      </c>
      <c r="Q1102" s="181">
        <f t="shared" si="468"/>
        <v>185473.39</v>
      </c>
      <c r="R1102" s="1"/>
      <c r="S1102" s="1"/>
      <c r="T1102" s="1"/>
    </row>
    <row r="1103" spans="1:20" ht="13.5" customHeight="1" thickTop="1" x14ac:dyDescent="0.25">
      <c r="A1103" s="1"/>
      <c r="B1103" s="1"/>
      <c r="C1103" s="1"/>
      <c r="D1103" s="42"/>
      <c r="E1103" s="44"/>
      <c r="F1103" s="45"/>
      <c r="G1103" s="45"/>
      <c r="H1103" s="66"/>
      <c r="I1103" s="66"/>
      <c r="J1103" s="48"/>
      <c r="K1103" s="49"/>
      <c r="L1103" s="50"/>
      <c r="M1103" s="50"/>
      <c r="N1103" s="51"/>
      <c r="O1103" s="52"/>
      <c r="P1103" s="53"/>
      <c r="Q1103" s="54"/>
      <c r="R1103" s="1"/>
      <c r="S1103" s="1"/>
      <c r="T1103" s="1"/>
    </row>
    <row r="1104" spans="1:20" ht="13.5" customHeight="1" x14ac:dyDescent="0.25">
      <c r="A1104" s="1"/>
      <c r="B1104" s="1"/>
      <c r="C1104" s="41" t="s">
        <v>1059</v>
      </c>
      <c r="D1104" s="42"/>
      <c r="E1104" s="44"/>
      <c r="F1104" s="45"/>
      <c r="G1104" s="45"/>
      <c r="H1104" s="66"/>
      <c r="I1104" s="66"/>
      <c r="J1104" s="48"/>
      <c r="K1104" s="49"/>
      <c r="L1104" s="50"/>
      <c r="M1104" s="50"/>
      <c r="N1104" s="51"/>
      <c r="O1104" s="52"/>
      <c r="P1104" s="53"/>
      <c r="Q1104" s="54"/>
      <c r="R1104" s="1"/>
      <c r="S1104" s="1"/>
      <c r="T1104" s="1"/>
    </row>
    <row r="1105" spans="1:20" ht="13.5" customHeight="1" x14ac:dyDescent="0.25">
      <c r="A1105" s="1"/>
      <c r="B1105" s="1" t="s">
        <v>1060</v>
      </c>
      <c r="C1105" s="1" t="s">
        <v>420</v>
      </c>
      <c r="D1105" s="42">
        <v>56964</v>
      </c>
      <c r="E1105" s="43">
        <v>26463.94</v>
      </c>
      <c r="F1105" s="45">
        <v>55939</v>
      </c>
      <c r="G1105" s="45">
        <v>55939</v>
      </c>
      <c r="H1105" s="46">
        <v>39582.879999999997</v>
      </c>
      <c r="I1105" s="47">
        <f t="shared" ref="I1105:I1106" si="469">H1105/J1105</f>
        <v>0.71968872727272726</v>
      </c>
      <c r="J1105" s="48">
        <v>55000</v>
      </c>
      <c r="K1105" s="49">
        <v>55000</v>
      </c>
      <c r="L1105" s="77">
        <v>0</v>
      </c>
      <c r="M1105" s="77">
        <v>0</v>
      </c>
      <c r="N1105" s="53" t="s">
        <v>16</v>
      </c>
      <c r="O1105" s="52"/>
      <c r="P1105" s="53"/>
      <c r="Q1105" s="54"/>
      <c r="R1105" s="1"/>
      <c r="S1105" s="1"/>
      <c r="T1105" s="1"/>
    </row>
    <row r="1106" spans="1:20" ht="13.5" customHeight="1" x14ac:dyDescent="0.25">
      <c r="A1106" s="1"/>
      <c r="B1106" s="55" t="s">
        <v>1061</v>
      </c>
      <c r="C1106" s="55" t="s">
        <v>237</v>
      </c>
      <c r="D1106" s="42">
        <v>0</v>
      </c>
      <c r="E1106" s="43">
        <v>0</v>
      </c>
      <c r="F1106" s="71">
        <v>0</v>
      </c>
      <c r="G1106" s="71">
        <v>0</v>
      </c>
      <c r="H1106" s="46">
        <v>0</v>
      </c>
      <c r="I1106" s="47">
        <f t="shared" si="469"/>
        <v>0</v>
      </c>
      <c r="J1106" s="48">
        <v>55000</v>
      </c>
      <c r="K1106" s="49">
        <v>55000</v>
      </c>
      <c r="L1106" s="77">
        <v>0</v>
      </c>
      <c r="M1106" s="77">
        <v>0</v>
      </c>
      <c r="N1106" s="53" t="s">
        <v>16</v>
      </c>
      <c r="O1106" s="52"/>
      <c r="P1106" s="53"/>
      <c r="Q1106" s="54"/>
      <c r="R1106" s="1"/>
      <c r="S1106" s="1"/>
      <c r="T1106" s="1"/>
    </row>
    <row r="1107" spans="1:20" ht="13.5" customHeight="1" x14ac:dyDescent="0.25">
      <c r="A1107" s="1"/>
      <c r="B1107" s="1"/>
      <c r="C1107" s="1"/>
      <c r="D1107" s="56">
        <v>56964</v>
      </c>
      <c r="E1107" s="57">
        <f>SUM(E1105:E1106)</f>
        <v>26463.94</v>
      </c>
      <c r="F1107" s="58">
        <f>SUM(F1104:F1106)</f>
        <v>55939</v>
      </c>
      <c r="G1107" s="58">
        <f t="shared" ref="G1107:H1107" si="470">SUM(G1105:G1106)</f>
        <v>55939</v>
      </c>
      <c r="H1107" s="59">
        <f t="shared" si="470"/>
        <v>39582.879999999997</v>
      </c>
      <c r="I1107" s="59"/>
      <c r="J1107" s="60">
        <f t="shared" ref="J1107:Q1107" si="471">SUM(J1106)</f>
        <v>55000</v>
      </c>
      <c r="K1107" s="61">
        <f t="shared" si="471"/>
        <v>55000</v>
      </c>
      <c r="L1107" s="62">
        <f t="shared" si="471"/>
        <v>0</v>
      </c>
      <c r="M1107" s="62">
        <f t="shared" si="471"/>
        <v>0</v>
      </c>
      <c r="N1107" s="63">
        <f t="shared" si="471"/>
        <v>0</v>
      </c>
      <c r="O1107" s="64">
        <f t="shared" si="471"/>
        <v>0</v>
      </c>
      <c r="P1107" s="63">
        <f t="shared" si="471"/>
        <v>0</v>
      </c>
      <c r="Q1107" s="65">
        <f t="shared" si="471"/>
        <v>0</v>
      </c>
      <c r="R1107" s="1"/>
      <c r="S1107" s="1"/>
      <c r="T1107" s="1"/>
    </row>
    <row r="1108" spans="1:20" ht="13.5" customHeight="1" x14ac:dyDescent="0.25">
      <c r="A1108" s="1"/>
      <c r="B1108" s="1"/>
      <c r="C1108" s="1"/>
      <c r="D1108" s="42"/>
      <c r="E1108" s="44"/>
      <c r="F1108" s="45"/>
      <c r="G1108" s="45"/>
      <c r="H1108" s="66"/>
      <c r="I1108" s="66"/>
      <c r="J1108" s="48"/>
      <c r="K1108" s="49"/>
      <c r="L1108" s="77"/>
      <c r="M1108" s="77"/>
      <c r="N1108" s="53"/>
      <c r="O1108" s="52"/>
      <c r="P1108" s="53"/>
      <c r="Q1108" s="54"/>
      <c r="R1108" s="1"/>
      <c r="S1108" s="1"/>
      <c r="T1108" s="1"/>
    </row>
    <row r="1109" spans="1:20" ht="13.5" customHeight="1" x14ac:dyDescent="0.25">
      <c r="A1109" s="1"/>
      <c r="B1109" s="1" t="s">
        <v>1062</v>
      </c>
      <c r="C1109" s="1" t="s">
        <v>247</v>
      </c>
      <c r="D1109" s="42">
        <v>4357.7460000000001</v>
      </c>
      <c r="E1109" s="43">
        <v>1807.67</v>
      </c>
      <c r="F1109" s="45">
        <v>4279.3334999999997</v>
      </c>
      <c r="G1109" s="45">
        <v>4279.3334999999997</v>
      </c>
      <c r="H1109" s="46">
        <v>2671.78</v>
      </c>
      <c r="I1109" s="47">
        <f t="shared" ref="I1109:I1113" si="472">H1109/J1109</f>
        <v>0.6349287072243347</v>
      </c>
      <c r="J1109" s="48">
        <v>4208</v>
      </c>
      <c r="K1109" s="49">
        <v>4208</v>
      </c>
      <c r="L1109" s="77">
        <v>0</v>
      </c>
      <c r="M1109" s="77">
        <v>0</v>
      </c>
      <c r="N1109" s="53" t="s">
        <v>16</v>
      </c>
      <c r="O1109" s="52"/>
      <c r="P1109" s="53"/>
      <c r="Q1109" s="40"/>
      <c r="R1109" s="1"/>
      <c r="S1109" s="1"/>
      <c r="T1109" s="1"/>
    </row>
    <row r="1110" spans="1:20" ht="13.5" customHeight="1" x14ac:dyDescent="0.25">
      <c r="A1110" s="1"/>
      <c r="B1110" s="1" t="s">
        <v>1063</v>
      </c>
      <c r="C1110" s="1" t="s">
        <v>249</v>
      </c>
      <c r="D1110" s="42">
        <v>10463.434800000001</v>
      </c>
      <c r="E1110" s="70">
        <v>5541.06</v>
      </c>
      <c r="F1110" s="45">
        <v>10463.2736</v>
      </c>
      <c r="G1110" s="45">
        <v>10463.2736</v>
      </c>
      <c r="H1110" s="68">
        <v>5117.92</v>
      </c>
      <c r="I1110" s="47">
        <f t="shared" si="472"/>
        <v>0.50472583826429984</v>
      </c>
      <c r="J1110" s="48">
        <v>10140</v>
      </c>
      <c r="K1110" s="49">
        <v>10140</v>
      </c>
      <c r="L1110" s="77">
        <v>0</v>
      </c>
      <c r="M1110" s="77">
        <v>0</v>
      </c>
      <c r="N1110" s="53" t="s">
        <v>16</v>
      </c>
      <c r="O1110" s="39"/>
      <c r="P1110" s="53"/>
      <c r="Q1110" s="54"/>
      <c r="R1110" s="1"/>
      <c r="S1110" s="1"/>
      <c r="T1110" s="1"/>
    </row>
    <row r="1111" spans="1:20" ht="13.5" customHeight="1" x14ac:dyDescent="0.25">
      <c r="A1111" s="1"/>
      <c r="B1111" s="1" t="s">
        <v>1064</v>
      </c>
      <c r="C1111" s="1" t="s">
        <v>251</v>
      </c>
      <c r="D1111" s="42">
        <v>8555.9928</v>
      </c>
      <c r="E1111" s="43">
        <v>3974.89</v>
      </c>
      <c r="F1111" s="45">
        <v>8402.0378000000001</v>
      </c>
      <c r="G1111" s="45">
        <v>8402.0378000000001</v>
      </c>
      <c r="H1111" s="46">
        <v>5754.96</v>
      </c>
      <c r="I1111" s="47">
        <f t="shared" si="472"/>
        <v>0.72063110443275735</v>
      </c>
      <c r="J1111" s="48">
        <v>7986</v>
      </c>
      <c r="K1111" s="49">
        <v>7986</v>
      </c>
      <c r="L1111" s="77">
        <v>0</v>
      </c>
      <c r="M1111" s="77">
        <v>0</v>
      </c>
      <c r="N1111" s="53" t="s">
        <v>16</v>
      </c>
      <c r="O1111" s="52"/>
      <c r="P1111" s="53"/>
      <c r="Q1111" s="40"/>
      <c r="R1111" s="1"/>
      <c r="S1111" s="1"/>
      <c r="T1111" s="1"/>
    </row>
    <row r="1112" spans="1:20" ht="13.5" customHeight="1" x14ac:dyDescent="0.25">
      <c r="A1112" s="1"/>
      <c r="B1112" s="1" t="s">
        <v>1065</v>
      </c>
      <c r="C1112" s="1" t="s">
        <v>253</v>
      </c>
      <c r="D1112" s="42">
        <v>91.142400000000009</v>
      </c>
      <c r="E1112" s="43">
        <v>42.34</v>
      </c>
      <c r="F1112" s="45">
        <v>89.502400000000009</v>
      </c>
      <c r="G1112" s="45">
        <v>89.502400000000009</v>
      </c>
      <c r="H1112" s="46">
        <v>63.33</v>
      </c>
      <c r="I1112" s="47">
        <f t="shared" si="472"/>
        <v>0.71965909090909086</v>
      </c>
      <c r="J1112" s="48">
        <v>88</v>
      </c>
      <c r="K1112" s="49">
        <v>88</v>
      </c>
      <c r="L1112" s="77">
        <v>0</v>
      </c>
      <c r="M1112" s="77">
        <v>0</v>
      </c>
      <c r="N1112" s="53" t="s">
        <v>16</v>
      </c>
      <c r="O1112" s="52"/>
      <c r="P1112" s="53"/>
      <c r="Q1112" s="54"/>
      <c r="R1112" s="1"/>
      <c r="S1112" s="1"/>
      <c r="T1112" s="1"/>
    </row>
    <row r="1113" spans="1:20" ht="13.5" customHeight="1" x14ac:dyDescent="0.25">
      <c r="A1113" s="1"/>
      <c r="B1113" s="1" t="s">
        <v>1066</v>
      </c>
      <c r="C1113" s="1" t="s">
        <v>255</v>
      </c>
      <c r="D1113" s="42">
        <v>351.12</v>
      </c>
      <c r="E1113" s="70">
        <v>167.28</v>
      </c>
      <c r="F1113" s="45">
        <v>335</v>
      </c>
      <c r="G1113" s="45">
        <v>335</v>
      </c>
      <c r="H1113" s="68">
        <v>163.04</v>
      </c>
      <c r="I1113" s="47">
        <f t="shared" si="472"/>
        <v>0.50633540372670804</v>
      </c>
      <c r="J1113" s="48">
        <v>322</v>
      </c>
      <c r="K1113" s="49">
        <v>322</v>
      </c>
      <c r="L1113" s="77">
        <v>0</v>
      </c>
      <c r="M1113" s="77">
        <v>0</v>
      </c>
      <c r="N1113" s="53" t="s">
        <v>16</v>
      </c>
      <c r="O1113" s="52"/>
      <c r="P1113" s="53"/>
      <c r="Q1113" s="54"/>
      <c r="R1113" s="1"/>
      <c r="S1113" s="1"/>
      <c r="T1113" s="1"/>
    </row>
    <row r="1114" spans="1:20" ht="13.5" customHeight="1" x14ac:dyDescent="0.25">
      <c r="A1114" s="1"/>
      <c r="B1114" s="1"/>
      <c r="C1114" s="1"/>
      <c r="D1114" s="56">
        <v>23819.436000000002</v>
      </c>
      <c r="E1114" s="57">
        <f t="shared" ref="E1114" si="473">SUM(E1109:E1113)</f>
        <v>11533.240000000002</v>
      </c>
      <c r="F1114" s="58">
        <f>SUM(F1108:F1113)</f>
        <v>23569.147300000001</v>
      </c>
      <c r="G1114" s="58">
        <v>23569.147300000001</v>
      </c>
      <c r="H1114" s="59">
        <f>SUM(H1109:H1113)</f>
        <v>13771.03</v>
      </c>
      <c r="I1114" s="59"/>
      <c r="J1114" s="60">
        <f t="shared" ref="J1114:Q1114" si="474">SUM(J1109:J1113)</f>
        <v>22744</v>
      </c>
      <c r="K1114" s="61">
        <f t="shared" si="474"/>
        <v>22744</v>
      </c>
      <c r="L1114" s="62">
        <f t="shared" si="474"/>
        <v>0</v>
      </c>
      <c r="M1114" s="62">
        <f t="shared" si="474"/>
        <v>0</v>
      </c>
      <c r="N1114" s="63">
        <f t="shared" si="474"/>
        <v>0</v>
      </c>
      <c r="O1114" s="64">
        <f t="shared" si="474"/>
        <v>0</v>
      </c>
      <c r="P1114" s="63">
        <f t="shared" si="474"/>
        <v>0</v>
      </c>
      <c r="Q1114" s="65">
        <f t="shared" si="474"/>
        <v>0</v>
      </c>
      <c r="R1114" s="1"/>
      <c r="S1114" s="1"/>
      <c r="T1114" s="1"/>
    </row>
    <row r="1115" spans="1:20" ht="13.5" customHeight="1" x14ac:dyDescent="0.25">
      <c r="A1115" s="1"/>
      <c r="B1115" s="1"/>
      <c r="C1115" s="1"/>
      <c r="D1115" s="42"/>
      <c r="E1115" s="67"/>
      <c r="F1115" s="45"/>
      <c r="G1115" s="45"/>
      <c r="H1115" s="74"/>
      <c r="I1115" s="66"/>
      <c r="J1115" s="48"/>
      <c r="K1115" s="49"/>
      <c r="L1115" s="77"/>
      <c r="M1115" s="77"/>
      <c r="N1115" s="53"/>
      <c r="O1115" s="52"/>
      <c r="P1115" s="53"/>
      <c r="Q1115" s="54"/>
      <c r="R1115" s="1"/>
      <c r="S1115" s="1"/>
      <c r="T1115" s="1"/>
    </row>
    <row r="1116" spans="1:20" ht="13.5" customHeight="1" x14ac:dyDescent="0.25">
      <c r="A1116" s="1"/>
      <c r="B1116" s="1" t="s">
        <v>1067</v>
      </c>
      <c r="C1116" s="1" t="s">
        <v>259</v>
      </c>
      <c r="D1116" s="42">
        <v>2000</v>
      </c>
      <c r="E1116" s="43">
        <v>201.45</v>
      </c>
      <c r="F1116" s="45">
        <v>2000</v>
      </c>
      <c r="G1116" s="45">
        <v>2000</v>
      </c>
      <c r="H1116" s="46">
        <v>843.83</v>
      </c>
      <c r="I1116" s="47">
        <f t="shared" ref="I1116:I1117" si="475">H1116/J1116</f>
        <v>2.109575</v>
      </c>
      <c r="J1116" s="48">
        <v>400</v>
      </c>
      <c r="K1116" s="49">
        <v>400</v>
      </c>
      <c r="L1116" s="77">
        <v>0</v>
      </c>
      <c r="M1116" s="77">
        <v>0</v>
      </c>
      <c r="N1116" s="53" t="s">
        <v>16</v>
      </c>
      <c r="O1116" s="52"/>
      <c r="P1116" s="53"/>
      <c r="Q1116" s="54"/>
      <c r="R1116" s="1"/>
      <c r="S1116" s="1"/>
      <c r="T1116" s="1"/>
    </row>
    <row r="1117" spans="1:20" ht="13.5" customHeight="1" x14ac:dyDescent="0.25">
      <c r="A1117" s="1"/>
      <c r="B1117" s="1" t="s">
        <v>1068</v>
      </c>
      <c r="C1117" s="1" t="s">
        <v>261</v>
      </c>
      <c r="D1117" s="42">
        <v>500</v>
      </c>
      <c r="E1117" s="70">
        <v>34.1</v>
      </c>
      <c r="F1117" s="45">
        <v>2000</v>
      </c>
      <c r="G1117" s="45">
        <v>2000</v>
      </c>
      <c r="H1117" s="68">
        <v>83.15</v>
      </c>
      <c r="I1117" s="47">
        <f t="shared" si="475"/>
        <v>0.83150000000000002</v>
      </c>
      <c r="J1117" s="48">
        <v>100</v>
      </c>
      <c r="K1117" s="49">
        <v>100</v>
      </c>
      <c r="L1117" s="77">
        <v>0</v>
      </c>
      <c r="M1117" s="77">
        <v>0</v>
      </c>
      <c r="N1117" s="53" t="s">
        <v>16</v>
      </c>
      <c r="O1117" s="52"/>
      <c r="P1117" s="53"/>
      <c r="Q1117" s="54"/>
      <c r="R1117" s="1"/>
      <c r="S1117" s="1"/>
      <c r="T1117" s="1"/>
    </row>
    <row r="1118" spans="1:20" ht="13.5" customHeight="1" x14ac:dyDescent="0.25">
      <c r="A1118" s="1"/>
      <c r="B1118" s="55" t="s">
        <v>1069</v>
      </c>
      <c r="C1118" s="55" t="s">
        <v>265</v>
      </c>
      <c r="D1118" s="42">
        <v>0</v>
      </c>
      <c r="E1118" s="70">
        <v>579</v>
      </c>
      <c r="F1118" s="71">
        <v>0</v>
      </c>
      <c r="G1118" s="71">
        <v>0</v>
      </c>
      <c r="H1118" s="68">
        <v>0</v>
      </c>
      <c r="I1118" s="47"/>
      <c r="J1118" s="48"/>
      <c r="K1118" s="49"/>
      <c r="L1118" s="83">
        <v>0</v>
      </c>
      <c r="M1118" s="83">
        <v>0</v>
      </c>
      <c r="N1118" s="53"/>
      <c r="O1118" s="52"/>
      <c r="P1118" s="53"/>
      <c r="Q1118" s="54"/>
      <c r="R1118" s="1"/>
      <c r="S1118" s="1"/>
      <c r="T1118" s="1"/>
    </row>
    <row r="1119" spans="1:20" ht="13.5" customHeight="1" x14ac:dyDescent="0.25">
      <c r="A1119" s="1"/>
      <c r="B1119" s="55" t="s">
        <v>1070</v>
      </c>
      <c r="C1119" s="55" t="s">
        <v>438</v>
      </c>
      <c r="D1119" s="42">
        <v>0</v>
      </c>
      <c r="E1119" s="70">
        <v>0</v>
      </c>
      <c r="F1119" s="71">
        <v>0</v>
      </c>
      <c r="G1119" s="71">
        <v>0</v>
      </c>
      <c r="H1119" s="68">
        <v>209.99</v>
      </c>
      <c r="I1119" s="47"/>
      <c r="J1119" s="48"/>
      <c r="K1119" s="49"/>
      <c r="L1119" s="83">
        <v>0</v>
      </c>
      <c r="M1119" s="83">
        <v>0</v>
      </c>
      <c r="N1119" s="53"/>
      <c r="O1119" s="52"/>
      <c r="P1119" s="53"/>
      <c r="Q1119" s="54"/>
      <c r="R1119" s="1"/>
      <c r="S1119" s="1"/>
      <c r="T1119" s="1"/>
    </row>
    <row r="1120" spans="1:20" ht="13.5" customHeight="1" x14ac:dyDescent="0.25">
      <c r="A1120" s="1"/>
      <c r="B1120" s="1" t="s">
        <v>1071</v>
      </c>
      <c r="C1120" s="1" t="s">
        <v>267</v>
      </c>
      <c r="D1120" s="42">
        <v>600</v>
      </c>
      <c r="E1120" s="67">
        <f>515.18+145.27</f>
        <v>660.44999999999993</v>
      </c>
      <c r="F1120" s="45">
        <v>500</v>
      </c>
      <c r="G1120" s="45">
        <v>500</v>
      </c>
      <c r="H1120" s="68">
        <v>286</v>
      </c>
      <c r="I1120" s="47">
        <v>0</v>
      </c>
      <c r="J1120" s="48">
        <v>0</v>
      </c>
      <c r="K1120" s="49">
        <v>0</v>
      </c>
      <c r="L1120" s="77">
        <v>0</v>
      </c>
      <c r="M1120" s="77">
        <v>0</v>
      </c>
      <c r="N1120" s="53" t="s">
        <v>16</v>
      </c>
      <c r="O1120" s="52"/>
      <c r="P1120" s="53"/>
      <c r="Q1120" s="54"/>
      <c r="R1120" s="1"/>
      <c r="S1120" s="1"/>
      <c r="T1120" s="1"/>
    </row>
    <row r="1121" spans="1:20" ht="13.5" customHeight="1" x14ac:dyDescent="0.25">
      <c r="A1121" s="1"/>
      <c r="B1121" s="1"/>
      <c r="C1121" s="1"/>
      <c r="D1121" s="56">
        <v>3100</v>
      </c>
      <c r="E1121" s="57">
        <f t="shared" ref="E1121" si="476">SUM(E1116:E1120)</f>
        <v>1475</v>
      </c>
      <c r="F1121" s="58">
        <f>SUM(F1115:F1120)</f>
        <v>4500</v>
      </c>
      <c r="G1121" s="58">
        <v>4500</v>
      </c>
      <c r="H1121" s="59">
        <f>SUM(H1116:H1120)</f>
        <v>1422.97</v>
      </c>
      <c r="I1121" s="59"/>
      <c r="J1121" s="60">
        <f t="shared" ref="J1121:Q1121" si="477">SUM(J1116:J1120)</f>
        <v>500</v>
      </c>
      <c r="K1121" s="61">
        <f t="shared" si="477"/>
        <v>500</v>
      </c>
      <c r="L1121" s="62">
        <f t="shared" si="477"/>
        <v>0</v>
      </c>
      <c r="M1121" s="62">
        <f t="shared" si="477"/>
        <v>0</v>
      </c>
      <c r="N1121" s="63">
        <f t="shared" si="477"/>
        <v>0</v>
      </c>
      <c r="O1121" s="64">
        <f t="shared" si="477"/>
        <v>0</v>
      </c>
      <c r="P1121" s="63">
        <f t="shared" si="477"/>
        <v>0</v>
      </c>
      <c r="Q1121" s="65">
        <f t="shared" si="477"/>
        <v>0</v>
      </c>
      <c r="R1121" s="1"/>
      <c r="S1121" s="1"/>
      <c r="T1121" s="1"/>
    </row>
    <row r="1122" spans="1:20" ht="13.5" customHeight="1" x14ac:dyDescent="0.25">
      <c r="A1122" s="1"/>
      <c r="B1122" s="1"/>
      <c r="C1122" s="1"/>
      <c r="D1122" s="42"/>
      <c r="E1122" s="67"/>
      <c r="F1122" s="45"/>
      <c r="G1122" s="45"/>
      <c r="H1122" s="74"/>
      <c r="I1122" s="66"/>
      <c r="J1122" s="48"/>
      <c r="K1122" s="49"/>
      <c r="L1122" s="77"/>
      <c r="M1122" s="77"/>
      <c r="N1122" s="53"/>
      <c r="O1122" s="52"/>
      <c r="P1122" s="53"/>
      <c r="Q1122" s="54"/>
      <c r="R1122" s="1"/>
      <c r="S1122" s="1"/>
      <c r="T1122" s="1"/>
    </row>
    <row r="1123" spans="1:20" ht="13.5" customHeight="1" x14ac:dyDescent="0.25">
      <c r="A1123" s="1"/>
      <c r="B1123" s="1" t="s">
        <v>1072</v>
      </c>
      <c r="C1123" s="55" t="s">
        <v>273</v>
      </c>
      <c r="D1123" s="42">
        <v>500</v>
      </c>
      <c r="E1123" s="43">
        <v>0</v>
      </c>
      <c r="F1123" s="45">
        <v>500</v>
      </c>
      <c r="G1123" s="45">
        <v>500</v>
      </c>
      <c r="H1123" s="66">
        <v>169.94</v>
      </c>
      <c r="I1123" s="47">
        <f t="shared" ref="I1123:I1124" si="478">H1123/J1123</f>
        <v>0.84970000000000001</v>
      </c>
      <c r="J1123" s="48">
        <v>200</v>
      </c>
      <c r="K1123" s="49">
        <v>200</v>
      </c>
      <c r="L1123" s="77">
        <v>0</v>
      </c>
      <c r="M1123" s="77">
        <v>0</v>
      </c>
      <c r="N1123" s="53" t="s">
        <v>16</v>
      </c>
      <c r="O1123" s="52"/>
      <c r="P1123" s="53"/>
      <c r="Q1123" s="54"/>
      <c r="R1123" s="1"/>
      <c r="S1123" s="1"/>
      <c r="T1123" s="1"/>
    </row>
    <row r="1124" spans="1:20" ht="13.5" customHeight="1" x14ac:dyDescent="0.25">
      <c r="A1124" s="1"/>
      <c r="B1124" s="1" t="s">
        <v>1073</v>
      </c>
      <c r="C1124" s="1" t="s">
        <v>275</v>
      </c>
      <c r="D1124" s="42">
        <v>1400</v>
      </c>
      <c r="E1124" s="70">
        <v>0</v>
      </c>
      <c r="F1124" s="45">
        <v>1400</v>
      </c>
      <c r="G1124" s="45">
        <v>1400</v>
      </c>
      <c r="H1124" s="68">
        <v>331.64</v>
      </c>
      <c r="I1124" s="47">
        <f t="shared" si="478"/>
        <v>0.26531199999999999</v>
      </c>
      <c r="J1124" s="48">
        <v>1250</v>
      </c>
      <c r="K1124" s="49">
        <v>1250</v>
      </c>
      <c r="L1124" s="77">
        <v>0</v>
      </c>
      <c r="M1124" s="77">
        <v>0</v>
      </c>
      <c r="N1124" s="53" t="s">
        <v>16</v>
      </c>
      <c r="O1124" s="52"/>
      <c r="P1124" s="53"/>
      <c r="Q1124" s="54"/>
      <c r="R1124" s="1"/>
      <c r="S1124" s="1"/>
      <c r="T1124" s="1"/>
    </row>
    <row r="1125" spans="1:20" ht="13.5" customHeight="1" x14ac:dyDescent="0.25">
      <c r="A1125" s="1"/>
      <c r="B1125" s="55" t="s">
        <v>1074</v>
      </c>
      <c r="C1125" s="55" t="s">
        <v>277</v>
      </c>
      <c r="D1125" s="42">
        <v>250</v>
      </c>
      <c r="E1125" s="70">
        <v>219</v>
      </c>
      <c r="F1125" s="71">
        <v>0</v>
      </c>
      <c r="G1125" s="71">
        <v>0</v>
      </c>
      <c r="H1125" s="68">
        <v>0</v>
      </c>
      <c r="I1125" s="47"/>
      <c r="J1125" s="48"/>
      <c r="K1125" s="49"/>
      <c r="L1125" s="83">
        <v>0</v>
      </c>
      <c r="M1125" s="83">
        <v>0</v>
      </c>
      <c r="N1125" s="53"/>
      <c r="O1125" s="52"/>
      <c r="P1125" s="53"/>
      <c r="Q1125" s="54"/>
      <c r="R1125" s="1"/>
      <c r="S1125" s="1"/>
      <c r="T1125" s="1"/>
    </row>
    <row r="1126" spans="1:20" ht="13.5" customHeight="1" x14ac:dyDescent="0.25">
      <c r="A1126" s="1"/>
      <c r="B1126" s="1" t="s">
        <v>1075</v>
      </c>
      <c r="C1126" s="1" t="s">
        <v>281</v>
      </c>
      <c r="D1126" s="42">
        <v>1440</v>
      </c>
      <c r="E1126" s="70">
        <v>521.41</v>
      </c>
      <c r="F1126" s="45">
        <v>1440</v>
      </c>
      <c r="G1126" s="45">
        <v>1440</v>
      </c>
      <c r="H1126" s="74">
        <v>0</v>
      </c>
      <c r="I1126" s="47">
        <f>H1126/J1126</f>
        <v>0</v>
      </c>
      <c r="J1126" s="48">
        <v>700</v>
      </c>
      <c r="K1126" s="49">
        <v>700</v>
      </c>
      <c r="L1126" s="77">
        <v>0</v>
      </c>
      <c r="M1126" s="77">
        <v>0</v>
      </c>
      <c r="N1126" s="53" t="s">
        <v>16</v>
      </c>
      <c r="O1126" s="52"/>
      <c r="P1126" s="53"/>
      <c r="Q1126" s="54"/>
      <c r="R1126" s="1"/>
      <c r="S1126" s="1"/>
      <c r="T1126" s="1"/>
    </row>
    <row r="1127" spans="1:20" ht="13.5" customHeight="1" x14ac:dyDescent="0.25">
      <c r="A1127" s="1"/>
      <c r="B1127" s="1"/>
      <c r="C1127" s="1"/>
      <c r="D1127" s="56">
        <v>3590</v>
      </c>
      <c r="E1127" s="57">
        <f t="shared" ref="E1127" si="479">SUM(E1123:E1126)</f>
        <v>740.41</v>
      </c>
      <c r="F1127" s="58">
        <f>SUM(F1122:F1126)</f>
        <v>3340</v>
      </c>
      <c r="G1127" s="58">
        <v>3340</v>
      </c>
      <c r="H1127" s="59">
        <f>SUM(H1123:H1126)</f>
        <v>501.58</v>
      </c>
      <c r="I1127" s="59"/>
      <c r="J1127" s="60">
        <f t="shared" ref="J1127:Q1127" si="480">SUM(J1123:J1126)</f>
        <v>2150</v>
      </c>
      <c r="K1127" s="61">
        <f t="shared" si="480"/>
        <v>2150</v>
      </c>
      <c r="L1127" s="62">
        <f t="shared" si="480"/>
        <v>0</v>
      </c>
      <c r="M1127" s="62">
        <f t="shared" si="480"/>
        <v>0</v>
      </c>
      <c r="N1127" s="63">
        <f t="shared" si="480"/>
        <v>0</v>
      </c>
      <c r="O1127" s="64">
        <f t="shared" si="480"/>
        <v>0</v>
      </c>
      <c r="P1127" s="63">
        <f t="shared" si="480"/>
        <v>0</v>
      </c>
      <c r="Q1127" s="65">
        <f t="shared" si="480"/>
        <v>0</v>
      </c>
      <c r="R1127" s="1"/>
      <c r="S1127" s="1"/>
      <c r="T1127" s="1"/>
    </row>
    <row r="1128" spans="1:20" ht="13.5" customHeight="1" thickBot="1" x14ac:dyDescent="0.3">
      <c r="A1128" s="1"/>
      <c r="B1128" s="1"/>
      <c r="C1128" s="116" t="s">
        <v>1059</v>
      </c>
      <c r="D1128" s="267">
        <v>87473.436000000002</v>
      </c>
      <c r="E1128" s="173">
        <f t="shared" ref="E1128" si="481">SUM(E1107+E1114+E1121+E1127)</f>
        <v>40212.590000000004</v>
      </c>
      <c r="F1128" s="174">
        <f>SUM(F1107,F1114,F1121,F1127)</f>
        <v>87348.147299999997</v>
      </c>
      <c r="G1128" s="174">
        <v>87348.147299999997</v>
      </c>
      <c r="H1128" s="175">
        <f>SUM(H1107+H1114+H1121+H1127)</f>
        <v>55278.46</v>
      </c>
      <c r="I1128" s="175"/>
      <c r="J1128" s="176">
        <f t="shared" ref="J1128:Q1128" si="482">SUM(J1107+J1114+J1121+J1127)</f>
        <v>80394</v>
      </c>
      <c r="K1128" s="177">
        <f t="shared" si="482"/>
        <v>80394</v>
      </c>
      <c r="L1128" s="178">
        <f t="shared" si="482"/>
        <v>0</v>
      </c>
      <c r="M1128" s="178">
        <f t="shared" si="482"/>
        <v>0</v>
      </c>
      <c r="N1128" s="179">
        <f t="shared" si="482"/>
        <v>0</v>
      </c>
      <c r="O1128" s="180">
        <f t="shared" si="482"/>
        <v>0</v>
      </c>
      <c r="P1128" s="179">
        <f t="shared" si="482"/>
        <v>0</v>
      </c>
      <c r="Q1128" s="181">
        <f t="shared" si="482"/>
        <v>0</v>
      </c>
      <c r="R1128" s="1"/>
      <c r="S1128" s="1"/>
      <c r="T1128" s="1"/>
    </row>
    <row r="1129" spans="1:20" ht="13.5" customHeight="1" thickTop="1" x14ac:dyDescent="0.25">
      <c r="A1129" s="1"/>
      <c r="B1129" s="1"/>
      <c r="C1129" s="1"/>
      <c r="D1129" s="42"/>
      <c r="E1129" s="67"/>
      <c r="F1129" s="45"/>
      <c r="G1129" s="45"/>
      <c r="H1129" s="74"/>
      <c r="I1129" s="66"/>
      <c r="J1129" s="48"/>
      <c r="K1129" s="49"/>
      <c r="L1129" s="77"/>
      <c r="M1129" s="77"/>
      <c r="N1129" s="53"/>
      <c r="O1129" s="52"/>
      <c r="P1129" s="53"/>
      <c r="Q1129" s="54"/>
      <c r="R1129" s="1"/>
      <c r="S1129" s="1"/>
      <c r="T1129" s="1"/>
    </row>
    <row r="1130" spans="1:20" ht="13.5" customHeight="1" x14ac:dyDescent="0.25">
      <c r="A1130" s="1"/>
      <c r="B1130" s="1"/>
      <c r="C1130" s="41" t="s">
        <v>1076</v>
      </c>
      <c r="D1130" s="42"/>
      <c r="E1130" s="67"/>
      <c r="F1130" s="45"/>
      <c r="G1130" s="45"/>
      <c r="H1130" s="74"/>
      <c r="I1130" s="66"/>
      <c r="J1130" s="48"/>
      <c r="K1130" s="49"/>
      <c r="L1130" s="77"/>
      <c r="M1130" s="77"/>
      <c r="N1130" s="53"/>
      <c r="O1130" s="52"/>
      <c r="P1130" s="53"/>
      <c r="Q1130" s="54"/>
      <c r="R1130" s="1"/>
      <c r="S1130" s="1"/>
      <c r="T1130" s="1"/>
    </row>
    <row r="1131" spans="1:20" ht="13.5" customHeight="1" x14ac:dyDescent="0.25">
      <c r="A1131" s="1"/>
      <c r="B1131" s="1" t="s">
        <v>1077</v>
      </c>
      <c r="C1131" s="1" t="s">
        <v>418</v>
      </c>
      <c r="D1131" s="42">
        <v>61718</v>
      </c>
      <c r="E1131" s="43">
        <v>28672.78</v>
      </c>
      <c r="F1131" s="45">
        <v>60607</v>
      </c>
      <c r="G1131" s="45">
        <v>60607</v>
      </c>
      <c r="H1131" s="46">
        <v>54810.94</v>
      </c>
      <c r="I1131" s="47">
        <f t="shared" ref="I1131:I1134" si="483">H1131/J1131</f>
        <v>1.0051888937793427</v>
      </c>
      <c r="J1131" s="48">
        <v>54528</v>
      </c>
      <c r="K1131" s="49">
        <v>54528</v>
      </c>
      <c r="L1131" s="50">
        <v>53522.83</v>
      </c>
      <c r="M1131" s="50">
        <v>52375.95</v>
      </c>
      <c r="N1131" s="51">
        <v>51550.28</v>
      </c>
      <c r="O1131" s="52">
        <v>49546.32</v>
      </c>
      <c r="P1131" s="53">
        <v>49464.08</v>
      </c>
      <c r="Q1131" s="54">
        <v>47664.02</v>
      </c>
      <c r="R1131" s="1"/>
      <c r="S1131" s="1"/>
      <c r="T1131" s="1"/>
    </row>
    <row r="1132" spans="1:20" ht="13.5" customHeight="1" x14ac:dyDescent="0.25">
      <c r="A1132" s="1"/>
      <c r="B1132" s="1" t="s">
        <v>1078</v>
      </c>
      <c r="C1132" s="1" t="s">
        <v>420</v>
      </c>
      <c r="D1132" s="42">
        <v>471811</v>
      </c>
      <c r="E1132" s="43">
        <v>224211.9</v>
      </c>
      <c r="F1132" s="45">
        <v>473940</v>
      </c>
      <c r="G1132" s="45">
        <v>473940</v>
      </c>
      <c r="H1132" s="46">
        <v>432779.68</v>
      </c>
      <c r="I1132" s="47">
        <f t="shared" si="483"/>
        <v>1.00289825249288</v>
      </c>
      <c r="J1132" s="48">
        <v>431529</v>
      </c>
      <c r="K1132" s="49">
        <v>431529</v>
      </c>
      <c r="L1132" s="50">
        <v>423493.35</v>
      </c>
      <c r="M1132" s="50">
        <v>413945.54</v>
      </c>
      <c r="N1132" s="51">
        <v>406205.39</v>
      </c>
      <c r="O1132" s="52">
        <v>367636.75</v>
      </c>
      <c r="P1132" s="53">
        <v>386763.78</v>
      </c>
      <c r="Q1132" s="54">
        <v>371652.98</v>
      </c>
      <c r="R1132" s="1"/>
      <c r="S1132" s="1"/>
      <c r="T1132" s="1"/>
    </row>
    <row r="1133" spans="1:20" ht="13.5" customHeight="1" x14ac:dyDescent="0.25">
      <c r="A1133" s="1"/>
      <c r="B1133" s="1" t="s">
        <v>1079</v>
      </c>
      <c r="C1133" s="1" t="s">
        <v>237</v>
      </c>
      <c r="D1133" s="42">
        <v>15600</v>
      </c>
      <c r="E1133" s="43">
        <v>6657</v>
      </c>
      <c r="F1133" s="45">
        <v>15600</v>
      </c>
      <c r="G1133" s="45">
        <v>15600</v>
      </c>
      <c r="H1133" s="46">
        <v>15183.62</v>
      </c>
      <c r="I1133" s="47">
        <f t="shared" si="483"/>
        <v>0.97330897435897445</v>
      </c>
      <c r="J1133" s="48">
        <v>15600</v>
      </c>
      <c r="K1133" s="49">
        <v>15600</v>
      </c>
      <c r="L1133" s="50">
        <v>14184.32</v>
      </c>
      <c r="M1133" s="50">
        <v>14167.5</v>
      </c>
      <c r="N1133" s="51">
        <v>7328.4</v>
      </c>
      <c r="O1133" s="52">
        <v>14759.1</v>
      </c>
      <c r="P1133" s="53">
        <v>14825</v>
      </c>
      <c r="Q1133" s="54">
        <v>10505</v>
      </c>
      <c r="R1133" s="1"/>
      <c r="S1133" s="1"/>
      <c r="T1133" s="1"/>
    </row>
    <row r="1134" spans="1:20" ht="13.5" hidden="1" customHeight="1" x14ac:dyDescent="0.25">
      <c r="A1134" s="1"/>
      <c r="B1134" s="1" t="s">
        <v>1080</v>
      </c>
      <c r="C1134" s="1" t="s">
        <v>423</v>
      </c>
      <c r="D1134" s="42">
        <v>0</v>
      </c>
      <c r="E1134" s="43">
        <v>0</v>
      </c>
      <c r="F1134" s="45">
        <v>0</v>
      </c>
      <c r="G1134" s="45">
        <v>0</v>
      </c>
      <c r="H1134" s="46">
        <v>35935.660000000003</v>
      </c>
      <c r="I1134" s="47">
        <f t="shared" si="483"/>
        <v>0.95956368491321775</v>
      </c>
      <c r="J1134" s="48">
        <v>37450</v>
      </c>
      <c r="K1134" s="49">
        <v>37450</v>
      </c>
      <c r="L1134" s="50">
        <v>34738.33</v>
      </c>
      <c r="M1134" s="50">
        <v>32387.040000000001</v>
      </c>
      <c r="N1134" s="51">
        <v>30708.53</v>
      </c>
      <c r="O1134" s="52">
        <v>30448.080000000002</v>
      </c>
      <c r="P1134" s="53">
        <v>36705.61</v>
      </c>
      <c r="Q1134" s="54">
        <v>31258.29</v>
      </c>
      <c r="R1134" s="1"/>
      <c r="S1134" s="1"/>
      <c r="T1134" s="1"/>
    </row>
    <row r="1135" spans="1:20" ht="13.5" hidden="1" customHeight="1" x14ac:dyDescent="0.25">
      <c r="A1135" s="1"/>
      <c r="B1135" s="1" t="s">
        <v>1081</v>
      </c>
      <c r="C1135" s="1" t="s">
        <v>1082</v>
      </c>
      <c r="D1135" s="42">
        <v>0</v>
      </c>
      <c r="E1135" s="70">
        <v>0</v>
      </c>
      <c r="F1135" s="86">
        <v>0</v>
      </c>
      <c r="G1135" s="73" t="s">
        <v>16</v>
      </c>
      <c r="H1135" s="74" t="s">
        <v>16</v>
      </c>
      <c r="I1135" s="74"/>
      <c r="J1135" s="75" t="s">
        <v>16</v>
      </c>
      <c r="K1135" s="76" t="s">
        <v>16</v>
      </c>
      <c r="L1135" s="77" t="s">
        <v>16</v>
      </c>
      <c r="M1135" s="50"/>
      <c r="N1135" s="51">
        <v>37.36</v>
      </c>
      <c r="O1135" s="52">
        <v>21.36</v>
      </c>
      <c r="P1135" s="53">
        <v>0</v>
      </c>
      <c r="Q1135" s="54">
        <v>0</v>
      </c>
      <c r="R1135" s="1"/>
      <c r="S1135" s="1"/>
      <c r="T1135" s="1"/>
    </row>
    <row r="1136" spans="1:20" ht="13.5" customHeight="1" x14ac:dyDescent="0.25">
      <c r="A1136" s="1"/>
      <c r="B1136" s="1" t="s">
        <v>1083</v>
      </c>
      <c r="C1136" s="1" t="s">
        <v>241</v>
      </c>
      <c r="D1136" s="42">
        <v>1000</v>
      </c>
      <c r="E1136" s="43">
        <v>104.42</v>
      </c>
      <c r="F1136" s="45">
        <v>1000</v>
      </c>
      <c r="G1136" s="45">
        <v>1000</v>
      </c>
      <c r="H1136" s="46">
        <v>395.05</v>
      </c>
      <c r="I1136" s="47">
        <f>H1136/J1136</f>
        <v>0.39505000000000001</v>
      </c>
      <c r="J1136" s="48">
        <v>1000</v>
      </c>
      <c r="K1136" s="49">
        <v>1000</v>
      </c>
      <c r="L1136" s="50">
        <v>561.02</v>
      </c>
      <c r="M1136" s="50">
        <f>742.35+43.56</f>
        <v>785.91000000000008</v>
      </c>
      <c r="N1136" s="51">
        <v>388.32</v>
      </c>
      <c r="O1136" s="52">
        <v>198.66</v>
      </c>
      <c r="P1136" s="53">
        <v>343.74</v>
      </c>
      <c r="Q1136" s="54">
        <v>0</v>
      </c>
      <c r="R1136" s="1"/>
      <c r="S1136" s="1"/>
      <c r="T1136" s="1"/>
    </row>
    <row r="1137" spans="1:20" ht="13.5" customHeight="1" x14ac:dyDescent="0.25">
      <c r="A1137" s="1"/>
      <c r="B1137" s="1"/>
      <c r="C1137" s="1"/>
      <c r="D1137" s="56">
        <v>550129</v>
      </c>
      <c r="E1137" s="57">
        <f t="shared" ref="E1137" si="484">SUM(E1131:E1136)</f>
        <v>259646.1</v>
      </c>
      <c r="F1137" s="58">
        <f>SUM(F1130:F1136)</f>
        <v>551147</v>
      </c>
      <c r="G1137" s="58">
        <v>551147</v>
      </c>
      <c r="H1137" s="59">
        <f>SUM(H1131:H1136)</f>
        <v>539104.95000000007</v>
      </c>
      <c r="I1137" s="59"/>
      <c r="J1137" s="60">
        <f t="shared" ref="J1137:Q1137" si="485">SUM(J1131:J1136)</f>
        <v>540107</v>
      </c>
      <c r="K1137" s="61">
        <f t="shared" si="485"/>
        <v>540107</v>
      </c>
      <c r="L1137" s="62">
        <f t="shared" si="485"/>
        <v>526499.85</v>
      </c>
      <c r="M1137" s="62">
        <f t="shared" si="485"/>
        <v>513661.93999999994</v>
      </c>
      <c r="N1137" s="63">
        <f t="shared" si="485"/>
        <v>496218.28000000009</v>
      </c>
      <c r="O1137" s="64">
        <f t="shared" si="485"/>
        <v>462610.26999999996</v>
      </c>
      <c r="P1137" s="63">
        <f t="shared" si="485"/>
        <v>488102.21</v>
      </c>
      <c r="Q1137" s="65">
        <f t="shared" si="485"/>
        <v>461080.29</v>
      </c>
      <c r="R1137" s="1"/>
      <c r="S1137" s="1"/>
      <c r="T1137" s="1"/>
    </row>
    <row r="1138" spans="1:20" ht="13.5" customHeight="1" x14ac:dyDescent="0.25">
      <c r="A1138" s="1"/>
      <c r="B1138" s="1"/>
      <c r="C1138" s="1"/>
      <c r="D1138" s="42"/>
      <c r="E1138" s="44"/>
      <c r="F1138" s="45"/>
      <c r="G1138" s="45"/>
      <c r="H1138" s="66"/>
      <c r="I1138" s="66"/>
      <c r="J1138" s="48"/>
      <c r="K1138" s="49"/>
      <c r="L1138" s="50"/>
      <c r="M1138" s="50"/>
      <c r="N1138" s="51"/>
      <c r="O1138" s="52"/>
      <c r="P1138" s="53"/>
      <c r="Q1138" s="54"/>
      <c r="R1138" s="1"/>
      <c r="S1138" s="1"/>
      <c r="T1138" s="1"/>
    </row>
    <row r="1139" spans="1:20" ht="13.5" customHeight="1" x14ac:dyDescent="0.25">
      <c r="A1139" s="1"/>
      <c r="B1139" s="1" t="s">
        <v>1084</v>
      </c>
      <c r="C1139" s="1" t="s">
        <v>247</v>
      </c>
      <c r="D1139" s="42">
        <v>42084.868499999997</v>
      </c>
      <c r="E1139" s="43">
        <v>17618.189999999999</v>
      </c>
      <c r="F1139" s="45">
        <v>42162.745500000005</v>
      </c>
      <c r="G1139" s="45">
        <v>42162.745500000005</v>
      </c>
      <c r="H1139" s="46">
        <v>36732.300000000003</v>
      </c>
      <c r="I1139" s="47">
        <f t="shared" ref="I1139:I1143" si="486">H1139/J1139</f>
        <v>0.92132483884722471</v>
      </c>
      <c r="J1139" s="48">
        <v>39869</v>
      </c>
      <c r="K1139" s="49">
        <v>39869</v>
      </c>
      <c r="L1139" s="50">
        <v>35844.22</v>
      </c>
      <c r="M1139" s="50">
        <v>35178.01</v>
      </c>
      <c r="N1139" s="51">
        <v>33805.040000000001</v>
      </c>
      <c r="O1139" s="52">
        <v>32285.32</v>
      </c>
      <c r="P1139" s="53">
        <v>33933.51</v>
      </c>
      <c r="Q1139" s="54">
        <v>32481.61</v>
      </c>
      <c r="R1139" s="1"/>
      <c r="S1139" s="1"/>
      <c r="T1139" s="1"/>
    </row>
    <row r="1140" spans="1:20" ht="13.5" customHeight="1" x14ac:dyDescent="0.25">
      <c r="A1140" s="1"/>
      <c r="B1140" s="1" t="s">
        <v>1085</v>
      </c>
      <c r="C1140" s="1" t="s">
        <v>249</v>
      </c>
      <c r="D1140" s="42">
        <v>146488.08719999998</v>
      </c>
      <c r="E1140" s="43">
        <v>67686.36</v>
      </c>
      <c r="F1140" s="45">
        <v>146485.83039999998</v>
      </c>
      <c r="G1140" s="45">
        <v>146485.83039999998</v>
      </c>
      <c r="H1140" s="46">
        <v>132303.06</v>
      </c>
      <c r="I1140" s="47">
        <f t="shared" si="486"/>
        <v>0.92365894525195824</v>
      </c>
      <c r="J1140" s="48">
        <v>143238</v>
      </c>
      <c r="K1140" s="49">
        <v>143238</v>
      </c>
      <c r="L1140" s="50">
        <v>136874.68</v>
      </c>
      <c r="M1140" s="50">
        <v>141942.82</v>
      </c>
      <c r="N1140" s="51">
        <v>136388.01999999999</v>
      </c>
      <c r="O1140" s="52">
        <v>129923.6</v>
      </c>
      <c r="P1140" s="53">
        <v>139689.20000000001</v>
      </c>
      <c r="Q1140" s="54">
        <v>134635.20000000001</v>
      </c>
      <c r="R1140" s="1"/>
      <c r="S1140" s="1"/>
      <c r="T1140" s="1"/>
    </row>
    <row r="1141" spans="1:20" ht="13.5" customHeight="1" x14ac:dyDescent="0.25">
      <c r="A1141" s="1"/>
      <c r="B1141" s="1" t="s">
        <v>1086</v>
      </c>
      <c r="C1141" s="1" t="s">
        <v>1087</v>
      </c>
      <c r="D1141" s="42">
        <v>82629.37579999998</v>
      </c>
      <c r="E1141" s="43">
        <v>38998.839999999997</v>
      </c>
      <c r="F1141" s="45">
        <v>82782.279399999985</v>
      </c>
      <c r="G1141" s="45">
        <v>82782.279399999985</v>
      </c>
      <c r="H1141" s="46">
        <v>78352.95</v>
      </c>
      <c r="I1141" s="47">
        <f t="shared" si="486"/>
        <v>0.99909402733856978</v>
      </c>
      <c r="J1141" s="48">
        <v>78424</v>
      </c>
      <c r="K1141" s="49">
        <v>78424</v>
      </c>
      <c r="L1141" s="50">
        <v>76242.37</v>
      </c>
      <c r="M1141" s="50">
        <v>71498.84</v>
      </c>
      <c r="N1141" s="51">
        <v>67366.83</v>
      </c>
      <c r="O1141" s="52">
        <v>62420.01</v>
      </c>
      <c r="P1141" s="53">
        <v>66045.41</v>
      </c>
      <c r="Q1141" s="54">
        <v>58858.9</v>
      </c>
      <c r="R1141" s="1"/>
      <c r="S1141" s="1"/>
      <c r="T1141" s="1"/>
    </row>
    <row r="1142" spans="1:20" ht="13.5" customHeight="1" x14ac:dyDescent="0.25">
      <c r="A1142" s="1"/>
      <c r="B1142" s="1" t="s">
        <v>1088</v>
      </c>
      <c r="C1142" s="1" t="s">
        <v>253</v>
      </c>
      <c r="D1142" s="42">
        <v>880.20640000000014</v>
      </c>
      <c r="E1142" s="43">
        <v>415.41</v>
      </c>
      <c r="F1142" s="45">
        <v>881.83520000000021</v>
      </c>
      <c r="G1142" s="45">
        <v>881.83520000000021</v>
      </c>
      <c r="H1142" s="46">
        <v>862.56</v>
      </c>
      <c r="I1142" s="47">
        <f t="shared" si="486"/>
        <v>0.99717919075144501</v>
      </c>
      <c r="J1142" s="48">
        <v>865</v>
      </c>
      <c r="K1142" s="49">
        <v>865</v>
      </c>
      <c r="L1142" s="50">
        <v>963.17</v>
      </c>
      <c r="M1142" s="50">
        <v>974.69</v>
      </c>
      <c r="N1142" s="51">
        <v>1171.04</v>
      </c>
      <c r="O1142" s="52">
        <v>1229.2</v>
      </c>
      <c r="P1142" s="53">
        <v>1202.3499999999999</v>
      </c>
      <c r="Q1142" s="54">
        <v>1102.3800000000001</v>
      </c>
      <c r="R1142" s="1"/>
      <c r="S1142" s="1"/>
      <c r="T1142" s="1"/>
    </row>
    <row r="1143" spans="1:20" ht="13.5" customHeight="1" x14ac:dyDescent="0.25">
      <c r="A1143" s="1"/>
      <c r="B1143" s="1" t="s">
        <v>1089</v>
      </c>
      <c r="C1143" s="1" t="s">
        <v>255</v>
      </c>
      <c r="D1143" s="42">
        <v>4915.6799999999994</v>
      </c>
      <c r="E1143" s="43">
        <v>2174.64</v>
      </c>
      <c r="F1143" s="45">
        <v>4690</v>
      </c>
      <c r="G1143" s="45">
        <v>4690</v>
      </c>
      <c r="H1143" s="46">
        <v>4211.4799999999996</v>
      </c>
      <c r="I1143" s="47">
        <f t="shared" si="486"/>
        <v>0.934223602484472</v>
      </c>
      <c r="J1143" s="48">
        <v>4508</v>
      </c>
      <c r="K1143" s="49">
        <v>4508</v>
      </c>
      <c r="L1143" s="50">
        <v>4227.88</v>
      </c>
      <c r="M1143" s="50">
        <v>4229.68</v>
      </c>
      <c r="N1143" s="51">
        <v>4420.84</v>
      </c>
      <c r="O1143" s="52">
        <v>4304.3</v>
      </c>
      <c r="P1143" s="53">
        <v>4695.6000000000004</v>
      </c>
      <c r="Q1143" s="54">
        <v>4484.2</v>
      </c>
      <c r="R1143" s="1"/>
      <c r="S1143" s="1"/>
      <c r="T1143" s="1"/>
    </row>
    <row r="1144" spans="1:20" ht="13.5" customHeight="1" x14ac:dyDescent="0.25">
      <c r="A1144" s="1"/>
      <c r="B1144" s="1"/>
      <c r="C1144" s="1"/>
      <c r="D1144" s="56">
        <v>276998.21789999999</v>
      </c>
      <c r="E1144" s="57">
        <f t="shared" ref="E1144" si="487">SUM(E1139:E1143)</f>
        <v>126893.44</v>
      </c>
      <c r="F1144" s="58">
        <f>SUM(F1138:F1143)</f>
        <v>277002.69049999997</v>
      </c>
      <c r="G1144" s="58">
        <v>277002.69049999997</v>
      </c>
      <c r="H1144" s="59">
        <f>SUM(H1139:H1143)</f>
        <v>252462.35</v>
      </c>
      <c r="I1144" s="59"/>
      <c r="J1144" s="60">
        <f t="shared" ref="J1144:Q1144" si="488">SUM(J1139:J1143)</f>
        <v>266904</v>
      </c>
      <c r="K1144" s="61">
        <f t="shared" si="488"/>
        <v>266904</v>
      </c>
      <c r="L1144" s="62">
        <f t="shared" si="488"/>
        <v>254152.32000000001</v>
      </c>
      <c r="M1144" s="62">
        <f t="shared" si="488"/>
        <v>253824.04</v>
      </c>
      <c r="N1144" s="63">
        <f t="shared" si="488"/>
        <v>243151.77000000002</v>
      </c>
      <c r="O1144" s="64">
        <f t="shared" si="488"/>
        <v>230162.43000000002</v>
      </c>
      <c r="P1144" s="63">
        <f t="shared" si="488"/>
        <v>245566.07000000004</v>
      </c>
      <c r="Q1144" s="65">
        <f t="shared" si="488"/>
        <v>231562.29</v>
      </c>
      <c r="R1144" s="1"/>
      <c r="S1144" s="1"/>
      <c r="T1144" s="1"/>
    </row>
    <row r="1145" spans="1:20" ht="13.5" customHeight="1" x14ac:dyDescent="0.25">
      <c r="A1145" s="1"/>
      <c r="B1145" s="1"/>
      <c r="C1145" s="1"/>
      <c r="D1145" s="42"/>
      <c r="E1145" s="44"/>
      <c r="F1145" s="45"/>
      <c r="G1145" s="45"/>
      <c r="H1145" s="66"/>
      <c r="I1145" s="66"/>
      <c r="J1145" s="48"/>
      <c r="K1145" s="49"/>
      <c r="L1145" s="50"/>
      <c r="M1145" s="50"/>
      <c r="N1145" s="51"/>
      <c r="O1145" s="52"/>
      <c r="P1145" s="53"/>
      <c r="Q1145" s="54"/>
      <c r="R1145" s="1"/>
      <c r="S1145" s="1"/>
      <c r="T1145" s="1"/>
    </row>
    <row r="1146" spans="1:20" ht="13.5" customHeight="1" x14ac:dyDescent="0.25">
      <c r="A1146" s="1"/>
      <c r="B1146" s="1" t="s">
        <v>1090</v>
      </c>
      <c r="C1146" s="1" t="s">
        <v>259</v>
      </c>
      <c r="D1146" s="42">
        <v>10000</v>
      </c>
      <c r="E1146" s="43">
        <v>3650.29</v>
      </c>
      <c r="F1146" s="45">
        <v>10000</v>
      </c>
      <c r="G1146" s="45">
        <v>10000</v>
      </c>
      <c r="H1146" s="46">
        <v>8569.24</v>
      </c>
      <c r="I1146" s="47">
        <f t="shared" ref="I1146:I1147" si="489">H1146/J1146</f>
        <v>0.9090102895937201</v>
      </c>
      <c r="J1146" s="48">
        <v>9427</v>
      </c>
      <c r="K1146" s="49">
        <v>10000</v>
      </c>
      <c r="L1146" s="50">
        <v>12180.4</v>
      </c>
      <c r="M1146" s="50">
        <v>9019.25</v>
      </c>
      <c r="N1146" s="51">
        <v>8902.4</v>
      </c>
      <c r="O1146" s="52">
        <v>12104.99</v>
      </c>
      <c r="P1146" s="53">
        <v>10166.14</v>
      </c>
      <c r="Q1146" s="54">
        <v>12593.88</v>
      </c>
      <c r="R1146" s="1"/>
      <c r="S1146" s="1"/>
      <c r="T1146" s="1"/>
    </row>
    <row r="1147" spans="1:20" ht="13.5" customHeight="1" x14ac:dyDescent="0.25">
      <c r="A1147" s="1"/>
      <c r="B1147" s="1" t="s">
        <v>1091</v>
      </c>
      <c r="C1147" s="1" t="s">
        <v>261</v>
      </c>
      <c r="D1147" s="42">
        <v>27087</v>
      </c>
      <c r="E1147" s="43">
        <v>2585.5</v>
      </c>
      <c r="F1147" s="45">
        <v>27087</v>
      </c>
      <c r="G1147" s="45">
        <v>27087</v>
      </c>
      <c r="H1147" s="46">
        <v>16989.580000000002</v>
      </c>
      <c r="I1147" s="47">
        <f t="shared" si="489"/>
        <v>0.62722265293314139</v>
      </c>
      <c r="J1147" s="48">
        <v>27087</v>
      </c>
      <c r="K1147" s="49">
        <v>27087</v>
      </c>
      <c r="L1147" s="50">
        <v>41534.92</v>
      </c>
      <c r="M1147" s="50">
        <v>13633.42</v>
      </c>
      <c r="N1147" s="51">
        <v>18589.66</v>
      </c>
      <c r="O1147" s="52">
        <v>13235.69</v>
      </c>
      <c r="P1147" s="53">
        <v>22547.14</v>
      </c>
      <c r="Q1147" s="54">
        <v>21401.91</v>
      </c>
      <c r="R1147" s="1"/>
      <c r="S1147" s="1"/>
      <c r="T1147" s="1"/>
    </row>
    <row r="1148" spans="1:20" ht="13.5" customHeight="1" x14ac:dyDescent="0.25">
      <c r="A1148" s="1"/>
      <c r="B1148" s="1" t="s">
        <v>1092</v>
      </c>
      <c r="C1148" s="55" t="s">
        <v>265</v>
      </c>
      <c r="D1148" s="42">
        <v>0</v>
      </c>
      <c r="E1148" s="70">
        <v>0</v>
      </c>
      <c r="F1148" s="73">
        <v>0</v>
      </c>
      <c r="G1148" s="73">
        <v>0</v>
      </c>
      <c r="H1148" s="74">
        <v>0</v>
      </c>
      <c r="I1148" s="183">
        <v>0</v>
      </c>
      <c r="J1148" s="75">
        <v>0</v>
      </c>
      <c r="K1148" s="76">
        <v>0</v>
      </c>
      <c r="L1148" s="77">
        <v>0</v>
      </c>
      <c r="M1148" s="50">
        <v>713.98</v>
      </c>
      <c r="N1148" s="51">
        <v>560</v>
      </c>
      <c r="O1148" s="52"/>
      <c r="P1148" s="53"/>
      <c r="Q1148" s="54"/>
      <c r="R1148" s="1"/>
      <c r="S1148" s="1"/>
      <c r="T1148" s="1"/>
    </row>
    <row r="1149" spans="1:20" ht="13.5" customHeight="1" x14ac:dyDescent="0.25">
      <c r="A1149" s="1"/>
      <c r="B1149" s="1" t="s">
        <v>1093</v>
      </c>
      <c r="C1149" s="1" t="s">
        <v>438</v>
      </c>
      <c r="D1149" s="42">
        <v>500</v>
      </c>
      <c r="E1149" s="43">
        <v>0</v>
      </c>
      <c r="F1149" s="45">
        <v>500</v>
      </c>
      <c r="G1149" s="45">
        <v>500</v>
      </c>
      <c r="H1149" s="46">
        <v>756.54</v>
      </c>
      <c r="I1149" s="47">
        <f t="shared" ref="I1149:I1150" si="490">H1149/J1149</f>
        <v>1.51308</v>
      </c>
      <c r="J1149" s="48">
        <v>500</v>
      </c>
      <c r="K1149" s="49">
        <v>500</v>
      </c>
      <c r="L1149" s="50">
        <v>207.97</v>
      </c>
      <c r="M1149" s="77">
        <v>0</v>
      </c>
      <c r="N1149" s="51">
        <v>499.95</v>
      </c>
      <c r="O1149" s="52">
        <v>464.81</v>
      </c>
      <c r="P1149" s="53"/>
      <c r="Q1149" s="54"/>
      <c r="R1149" s="1"/>
      <c r="S1149" s="1"/>
      <c r="T1149" s="1"/>
    </row>
    <row r="1150" spans="1:20" ht="13.5" customHeight="1" x14ac:dyDescent="0.25">
      <c r="A1150" s="1"/>
      <c r="B1150" s="1" t="s">
        <v>1094</v>
      </c>
      <c r="C1150" s="1" t="s">
        <v>267</v>
      </c>
      <c r="D1150" s="42">
        <v>0</v>
      </c>
      <c r="E1150" s="44">
        <f>150.59+84.29</f>
        <v>234.88</v>
      </c>
      <c r="F1150" s="73">
        <v>0</v>
      </c>
      <c r="G1150" s="73">
        <v>0</v>
      </c>
      <c r="H1150" s="46">
        <v>761.82</v>
      </c>
      <c r="I1150" s="47">
        <f t="shared" si="490"/>
        <v>1.3295287958115185</v>
      </c>
      <c r="J1150" s="48">
        <v>573</v>
      </c>
      <c r="K1150" s="76">
        <v>0</v>
      </c>
      <c r="L1150" s="50">
        <v>242.66</v>
      </c>
      <c r="M1150" s="50">
        <v>479.99</v>
      </c>
      <c r="N1150" s="53" t="s">
        <v>16</v>
      </c>
      <c r="O1150" s="52"/>
      <c r="P1150" s="53"/>
      <c r="Q1150" s="54"/>
      <c r="R1150" s="1"/>
      <c r="S1150" s="1"/>
      <c r="T1150" s="1"/>
    </row>
    <row r="1151" spans="1:20" ht="13.5" customHeight="1" x14ac:dyDescent="0.25">
      <c r="A1151" s="1"/>
      <c r="B1151" s="1"/>
      <c r="C1151" s="1"/>
      <c r="D1151" s="88">
        <v>37587</v>
      </c>
      <c r="E1151" s="89">
        <f t="shared" ref="E1151" si="491">SUM(E1146:E1150)</f>
        <v>6470.67</v>
      </c>
      <c r="F1151" s="90">
        <f>SUM(F1145:F1150)</f>
        <v>37587</v>
      </c>
      <c r="G1151" s="90">
        <v>37587</v>
      </c>
      <c r="H1151" s="91">
        <f>SUM(H1146:H1150)</f>
        <v>27077.18</v>
      </c>
      <c r="I1151" s="91"/>
      <c r="J1151" s="92">
        <f t="shared" ref="J1151:Q1151" si="492">SUM(J1146:J1150)</f>
        <v>37587</v>
      </c>
      <c r="K1151" s="93">
        <f t="shared" si="492"/>
        <v>37587</v>
      </c>
      <c r="L1151" s="94">
        <f t="shared" si="492"/>
        <v>54165.950000000004</v>
      </c>
      <c r="M1151" s="94">
        <f t="shared" si="492"/>
        <v>23846.639999999999</v>
      </c>
      <c r="N1151" s="95">
        <f t="shared" si="492"/>
        <v>28552.01</v>
      </c>
      <c r="O1151" s="96">
        <f t="shared" si="492"/>
        <v>25805.49</v>
      </c>
      <c r="P1151" s="95">
        <f t="shared" si="492"/>
        <v>32713.279999999999</v>
      </c>
      <c r="Q1151" s="97">
        <f t="shared" si="492"/>
        <v>33995.79</v>
      </c>
      <c r="R1151" s="1"/>
      <c r="S1151" s="1"/>
      <c r="T1151" s="1"/>
    </row>
    <row r="1152" spans="1:20" ht="13.5" customHeight="1" x14ac:dyDescent="0.25">
      <c r="A1152" s="1"/>
      <c r="B1152" s="1"/>
      <c r="C1152" s="1"/>
      <c r="D1152" s="72"/>
      <c r="E1152" s="44"/>
      <c r="F1152" s="73"/>
      <c r="G1152" s="73"/>
      <c r="H1152" s="66"/>
      <c r="I1152" s="66"/>
      <c r="J1152" s="48"/>
      <c r="K1152" s="76"/>
      <c r="L1152" s="50"/>
      <c r="M1152" s="50"/>
      <c r="N1152" s="53"/>
      <c r="O1152" s="52"/>
      <c r="P1152" s="53"/>
      <c r="Q1152" s="54"/>
      <c r="R1152" s="1"/>
      <c r="S1152" s="1"/>
      <c r="T1152" s="1"/>
    </row>
    <row r="1153" spans="1:20" ht="12.75" customHeight="1" x14ac:dyDescent="0.25">
      <c r="A1153" s="1"/>
      <c r="B1153" s="1" t="s">
        <v>1095</v>
      </c>
      <c r="C1153" s="1" t="s">
        <v>1096</v>
      </c>
      <c r="D1153" s="42">
        <v>33000</v>
      </c>
      <c r="E1153" s="70">
        <v>0</v>
      </c>
      <c r="F1153" s="45">
        <v>33000</v>
      </c>
      <c r="G1153" s="45">
        <v>33000</v>
      </c>
      <c r="H1153" s="68">
        <v>30017.59</v>
      </c>
      <c r="I1153" s="47">
        <f t="shared" ref="I1153:I1159" si="493">H1153/J1153</f>
        <v>0.90962393939393937</v>
      </c>
      <c r="J1153" s="48">
        <v>33000</v>
      </c>
      <c r="K1153" s="49">
        <v>33000</v>
      </c>
      <c r="L1153" s="50">
        <v>30861.360000000001</v>
      </c>
      <c r="M1153" s="50">
        <v>30278.91</v>
      </c>
      <c r="N1153" s="51">
        <v>29250.85</v>
      </c>
      <c r="O1153" s="52">
        <v>31103.66</v>
      </c>
      <c r="P1153" s="53">
        <v>32387.53</v>
      </c>
      <c r="Q1153" s="54">
        <v>29444.5</v>
      </c>
      <c r="R1153" s="1"/>
      <c r="S1153" s="1"/>
      <c r="T1153" s="1"/>
    </row>
    <row r="1154" spans="1:20" ht="13.5" customHeight="1" x14ac:dyDescent="0.25">
      <c r="A1154" s="1"/>
      <c r="B1154" s="1" t="s">
        <v>1097</v>
      </c>
      <c r="C1154" s="1" t="s">
        <v>318</v>
      </c>
      <c r="D1154" s="42">
        <v>1635</v>
      </c>
      <c r="E1154" s="43">
        <v>494.04</v>
      </c>
      <c r="F1154" s="45">
        <v>1635</v>
      </c>
      <c r="G1154" s="45">
        <v>1635</v>
      </c>
      <c r="H1154" s="46">
        <v>1549.35</v>
      </c>
      <c r="I1154" s="47">
        <f t="shared" si="493"/>
        <v>0.94761467889908246</v>
      </c>
      <c r="J1154" s="48">
        <v>1635</v>
      </c>
      <c r="K1154" s="49">
        <v>1635</v>
      </c>
      <c r="L1154" s="50">
        <v>1634.88</v>
      </c>
      <c r="M1154" s="50">
        <v>1823.4</v>
      </c>
      <c r="N1154" s="51">
        <v>2029.44</v>
      </c>
      <c r="O1154" s="52">
        <v>1821.44</v>
      </c>
      <c r="P1154" s="53">
        <v>1715.43</v>
      </c>
      <c r="Q1154" s="54">
        <v>1569.72</v>
      </c>
      <c r="R1154" s="1"/>
      <c r="S1154" s="1"/>
      <c r="T1154" s="1"/>
    </row>
    <row r="1155" spans="1:20" ht="13.5" customHeight="1" x14ac:dyDescent="0.25">
      <c r="A1155" s="1"/>
      <c r="B1155" s="1" t="s">
        <v>1098</v>
      </c>
      <c r="C1155" s="55" t="s">
        <v>273</v>
      </c>
      <c r="D1155" s="42">
        <v>2000</v>
      </c>
      <c r="E1155" s="43">
        <v>0</v>
      </c>
      <c r="F1155" s="45">
        <v>2000</v>
      </c>
      <c r="G1155" s="45">
        <v>2000</v>
      </c>
      <c r="H1155" s="46">
        <v>143.96</v>
      </c>
      <c r="I1155" s="47">
        <f t="shared" si="493"/>
        <v>9.9902845246356703E-2</v>
      </c>
      <c r="J1155" s="48">
        <v>1441</v>
      </c>
      <c r="K1155" s="49">
        <v>2000</v>
      </c>
      <c r="L1155" s="50">
        <v>106.39</v>
      </c>
      <c r="M1155" s="50">
        <v>26.75</v>
      </c>
      <c r="N1155" s="51">
        <v>216.54</v>
      </c>
      <c r="O1155" s="52">
        <v>1040.5</v>
      </c>
      <c r="P1155" s="53">
        <v>1482.88</v>
      </c>
      <c r="Q1155" s="54">
        <v>1356</v>
      </c>
      <c r="R1155" s="1"/>
      <c r="S1155" s="1"/>
      <c r="T1155" s="1"/>
    </row>
    <row r="1156" spans="1:20" ht="13.5" customHeight="1" x14ac:dyDescent="0.25">
      <c r="A1156" s="1"/>
      <c r="B1156" s="1" t="s">
        <v>1099</v>
      </c>
      <c r="C1156" s="1" t="s">
        <v>275</v>
      </c>
      <c r="D1156" s="42">
        <v>3429</v>
      </c>
      <c r="E1156" s="44">
        <f>500+1839.45</f>
        <v>2339.4499999999998</v>
      </c>
      <c r="F1156" s="45">
        <v>3429</v>
      </c>
      <c r="G1156" s="45">
        <v>3429</v>
      </c>
      <c r="H1156" s="46">
        <v>3453.05</v>
      </c>
      <c r="I1156" s="47">
        <f t="shared" si="493"/>
        <v>0.86586008024072225</v>
      </c>
      <c r="J1156" s="48">
        <v>3988</v>
      </c>
      <c r="K1156" s="49">
        <v>3429</v>
      </c>
      <c r="L1156" s="50">
        <v>2641.15</v>
      </c>
      <c r="M1156" s="50">
        <v>4199.0600000000004</v>
      </c>
      <c r="N1156" s="51">
        <v>2638.11</v>
      </c>
      <c r="O1156" s="52">
        <v>2253.41</v>
      </c>
      <c r="P1156" s="53">
        <v>2724.32</v>
      </c>
      <c r="Q1156" s="54">
        <v>4691.05</v>
      </c>
      <c r="R1156" s="1"/>
      <c r="S1156" s="1"/>
      <c r="T1156" s="1"/>
    </row>
    <row r="1157" spans="1:20" ht="13.5" customHeight="1" x14ac:dyDescent="0.25">
      <c r="A1157" s="1"/>
      <c r="B1157" s="1" t="s">
        <v>1100</v>
      </c>
      <c r="C1157" s="1" t="s">
        <v>482</v>
      </c>
      <c r="D1157" s="42">
        <v>600</v>
      </c>
      <c r="E1157" s="43">
        <v>225</v>
      </c>
      <c r="F1157" s="45">
        <v>600</v>
      </c>
      <c r="G1157" s="45">
        <v>600</v>
      </c>
      <c r="H1157" s="66">
        <v>225</v>
      </c>
      <c r="I1157" s="47">
        <f t="shared" si="493"/>
        <v>0.375</v>
      </c>
      <c r="J1157" s="48">
        <v>600</v>
      </c>
      <c r="K1157" s="49">
        <v>600</v>
      </c>
      <c r="L1157" s="50">
        <v>165</v>
      </c>
      <c r="M1157" s="50">
        <v>165</v>
      </c>
      <c r="N1157" s="51">
        <v>250</v>
      </c>
      <c r="O1157" s="52">
        <v>395</v>
      </c>
      <c r="P1157" s="53">
        <v>388</v>
      </c>
      <c r="Q1157" s="54">
        <v>530</v>
      </c>
      <c r="R1157" s="1"/>
      <c r="S1157" s="1"/>
      <c r="T1157" s="1"/>
    </row>
    <row r="1158" spans="1:20" ht="13.5" customHeight="1" x14ac:dyDescent="0.25">
      <c r="A1158" s="1"/>
      <c r="B1158" s="1" t="s">
        <v>1101</v>
      </c>
      <c r="C1158" s="1" t="s">
        <v>279</v>
      </c>
      <c r="D1158" s="42">
        <v>2275</v>
      </c>
      <c r="E1158" s="43">
        <v>500</v>
      </c>
      <c r="F1158" s="45">
        <v>2275</v>
      </c>
      <c r="G1158" s="45">
        <v>2275</v>
      </c>
      <c r="H1158" s="46">
        <v>1362</v>
      </c>
      <c r="I1158" s="47">
        <f t="shared" si="493"/>
        <v>0.59868131868131869</v>
      </c>
      <c r="J1158" s="48">
        <v>2275</v>
      </c>
      <c r="K1158" s="49">
        <v>2275</v>
      </c>
      <c r="L1158" s="50">
        <v>1362</v>
      </c>
      <c r="M1158" s="50">
        <v>3066</v>
      </c>
      <c r="N1158" s="51">
        <v>791</v>
      </c>
      <c r="O1158" s="52">
        <v>2783</v>
      </c>
      <c r="P1158" s="53">
        <v>571</v>
      </c>
      <c r="Q1158" s="54">
        <v>0</v>
      </c>
      <c r="R1158" s="1"/>
      <c r="S1158" s="1"/>
      <c r="T1158" s="1"/>
    </row>
    <row r="1159" spans="1:20" ht="13.5" customHeight="1" x14ac:dyDescent="0.25">
      <c r="A1159" s="1"/>
      <c r="B1159" s="1" t="s">
        <v>1102</v>
      </c>
      <c r="C1159" s="1" t="s">
        <v>281</v>
      </c>
      <c r="D1159" s="42">
        <v>7000</v>
      </c>
      <c r="E1159" s="43">
        <v>2748.32</v>
      </c>
      <c r="F1159" s="45">
        <v>7000</v>
      </c>
      <c r="G1159" s="45">
        <v>7000</v>
      </c>
      <c r="H1159" s="46">
        <v>6805.05</v>
      </c>
      <c r="I1159" s="47">
        <f t="shared" si="493"/>
        <v>0.97215000000000007</v>
      </c>
      <c r="J1159" s="48">
        <v>7000</v>
      </c>
      <c r="K1159" s="49">
        <v>7000</v>
      </c>
      <c r="L1159" s="50">
        <v>6553.45</v>
      </c>
      <c r="M1159" s="50">
        <v>6794.84</v>
      </c>
      <c r="N1159" s="51">
        <v>5866.36</v>
      </c>
      <c r="O1159" s="52">
        <v>6444.15</v>
      </c>
      <c r="P1159" s="53">
        <v>6123.01</v>
      </c>
      <c r="Q1159" s="54">
        <v>6911.77</v>
      </c>
      <c r="R1159" s="1"/>
      <c r="S1159" s="1"/>
      <c r="T1159" s="1"/>
    </row>
    <row r="1160" spans="1:20" ht="13.5" customHeight="1" x14ac:dyDescent="0.25">
      <c r="A1160" s="1"/>
      <c r="B1160" s="1"/>
      <c r="C1160" s="1"/>
      <c r="D1160" s="56">
        <v>49939</v>
      </c>
      <c r="E1160" s="57">
        <f t="shared" ref="E1160" si="494">SUM(E1153:E1159)</f>
        <v>6306.8099999999995</v>
      </c>
      <c r="F1160" s="58">
        <f>SUM(F1152:F1159)</f>
        <v>49939</v>
      </c>
      <c r="G1160" s="58">
        <v>49939</v>
      </c>
      <c r="H1160" s="59">
        <f>SUM(H1153:H1159)</f>
        <v>43556</v>
      </c>
      <c r="I1160" s="59"/>
      <c r="J1160" s="60">
        <f t="shared" ref="J1160:Q1160" si="495">SUM(J1153:J1159)</f>
        <v>49939</v>
      </c>
      <c r="K1160" s="61">
        <f t="shared" si="495"/>
        <v>49939</v>
      </c>
      <c r="L1160" s="62">
        <f t="shared" si="495"/>
        <v>43324.229999999996</v>
      </c>
      <c r="M1160" s="62">
        <f t="shared" si="495"/>
        <v>46353.960000000006</v>
      </c>
      <c r="N1160" s="63">
        <f t="shared" si="495"/>
        <v>41042.299999999996</v>
      </c>
      <c r="O1160" s="64">
        <f t="shared" si="495"/>
        <v>45841.159999999996</v>
      </c>
      <c r="P1160" s="63">
        <f t="shared" si="495"/>
        <v>45392.17</v>
      </c>
      <c r="Q1160" s="65">
        <f t="shared" si="495"/>
        <v>44503.040000000008</v>
      </c>
      <c r="R1160" s="1"/>
      <c r="S1160" s="1"/>
      <c r="T1160" s="1"/>
    </row>
    <row r="1161" spans="1:20" ht="13.5" customHeight="1" thickBot="1" x14ac:dyDescent="0.3">
      <c r="A1161" s="1"/>
      <c r="B1161" s="1"/>
      <c r="C1161" s="116" t="s">
        <v>1103</v>
      </c>
      <c r="D1161" s="267">
        <v>914653.21790000005</v>
      </c>
      <c r="E1161" s="173">
        <f t="shared" ref="E1161" si="496">SUM(E1137+E1144+E1151+E1160)</f>
        <v>399317.02</v>
      </c>
      <c r="F1161" s="174">
        <f>SUM(F1137,F1144,F1151,F1160)</f>
        <v>915675.69050000003</v>
      </c>
      <c r="G1161" s="174">
        <v>915675.69050000003</v>
      </c>
      <c r="H1161" s="175">
        <f>SUM(H1137+H1144+H1151+H1160)</f>
        <v>862200.4800000001</v>
      </c>
      <c r="I1161" s="175"/>
      <c r="J1161" s="176">
        <f t="shared" ref="J1161:Q1161" si="497">SUM(J1137+J1144+J1151+J1160)</f>
        <v>894537</v>
      </c>
      <c r="K1161" s="177">
        <f t="shared" si="497"/>
        <v>894537</v>
      </c>
      <c r="L1161" s="178">
        <f t="shared" si="497"/>
        <v>878142.34999999986</v>
      </c>
      <c r="M1161" s="178">
        <f t="shared" si="497"/>
        <v>837686.58</v>
      </c>
      <c r="N1161" s="179">
        <f t="shared" si="497"/>
        <v>808964.3600000001</v>
      </c>
      <c r="O1161" s="180">
        <f t="shared" si="497"/>
        <v>764419.35</v>
      </c>
      <c r="P1161" s="179">
        <f t="shared" si="497"/>
        <v>811773.7300000001</v>
      </c>
      <c r="Q1161" s="181">
        <f t="shared" si="497"/>
        <v>771141.41</v>
      </c>
      <c r="R1161" s="1"/>
      <c r="S1161" s="1"/>
      <c r="T1161" s="1"/>
    </row>
    <row r="1162" spans="1:20" ht="13.5" customHeight="1" thickTop="1" x14ac:dyDescent="0.25">
      <c r="A1162" s="1"/>
      <c r="B1162" s="1"/>
      <c r="C1162" s="1"/>
      <c r="D1162" s="42"/>
      <c r="E1162" s="44"/>
      <c r="F1162" s="45"/>
      <c r="G1162" s="45"/>
      <c r="H1162" s="66"/>
      <c r="I1162" s="66"/>
      <c r="J1162" s="48"/>
      <c r="K1162" s="49"/>
      <c r="L1162" s="50"/>
      <c r="M1162" s="50"/>
      <c r="N1162" s="51"/>
      <c r="O1162" s="52"/>
      <c r="P1162" s="53"/>
      <c r="Q1162" s="54"/>
      <c r="R1162" s="1"/>
      <c r="S1162" s="1"/>
      <c r="T1162" s="1"/>
    </row>
    <row r="1163" spans="1:20" ht="13.5" customHeight="1" x14ac:dyDescent="0.25">
      <c r="A1163" s="1"/>
      <c r="B1163" s="1"/>
      <c r="C1163" s="41" t="s">
        <v>1104</v>
      </c>
      <c r="D1163" s="42"/>
      <c r="E1163" s="44"/>
      <c r="F1163" s="45"/>
      <c r="G1163" s="45"/>
      <c r="H1163" s="66"/>
      <c r="I1163" s="66"/>
      <c r="J1163" s="48"/>
      <c r="K1163" s="49"/>
      <c r="L1163" s="50"/>
      <c r="M1163" s="50"/>
      <c r="N1163" s="51"/>
      <c r="O1163" s="52"/>
      <c r="P1163" s="53"/>
      <c r="Q1163" s="54"/>
      <c r="R1163" s="1"/>
      <c r="S1163" s="1"/>
      <c r="T1163" s="1"/>
    </row>
    <row r="1164" spans="1:20" ht="13.5" customHeight="1" x14ac:dyDescent="0.25">
      <c r="A1164" s="1"/>
      <c r="B1164" s="1" t="s">
        <v>1105</v>
      </c>
      <c r="C1164" s="1" t="s">
        <v>420</v>
      </c>
      <c r="D1164" s="42">
        <v>336932</v>
      </c>
      <c r="E1164" s="43">
        <v>151720.06</v>
      </c>
      <c r="F1164" s="45">
        <v>340889</v>
      </c>
      <c r="G1164" s="45">
        <v>340889</v>
      </c>
      <c r="H1164" s="46">
        <v>301263.24</v>
      </c>
      <c r="I1164" s="47">
        <f t="shared" ref="I1164:I1168" si="498">H1164/J1164</f>
        <v>0.94247551235566285</v>
      </c>
      <c r="J1164" s="48">
        <v>319651</v>
      </c>
      <c r="K1164" s="49">
        <v>319651</v>
      </c>
      <c r="L1164" s="50">
        <v>282125.77</v>
      </c>
      <c r="M1164" s="50">
        <v>270980.58</v>
      </c>
      <c r="N1164" s="51">
        <v>270893.36</v>
      </c>
      <c r="O1164" s="52">
        <v>258132.91</v>
      </c>
      <c r="P1164" s="53">
        <v>257456.5</v>
      </c>
      <c r="Q1164" s="54">
        <v>245266.78</v>
      </c>
      <c r="R1164" s="1"/>
      <c r="S1164" s="1"/>
      <c r="T1164" s="1"/>
    </row>
    <row r="1165" spans="1:20" ht="13.5" customHeight="1" x14ac:dyDescent="0.25">
      <c r="A1165" s="1"/>
      <c r="B1165" s="1" t="s">
        <v>1106</v>
      </c>
      <c r="C1165" s="1" t="s">
        <v>237</v>
      </c>
      <c r="D1165" s="42">
        <v>5855.2</v>
      </c>
      <c r="E1165" s="43">
        <v>2460</v>
      </c>
      <c r="F1165" s="45">
        <v>5855.2</v>
      </c>
      <c r="G1165" s="45">
        <v>5855.2</v>
      </c>
      <c r="H1165" s="46">
        <v>5211.42</v>
      </c>
      <c r="I1165" s="47">
        <f t="shared" si="498"/>
        <v>0.88992827868852464</v>
      </c>
      <c r="J1165" s="48">
        <v>5856</v>
      </c>
      <c r="K1165" s="49">
        <v>5856</v>
      </c>
      <c r="L1165" s="50">
        <v>5228.58</v>
      </c>
      <c r="M1165" s="50">
        <v>5200</v>
      </c>
      <c r="N1165" s="51">
        <v>5220</v>
      </c>
      <c r="O1165" s="52">
        <v>5280</v>
      </c>
      <c r="P1165" s="53">
        <v>200</v>
      </c>
      <c r="Q1165" s="54">
        <v>24.15</v>
      </c>
      <c r="R1165" s="1"/>
      <c r="S1165" s="1"/>
      <c r="T1165" s="1"/>
    </row>
    <row r="1166" spans="1:20" ht="13.5" hidden="1" customHeight="1" x14ac:dyDescent="0.25">
      <c r="A1166" s="1"/>
      <c r="B1166" s="1" t="s">
        <v>1107</v>
      </c>
      <c r="C1166" s="1" t="s">
        <v>423</v>
      </c>
      <c r="D1166" s="42">
        <v>0</v>
      </c>
      <c r="E1166" s="43">
        <v>0</v>
      </c>
      <c r="F1166" s="45">
        <v>0</v>
      </c>
      <c r="G1166" s="45">
        <v>0</v>
      </c>
      <c r="H1166" s="46">
        <v>12474.57</v>
      </c>
      <c r="I1166" s="47">
        <f t="shared" si="498"/>
        <v>0.71614731040817492</v>
      </c>
      <c r="J1166" s="48">
        <v>17419</v>
      </c>
      <c r="K1166" s="49">
        <v>17419</v>
      </c>
      <c r="L1166" s="50">
        <v>15676.25</v>
      </c>
      <c r="M1166" s="50">
        <v>14976.11</v>
      </c>
      <c r="N1166" s="51">
        <v>15113.1</v>
      </c>
      <c r="O1166" s="52">
        <v>16740.77</v>
      </c>
      <c r="P1166" s="53">
        <v>19275.3</v>
      </c>
      <c r="Q1166" s="54">
        <v>16695.04</v>
      </c>
      <c r="R1166" s="1"/>
      <c r="S1166" s="1"/>
      <c r="T1166" s="1"/>
    </row>
    <row r="1167" spans="1:20" ht="13.5" hidden="1" customHeight="1" x14ac:dyDescent="0.25">
      <c r="A1167" s="1"/>
      <c r="B1167" s="1" t="s">
        <v>1108</v>
      </c>
      <c r="C1167" s="1" t="s">
        <v>425</v>
      </c>
      <c r="D1167" s="42">
        <v>0</v>
      </c>
      <c r="E1167" s="43">
        <v>554.48</v>
      </c>
      <c r="F1167" s="73">
        <v>0</v>
      </c>
      <c r="G1167" s="73">
        <v>0</v>
      </c>
      <c r="H1167" s="66">
        <v>0</v>
      </c>
      <c r="I1167" s="47" t="e">
        <f t="shared" si="498"/>
        <v>#DIV/0!</v>
      </c>
      <c r="J1167" s="48">
        <v>0</v>
      </c>
      <c r="K1167" s="76">
        <v>0</v>
      </c>
      <c r="L1167" s="50">
        <v>0</v>
      </c>
      <c r="M1167" s="50">
        <v>0</v>
      </c>
      <c r="N1167" s="51">
        <v>4156.3</v>
      </c>
      <c r="O1167" s="52">
        <v>3990.63</v>
      </c>
      <c r="P1167" s="53">
        <v>2351.63</v>
      </c>
      <c r="Q1167" s="54">
        <v>-1112.9100000000001</v>
      </c>
      <c r="R1167" s="1"/>
      <c r="S1167" s="1"/>
      <c r="T1167" s="1"/>
    </row>
    <row r="1168" spans="1:20" ht="13.5" customHeight="1" x14ac:dyDescent="0.25">
      <c r="A1168" s="1"/>
      <c r="B1168" s="1" t="s">
        <v>1109</v>
      </c>
      <c r="C1168" s="1" t="s">
        <v>241</v>
      </c>
      <c r="D1168" s="42">
        <v>20000</v>
      </c>
      <c r="E1168" s="43">
        <f>9061.88+771.19</f>
        <v>9833.07</v>
      </c>
      <c r="F1168" s="45">
        <v>20000</v>
      </c>
      <c r="G1168" s="45">
        <v>20000</v>
      </c>
      <c r="H1168" s="46">
        <v>24308.47</v>
      </c>
      <c r="I1168" s="47">
        <f t="shared" si="498"/>
        <v>1.2154235</v>
      </c>
      <c r="J1168" s="48">
        <f>19416+584</f>
        <v>20000</v>
      </c>
      <c r="K1168" s="49">
        <v>20000</v>
      </c>
      <c r="L1168" s="50">
        <f>17591.69+2871.95</f>
        <v>20463.64</v>
      </c>
      <c r="M1168" s="50">
        <f>13769.84+3717.9</f>
        <v>17487.740000000002</v>
      </c>
      <c r="N1168" s="51">
        <v>12461.97</v>
      </c>
      <c r="O1168" s="52">
        <v>10169.02</v>
      </c>
      <c r="P1168" s="53">
        <v>16578.64</v>
      </c>
      <c r="Q1168" s="54">
        <v>18691.5</v>
      </c>
      <c r="R1168" s="1"/>
      <c r="S1168" s="1"/>
      <c r="T1168" s="1"/>
    </row>
    <row r="1169" spans="1:20" ht="13.5" customHeight="1" x14ac:dyDescent="0.25">
      <c r="A1169" s="1"/>
      <c r="B1169" s="1"/>
      <c r="C1169" s="1"/>
      <c r="D1169" s="56">
        <v>362787.2</v>
      </c>
      <c r="E1169" s="57">
        <f t="shared" ref="E1169" si="499">SUM(E1164:E1168)</f>
        <v>164567.61000000002</v>
      </c>
      <c r="F1169" s="58">
        <f>SUM(F1163:F1168)</f>
        <v>366744.2</v>
      </c>
      <c r="G1169" s="58">
        <v>366744.2</v>
      </c>
      <c r="H1169" s="59">
        <f>SUM(H1164:H1168)</f>
        <v>343257.69999999995</v>
      </c>
      <c r="I1169" s="59"/>
      <c r="J1169" s="60">
        <f t="shared" ref="J1169:Q1169" si="500">SUM(J1164:J1168)</f>
        <v>362926</v>
      </c>
      <c r="K1169" s="61">
        <f t="shared" si="500"/>
        <v>362926</v>
      </c>
      <c r="L1169" s="62">
        <f t="shared" si="500"/>
        <v>323494.24000000005</v>
      </c>
      <c r="M1169" s="62">
        <f t="shared" si="500"/>
        <v>308644.43</v>
      </c>
      <c r="N1169" s="63">
        <f t="shared" si="500"/>
        <v>307844.72999999992</v>
      </c>
      <c r="O1169" s="64">
        <f t="shared" si="500"/>
        <v>294313.33000000007</v>
      </c>
      <c r="P1169" s="63">
        <f t="shared" si="500"/>
        <v>295862.07</v>
      </c>
      <c r="Q1169" s="65">
        <f t="shared" si="500"/>
        <v>279564.56</v>
      </c>
      <c r="R1169" s="1"/>
      <c r="S1169" s="1"/>
      <c r="T1169" s="1"/>
    </row>
    <row r="1170" spans="1:20" ht="13.5" customHeight="1" x14ac:dyDescent="0.25">
      <c r="A1170" s="1"/>
      <c r="B1170" s="1"/>
      <c r="C1170" s="1"/>
      <c r="D1170" s="42"/>
      <c r="E1170" s="44"/>
      <c r="F1170" s="45"/>
      <c r="G1170" s="45"/>
      <c r="H1170" s="66"/>
      <c r="I1170" s="66"/>
      <c r="J1170" s="48"/>
      <c r="K1170" s="49"/>
      <c r="L1170" s="50"/>
      <c r="M1170" s="50"/>
      <c r="N1170" s="51"/>
      <c r="O1170" s="52"/>
      <c r="P1170" s="53"/>
      <c r="Q1170" s="54"/>
      <c r="R1170" s="1"/>
      <c r="S1170" s="1"/>
      <c r="T1170" s="1"/>
    </row>
    <row r="1171" spans="1:20" ht="13.5" customHeight="1" x14ac:dyDescent="0.25">
      <c r="A1171" s="1"/>
      <c r="B1171" s="1" t="s">
        <v>1110</v>
      </c>
      <c r="C1171" s="1" t="s">
        <v>247</v>
      </c>
      <c r="D1171" s="42">
        <v>27753.220800000003</v>
      </c>
      <c r="E1171" s="43">
        <v>11392.21</v>
      </c>
      <c r="F1171" s="45">
        <v>28156.469130000001</v>
      </c>
      <c r="G1171" s="45">
        <v>28156.469130000001</v>
      </c>
      <c r="H1171" s="46">
        <v>23811.26</v>
      </c>
      <c r="I1171" s="47">
        <f t="shared" ref="I1171:I1175" si="501">H1171/J1171</f>
        <v>0.87854702431465148</v>
      </c>
      <c r="J1171" s="48">
        <v>27103</v>
      </c>
      <c r="K1171" s="49">
        <v>27103</v>
      </c>
      <c r="L1171" s="50">
        <v>23055.79</v>
      </c>
      <c r="M1171" s="50">
        <v>21690.1</v>
      </c>
      <c r="N1171" s="51">
        <v>21382.36</v>
      </c>
      <c r="O1171" s="52">
        <v>20085.88</v>
      </c>
      <c r="P1171" s="53">
        <v>20357.09</v>
      </c>
      <c r="Q1171" s="54">
        <v>20097.7</v>
      </c>
      <c r="R1171" s="1"/>
      <c r="S1171" s="1"/>
      <c r="T1171" s="1"/>
    </row>
    <row r="1172" spans="1:20" ht="13.5" customHeight="1" x14ac:dyDescent="0.25">
      <c r="A1172" s="1"/>
      <c r="B1172" s="1" t="s">
        <v>1111</v>
      </c>
      <c r="C1172" s="1" t="s">
        <v>249</v>
      </c>
      <c r="D1172" s="42">
        <v>104634.34800000001</v>
      </c>
      <c r="E1172" s="43">
        <v>42158.34</v>
      </c>
      <c r="F1172" s="45">
        <v>104632.736</v>
      </c>
      <c r="G1172" s="45">
        <v>104632.736</v>
      </c>
      <c r="H1172" s="46">
        <v>80577.759999999995</v>
      </c>
      <c r="I1172" s="47">
        <f t="shared" si="501"/>
        <v>0.78756130696978877</v>
      </c>
      <c r="J1172" s="48">
        <v>102313</v>
      </c>
      <c r="K1172" s="49">
        <v>102313</v>
      </c>
      <c r="L1172" s="50">
        <v>72682.33</v>
      </c>
      <c r="M1172" s="50">
        <v>80278.179999999993</v>
      </c>
      <c r="N1172" s="51">
        <v>81330.92</v>
      </c>
      <c r="O1172" s="52">
        <v>90274.54</v>
      </c>
      <c r="P1172" s="53">
        <v>85654.2</v>
      </c>
      <c r="Q1172" s="54">
        <v>84130.32</v>
      </c>
      <c r="R1172" s="1"/>
      <c r="S1172" s="1"/>
      <c r="T1172" s="1"/>
    </row>
    <row r="1173" spans="1:20" ht="13.5" customHeight="1" x14ac:dyDescent="0.25">
      <c r="A1173" s="1"/>
      <c r="B1173" s="1" t="s">
        <v>1112</v>
      </c>
      <c r="C1173" s="1" t="s">
        <v>251</v>
      </c>
      <c r="D1173" s="42">
        <v>54490.637439999999</v>
      </c>
      <c r="E1173" s="43">
        <v>24634.78</v>
      </c>
      <c r="F1173" s="45">
        <v>55282.374683999995</v>
      </c>
      <c r="G1173" s="45">
        <v>55282.374683999995</v>
      </c>
      <c r="H1173" s="46">
        <v>49884.44</v>
      </c>
      <c r="I1173" s="47">
        <f t="shared" si="501"/>
        <v>0.96940165957364122</v>
      </c>
      <c r="J1173" s="48">
        <v>51459</v>
      </c>
      <c r="K1173" s="49">
        <v>51459</v>
      </c>
      <c r="L1173" s="50">
        <v>46826.48</v>
      </c>
      <c r="M1173" s="50">
        <v>43002.29</v>
      </c>
      <c r="N1173" s="51">
        <v>42318.18</v>
      </c>
      <c r="O1173" s="52">
        <v>40256.129999999997</v>
      </c>
      <c r="P1173" s="53">
        <v>40172.75</v>
      </c>
      <c r="Q1173" s="54">
        <v>36490.6</v>
      </c>
      <c r="R1173" s="1"/>
      <c r="S1173" s="1"/>
      <c r="T1173" s="1"/>
    </row>
    <row r="1174" spans="1:20" ht="13.5" customHeight="1" x14ac:dyDescent="0.25">
      <c r="A1174" s="1"/>
      <c r="B1174" s="1" t="s">
        <v>1113</v>
      </c>
      <c r="C1174" s="1" t="s">
        <v>253</v>
      </c>
      <c r="D1174" s="42">
        <v>580.45952000000011</v>
      </c>
      <c r="E1174" s="43">
        <v>262.39999999999998</v>
      </c>
      <c r="F1174" s="45">
        <v>588.8934720000002</v>
      </c>
      <c r="G1174" s="45">
        <v>588.8934720000002</v>
      </c>
      <c r="H1174" s="46">
        <v>549.23</v>
      </c>
      <c r="I1174" s="47">
        <f t="shared" si="501"/>
        <v>0.85817187500000003</v>
      </c>
      <c r="J1174" s="48">
        <v>640</v>
      </c>
      <c r="K1174" s="49">
        <v>640</v>
      </c>
      <c r="L1174" s="50">
        <v>589.91999999999996</v>
      </c>
      <c r="M1174" s="50">
        <v>587.4</v>
      </c>
      <c r="N1174" s="51">
        <v>735.11</v>
      </c>
      <c r="O1174" s="52">
        <v>791.11</v>
      </c>
      <c r="P1174" s="53">
        <v>732.15</v>
      </c>
      <c r="Q1174" s="54">
        <v>684.89</v>
      </c>
      <c r="R1174" s="1"/>
      <c r="S1174" s="1"/>
      <c r="T1174" s="1"/>
    </row>
    <row r="1175" spans="1:20" ht="13.5" customHeight="1" x14ac:dyDescent="0.25">
      <c r="A1175" s="1"/>
      <c r="B1175" s="1" t="s">
        <v>1114</v>
      </c>
      <c r="C1175" s="1" t="s">
        <v>255</v>
      </c>
      <c r="D1175" s="42">
        <v>3511.1999999999994</v>
      </c>
      <c r="E1175" s="43">
        <v>1338.24</v>
      </c>
      <c r="F1175" s="45">
        <v>3350</v>
      </c>
      <c r="G1175" s="45">
        <v>3350</v>
      </c>
      <c r="H1175" s="46">
        <v>2564.86</v>
      </c>
      <c r="I1175" s="47">
        <f t="shared" si="501"/>
        <v>0.82207051282051291</v>
      </c>
      <c r="J1175" s="48">
        <v>3120</v>
      </c>
      <c r="K1175" s="49">
        <v>3120</v>
      </c>
      <c r="L1175" s="50">
        <v>2245.46</v>
      </c>
      <c r="M1175" s="50">
        <v>2391</v>
      </c>
      <c r="N1175" s="51">
        <v>2636.32</v>
      </c>
      <c r="O1175" s="52">
        <v>2990.65</v>
      </c>
      <c r="P1175" s="53">
        <v>2878.85</v>
      </c>
      <c r="Q1175" s="54">
        <v>2801.87</v>
      </c>
      <c r="R1175" s="1"/>
      <c r="S1175" s="1"/>
      <c r="T1175" s="1"/>
    </row>
    <row r="1176" spans="1:20" ht="13.5" customHeight="1" x14ac:dyDescent="0.25">
      <c r="A1176" s="1"/>
      <c r="B1176" s="1"/>
      <c r="C1176" s="1"/>
      <c r="D1176" s="56">
        <v>190969.86576000002</v>
      </c>
      <c r="E1176" s="57">
        <f t="shared" ref="E1176" si="502">SUM(E1171:E1175)</f>
        <v>79785.969999999987</v>
      </c>
      <c r="F1176" s="58">
        <f>SUM(F1170:F1175)</f>
        <v>192010.47328599999</v>
      </c>
      <c r="G1176" s="58">
        <v>192010.47328599999</v>
      </c>
      <c r="H1176" s="59">
        <f>SUM(H1171:H1175)</f>
        <v>157387.54999999999</v>
      </c>
      <c r="I1176" s="59"/>
      <c r="J1176" s="60">
        <f t="shared" ref="J1176:Q1176" si="503">SUM(J1171:J1175)</f>
        <v>184635</v>
      </c>
      <c r="K1176" s="61">
        <f t="shared" si="503"/>
        <v>184635</v>
      </c>
      <c r="L1176" s="62">
        <f t="shared" si="503"/>
        <v>145399.98000000001</v>
      </c>
      <c r="M1176" s="62">
        <f t="shared" si="503"/>
        <v>147948.97</v>
      </c>
      <c r="N1176" s="63">
        <f t="shared" si="503"/>
        <v>148402.88999999998</v>
      </c>
      <c r="O1176" s="64">
        <f t="shared" si="503"/>
        <v>154398.30999999997</v>
      </c>
      <c r="P1176" s="63">
        <f t="shared" si="503"/>
        <v>149795.03999999998</v>
      </c>
      <c r="Q1176" s="65">
        <f t="shared" si="503"/>
        <v>144205.38</v>
      </c>
      <c r="R1176" s="1"/>
      <c r="S1176" s="1"/>
      <c r="T1176" s="1"/>
    </row>
    <row r="1177" spans="1:20" ht="13.5" customHeight="1" x14ac:dyDescent="0.25">
      <c r="A1177" s="1"/>
      <c r="B1177" s="1"/>
      <c r="C1177" s="1"/>
      <c r="D1177" s="42"/>
      <c r="E1177" s="44"/>
      <c r="F1177" s="45"/>
      <c r="G1177" s="45"/>
      <c r="H1177" s="66"/>
      <c r="I1177" s="66"/>
      <c r="J1177" s="48"/>
      <c r="K1177" s="49"/>
      <c r="L1177" s="50"/>
      <c r="M1177" s="50"/>
      <c r="N1177" s="51"/>
      <c r="O1177" s="52"/>
      <c r="P1177" s="53"/>
      <c r="Q1177" s="54"/>
      <c r="R1177" s="1"/>
      <c r="S1177" s="1"/>
      <c r="T1177" s="1"/>
    </row>
    <row r="1178" spans="1:20" ht="13.5" customHeight="1" x14ac:dyDescent="0.25">
      <c r="A1178" s="1"/>
      <c r="B1178" s="1" t="s">
        <v>1115</v>
      </c>
      <c r="C1178" s="1" t="s">
        <v>259</v>
      </c>
      <c r="D1178" s="42">
        <v>280</v>
      </c>
      <c r="E1178" s="44">
        <f>32.55+209.28</f>
        <v>241.82999999999998</v>
      </c>
      <c r="F1178" s="45">
        <v>280</v>
      </c>
      <c r="G1178" s="45">
        <v>280</v>
      </c>
      <c r="H1178" s="66">
        <v>20.18</v>
      </c>
      <c r="I1178" s="47">
        <f t="shared" ref="I1178:I1184" si="504">H1178/J1178</f>
        <v>0.10039800995024875</v>
      </c>
      <c r="J1178" s="48">
        <v>201</v>
      </c>
      <c r="K1178" s="49">
        <v>280</v>
      </c>
      <c r="L1178" s="50">
        <v>34.79</v>
      </c>
      <c r="M1178" s="50">
        <v>255.49</v>
      </c>
      <c r="N1178" s="51">
        <v>26.39</v>
      </c>
      <c r="O1178" s="52">
        <v>279.81</v>
      </c>
      <c r="P1178" s="53">
        <v>17.829999999999998</v>
      </c>
      <c r="Q1178" s="54">
        <v>13.61</v>
      </c>
      <c r="R1178" s="1"/>
      <c r="S1178" s="1"/>
      <c r="T1178" s="1"/>
    </row>
    <row r="1179" spans="1:20" ht="13.5" customHeight="1" x14ac:dyDescent="0.25">
      <c r="A1179" s="1"/>
      <c r="B1179" s="1" t="s">
        <v>1116</v>
      </c>
      <c r="C1179" s="1" t="s">
        <v>471</v>
      </c>
      <c r="D1179" s="42">
        <v>6741</v>
      </c>
      <c r="E1179" s="43">
        <v>1947.07</v>
      </c>
      <c r="F1179" s="45">
        <v>6741</v>
      </c>
      <c r="G1179" s="45">
        <v>6741</v>
      </c>
      <c r="H1179" s="46">
        <v>6607.87</v>
      </c>
      <c r="I1179" s="47">
        <f t="shared" si="504"/>
        <v>1.0246348271049774</v>
      </c>
      <c r="J1179" s="48">
        <v>6449</v>
      </c>
      <c r="K1179" s="49">
        <v>6741</v>
      </c>
      <c r="L1179" s="50">
        <v>6330.88</v>
      </c>
      <c r="M1179" s="50">
        <v>5379.12</v>
      </c>
      <c r="N1179" s="51">
        <v>4117.8999999999996</v>
      </c>
      <c r="O1179" s="52">
        <v>4962.6000000000004</v>
      </c>
      <c r="P1179" s="53">
        <v>6273.19</v>
      </c>
      <c r="Q1179" s="54">
        <v>7171.87</v>
      </c>
      <c r="R1179" s="1"/>
      <c r="S1179" s="1"/>
      <c r="T1179" s="1"/>
    </row>
    <row r="1180" spans="1:20" ht="13.5" customHeight="1" x14ac:dyDescent="0.25">
      <c r="A1180" s="1"/>
      <c r="B1180" s="1" t="s">
        <v>1117</v>
      </c>
      <c r="C1180" s="1" t="s">
        <v>1118</v>
      </c>
      <c r="D1180" s="42">
        <v>2608</v>
      </c>
      <c r="E1180" s="43">
        <v>1266.3</v>
      </c>
      <c r="F1180" s="45">
        <v>2608</v>
      </c>
      <c r="G1180" s="45">
        <v>2608</v>
      </c>
      <c r="H1180" s="46">
        <v>2687.97</v>
      </c>
      <c r="I1180" s="47">
        <f t="shared" si="504"/>
        <v>1.2296294602012807</v>
      </c>
      <c r="J1180" s="48">
        <v>2186</v>
      </c>
      <c r="K1180" s="49">
        <v>2608</v>
      </c>
      <c r="L1180" s="50">
        <v>2282.04</v>
      </c>
      <c r="M1180" s="50">
        <v>2042.2</v>
      </c>
      <c r="N1180" s="51">
        <v>2054.25</v>
      </c>
      <c r="O1180" s="52">
        <v>2059.23</v>
      </c>
      <c r="P1180" s="53">
        <v>1932.03</v>
      </c>
      <c r="Q1180" s="54">
        <v>2006.61</v>
      </c>
      <c r="R1180" s="1"/>
      <c r="S1180" s="1"/>
      <c r="T1180" s="1"/>
    </row>
    <row r="1181" spans="1:20" ht="13.5" customHeight="1" x14ac:dyDescent="0.25">
      <c r="A1181" s="1"/>
      <c r="B1181" s="1" t="s">
        <v>1119</v>
      </c>
      <c r="C1181" s="1" t="s">
        <v>473</v>
      </c>
      <c r="D1181" s="42">
        <v>1200</v>
      </c>
      <c r="E1181" s="43">
        <v>556</v>
      </c>
      <c r="F1181" s="45">
        <v>1200</v>
      </c>
      <c r="G1181" s="45">
        <v>1200</v>
      </c>
      <c r="H1181" s="46">
        <v>846</v>
      </c>
      <c r="I1181" s="47">
        <f t="shared" si="504"/>
        <v>0.72061328790459966</v>
      </c>
      <c r="J1181" s="48">
        <v>1174</v>
      </c>
      <c r="K1181" s="49">
        <v>1200</v>
      </c>
      <c r="L1181" s="50">
        <v>663.14</v>
      </c>
      <c r="M1181" s="50">
        <v>1256.9100000000001</v>
      </c>
      <c r="N1181" s="51">
        <v>306.23</v>
      </c>
      <c r="O1181" s="52">
        <v>0</v>
      </c>
      <c r="P1181" s="53">
        <v>317.22000000000003</v>
      </c>
      <c r="Q1181" s="54">
        <v>147</v>
      </c>
      <c r="R1181" s="1"/>
      <c r="S1181" s="1"/>
      <c r="T1181" s="1"/>
    </row>
    <row r="1182" spans="1:20" ht="13.5" customHeight="1" x14ac:dyDescent="0.25">
      <c r="A1182" s="1"/>
      <c r="B1182" s="1" t="s">
        <v>1120</v>
      </c>
      <c r="C1182" s="1" t="s">
        <v>1121</v>
      </c>
      <c r="D1182" s="42">
        <v>2000</v>
      </c>
      <c r="E1182" s="44">
        <f>1309.26+98.9</f>
        <v>1408.16</v>
      </c>
      <c r="F1182" s="45">
        <v>2000</v>
      </c>
      <c r="G1182" s="45">
        <v>2000</v>
      </c>
      <c r="H1182" s="46">
        <v>1279.3399999999999</v>
      </c>
      <c r="I1182" s="47">
        <f t="shared" si="504"/>
        <v>2.5689558232931726</v>
      </c>
      <c r="J1182" s="48">
        <v>498</v>
      </c>
      <c r="K1182" s="49">
        <v>180</v>
      </c>
      <c r="L1182" s="50">
        <v>140.29</v>
      </c>
      <c r="M1182" s="50">
        <v>357.49</v>
      </c>
      <c r="N1182" s="51">
        <v>805.15</v>
      </c>
      <c r="O1182" s="52">
        <v>417.69</v>
      </c>
      <c r="P1182" s="53">
        <v>0</v>
      </c>
      <c r="Q1182" s="54">
        <v>0</v>
      </c>
      <c r="R1182" s="1"/>
      <c r="S1182" s="1"/>
      <c r="T1182" s="1"/>
    </row>
    <row r="1183" spans="1:20" ht="13.5" customHeight="1" x14ac:dyDescent="0.25">
      <c r="A1183" s="1"/>
      <c r="B1183" s="1" t="s">
        <v>1122</v>
      </c>
      <c r="C1183" s="55" t="s">
        <v>265</v>
      </c>
      <c r="D1183" s="42">
        <v>0</v>
      </c>
      <c r="E1183" s="43">
        <v>0</v>
      </c>
      <c r="F1183" s="73">
        <v>0</v>
      </c>
      <c r="G1183" s="73">
        <v>0</v>
      </c>
      <c r="H1183" s="66">
        <v>1228</v>
      </c>
      <c r="I1183" s="47">
        <f t="shared" si="504"/>
        <v>1</v>
      </c>
      <c r="J1183" s="48">
        <v>1228</v>
      </c>
      <c r="K1183" s="76">
        <v>0</v>
      </c>
      <c r="L1183" s="77">
        <v>0</v>
      </c>
      <c r="M1183" s="77">
        <v>0</v>
      </c>
      <c r="N1183" s="53" t="s">
        <v>16</v>
      </c>
      <c r="O1183" s="52">
        <v>0</v>
      </c>
      <c r="P1183" s="53">
        <v>0</v>
      </c>
      <c r="Q1183" s="54">
        <v>0</v>
      </c>
      <c r="R1183" s="1"/>
      <c r="S1183" s="1"/>
      <c r="T1183" s="1"/>
    </row>
    <row r="1184" spans="1:20" ht="13.5" customHeight="1" x14ac:dyDescent="0.25">
      <c r="A1184" s="1"/>
      <c r="B1184" s="1" t="s">
        <v>1123</v>
      </c>
      <c r="C1184" s="1" t="s">
        <v>267</v>
      </c>
      <c r="D1184" s="42">
        <v>1177</v>
      </c>
      <c r="E1184" s="44">
        <f>820.78+335.67</f>
        <v>1156.45</v>
      </c>
      <c r="F1184" s="45">
        <v>1177</v>
      </c>
      <c r="G1184" s="45">
        <v>1177</v>
      </c>
      <c r="H1184" s="46">
        <v>787.67</v>
      </c>
      <c r="I1184" s="47">
        <f t="shared" si="504"/>
        <v>1.7503777777777776</v>
      </c>
      <c r="J1184" s="48">
        <v>450</v>
      </c>
      <c r="K1184" s="49">
        <v>1177</v>
      </c>
      <c r="L1184" s="50">
        <v>24.54</v>
      </c>
      <c r="M1184" s="50">
        <v>508.34</v>
      </c>
      <c r="N1184" s="51">
        <v>1796.24</v>
      </c>
      <c r="O1184" s="52">
        <v>1229.92</v>
      </c>
      <c r="P1184" s="53">
        <v>583.57000000000005</v>
      </c>
      <c r="Q1184" s="54">
        <v>0</v>
      </c>
      <c r="R1184" s="1"/>
      <c r="S1184" s="1"/>
      <c r="T1184" s="1"/>
    </row>
    <row r="1185" spans="1:20" ht="13.5" customHeight="1" x14ac:dyDescent="0.25">
      <c r="A1185" s="1"/>
      <c r="B1185" s="1"/>
      <c r="C1185" s="1"/>
      <c r="D1185" s="56">
        <v>14006</v>
      </c>
      <c r="E1185" s="57">
        <f t="shared" ref="E1185" si="505">SUM(E1178:E1184)</f>
        <v>6575.8099999999995</v>
      </c>
      <c r="F1185" s="58">
        <f>SUM(F1177:F1184)</f>
        <v>14006</v>
      </c>
      <c r="G1185" s="58">
        <v>14006</v>
      </c>
      <c r="H1185" s="59">
        <f>SUM(H1178:H1184)</f>
        <v>13457.03</v>
      </c>
      <c r="I1185" s="59"/>
      <c r="J1185" s="60">
        <f t="shared" ref="J1185:Q1185" si="506">SUM(J1178:J1184)</f>
        <v>12186</v>
      </c>
      <c r="K1185" s="61">
        <f t="shared" si="506"/>
        <v>12186</v>
      </c>
      <c r="L1185" s="62">
        <f t="shared" si="506"/>
        <v>9475.68</v>
      </c>
      <c r="M1185" s="62">
        <f t="shared" si="506"/>
        <v>9799.5499999999993</v>
      </c>
      <c r="N1185" s="63">
        <f t="shared" si="506"/>
        <v>9106.16</v>
      </c>
      <c r="O1185" s="64">
        <f t="shared" si="506"/>
        <v>8949.25</v>
      </c>
      <c r="P1185" s="63">
        <f t="shared" si="506"/>
        <v>9123.8399999999983</v>
      </c>
      <c r="Q1185" s="65">
        <f t="shared" si="506"/>
        <v>9339.09</v>
      </c>
      <c r="R1185" s="1"/>
      <c r="S1185" s="1"/>
      <c r="T1185" s="1"/>
    </row>
    <row r="1186" spans="1:20" ht="13.5" customHeight="1" x14ac:dyDescent="0.25">
      <c r="A1186" s="1"/>
      <c r="B1186" s="1"/>
      <c r="C1186" s="1"/>
      <c r="D1186" s="42"/>
      <c r="E1186" s="44"/>
      <c r="F1186" s="45"/>
      <c r="G1186" s="45"/>
      <c r="H1186" s="66"/>
      <c r="I1186" s="66"/>
      <c r="J1186" s="48"/>
      <c r="K1186" s="49"/>
      <c r="L1186" s="50"/>
      <c r="M1186" s="50"/>
      <c r="N1186" s="51"/>
      <c r="O1186" s="52"/>
      <c r="P1186" s="53"/>
      <c r="Q1186" s="54"/>
      <c r="R1186" s="1"/>
      <c r="S1186" s="1"/>
      <c r="T1186" s="1"/>
    </row>
    <row r="1187" spans="1:20" ht="13.5" customHeight="1" x14ac:dyDescent="0.25">
      <c r="A1187" s="1"/>
      <c r="B1187" s="1" t="s">
        <v>1124</v>
      </c>
      <c r="C1187" s="55" t="s">
        <v>273</v>
      </c>
      <c r="D1187" s="42">
        <v>0</v>
      </c>
      <c r="E1187" s="67"/>
      <c r="F1187" s="73" t="s">
        <v>16</v>
      </c>
      <c r="G1187" s="73" t="s">
        <v>16</v>
      </c>
      <c r="H1187" s="74" t="s">
        <v>16</v>
      </c>
      <c r="I1187" s="74"/>
      <c r="J1187" s="75" t="s">
        <v>16</v>
      </c>
      <c r="K1187" s="76" t="s">
        <v>16</v>
      </c>
      <c r="L1187" s="50">
        <v>191.84</v>
      </c>
      <c r="M1187" s="77" t="s">
        <v>16</v>
      </c>
      <c r="N1187" s="53" t="s">
        <v>16</v>
      </c>
      <c r="O1187" s="52"/>
      <c r="P1187" s="53"/>
      <c r="Q1187" s="54"/>
      <c r="R1187" s="1"/>
      <c r="S1187" s="1"/>
      <c r="T1187" s="1"/>
    </row>
    <row r="1188" spans="1:20" ht="13.5" customHeight="1" x14ac:dyDescent="0.25">
      <c r="A1188" s="1"/>
      <c r="B1188" s="1" t="s">
        <v>1125</v>
      </c>
      <c r="C1188" s="1" t="s">
        <v>1126</v>
      </c>
      <c r="D1188" s="42">
        <v>1000</v>
      </c>
      <c r="E1188" s="43">
        <f>8.5+25</f>
        <v>33.5</v>
      </c>
      <c r="F1188" s="45">
        <v>1000</v>
      </c>
      <c r="G1188" s="45">
        <v>1000</v>
      </c>
      <c r="H1188" s="46">
        <v>654.04999999999995</v>
      </c>
      <c r="I1188" s="47">
        <f t="shared" ref="I1188:I1191" si="507">H1188/J1188</f>
        <v>1.3080999999999998</v>
      </c>
      <c r="J1188" s="48">
        <v>500</v>
      </c>
      <c r="K1188" s="49">
        <v>500</v>
      </c>
      <c r="L1188" s="50">
        <v>848.71</v>
      </c>
      <c r="M1188" s="50">
        <v>549.1</v>
      </c>
      <c r="N1188" s="51">
        <v>612.78</v>
      </c>
      <c r="O1188" s="52">
        <v>2171.33</v>
      </c>
      <c r="P1188" s="53">
        <v>1322.91</v>
      </c>
      <c r="Q1188" s="54">
        <v>931.61</v>
      </c>
      <c r="R1188" s="1"/>
      <c r="S1188" s="1"/>
      <c r="T1188" s="1"/>
    </row>
    <row r="1189" spans="1:20" ht="13.5" customHeight="1" x14ac:dyDescent="0.25">
      <c r="A1189" s="1"/>
      <c r="B1189" s="1" t="s">
        <v>1127</v>
      </c>
      <c r="C1189" s="1" t="s">
        <v>1128</v>
      </c>
      <c r="D1189" s="42">
        <v>1000</v>
      </c>
      <c r="E1189" s="43">
        <v>1484.83</v>
      </c>
      <c r="F1189" s="45">
        <v>1000</v>
      </c>
      <c r="G1189" s="45">
        <v>1000</v>
      </c>
      <c r="H1189" s="46">
        <v>706.92</v>
      </c>
      <c r="I1189" s="47">
        <f t="shared" si="507"/>
        <v>0.70691999999999999</v>
      </c>
      <c r="J1189" s="48">
        <v>1000</v>
      </c>
      <c r="K1189" s="49">
        <v>1000</v>
      </c>
      <c r="L1189" s="50">
        <v>1043.67</v>
      </c>
      <c r="M1189" s="50">
        <v>529.53</v>
      </c>
      <c r="N1189" s="51">
        <v>710.64</v>
      </c>
      <c r="O1189" s="52">
        <v>1316.93</v>
      </c>
      <c r="P1189" s="53">
        <v>345.83</v>
      </c>
      <c r="Q1189" s="54">
        <v>294.13</v>
      </c>
      <c r="R1189" s="1"/>
      <c r="S1189" s="1"/>
      <c r="T1189" s="1"/>
    </row>
    <row r="1190" spans="1:20" ht="13.5" customHeight="1" x14ac:dyDescent="0.25">
      <c r="A1190" s="1"/>
      <c r="B1190" s="1" t="s">
        <v>1129</v>
      </c>
      <c r="C1190" s="1" t="s">
        <v>489</v>
      </c>
      <c r="D1190" s="42">
        <v>2200</v>
      </c>
      <c r="E1190" s="44">
        <f>237.33+82.08</f>
        <v>319.41000000000003</v>
      </c>
      <c r="F1190" s="45">
        <v>2200</v>
      </c>
      <c r="G1190" s="45">
        <v>2200</v>
      </c>
      <c r="H1190" s="46">
        <v>1320.47</v>
      </c>
      <c r="I1190" s="47">
        <f t="shared" si="507"/>
        <v>0.60021363636363634</v>
      </c>
      <c r="J1190" s="48">
        <v>2200</v>
      </c>
      <c r="K1190" s="49">
        <v>2200</v>
      </c>
      <c r="L1190" s="50">
        <v>2376.88</v>
      </c>
      <c r="M1190" s="50">
        <v>1225.42</v>
      </c>
      <c r="N1190" s="51">
        <v>985.41</v>
      </c>
      <c r="O1190" s="52">
        <v>454.17</v>
      </c>
      <c r="P1190" s="53">
        <v>709.31</v>
      </c>
      <c r="Q1190" s="54">
        <v>790.9</v>
      </c>
      <c r="R1190" s="1"/>
      <c r="S1190" s="1"/>
      <c r="T1190" s="1"/>
    </row>
    <row r="1191" spans="1:20" ht="13.5" customHeight="1" x14ac:dyDescent="0.25">
      <c r="A1191" s="1"/>
      <c r="B1191" s="55" t="s">
        <v>1130</v>
      </c>
      <c r="C1191" s="55" t="s">
        <v>408</v>
      </c>
      <c r="D1191" s="42">
        <v>850</v>
      </c>
      <c r="E1191" s="43">
        <v>0</v>
      </c>
      <c r="F1191" s="71">
        <v>0</v>
      </c>
      <c r="G1191" s="71">
        <v>0</v>
      </c>
      <c r="H1191" s="46">
        <v>0</v>
      </c>
      <c r="I1191" s="47">
        <f t="shared" si="507"/>
        <v>0</v>
      </c>
      <c r="J1191" s="48">
        <v>2200</v>
      </c>
      <c r="K1191" s="49">
        <v>2200</v>
      </c>
      <c r="L1191" s="69">
        <v>0</v>
      </c>
      <c r="M1191" s="69">
        <v>0</v>
      </c>
      <c r="N1191" s="79">
        <v>0</v>
      </c>
      <c r="O1191" s="80">
        <v>0</v>
      </c>
      <c r="P1191" s="53">
        <v>709.31</v>
      </c>
      <c r="Q1191" s="54">
        <v>790.9</v>
      </c>
      <c r="R1191" s="1"/>
      <c r="S1191" s="1"/>
      <c r="T1191" s="1"/>
    </row>
    <row r="1192" spans="1:20" ht="13.5" customHeight="1" x14ac:dyDescent="0.25">
      <c r="A1192" s="1"/>
      <c r="B1192" s="1"/>
      <c r="C1192" s="1"/>
      <c r="D1192" s="56">
        <v>5050</v>
      </c>
      <c r="E1192" s="57">
        <f t="shared" ref="E1192" si="508">SUM(E1187:E1191)</f>
        <v>1837.74</v>
      </c>
      <c r="F1192" s="58">
        <f>SUM(F1186:F1191)</f>
        <v>4200</v>
      </c>
      <c r="G1192" s="58">
        <v>4200</v>
      </c>
      <c r="H1192" s="59">
        <f>SUM(H1187:H1191)</f>
        <v>2681.4399999999996</v>
      </c>
      <c r="I1192" s="59"/>
      <c r="J1192" s="60">
        <f t="shared" ref="J1192:Q1192" si="509">SUM(J1187:J1191)</f>
        <v>5900</v>
      </c>
      <c r="K1192" s="61">
        <f t="shared" si="509"/>
        <v>5900</v>
      </c>
      <c r="L1192" s="62">
        <f t="shared" si="509"/>
        <v>4461.1000000000004</v>
      </c>
      <c r="M1192" s="62">
        <f t="shared" si="509"/>
        <v>2304.0500000000002</v>
      </c>
      <c r="N1192" s="63">
        <f t="shared" si="509"/>
        <v>2308.83</v>
      </c>
      <c r="O1192" s="64">
        <f t="shared" si="509"/>
        <v>3942.4300000000003</v>
      </c>
      <c r="P1192" s="63">
        <f t="shared" si="509"/>
        <v>3087.36</v>
      </c>
      <c r="Q1192" s="65">
        <f t="shared" si="509"/>
        <v>2807.54</v>
      </c>
      <c r="R1192" s="1"/>
      <c r="S1192" s="1"/>
      <c r="T1192" s="1"/>
    </row>
    <row r="1193" spans="1:20" ht="13.5" customHeight="1" x14ac:dyDescent="0.25">
      <c r="A1193" s="1"/>
      <c r="B1193" s="1"/>
      <c r="C1193" s="116"/>
      <c r="D1193" s="207"/>
      <c r="E1193" s="208"/>
      <c r="F1193" s="209"/>
      <c r="G1193" s="209"/>
      <c r="H1193" s="210"/>
      <c r="I1193" s="210"/>
      <c r="J1193" s="211"/>
      <c r="K1193" s="212"/>
      <c r="L1193" s="213"/>
      <c r="M1193" s="213"/>
      <c r="N1193" s="214"/>
      <c r="O1193" s="215"/>
      <c r="P1193" s="214"/>
      <c r="Q1193" s="216"/>
      <c r="R1193" s="1"/>
      <c r="S1193" s="1"/>
      <c r="T1193" s="1"/>
    </row>
    <row r="1194" spans="1:20" ht="13.5" customHeight="1" x14ac:dyDescent="0.25">
      <c r="A1194" s="1"/>
      <c r="B1194" s="55" t="s">
        <v>1131</v>
      </c>
      <c r="C1194" s="55" t="s">
        <v>414</v>
      </c>
      <c r="D1194" s="42">
        <v>0</v>
      </c>
      <c r="E1194" s="70">
        <v>10650</v>
      </c>
      <c r="F1194" s="71">
        <v>10650</v>
      </c>
      <c r="G1194" s="71">
        <v>0</v>
      </c>
      <c r="H1194" s="74">
        <v>0</v>
      </c>
      <c r="I1194" s="47">
        <f>H1194/J1194</f>
        <v>0</v>
      </c>
      <c r="J1194" s="48">
        <v>8492</v>
      </c>
      <c r="K1194" s="49">
        <v>10000</v>
      </c>
      <c r="L1194" s="83">
        <v>0</v>
      </c>
      <c r="M1194" s="69">
        <v>0</v>
      </c>
      <c r="N1194" s="2">
        <v>0</v>
      </c>
      <c r="O1194" s="52">
        <v>0</v>
      </c>
      <c r="P1194" s="2">
        <v>0</v>
      </c>
      <c r="Q1194" s="84">
        <v>0</v>
      </c>
      <c r="R1194" s="1"/>
      <c r="S1194" s="1"/>
      <c r="T1194" s="1"/>
    </row>
    <row r="1195" spans="1:20" ht="13.5" customHeight="1" x14ac:dyDescent="0.25">
      <c r="A1195" s="1"/>
      <c r="B1195" s="1"/>
      <c r="C1195" s="1"/>
      <c r="D1195" s="56">
        <v>0</v>
      </c>
      <c r="E1195" s="57">
        <f t="shared" ref="E1195" si="510">SUM(E1194)</f>
        <v>10650</v>
      </c>
      <c r="F1195" s="58">
        <f t="shared" ref="F1195:G1195" si="511">SUM(F1193:F1194)</f>
        <v>10650</v>
      </c>
      <c r="G1195" s="58">
        <f t="shared" si="511"/>
        <v>0</v>
      </c>
      <c r="H1195" s="59">
        <f>SUM(H1194)</f>
        <v>0</v>
      </c>
      <c r="I1195" s="59"/>
      <c r="J1195" s="60">
        <f t="shared" ref="J1195:Q1195" si="512">SUM(J1194)</f>
        <v>8492</v>
      </c>
      <c r="K1195" s="61">
        <f t="shared" si="512"/>
        <v>10000</v>
      </c>
      <c r="L1195" s="62">
        <f t="shared" si="512"/>
        <v>0</v>
      </c>
      <c r="M1195" s="62">
        <f t="shared" si="512"/>
        <v>0</v>
      </c>
      <c r="N1195" s="63">
        <f t="shared" si="512"/>
        <v>0</v>
      </c>
      <c r="O1195" s="64">
        <f t="shared" si="512"/>
        <v>0</v>
      </c>
      <c r="P1195" s="63">
        <f t="shared" si="512"/>
        <v>0</v>
      </c>
      <c r="Q1195" s="65">
        <f t="shared" si="512"/>
        <v>0</v>
      </c>
      <c r="R1195" s="1"/>
      <c r="S1195" s="1"/>
      <c r="T1195" s="1"/>
    </row>
    <row r="1196" spans="1:20" ht="13.5" customHeight="1" thickBot="1" x14ac:dyDescent="0.3">
      <c r="A1196" s="1"/>
      <c r="B1196" s="1"/>
      <c r="C1196" s="116" t="s">
        <v>1132</v>
      </c>
      <c r="D1196" s="267">
        <v>572813.06576000003</v>
      </c>
      <c r="E1196" s="173">
        <f t="shared" ref="E1196" si="513">SUM(E1169+E1176+E1185+E1192+E1195)</f>
        <v>263417.13</v>
      </c>
      <c r="F1196" s="174">
        <f>SUM(F1169,F1176,F1185,F1192,F1195)</f>
        <v>587610.67328600003</v>
      </c>
      <c r="G1196" s="174">
        <v>576960.67328600003</v>
      </c>
      <c r="H1196" s="175">
        <f>SUM(H1169+H1176+H1185+H1192)</f>
        <v>516783.72</v>
      </c>
      <c r="I1196" s="175"/>
      <c r="J1196" s="176">
        <f t="shared" ref="J1196:Q1196" si="514">SUM(J1169+J1176+J1185+J1192)</f>
        <v>565647</v>
      </c>
      <c r="K1196" s="177">
        <f t="shared" si="514"/>
        <v>565647</v>
      </c>
      <c r="L1196" s="178">
        <f t="shared" si="514"/>
        <v>482831.00000000006</v>
      </c>
      <c r="M1196" s="178">
        <f t="shared" si="514"/>
        <v>468697</v>
      </c>
      <c r="N1196" s="179">
        <f t="shared" si="514"/>
        <v>467662.60999999987</v>
      </c>
      <c r="O1196" s="180">
        <f t="shared" si="514"/>
        <v>461603.32</v>
      </c>
      <c r="P1196" s="179">
        <f t="shared" si="514"/>
        <v>457868.31</v>
      </c>
      <c r="Q1196" s="181">
        <f t="shared" si="514"/>
        <v>435916.57</v>
      </c>
      <c r="R1196" s="1"/>
      <c r="S1196" s="1"/>
      <c r="T1196" s="1"/>
    </row>
    <row r="1197" spans="1:20" ht="13.5" customHeight="1" thickTop="1" x14ac:dyDescent="0.25">
      <c r="A1197" s="1"/>
      <c r="B1197" s="1"/>
      <c r="C1197" s="1"/>
      <c r="D1197" s="72"/>
      <c r="E1197" s="67"/>
      <c r="F1197" s="73"/>
      <c r="G1197" s="73"/>
      <c r="H1197" s="74"/>
      <c r="I1197" s="74"/>
      <c r="J1197" s="75"/>
      <c r="K1197" s="76"/>
      <c r="L1197" s="77"/>
      <c r="M1197" s="77"/>
      <c r="N1197" s="51"/>
      <c r="O1197" s="52"/>
      <c r="P1197" s="53"/>
      <c r="Q1197" s="54"/>
      <c r="R1197" s="1"/>
      <c r="S1197" s="1"/>
      <c r="T1197" s="1"/>
    </row>
    <row r="1198" spans="1:20" ht="13.5" customHeight="1" x14ac:dyDescent="0.25">
      <c r="A1198" s="1"/>
      <c r="B1198" s="1"/>
      <c r="C1198" s="114" t="s">
        <v>1133</v>
      </c>
      <c r="D1198" s="72"/>
      <c r="E1198" s="67"/>
      <c r="F1198" s="73"/>
      <c r="G1198" s="73"/>
      <c r="H1198" s="74"/>
      <c r="I1198" s="74"/>
      <c r="J1198" s="75"/>
      <c r="K1198" s="76"/>
      <c r="L1198" s="77"/>
      <c r="M1198" s="77"/>
      <c r="N1198" s="51"/>
      <c r="O1198" s="52"/>
      <c r="P1198" s="53"/>
      <c r="Q1198" s="54"/>
      <c r="R1198" s="1"/>
      <c r="S1198" s="1"/>
      <c r="T1198" s="1"/>
    </row>
    <row r="1199" spans="1:20" ht="13.5" customHeight="1" x14ac:dyDescent="0.25">
      <c r="A1199" s="1"/>
      <c r="B1199" s="55" t="s">
        <v>1134</v>
      </c>
      <c r="C1199" s="55" t="s">
        <v>267</v>
      </c>
      <c r="D1199" s="42">
        <v>0</v>
      </c>
      <c r="E1199" s="70">
        <v>0</v>
      </c>
      <c r="F1199" s="86">
        <v>0</v>
      </c>
      <c r="G1199" s="86">
        <v>0</v>
      </c>
      <c r="H1199" s="68">
        <v>5415.57</v>
      </c>
      <c r="I1199" s="74"/>
      <c r="J1199" s="75"/>
      <c r="K1199" s="76"/>
      <c r="L1199" s="83">
        <v>0</v>
      </c>
      <c r="M1199" s="83">
        <v>0</v>
      </c>
      <c r="N1199" s="51"/>
      <c r="O1199" s="52"/>
      <c r="P1199" s="53"/>
      <c r="Q1199" s="54"/>
      <c r="R1199" s="1"/>
      <c r="S1199" s="1"/>
      <c r="T1199" s="1"/>
    </row>
    <row r="1200" spans="1:20" ht="13.5" customHeight="1" thickBot="1" x14ac:dyDescent="0.3">
      <c r="A1200" s="1"/>
      <c r="B1200" s="1"/>
      <c r="C1200" s="114" t="s">
        <v>1135</v>
      </c>
      <c r="D1200" s="184">
        <v>0</v>
      </c>
      <c r="E1200" s="217">
        <v>0</v>
      </c>
      <c r="F1200" s="186">
        <f t="shared" ref="F1200:H1200" si="515">SUM(F1198:F1199)</f>
        <v>0</v>
      </c>
      <c r="G1200" s="186">
        <f t="shared" si="515"/>
        <v>0</v>
      </c>
      <c r="H1200" s="187">
        <f t="shared" si="515"/>
        <v>5415.57</v>
      </c>
      <c r="I1200" s="187"/>
      <c r="J1200" s="188"/>
      <c r="K1200" s="189"/>
      <c r="L1200" s="190">
        <f t="shared" ref="L1200:M1200" si="516">SUM(L1198:L1199)</f>
        <v>0</v>
      </c>
      <c r="M1200" s="190">
        <f t="shared" si="516"/>
        <v>0</v>
      </c>
      <c r="N1200" s="51"/>
      <c r="O1200" s="52"/>
      <c r="P1200" s="53"/>
      <c r="Q1200" s="54"/>
      <c r="R1200" s="1"/>
      <c r="S1200" s="1"/>
      <c r="T1200" s="1"/>
    </row>
    <row r="1201" spans="1:20" ht="13.5" customHeight="1" thickTop="1" x14ac:dyDescent="0.25">
      <c r="A1201" s="1"/>
      <c r="B1201" s="1"/>
      <c r="C1201" s="41"/>
      <c r="D1201" s="72"/>
      <c r="E1201" s="67"/>
      <c r="F1201" s="73"/>
      <c r="G1201" s="73"/>
      <c r="H1201" s="74"/>
      <c r="I1201" s="74"/>
      <c r="J1201" s="75"/>
      <c r="K1201" s="76"/>
      <c r="L1201" s="77"/>
      <c r="M1201" s="77"/>
      <c r="N1201" s="51"/>
      <c r="O1201" s="52"/>
      <c r="P1201" s="53"/>
      <c r="Q1201" s="54"/>
      <c r="R1201" s="1"/>
      <c r="S1201" s="1"/>
      <c r="T1201" s="1"/>
    </row>
    <row r="1202" spans="1:20" ht="13.5" customHeight="1" x14ac:dyDescent="0.25">
      <c r="A1202" s="1"/>
      <c r="B1202" s="1"/>
      <c r="C1202" s="41" t="s">
        <v>1136</v>
      </c>
      <c r="D1202" s="72"/>
      <c r="E1202" s="67"/>
      <c r="F1202" s="73"/>
      <c r="G1202" s="73"/>
      <c r="H1202" s="74"/>
      <c r="I1202" s="74"/>
      <c r="J1202" s="75"/>
      <c r="K1202" s="76"/>
      <c r="L1202" s="77"/>
      <c r="M1202" s="77"/>
      <c r="N1202" s="51"/>
      <c r="O1202" s="52"/>
      <c r="P1202" s="53"/>
      <c r="Q1202" s="54"/>
      <c r="R1202" s="1"/>
      <c r="S1202" s="1"/>
      <c r="T1202" s="1"/>
    </row>
    <row r="1203" spans="1:20" ht="13.5" customHeight="1" x14ac:dyDescent="0.25">
      <c r="A1203" s="1"/>
      <c r="B1203" s="1" t="s">
        <v>1137</v>
      </c>
      <c r="C1203" s="1" t="s">
        <v>1138</v>
      </c>
      <c r="D1203" s="42">
        <v>30000</v>
      </c>
      <c r="E1203" s="44">
        <f>8783+3685.46</f>
        <v>12468.46</v>
      </c>
      <c r="F1203" s="45">
        <v>30000</v>
      </c>
      <c r="G1203" s="45">
        <v>30000</v>
      </c>
      <c r="H1203" s="46">
        <v>31218.12</v>
      </c>
      <c r="I1203" s="47">
        <f t="shared" ref="I1203:I1204" si="517">H1203/J1203</f>
        <v>1.0406039999999999</v>
      </c>
      <c r="J1203" s="48">
        <v>30000</v>
      </c>
      <c r="K1203" s="49">
        <v>30000</v>
      </c>
      <c r="L1203" s="50">
        <v>30101.67</v>
      </c>
      <c r="M1203" s="50">
        <v>23395.31</v>
      </c>
      <c r="N1203" s="51">
        <v>24122.61</v>
      </c>
      <c r="O1203" s="52">
        <v>22091.57</v>
      </c>
      <c r="P1203" s="53">
        <v>19261.96</v>
      </c>
      <c r="Q1203" s="54">
        <v>23075.98</v>
      </c>
      <c r="R1203" s="1"/>
      <c r="S1203" s="1"/>
      <c r="T1203" s="1"/>
    </row>
    <row r="1204" spans="1:20" ht="13.5" customHeight="1" x14ac:dyDescent="0.25">
      <c r="A1204" s="1"/>
      <c r="B1204" s="1" t="s">
        <v>1139</v>
      </c>
      <c r="C1204" s="55" t="s">
        <v>265</v>
      </c>
      <c r="D1204" s="42">
        <v>4000</v>
      </c>
      <c r="E1204" s="70">
        <v>0</v>
      </c>
      <c r="F1204" s="45">
        <v>4000</v>
      </c>
      <c r="G1204" s="45">
        <v>4000</v>
      </c>
      <c r="H1204" s="68">
        <v>2049</v>
      </c>
      <c r="I1204" s="47">
        <f t="shared" si="517"/>
        <v>0.51224999999999998</v>
      </c>
      <c r="J1204" s="48">
        <v>4000</v>
      </c>
      <c r="K1204" s="49">
        <v>4000</v>
      </c>
      <c r="L1204" s="77">
        <v>0</v>
      </c>
      <c r="M1204" s="50">
        <v>1098</v>
      </c>
      <c r="N1204" s="51">
        <v>841.17</v>
      </c>
      <c r="O1204" s="52">
        <v>0</v>
      </c>
      <c r="P1204" s="53">
        <v>3500</v>
      </c>
      <c r="Q1204" s="54">
        <v>0</v>
      </c>
      <c r="R1204" s="1"/>
      <c r="S1204" s="1"/>
      <c r="T1204" s="1"/>
    </row>
    <row r="1205" spans="1:20" ht="13.5" customHeight="1" x14ac:dyDescent="0.25">
      <c r="A1205" s="1"/>
      <c r="B1205" s="55" t="s">
        <v>1140</v>
      </c>
      <c r="C1205" s="55" t="s">
        <v>438</v>
      </c>
      <c r="D1205" s="42">
        <v>0</v>
      </c>
      <c r="E1205" s="70">
        <v>0</v>
      </c>
      <c r="F1205" s="71">
        <v>0</v>
      </c>
      <c r="G1205" s="71">
        <v>0</v>
      </c>
      <c r="H1205" s="68">
        <v>2146.8200000000002</v>
      </c>
      <c r="I1205" s="47"/>
      <c r="J1205" s="48"/>
      <c r="K1205" s="49"/>
      <c r="L1205" s="69">
        <v>0</v>
      </c>
      <c r="M1205" s="83">
        <v>0</v>
      </c>
      <c r="N1205" s="53"/>
      <c r="O1205" s="52"/>
      <c r="P1205" s="53"/>
      <c r="Q1205" s="54"/>
      <c r="R1205" s="1"/>
      <c r="S1205" s="1"/>
      <c r="T1205" s="1"/>
    </row>
    <row r="1206" spans="1:20" ht="13.5" customHeight="1" x14ac:dyDescent="0.25">
      <c r="A1206" s="1"/>
      <c r="B1206" s="1" t="s">
        <v>1141</v>
      </c>
      <c r="C1206" s="1" t="s">
        <v>267</v>
      </c>
      <c r="D1206" s="42">
        <v>393</v>
      </c>
      <c r="E1206" s="70">
        <v>349.95</v>
      </c>
      <c r="F1206" s="45">
        <v>393</v>
      </c>
      <c r="G1206" s="45">
        <v>393</v>
      </c>
      <c r="H1206" s="68">
        <v>210.96</v>
      </c>
      <c r="I1206" s="47">
        <f>H1206/J1206</f>
        <v>0.53679389312977099</v>
      </c>
      <c r="J1206" s="48">
        <v>393</v>
      </c>
      <c r="K1206" s="49">
        <v>393</v>
      </c>
      <c r="L1206" s="50">
        <v>895.97</v>
      </c>
      <c r="M1206" s="77" t="s">
        <v>16</v>
      </c>
      <c r="N1206" s="53" t="s">
        <v>16</v>
      </c>
      <c r="O1206" s="52">
        <v>891.25</v>
      </c>
      <c r="P1206" s="53">
        <v>0</v>
      </c>
      <c r="Q1206" s="54">
        <v>702.95</v>
      </c>
      <c r="R1206" s="1"/>
      <c r="S1206" s="1"/>
      <c r="T1206" s="1"/>
    </row>
    <row r="1207" spans="1:20" ht="13.5" customHeight="1" x14ac:dyDescent="0.25">
      <c r="A1207" s="1"/>
      <c r="B1207" s="1"/>
      <c r="C1207" s="1"/>
      <c r="D1207" s="56">
        <v>34393</v>
      </c>
      <c r="E1207" s="57">
        <f t="shared" ref="E1207" si="518">SUM(E1203:E1206)</f>
        <v>12818.41</v>
      </c>
      <c r="F1207" s="58">
        <f>SUM(F1202:F1206)</f>
        <v>34393</v>
      </c>
      <c r="G1207" s="58">
        <v>34393</v>
      </c>
      <c r="H1207" s="59">
        <f>SUM(H1203:H1206)</f>
        <v>35624.899999999994</v>
      </c>
      <c r="I1207" s="59"/>
      <c r="J1207" s="60">
        <f t="shared" ref="J1207:Q1207" si="519">SUM(J1203:J1206)</f>
        <v>34393</v>
      </c>
      <c r="K1207" s="61">
        <f t="shared" si="519"/>
        <v>34393</v>
      </c>
      <c r="L1207" s="62">
        <f t="shared" si="519"/>
        <v>30997.64</v>
      </c>
      <c r="M1207" s="62">
        <f t="shared" si="519"/>
        <v>24493.31</v>
      </c>
      <c r="N1207" s="63">
        <f t="shared" si="519"/>
        <v>24963.78</v>
      </c>
      <c r="O1207" s="64">
        <f t="shared" si="519"/>
        <v>22982.82</v>
      </c>
      <c r="P1207" s="63">
        <f t="shared" si="519"/>
        <v>22761.96</v>
      </c>
      <c r="Q1207" s="65">
        <f t="shared" si="519"/>
        <v>23778.93</v>
      </c>
      <c r="R1207" s="1"/>
      <c r="S1207" s="1"/>
      <c r="T1207" s="1"/>
    </row>
    <row r="1208" spans="1:20" ht="13.5" customHeight="1" x14ac:dyDescent="0.25">
      <c r="A1208" s="1"/>
      <c r="B1208" s="1"/>
      <c r="C1208" s="1"/>
      <c r="D1208" s="42"/>
      <c r="E1208" s="67"/>
      <c r="F1208" s="45"/>
      <c r="G1208" s="45"/>
      <c r="H1208" s="74"/>
      <c r="I1208" s="66"/>
      <c r="J1208" s="48"/>
      <c r="K1208" s="49"/>
      <c r="L1208" s="50"/>
      <c r="M1208" s="77"/>
      <c r="N1208" s="53"/>
      <c r="O1208" s="52"/>
      <c r="P1208" s="53"/>
      <c r="Q1208" s="54"/>
      <c r="R1208" s="1"/>
      <c r="S1208" s="1"/>
      <c r="T1208" s="1"/>
    </row>
    <row r="1209" spans="1:20" ht="13.5" customHeight="1" x14ac:dyDescent="0.25">
      <c r="A1209" s="1"/>
      <c r="B1209" s="1" t="s">
        <v>1142</v>
      </c>
      <c r="C1209" s="1" t="s">
        <v>1143</v>
      </c>
      <c r="D1209" s="42">
        <v>50000</v>
      </c>
      <c r="E1209" s="43">
        <v>18695.64</v>
      </c>
      <c r="F1209" s="45">
        <v>50000</v>
      </c>
      <c r="G1209" s="45">
        <v>50000</v>
      </c>
      <c r="H1209" s="46">
        <v>45996.480000000003</v>
      </c>
      <c r="I1209" s="47">
        <f t="shared" ref="I1209:I1214" si="520">H1209/J1209</f>
        <v>0.91992960000000001</v>
      </c>
      <c r="J1209" s="48">
        <v>50000</v>
      </c>
      <c r="K1209" s="49">
        <v>50000</v>
      </c>
      <c r="L1209" s="50">
        <v>44914.49</v>
      </c>
      <c r="M1209" s="50">
        <v>45083.3</v>
      </c>
      <c r="N1209" s="51">
        <v>46365.24</v>
      </c>
      <c r="O1209" s="52">
        <v>47014.73</v>
      </c>
      <c r="P1209" s="53">
        <v>47710.93</v>
      </c>
      <c r="Q1209" s="54">
        <v>60131.53</v>
      </c>
      <c r="R1209" s="1"/>
      <c r="S1209" s="1"/>
      <c r="T1209" s="1"/>
    </row>
    <row r="1210" spans="1:20" ht="13.5" customHeight="1" x14ac:dyDescent="0.25">
      <c r="A1210" s="1"/>
      <c r="B1210" s="1" t="s">
        <v>1144</v>
      </c>
      <c r="C1210" s="1" t="s">
        <v>1145</v>
      </c>
      <c r="D1210" s="42">
        <v>1500</v>
      </c>
      <c r="E1210" s="43">
        <v>349.5</v>
      </c>
      <c r="F1210" s="45">
        <v>1500</v>
      </c>
      <c r="G1210" s="45">
        <v>1500</v>
      </c>
      <c r="H1210" s="46">
        <v>627.84</v>
      </c>
      <c r="I1210" s="47">
        <f t="shared" si="520"/>
        <v>0.41856000000000004</v>
      </c>
      <c r="J1210" s="48">
        <v>1500</v>
      </c>
      <c r="K1210" s="49">
        <v>1500</v>
      </c>
      <c r="L1210" s="50">
        <v>540.20000000000005</v>
      </c>
      <c r="M1210" s="50">
        <v>549.04999999999995</v>
      </c>
      <c r="N1210" s="51">
        <v>522.72</v>
      </c>
      <c r="O1210" s="52">
        <v>566.83000000000004</v>
      </c>
      <c r="P1210" s="53">
        <v>637.91999999999996</v>
      </c>
      <c r="Q1210" s="54">
        <v>701.53</v>
      </c>
      <c r="R1210" s="1"/>
      <c r="S1210" s="1"/>
      <c r="T1210" s="1"/>
    </row>
    <row r="1211" spans="1:20" ht="13.5" customHeight="1" x14ac:dyDescent="0.25">
      <c r="A1211" s="1"/>
      <c r="B1211" s="1" t="s">
        <v>1146</v>
      </c>
      <c r="C1211" s="1" t="s">
        <v>1147</v>
      </c>
      <c r="D1211" s="42">
        <v>9000</v>
      </c>
      <c r="E1211" s="43">
        <v>2635.69</v>
      </c>
      <c r="F1211" s="45">
        <v>9000</v>
      </c>
      <c r="G1211" s="45">
        <v>9000</v>
      </c>
      <c r="H1211" s="46">
        <v>9638.52</v>
      </c>
      <c r="I1211" s="47">
        <f t="shared" si="520"/>
        <v>1.0709466666666667</v>
      </c>
      <c r="J1211" s="48">
        <v>9000</v>
      </c>
      <c r="K1211" s="49">
        <v>9000</v>
      </c>
      <c r="L1211" s="50">
        <v>9258.33</v>
      </c>
      <c r="M1211" s="50">
        <v>8618.42</v>
      </c>
      <c r="N1211" s="51">
        <v>10935.51</v>
      </c>
      <c r="O1211" s="52">
        <v>9130.7900000000009</v>
      </c>
      <c r="P1211" s="53">
        <v>6503.73</v>
      </c>
      <c r="Q1211" s="54">
        <v>7723.12</v>
      </c>
      <c r="R1211" s="1"/>
      <c r="S1211" s="1"/>
      <c r="T1211" s="1"/>
    </row>
    <row r="1212" spans="1:20" ht="13.5" customHeight="1" x14ac:dyDescent="0.25">
      <c r="A1212" s="1"/>
      <c r="B1212" s="1" t="s">
        <v>1148</v>
      </c>
      <c r="C1212" s="1" t="s">
        <v>1126</v>
      </c>
      <c r="D1212" s="42">
        <v>23000</v>
      </c>
      <c r="E1212" s="43">
        <v>8437.8799999999992</v>
      </c>
      <c r="F1212" s="45">
        <v>23000</v>
      </c>
      <c r="G1212" s="45">
        <v>23000</v>
      </c>
      <c r="H1212" s="46">
        <v>23218.03</v>
      </c>
      <c r="I1212" s="47">
        <f t="shared" si="520"/>
        <v>1.1530034265282811</v>
      </c>
      <c r="J1212" s="48">
        <v>20137</v>
      </c>
      <c r="K1212" s="49">
        <v>23000</v>
      </c>
      <c r="L1212" s="50">
        <v>17212.27</v>
      </c>
      <c r="M1212" s="50">
        <v>16047.98</v>
      </c>
      <c r="N1212" s="51">
        <v>19948.48</v>
      </c>
      <c r="O1212" s="52">
        <v>16823.45</v>
      </c>
      <c r="P1212" s="53">
        <v>11856.7</v>
      </c>
      <c r="Q1212" s="54">
        <v>17381.95</v>
      </c>
      <c r="R1212" s="1"/>
      <c r="S1212" s="1"/>
      <c r="T1212" s="1"/>
    </row>
    <row r="1213" spans="1:20" ht="13.5" customHeight="1" x14ac:dyDescent="0.25">
      <c r="A1213" s="1"/>
      <c r="B1213" s="1" t="s">
        <v>1149</v>
      </c>
      <c r="C1213" s="1" t="s">
        <v>1150</v>
      </c>
      <c r="D1213" s="42">
        <v>7500</v>
      </c>
      <c r="E1213" s="43">
        <v>2052.36</v>
      </c>
      <c r="F1213" s="45">
        <v>7500</v>
      </c>
      <c r="G1213" s="45">
        <v>7500</v>
      </c>
      <c r="H1213" s="46">
        <v>3687.29</v>
      </c>
      <c r="I1213" s="47">
        <f t="shared" si="520"/>
        <v>1.0535114285714287</v>
      </c>
      <c r="J1213" s="48">
        <v>3500</v>
      </c>
      <c r="K1213" s="49">
        <v>3500</v>
      </c>
      <c r="L1213" s="50">
        <v>7811.67</v>
      </c>
      <c r="M1213" s="50">
        <v>580.78</v>
      </c>
      <c r="N1213" s="51">
        <v>10616.43</v>
      </c>
      <c r="O1213" s="52">
        <v>0</v>
      </c>
      <c r="P1213" s="53">
        <v>1384.95</v>
      </c>
      <c r="Q1213" s="54">
        <v>2762.85</v>
      </c>
      <c r="R1213" s="1"/>
      <c r="S1213" s="1"/>
      <c r="T1213" s="1"/>
    </row>
    <row r="1214" spans="1:20" ht="13.5" customHeight="1" x14ac:dyDescent="0.25">
      <c r="A1214" s="1"/>
      <c r="B1214" s="1" t="s">
        <v>1151</v>
      </c>
      <c r="C1214" s="1" t="s">
        <v>1152</v>
      </c>
      <c r="D1214" s="42">
        <v>12000</v>
      </c>
      <c r="E1214" s="43">
        <v>905.84</v>
      </c>
      <c r="F1214" s="45">
        <v>12000</v>
      </c>
      <c r="G1214" s="45">
        <v>12000</v>
      </c>
      <c r="H1214" s="46">
        <v>7875.24</v>
      </c>
      <c r="I1214" s="47">
        <f t="shared" si="520"/>
        <v>0.65149238914626073</v>
      </c>
      <c r="J1214" s="48">
        <v>12088</v>
      </c>
      <c r="K1214" s="49">
        <v>10500</v>
      </c>
      <c r="L1214" s="50">
        <v>11951.12</v>
      </c>
      <c r="M1214" s="50">
        <v>14359.12</v>
      </c>
      <c r="N1214" s="51">
        <v>10769.32</v>
      </c>
      <c r="O1214" s="52">
        <v>10225</v>
      </c>
      <c r="P1214" s="53">
        <v>10977.16</v>
      </c>
      <c r="Q1214" s="54">
        <v>9385.2800000000007</v>
      </c>
      <c r="R1214" s="1"/>
      <c r="S1214" s="1"/>
      <c r="T1214" s="1"/>
    </row>
    <row r="1215" spans="1:20" ht="13.5" customHeight="1" x14ac:dyDescent="0.25">
      <c r="A1215" s="1"/>
      <c r="B1215" s="1"/>
      <c r="C1215" s="1"/>
      <c r="D1215" s="56">
        <v>103000</v>
      </c>
      <c r="E1215" s="57">
        <f t="shared" ref="E1215" si="521">SUM(E1209:E1214)</f>
        <v>33076.909999999996</v>
      </c>
      <c r="F1215" s="58">
        <f>SUM(F1208:F1214)</f>
        <v>103000</v>
      </c>
      <c r="G1215" s="58">
        <v>103000</v>
      </c>
      <c r="H1215" s="59">
        <f>SUM(H1209:H1214)</f>
        <v>91043.4</v>
      </c>
      <c r="I1215" s="59"/>
      <c r="J1215" s="60">
        <f t="shared" ref="J1215:Q1215" si="522">SUM(J1209:J1214)</f>
        <v>96225</v>
      </c>
      <c r="K1215" s="61">
        <f t="shared" si="522"/>
        <v>97500</v>
      </c>
      <c r="L1215" s="62">
        <f t="shared" si="522"/>
        <v>91688.079999999987</v>
      </c>
      <c r="M1215" s="62">
        <f t="shared" si="522"/>
        <v>85238.65</v>
      </c>
      <c r="N1215" s="63">
        <f t="shared" si="522"/>
        <v>99157.700000000012</v>
      </c>
      <c r="O1215" s="64">
        <f t="shared" si="522"/>
        <v>83760.800000000003</v>
      </c>
      <c r="P1215" s="63">
        <f t="shared" si="522"/>
        <v>79071.39</v>
      </c>
      <c r="Q1215" s="65">
        <f t="shared" si="522"/>
        <v>98086.26</v>
      </c>
      <c r="R1215" s="1"/>
      <c r="S1215" s="1"/>
      <c r="T1215" s="1"/>
    </row>
    <row r="1216" spans="1:20" ht="13.5" customHeight="1" x14ac:dyDescent="0.25">
      <c r="A1216" s="1"/>
      <c r="B1216" s="1"/>
      <c r="C1216" s="1"/>
      <c r="D1216" s="42"/>
      <c r="E1216" s="44"/>
      <c r="F1216" s="45"/>
      <c r="G1216" s="45"/>
      <c r="H1216" s="66"/>
      <c r="I1216" s="66"/>
      <c r="J1216" s="48"/>
      <c r="K1216" s="49"/>
      <c r="L1216" s="50"/>
      <c r="M1216" s="50"/>
      <c r="N1216" s="51"/>
      <c r="O1216" s="52"/>
      <c r="P1216" s="53"/>
      <c r="Q1216" s="54"/>
      <c r="R1216" s="1"/>
      <c r="S1216" s="1"/>
      <c r="T1216" s="1"/>
    </row>
    <row r="1217" spans="1:20" ht="13.5" customHeight="1" x14ac:dyDescent="0.25">
      <c r="A1217" s="1"/>
      <c r="B1217" s="1" t="s">
        <v>1153</v>
      </c>
      <c r="C1217" s="1" t="s">
        <v>1154</v>
      </c>
      <c r="D1217" s="42">
        <v>56156</v>
      </c>
      <c r="E1217" s="43">
        <v>0</v>
      </c>
      <c r="F1217" s="45">
        <v>56156</v>
      </c>
      <c r="G1217" s="45">
        <v>56156</v>
      </c>
      <c r="H1217" s="66">
        <v>56156</v>
      </c>
      <c r="I1217" s="47">
        <f>H1217/J1217</f>
        <v>1</v>
      </c>
      <c r="J1217" s="48">
        <v>56156</v>
      </c>
      <c r="K1217" s="49">
        <v>1500</v>
      </c>
      <c r="L1217" s="77">
        <v>0</v>
      </c>
      <c r="M1217" s="77">
        <v>0</v>
      </c>
      <c r="N1217" s="51">
        <v>30845</v>
      </c>
      <c r="O1217" s="52">
        <v>0</v>
      </c>
      <c r="P1217" s="53">
        <v>0</v>
      </c>
      <c r="Q1217" s="54">
        <v>6060.04</v>
      </c>
      <c r="R1217" s="1"/>
      <c r="S1217" s="1"/>
      <c r="T1217" s="1"/>
    </row>
    <row r="1218" spans="1:20" ht="13.5" customHeight="1" x14ac:dyDescent="0.25">
      <c r="A1218" s="1"/>
      <c r="B1218" s="1"/>
      <c r="C1218" s="1"/>
      <c r="D1218" s="56">
        <v>56156</v>
      </c>
      <c r="E1218" s="57">
        <f t="shared" ref="E1218" si="523">SUM(E1217)</f>
        <v>0</v>
      </c>
      <c r="F1218" s="58">
        <f>SUM(F1216:F1217)</f>
        <v>56156</v>
      </c>
      <c r="G1218" s="58">
        <v>56156</v>
      </c>
      <c r="H1218" s="59">
        <f>SUM(H1217)</f>
        <v>56156</v>
      </c>
      <c r="I1218" s="59"/>
      <c r="J1218" s="60">
        <f t="shared" ref="J1218:Q1218" si="524">SUM(J1217)</f>
        <v>56156</v>
      </c>
      <c r="K1218" s="61">
        <f t="shared" si="524"/>
        <v>1500</v>
      </c>
      <c r="L1218" s="62">
        <f t="shared" si="524"/>
        <v>0</v>
      </c>
      <c r="M1218" s="62">
        <f t="shared" si="524"/>
        <v>0</v>
      </c>
      <c r="N1218" s="63">
        <f t="shared" si="524"/>
        <v>30845</v>
      </c>
      <c r="O1218" s="64">
        <f t="shared" si="524"/>
        <v>0</v>
      </c>
      <c r="P1218" s="63">
        <f t="shared" si="524"/>
        <v>0</v>
      </c>
      <c r="Q1218" s="65">
        <f t="shared" si="524"/>
        <v>6060.04</v>
      </c>
      <c r="R1218" s="1"/>
      <c r="S1218" s="1"/>
      <c r="T1218" s="1"/>
    </row>
    <row r="1219" spans="1:20" ht="13.5" customHeight="1" thickBot="1" x14ac:dyDescent="0.3">
      <c r="A1219" s="1"/>
      <c r="B1219" s="1"/>
      <c r="C1219" s="116" t="s">
        <v>1155</v>
      </c>
      <c r="D1219" s="267">
        <v>193549</v>
      </c>
      <c r="E1219" s="173">
        <f t="shared" ref="E1219" si="525">SUM(E1207+E1215+E1218)</f>
        <v>45895.319999999992</v>
      </c>
      <c r="F1219" s="174">
        <f>SUM(F1207,F1215,F1218)</f>
        <v>193549</v>
      </c>
      <c r="G1219" s="174">
        <v>193549</v>
      </c>
      <c r="H1219" s="175">
        <f>SUM(H1207+H1215+H1218)</f>
        <v>182824.3</v>
      </c>
      <c r="I1219" s="175"/>
      <c r="J1219" s="176">
        <f t="shared" ref="J1219:Q1219" si="526">SUM(J1207+J1215+J1218)</f>
        <v>186774</v>
      </c>
      <c r="K1219" s="177">
        <f t="shared" si="526"/>
        <v>133393</v>
      </c>
      <c r="L1219" s="178">
        <f t="shared" si="526"/>
        <v>122685.71999999999</v>
      </c>
      <c r="M1219" s="178">
        <f t="shared" si="526"/>
        <v>109731.95999999999</v>
      </c>
      <c r="N1219" s="179">
        <f t="shared" si="526"/>
        <v>154966.48000000001</v>
      </c>
      <c r="O1219" s="180">
        <f t="shared" si="526"/>
        <v>106743.62</v>
      </c>
      <c r="P1219" s="179">
        <f t="shared" si="526"/>
        <v>101833.35</v>
      </c>
      <c r="Q1219" s="181">
        <f t="shared" si="526"/>
        <v>127925.23</v>
      </c>
      <c r="R1219" s="1"/>
      <c r="S1219" s="1"/>
      <c r="T1219" s="1"/>
    </row>
    <row r="1220" spans="1:20" ht="13.5" customHeight="1" thickTop="1" x14ac:dyDescent="0.25">
      <c r="A1220" s="1"/>
      <c r="B1220" s="1"/>
      <c r="C1220" s="1"/>
      <c r="D1220" s="42"/>
      <c r="E1220" s="44"/>
      <c r="F1220" s="45"/>
      <c r="G1220" s="45"/>
      <c r="H1220" s="66"/>
      <c r="I1220" s="66"/>
      <c r="J1220" s="48"/>
      <c r="K1220" s="49"/>
      <c r="L1220" s="77"/>
      <c r="M1220" s="77"/>
      <c r="N1220" s="51"/>
      <c r="O1220" s="52"/>
      <c r="P1220" s="53"/>
      <c r="Q1220" s="54"/>
      <c r="R1220" s="1"/>
      <c r="S1220" s="1"/>
      <c r="T1220" s="1"/>
    </row>
    <row r="1221" spans="1:20" ht="13.5" customHeight="1" x14ac:dyDescent="0.25">
      <c r="A1221" s="1"/>
      <c r="B1221" s="1"/>
      <c r="C1221" s="41" t="s">
        <v>1156</v>
      </c>
      <c r="D1221" s="42"/>
      <c r="E1221" s="44"/>
      <c r="F1221" s="45"/>
      <c r="G1221" s="45"/>
      <c r="H1221" s="66"/>
      <c r="I1221" s="66"/>
      <c r="J1221" s="48"/>
      <c r="K1221" s="49"/>
      <c r="L1221" s="77"/>
      <c r="M1221" s="77"/>
      <c r="N1221" s="51"/>
      <c r="O1221" s="52"/>
      <c r="P1221" s="53"/>
      <c r="Q1221" s="54"/>
      <c r="R1221" s="1"/>
      <c r="S1221" s="1"/>
      <c r="T1221" s="1"/>
    </row>
    <row r="1222" spans="1:20" ht="13.5" customHeight="1" x14ac:dyDescent="0.25">
      <c r="A1222" s="1"/>
      <c r="B1222" s="55" t="s">
        <v>1157</v>
      </c>
      <c r="C1222" s="55" t="s">
        <v>265</v>
      </c>
      <c r="D1222" s="42">
        <v>0</v>
      </c>
      <c r="E1222" s="70">
        <v>0</v>
      </c>
      <c r="F1222" s="86">
        <v>0</v>
      </c>
      <c r="G1222" s="86">
        <v>0</v>
      </c>
      <c r="H1222" s="68">
        <v>5904.69</v>
      </c>
      <c r="I1222" s="74"/>
      <c r="J1222" s="75"/>
      <c r="K1222" s="76"/>
      <c r="L1222" s="69">
        <v>0</v>
      </c>
      <c r="M1222" s="83">
        <v>0</v>
      </c>
      <c r="N1222" s="53"/>
      <c r="O1222" s="52"/>
      <c r="P1222" s="53"/>
      <c r="Q1222" s="40"/>
      <c r="R1222" s="1"/>
      <c r="S1222" s="1"/>
      <c r="T1222" s="1"/>
    </row>
    <row r="1223" spans="1:20" ht="13.5" customHeight="1" x14ac:dyDescent="0.25">
      <c r="A1223" s="1"/>
      <c r="B1223" s="1" t="s">
        <v>1158</v>
      </c>
      <c r="C1223" s="55" t="s">
        <v>294</v>
      </c>
      <c r="D1223" s="42">
        <v>0</v>
      </c>
      <c r="E1223" s="70">
        <v>0</v>
      </c>
      <c r="F1223" s="73">
        <v>0</v>
      </c>
      <c r="G1223" s="73">
        <v>0</v>
      </c>
      <c r="H1223" s="68">
        <v>30.55</v>
      </c>
      <c r="I1223" s="74">
        <v>0</v>
      </c>
      <c r="J1223" s="75">
        <v>0</v>
      </c>
      <c r="K1223" s="76">
        <v>0</v>
      </c>
      <c r="L1223" s="50">
        <v>977.48</v>
      </c>
      <c r="M1223" s="77">
        <v>0</v>
      </c>
      <c r="N1223" s="53" t="s">
        <v>16</v>
      </c>
      <c r="O1223" s="52">
        <v>0</v>
      </c>
      <c r="P1223" s="53">
        <v>0</v>
      </c>
      <c r="Q1223" s="40"/>
      <c r="R1223" s="1"/>
      <c r="S1223" s="1"/>
      <c r="T1223" s="1"/>
    </row>
    <row r="1224" spans="1:20" ht="13.5" customHeight="1" x14ac:dyDescent="0.25">
      <c r="A1224" s="1"/>
      <c r="B1224" s="1"/>
      <c r="C1224" s="1"/>
      <c r="D1224" s="88">
        <v>0</v>
      </c>
      <c r="E1224" s="89">
        <f t="shared" ref="E1224" si="527">SUM(E1223)</f>
        <v>0</v>
      </c>
      <c r="F1224" s="90">
        <f t="shared" ref="F1224:G1224" si="528">SUM(F1221:F1223)</f>
        <v>0</v>
      </c>
      <c r="G1224" s="90">
        <f t="shared" si="528"/>
        <v>0</v>
      </c>
      <c r="H1224" s="91">
        <f>SUM(H1222:H1223)</f>
        <v>5935.24</v>
      </c>
      <c r="I1224" s="91"/>
      <c r="J1224" s="92">
        <f t="shared" ref="J1224:Q1224" si="529">SUM(J1223)</f>
        <v>0</v>
      </c>
      <c r="K1224" s="93">
        <f t="shared" si="529"/>
        <v>0</v>
      </c>
      <c r="L1224" s="94">
        <f t="shared" si="529"/>
        <v>977.48</v>
      </c>
      <c r="M1224" s="94">
        <f t="shared" si="529"/>
        <v>0</v>
      </c>
      <c r="N1224" s="95">
        <f t="shared" si="529"/>
        <v>0</v>
      </c>
      <c r="O1224" s="96">
        <f t="shared" si="529"/>
        <v>0</v>
      </c>
      <c r="P1224" s="95">
        <f t="shared" si="529"/>
        <v>0</v>
      </c>
      <c r="Q1224" s="97">
        <f t="shared" si="529"/>
        <v>0</v>
      </c>
      <c r="R1224" s="1"/>
      <c r="S1224" s="1"/>
      <c r="T1224" s="1"/>
    </row>
    <row r="1225" spans="1:20" ht="13.5" customHeight="1" x14ac:dyDescent="0.25">
      <c r="A1225" s="1"/>
      <c r="B1225" s="1"/>
      <c r="C1225" s="1"/>
      <c r="D1225" s="72"/>
      <c r="E1225" s="67"/>
      <c r="F1225" s="73"/>
      <c r="G1225" s="73"/>
      <c r="H1225" s="74"/>
      <c r="I1225" s="74"/>
      <c r="J1225" s="75"/>
      <c r="K1225" s="76"/>
      <c r="L1225" s="50"/>
      <c r="M1225" s="77"/>
      <c r="N1225" s="53"/>
      <c r="O1225" s="52"/>
      <c r="P1225" s="53"/>
      <c r="Q1225" s="40"/>
      <c r="R1225" s="1"/>
      <c r="S1225" s="1"/>
      <c r="T1225" s="1"/>
    </row>
    <row r="1226" spans="1:20" ht="13.5" customHeight="1" x14ac:dyDescent="0.25">
      <c r="A1226" s="1"/>
      <c r="B1226" s="1" t="s">
        <v>1159</v>
      </c>
      <c r="C1226" s="1" t="s">
        <v>1143</v>
      </c>
      <c r="D1226" s="42">
        <v>30000</v>
      </c>
      <c r="E1226" s="43">
        <v>9395.9500000000007</v>
      </c>
      <c r="F1226" s="45">
        <v>30000</v>
      </c>
      <c r="G1226" s="45">
        <v>30000</v>
      </c>
      <c r="H1226" s="46">
        <v>27295.69</v>
      </c>
      <c r="I1226" s="47">
        <f t="shared" ref="I1226:I1230" si="530">H1226/J1226</f>
        <v>0.90985633333333327</v>
      </c>
      <c r="J1226" s="48">
        <v>30000</v>
      </c>
      <c r="K1226" s="49">
        <v>30000</v>
      </c>
      <c r="L1226" s="50">
        <v>28706.47</v>
      </c>
      <c r="M1226" s="50">
        <v>29346.959999999999</v>
      </c>
      <c r="N1226" s="51">
        <v>31352.85</v>
      </c>
      <c r="O1226" s="52">
        <v>30914.49</v>
      </c>
      <c r="P1226" s="53">
        <v>32489.41</v>
      </c>
      <c r="Q1226" s="54">
        <v>42703.47</v>
      </c>
      <c r="R1226" s="1"/>
      <c r="S1226" s="1"/>
      <c r="T1226" s="1"/>
    </row>
    <row r="1227" spans="1:20" ht="13.5" customHeight="1" x14ac:dyDescent="0.25">
      <c r="A1227" s="1"/>
      <c r="B1227" s="1" t="s">
        <v>1160</v>
      </c>
      <c r="C1227" s="1" t="s">
        <v>1145</v>
      </c>
      <c r="D1227" s="42">
        <v>1500</v>
      </c>
      <c r="E1227" s="43">
        <v>519.19000000000005</v>
      </c>
      <c r="F1227" s="45">
        <v>1500</v>
      </c>
      <c r="G1227" s="45">
        <v>1500</v>
      </c>
      <c r="H1227" s="46">
        <v>934.23</v>
      </c>
      <c r="I1227" s="47">
        <f t="shared" si="530"/>
        <v>0.62282000000000004</v>
      </c>
      <c r="J1227" s="48">
        <v>1500</v>
      </c>
      <c r="K1227" s="49">
        <v>1500</v>
      </c>
      <c r="L1227" s="50">
        <v>915.69</v>
      </c>
      <c r="M1227" s="50">
        <v>685.99</v>
      </c>
      <c r="N1227" s="51">
        <v>703.33</v>
      </c>
      <c r="O1227" s="52">
        <v>790.83</v>
      </c>
      <c r="P1227" s="53">
        <v>981.82</v>
      </c>
      <c r="Q1227" s="54">
        <v>800.01</v>
      </c>
      <c r="R1227" s="1"/>
      <c r="S1227" s="1"/>
      <c r="T1227" s="1"/>
    </row>
    <row r="1228" spans="1:20" ht="13.5" customHeight="1" x14ac:dyDescent="0.25">
      <c r="A1228" s="1"/>
      <c r="B1228" s="1" t="s">
        <v>1161</v>
      </c>
      <c r="C1228" s="1" t="s">
        <v>1147</v>
      </c>
      <c r="D1228" s="42">
        <v>6000</v>
      </c>
      <c r="E1228" s="43">
        <v>1722.69</v>
      </c>
      <c r="F1228" s="45">
        <v>6000</v>
      </c>
      <c r="G1228" s="45">
        <v>6000</v>
      </c>
      <c r="H1228" s="46">
        <v>4446.93</v>
      </c>
      <c r="I1228" s="47">
        <f t="shared" si="530"/>
        <v>0.74115500000000001</v>
      </c>
      <c r="J1228" s="48">
        <v>6000</v>
      </c>
      <c r="K1228" s="49">
        <v>6000</v>
      </c>
      <c r="L1228" s="50">
        <v>4620.38</v>
      </c>
      <c r="M1228" s="50">
        <v>4297.32</v>
      </c>
      <c r="N1228" s="51">
        <v>4287.43</v>
      </c>
      <c r="O1228" s="52">
        <v>3640.14</v>
      </c>
      <c r="P1228" s="53">
        <v>3171.11</v>
      </c>
      <c r="Q1228" s="54">
        <v>3813.93</v>
      </c>
      <c r="R1228" s="1"/>
      <c r="S1228" s="1"/>
      <c r="T1228" s="1"/>
    </row>
    <row r="1229" spans="1:20" ht="13.5" customHeight="1" x14ac:dyDescent="0.25">
      <c r="A1229" s="1"/>
      <c r="B1229" s="1" t="s">
        <v>1162</v>
      </c>
      <c r="C1229" s="1" t="s">
        <v>1126</v>
      </c>
      <c r="D1229" s="42">
        <v>10000</v>
      </c>
      <c r="E1229" s="43">
        <v>1731.79</v>
      </c>
      <c r="F1229" s="45">
        <v>10000</v>
      </c>
      <c r="G1229" s="45">
        <v>10000</v>
      </c>
      <c r="H1229" s="46">
        <v>7357.14</v>
      </c>
      <c r="I1229" s="47">
        <f t="shared" si="530"/>
        <v>0.73571399999999998</v>
      </c>
      <c r="J1229" s="48">
        <v>10000</v>
      </c>
      <c r="K1229" s="49">
        <v>10000</v>
      </c>
      <c r="L1229" s="50">
        <v>5726.15</v>
      </c>
      <c r="M1229" s="50">
        <v>4613.53</v>
      </c>
      <c r="N1229" s="51">
        <v>4453.21</v>
      </c>
      <c r="O1229" s="52">
        <v>7230.53</v>
      </c>
      <c r="P1229" s="53">
        <v>5177.16</v>
      </c>
      <c r="Q1229" s="54">
        <v>6353.21</v>
      </c>
      <c r="R1229" s="1"/>
      <c r="S1229" s="1"/>
      <c r="T1229" s="1"/>
    </row>
    <row r="1230" spans="1:20" ht="13.5" customHeight="1" x14ac:dyDescent="0.25">
      <c r="A1230" s="1"/>
      <c r="B1230" s="1" t="s">
        <v>1163</v>
      </c>
      <c r="C1230" s="1" t="s">
        <v>1150</v>
      </c>
      <c r="D1230" s="42">
        <v>15000</v>
      </c>
      <c r="E1230" s="70">
        <v>0</v>
      </c>
      <c r="F1230" s="45">
        <v>15000</v>
      </c>
      <c r="G1230" s="45">
        <v>15000</v>
      </c>
      <c r="H1230" s="68">
        <v>231.26</v>
      </c>
      <c r="I1230" s="47">
        <f t="shared" si="530"/>
        <v>4.2746765249537889E-2</v>
      </c>
      <c r="J1230" s="48">
        <v>5410</v>
      </c>
      <c r="K1230" s="49">
        <v>10000</v>
      </c>
      <c r="L1230" s="50">
        <v>7874.81</v>
      </c>
      <c r="M1230" s="77" t="s">
        <v>16</v>
      </c>
      <c r="N1230" s="51">
        <v>305.63</v>
      </c>
      <c r="O1230" s="52">
        <v>4888.6099999999997</v>
      </c>
      <c r="P1230" s="53">
        <v>6486.19</v>
      </c>
      <c r="Q1230" s="54">
        <v>28.16</v>
      </c>
      <c r="R1230" s="1"/>
      <c r="S1230" s="1"/>
      <c r="T1230" s="1"/>
    </row>
    <row r="1231" spans="1:20" ht="13.5" customHeight="1" x14ac:dyDescent="0.25">
      <c r="A1231" s="1"/>
      <c r="B1231" s="1"/>
      <c r="C1231" s="1"/>
      <c r="D1231" s="56">
        <v>62500</v>
      </c>
      <c r="E1231" s="57">
        <f t="shared" ref="E1231" si="531">SUM(E1226:E1230)</f>
        <v>13369.620000000003</v>
      </c>
      <c r="F1231" s="58">
        <f>SUM(F1225:F1230)</f>
        <v>62500</v>
      </c>
      <c r="G1231" s="58">
        <v>62500</v>
      </c>
      <c r="H1231" s="59">
        <f>SUM(H1226:H1230)</f>
        <v>40265.25</v>
      </c>
      <c r="I1231" s="59"/>
      <c r="J1231" s="60">
        <f t="shared" ref="J1231:Q1231" si="532">SUM(J1226:J1230)</f>
        <v>52910</v>
      </c>
      <c r="K1231" s="61">
        <f t="shared" si="532"/>
        <v>57500</v>
      </c>
      <c r="L1231" s="62">
        <f t="shared" si="532"/>
        <v>47843.5</v>
      </c>
      <c r="M1231" s="62">
        <f t="shared" si="532"/>
        <v>38943.800000000003</v>
      </c>
      <c r="N1231" s="63">
        <f t="shared" si="532"/>
        <v>41102.449999999997</v>
      </c>
      <c r="O1231" s="64">
        <f t="shared" si="532"/>
        <v>47464.600000000006</v>
      </c>
      <c r="P1231" s="63">
        <f t="shared" si="532"/>
        <v>48305.69</v>
      </c>
      <c r="Q1231" s="65">
        <f t="shared" si="532"/>
        <v>53698.780000000006</v>
      </c>
      <c r="R1231" s="1"/>
      <c r="S1231" s="1"/>
      <c r="T1231" s="1"/>
    </row>
    <row r="1232" spans="1:20" ht="13.5" customHeight="1" x14ac:dyDescent="0.25">
      <c r="A1232" s="1"/>
      <c r="B1232" s="1"/>
      <c r="C1232" s="1"/>
      <c r="D1232" s="42"/>
      <c r="E1232" s="67"/>
      <c r="F1232" s="45"/>
      <c r="G1232" s="45"/>
      <c r="H1232" s="74"/>
      <c r="I1232" s="66"/>
      <c r="J1232" s="48"/>
      <c r="K1232" s="49"/>
      <c r="L1232" s="50"/>
      <c r="M1232" s="77"/>
      <c r="N1232" s="51"/>
      <c r="O1232" s="52"/>
      <c r="P1232" s="53"/>
      <c r="Q1232" s="54"/>
      <c r="R1232" s="1"/>
      <c r="S1232" s="1"/>
      <c r="T1232" s="1"/>
    </row>
    <row r="1233" spans="1:20" ht="13.5" customHeight="1" x14ac:dyDescent="0.25">
      <c r="A1233" s="1"/>
      <c r="B1233" s="1" t="s">
        <v>1164</v>
      </c>
      <c r="C1233" s="1" t="s">
        <v>1154</v>
      </c>
      <c r="D1233" s="42">
        <v>20000</v>
      </c>
      <c r="E1233" s="70">
        <v>0</v>
      </c>
      <c r="F1233" s="45">
        <v>20000</v>
      </c>
      <c r="G1233" s="45">
        <v>20000</v>
      </c>
      <c r="H1233" s="74">
        <v>0</v>
      </c>
      <c r="I1233" s="47">
        <f>H1233/J1233</f>
        <v>0</v>
      </c>
      <c r="J1233" s="48">
        <v>8492</v>
      </c>
      <c r="K1233" s="49">
        <v>10000</v>
      </c>
      <c r="L1233" s="77" t="s">
        <v>16</v>
      </c>
      <c r="M1233" s="50">
        <v>5965</v>
      </c>
      <c r="N1233" s="53" t="s">
        <v>16</v>
      </c>
      <c r="O1233" s="52">
        <v>0</v>
      </c>
      <c r="P1233" s="53">
        <v>107250</v>
      </c>
      <c r="Q1233" s="54">
        <v>11831.18</v>
      </c>
      <c r="R1233" s="1"/>
      <c r="S1233" s="1"/>
      <c r="T1233" s="1"/>
    </row>
    <row r="1234" spans="1:20" ht="13.5" customHeight="1" x14ac:dyDescent="0.25">
      <c r="A1234" s="1"/>
      <c r="B1234" s="1"/>
      <c r="C1234" s="1"/>
      <c r="D1234" s="56">
        <v>20000</v>
      </c>
      <c r="E1234" s="57">
        <f t="shared" ref="E1234" si="533">SUM(E1233)</f>
        <v>0</v>
      </c>
      <c r="F1234" s="58">
        <f>SUM(F1232:F1233)</f>
        <v>20000</v>
      </c>
      <c r="G1234" s="58">
        <v>20000</v>
      </c>
      <c r="H1234" s="59">
        <f>SUM(H1233)</f>
        <v>0</v>
      </c>
      <c r="I1234" s="59"/>
      <c r="J1234" s="60">
        <f t="shared" ref="J1234:Q1234" si="534">SUM(J1233)</f>
        <v>8492</v>
      </c>
      <c r="K1234" s="61">
        <f t="shared" si="534"/>
        <v>10000</v>
      </c>
      <c r="L1234" s="62">
        <f t="shared" si="534"/>
        <v>0</v>
      </c>
      <c r="M1234" s="62">
        <f t="shared" si="534"/>
        <v>5965</v>
      </c>
      <c r="N1234" s="63">
        <f t="shared" si="534"/>
        <v>0</v>
      </c>
      <c r="O1234" s="64">
        <f t="shared" si="534"/>
        <v>0</v>
      </c>
      <c r="P1234" s="63">
        <f t="shared" si="534"/>
        <v>107250</v>
      </c>
      <c r="Q1234" s="65">
        <f t="shared" si="534"/>
        <v>11831.18</v>
      </c>
      <c r="R1234" s="1"/>
      <c r="S1234" s="1"/>
      <c r="T1234" s="1"/>
    </row>
    <row r="1235" spans="1:20" ht="13.5" customHeight="1" thickBot="1" x14ac:dyDescent="0.3">
      <c r="A1235" s="1"/>
      <c r="B1235" s="1"/>
      <c r="C1235" s="116" t="s">
        <v>1165</v>
      </c>
      <c r="D1235" s="267">
        <v>82500</v>
      </c>
      <c r="E1235" s="173">
        <f t="shared" ref="E1235" si="535">SUM(E1224+E1231+E1234)</f>
        <v>13369.620000000003</v>
      </c>
      <c r="F1235" s="174">
        <f>SUM(F1224,F1231,F1234)</f>
        <v>82500</v>
      </c>
      <c r="G1235" s="174">
        <v>82500</v>
      </c>
      <c r="H1235" s="175">
        <f>SUM(H1224+H1231+H1234)</f>
        <v>46200.49</v>
      </c>
      <c r="I1235" s="175"/>
      <c r="J1235" s="176">
        <f t="shared" ref="J1235:Q1235" si="536">SUM(J1224+J1231+J1234)</f>
        <v>61402</v>
      </c>
      <c r="K1235" s="177">
        <f t="shared" si="536"/>
        <v>67500</v>
      </c>
      <c r="L1235" s="178">
        <f t="shared" si="536"/>
        <v>48820.98</v>
      </c>
      <c r="M1235" s="178">
        <f t="shared" si="536"/>
        <v>44908.800000000003</v>
      </c>
      <c r="N1235" s="179">
        <f t="shared" si="536"/>
        <v>41102.449999999997</v>
      </c>
      <c r="O1235" s="180">
        <f t="shared" si="536"/>
        <v>47464.600000000006</v>
      </c>
      <c r="P1235" s="179">
        <f t="shared" si="536"/>
        <v>155555.69</v>
      </c>
      <c r="Q1235" s="181">
        <f t="shared" si="536"/>
        <v>65529.960000000006</v>
      </c>
      <c r="R1235" s="1"/>
      <c r="S1235" s="1"/>
      <c r="T1235" s="1"/>
    </row>
    <row r="1236" spans="1:20" ht="13.5" customHeight="1" thickTop="1" x14ac:dyDescent="0.25">
      <c r="A1236" s="1"/>
      <c r="B1236" s="1"/>
      <c r="C1236" s="1"/>
      <c r="D1236" s="42"/>
      <c r="E1236" s="67"/>
      <c r="F1236" s="45"/>
      <c r="G1236" s="45"/>
      <c r="H1236" s="74"/>
      <c r="I1236" s="66"/>
      <c r="J1236" s="48"/>
      <c r="K1236" s="49"/>
      <c r="L1236" s="77"/>
      <c r="M1236" s="50"/>
      <c r="N1236" s="53"/>
      <c r="O1236" s="52"/>
      <c r="P1236" s="53"/>
      <c r="Q1236" s="54"/>
      <c r="R1236" s="1"/>
      <c r="S1236" s="1"/>
      <c r="T1236" s="1"/>
    </row>
    <row r="1237" spans="1:20" ht="13.5" customHeight="1" x14ac:dyDescent="0.25">
      <c r="A1237" s="1"/>
      <c r="B1237" s="1"/>
      <c r="C1237" s="41" t="s">
        <v>1166</v>
      </c>
      <c r="D1237" s="42"/>
      <c r="E1237" s="67"/>
      <c r="F1237" s="45"/>
      <c r="G1237" s="45"/>
      <c r="H1237" s="74"/>
      <c r="I1237" s="66"/>
      <c r="J1237" s="48"/>
      <c r="K1237" s="49"/>
      <c r="L1237" s="77"/>
      <c r="M1237" s="50"/>
      <c r="N1237" s="53"/>
      <c r="O1237" s="52"/>
      <c r="P1237" s="53"/>
      <c r="Q1237" s="54"/>
      <c r="R1237" s="1"/>
      <c r="S1237" s="1"/>
      <c r="T1237" s="1"/>
    </row>
    <row r="1238" spans="1:20" ht="13.5" customHeight="1" x14ac:dyDescent="0.25">
      <c r="A1238" s="1"/>
      <c r="B1238" s="1" t="s">
        <v>1167</v>
      </c>
      <c r="C1238" s="1" t="s">
        <v>1138</v>
      </c>
      <c r="D1238" s="42">
        <v>35000</v>
      </c>
      <c r="E1238" s="43">
        <v>18230.169999999998</v>
      </c>
      <c r="F1238" s="45">
        <v>35000</v>
      </c>
      <c r="G1238" s="45">
        <v>35000</v>
      </c>
      <c r="H1238" s="46">
        <v>25177.1</v>
      </c>
      <c r="I1238" s="47">
        <f>H1238/J1238</f>
        <v>0.71934571428571425</v>
      </c>
      <c r="J1238" s="48">
        <v>35000</v>
      </c>
      <c r="K1238" s="49">
        <v>35000</v>
      </c>
      <c r="L1238" s="50">
        <v>31607.09</v>
      </c>
      <c r="M1238" s="50">
        <v>33913.97</v>
      </c>
      <c r="N1238" s="51">
        <v>29900.959999999999</v>
      </c>
      <c r="O1238" s="52">
        <v>24642.29</v>
      </c>
      <c r="P1238" s="53">
        <v>24038.73</v>
      </c>
      <c r="Q1238" s="54">
        <v>31401.96</v>
      </c>
      <c r="R1238" s="1"/>
      <c r="S1238" s="1"/>
      <c r="T1238" s="1"/>
    </row>
    <row r="1239" spans="1:20" ht="13.5" customHeight="1" x14ac:dyDescent="0.25">
      <c r="A1239" s="1"/>
      <c r="B1239" s="1" t="s">
        <v>1168</v>
      </c>
      <c r="C1239" s="1" t="s">
        <v>267</v>
      </c>
      <c r="D1239" s="42">
        <v>0</v>
      </c>
      <c r="E1239" s="70">
        <v>252.14</v>
      </c>
      <c r="F1239" s="73" t="s">
        <v>16</v>
      </c>
      <c r="G1239" s="73" t="s">
        <v>16</v>
      </c>
      <c r="H1239" s="74" t="s">
        <v>16</v>
      </c>
      <c r="I1239" s="74"/>
      <c r="J1239" s="75" t="s">
        <v>16</v>
      </c>
      <c r="K1239" s="76" t="s">
        <v>16</v>
      </c>
      <c r="L1239" s="50">
        <v>49.99</v>
      </c>
      <c r="M1239" s="50">
        <v>1922.79</v>
      </c>
      <c r="N1239" s="53" t="s">
        <v>16</v>
      </c>
      <c r="O1239" s="52">
        <v>0</v>
      </c>
      <c r="P1239" s="53">
        <v>770.09</v>
      </c>
      <c r="Q1239" s="54">
        <v>0</v>
      </c>
      <c r="R1239" s="1"/>
      <c r="S1239" s="1"/>
      <c r="T1239" s="1"/>
    </row>
    <row r="1240" spans="1:20" ht="13.5" customHeight="1" x14ac:dyDescent="0.25">
      <c r="A1240" s="1"/>
      <c r="B1240" s="1"/>
      <c r="C1240" s="1"/>
      <c r="D1240" s="88">
        <v>35000</v>
      </c>
      <c r="E1240" s="89">
        <f t="shared" ref="E1240" si="537">SUM(E1238:E1239)</f>
        <v>18482.309999999998</v>
      </c>
      <c r="F1240" s="90">
        <f>SUM(F1237:F1238)</f>
        <v>35000</v>
      </c>
      <c r="G1240" s="90">
        <v>35000</v>
      </c>
      <c r="H1240" s="91">
        <f>SUM(H1238:H1239)</f>
        <v>25177.1</v>
      </c>
      <c r="I1240" s="91"/>
      <c r="J1240" s="92">
        <f t="shared" ref="J1240:Q1240" si="538">SUM(J1238:J1239)</f>
        <v>35000</v>
      </c>
      <c r="K1240" s="93">
        <f t="shared" si="538"/>
        <v>35000</v>
      </c>
      <c r="L1240" s="94">
        <f t="shared" si="538"/>
        <v>31657.08</v>
      </c>
      <c r="M1240" s="94">
        <f t="shared" si="538"/>
        <v>35836.76</v>
      </c>
      <c r="N1240" s="95">
        <f t="shared" si="538"/>
        <v>29900.959999999999</v>
      </c>
      <c r="O1240" s="96">
        <f t="shared" si="538"/>
        <v>24642.29</v>
      </c>
      <c r="P1240" s="95">
        <f t="shared" si="538"/>
        <v>24808.82</v>
      </c>
      <c r="Q1240" s="97">
        <f t="shared" si="538"/>
        <v>31401.96</v>
      </c>
      <c r="R1240" s="1"/>
      <c r="S1240" s="1"/>
      <c r="T1240" s="1"/>
    </row>
    <row r="1241" spans="1:20" ht="13.5" customHeight="1" x14ac:dyDescent="0.25">
      <c r="A1241" s="1"/>
      <c r="B1241" s="1"/>
      <c r="C1241" s="1"/>
      <c r="D1241" s="72"/>
      <c r="E1241" s="67"/>
      <c r="F1241" s="73"/>
      <c r="G1241" s="73"/>
      <c r="H1241" s="74"/>
      <c r="I1241" s="74"/>
      <c r="J1241" s="75"/>
      <c r="K1241" s="76"/>
      <c r="L1241" s="50"/>
      <c r="M1241" s="50"/>
      <c r="N1241" s="53"/>
      <c r="O1241" s="52"/>
      <c r="P1241" s="53"/>
      <c r="Q1241" s="54"/>
      <c r="R1241" s="1"/>
      <c r="S1241" s="1"/>
      <c r="T1241" s="1"/>
    </row>
    <row r="1242" spans="1:20" ht="13.5" customHeight="1" x14ac:dyDescent="0.25">
      <c r="A1242" s="1"/>
      <c r="B1242" s="1" t="s">
        <v>1169</v>
      </c>
      <c r="C1242" s="1" t="s">
        <v>1143</v>
      </c>
      <c r="D1242" s="42">
        <v>160000</v>
      </c>
      <c r="E1242" s="43">
        <v>51472.88</v>
      </c>
      <c r="F1242" s="45">
        <v>160000</v>
      </c>
      <c r="G1242" s="45">
        <v>160000</v>
      </c>
      <c r="H1242" s="46">
        <v>160635.04999999999</v>
      </c>
      <c r="I1242" s="47">
        <f t="shared" ref="I1242:I1247" si="539">H1242/J1242</f>
        <v>1.0039690625</v>
      </c>
      <c r="J1242" s="48">
        <v>160000</v>
      </c>
      <c r="K1242" s="49">
        <v>160000</v>
      </c>
      <c r="L1242" s="50">
        <v>161878.14000000001</v>
      </c>
      <c r="M1242" s="50">
        <v>163527.56</v>
      </c>
      <c r="N1242" s="51">
        <v>179173.1</v>
      </c>
      <c r="O1242" s="52">
        <v>178769.39</v>
      </c>
      <c r="P1242" s="53">
        <v>172130.82</v>
      </c>
      <c r="Q1242" s="54">
        <v>220417.61</v>
      </c>
      <c r="R1242" s="1"/>
      <c r="S1242" s="1"/>
      <c r="T1242" s="1"/>
    </row>
    <row r="1243" spans="1:20" ht="13.5" customHeight="1" x14ac:dyDescent="0.25">
      <c r="A1243" s="1"/>
      <c r="B1243" s="1" t="s">
        <v>1170</v>
      </c>
      <c r="C1243" s="1" t="s">
        <v>1145</v>
      </c>
      <c r="D1243" s="42">
        <v>45000</v>
      </c>
      <c r="E1243" s="43">
        <v>13624.08</v>
      </c>
      <c r="F1243" s="45">
        <v>45000</v>
      </c>
      <c r="G1243" s="45">
        <v>45000</v>
      </c>
      <c r="H1243" s="46">
        <v>31146.240000000002</v>
      </c>
      <c r="I1243" s="47">
        <f t="shared" si="539"/>
        <v>0.69213866666666668</v>
      </c>
      <c r="J1243" s="48">
        <v>45000</v>
      </c>
      <c r="K1243" s="49">
        <v>45000</v>
      </c>
      <c r="L1243" s="50">
        <v>38408.639999999999</v>
      </c>
      <c r="M1243" s="50">
        <v>32675.75</v>
      </c>
      <c r="N1243" s="51">
        <v>27805.200000000001</v>
      </c>
      <c r="O1243" s="52">
        <v>29719.93</v>
      </c>
      <c r="P1243" s="53">
        <v>38399.58</v>
      </c>
      <c r="Q1243" s="54">
        <v>32589.85</v>
      </c>
      <c r="R1243" s="1"/>
      <c r="S1243" s="1"/>
      <c r="T1243" s="1"/>
    </row>
    <row r="1244" spans="1:20" ht="13.5" customHeight="1" x14ac:dyDescent="0.25">
      <c r="A1244" s="1"/>
      <c r="B1244" s="1" t="s">
        <v>1171</v>
      </c>
      <c r="C1244" s="1" t="s">
        <v>1147</v>
      </c>
      <c r="D1244" s="42">
        <v>180000</v>
      </c>
      <c r="E1244" s="43">
        <v>75744.78</v>
      </c>
      <c r="F1244" s="45">
        <v>180000</v>
      </c>
      <c r="G1244" s="45">
        <v>180000</v>
      </c>
      <c r="H1244" s="46">
        <v>202114.34</v>
      </c>
      <c r="I1244" s="47">
        <f t="shared" si="539"/>
        <v>1.3474289333333334</v>
      </c>
      <c r="J1244" s="48">
        <v>150000</v>
      </c>
      <c r="K1244" s="49">
        <v>150000</v>
      </c>
      <c r="L1244" s="50">
        <v>189012.76</v>
      </c>
      <c r="M1244" s="50">
        <v>162358.16</v>
      </c>
      <c r="N1244" s="51">
        <v>123059.5</v>
      </c>
      <c r="O1244" s="52">
        <v>107791.41</v>
      </c>
      <c r="P1244" s="53">
        <v>109767</v>
      </c>
      <c r="Q1244" s="54">
        <v>101705.41</v>
      </c>
      <c r="R1244" s="1"/>
      <c r="S1244" s="1"/>
      <c r="T1244" s="1"/>
    </row>
    <row r="1245" spans="1:20" ht="13.5" customHeight="1" x14ac:dyDescent="0.25">
      <c r="A1245" s="1"/>
      <c r="B1245" s="1" t="s">
        <v>1172</v>
      </c>
      <c r="C1245" s="1" t="s">
        <v>1126</v>
      </c>
      <c r="D1245" s="42">
        <v>90000</v>
      </c>
      <c r="E1245" s="43">
        <v>61981</v>
      </c>
      <c r="F1245" s="45">
        <v>90000</v>
      </c>
      <c r="G1245" s="45">
        <v>90000</v>
      </c>
      <c r="H1245" s="46">
        <v>76143.23</v>
      </c>
      <c r="I1245" s="47">
        <f t="shared" si="539"/>
        <v>1.0612296864111497</v>
      </c>
      <c r="J1245" s="48">
        <v>71750</v>
      </c>
      <c r="K1245" s="49">
        <v>71750</v>
      </c>
      <c r="L1245" s="50">
        <v>112066.17</v>
      </c>
      <c r="M1245" s="50">
        <v>60586.92</v>
      </c>
      <c r="N1245" s="51">
        <v>54853.760000000002</v>
      </c>
      <c r="O1245" s="52">
        <v>73459.33</v>
      </c>
      <c r="P1245" s="53">
        <v>51799.09</v>
      </c>
      <c r="Q1245" s="54">
        <v>71464.25</v>
      </c>
      <c r="R1245" s="1"/>
      <c r="S1245" s="1"/>
      <c r="T1245" s="1"/>
    </row>
    <row r="1246" spans="1:20" ht="13.5" customHeight="1" x14ac:dyDescent="0.25">
      <c r="A1246" s="1"/>
      <c r="B1246" s="1" t="s">
        <v>1173</v>
      </c>
      <c r="C1246" s="1" t="s">
        <v>1128</v>
      </c>
      <c r="D1246" s="42">
        <v>15000</v>
      </c>
      <c r="E1246" s="43">
        <v>309.04000000000002</v>
      </c>
      <c r="F1246" s="45">
        <v>15000</v>
      </c>
      <c r="G1246" s="45">
        <v>15000</v>
      </c>
      <c r="H1246" s="46">
        <v>6176.3</v>
      </c>
      <c r="I1246" s="47">
        <f t="shared" si="539"/>
        <v>0.41175333333333336</v>
      </c>
      <c r="J1246" s="48">
        <v>15000</v>
      </c>
      <c r="K1246" s="49">
        <v>15000</v>
      </c>
      <c r="L1246" s="50">
        <v>3893.67</v>
      </c>
      <c r="M1246" s="50">
        <v>12051.25</v>
      </c>
      <c r="N1246" s="51">
        <v>9316.93</v>
      </c>
      <c r="O1246" s="52">
        <v>14720.1</v>
      </c>
      <c r="P1246" s="53">
        <v>3926.72</v>
      </c>
      <c r="Q1246" s="54">
        <v>12552.13</v>
      </c>
      <c r="R1246" s="1"/>
      <c r="S1246" s="1"/>
      <c r="T1246" s="1"/>
    </row>
    <row r="1247" spans="1:20" ht="13.5" customHeight="1" x14ac:dyDescent="0.25">
      <c r="A1247" s="1"/>
      <c r="B1247" s="1" t="s">
        <v>1174</v>
      </c>
      <c r="C1247" s="1" t="s">
        <v>1150</v>
      </c>
      <c r="D1247" s="42">
        <v>50000</v>
      </c>
      <c r="E1247" s="43">
        <v>14157.69</v>
      </c>
      <c r="F1247" s="45">
        <v>50000</v>
      </c>
      <c r="G1247" s="45">
        <v>50000</v>
      </c>
      <c r="H1247" s="46">
        <v>16786.48</v>
      </c>
      <c r="I1247" s="47">
        <f t="shared" si="539"/>
        <v>1.6786479999999999</v>
      </c>
      <c r="J1247" s="48">
        <v>10000</v>
      </c>
      <c r="K1247" s="49">
        <v>10000</v>
      </c>
      <c r="L1247" s="50">
        <v>9391.0300000000007</v>
      </c>
      <c r="M1247" s="50">
        <v>5257.21</v>
      </c>
      <c r="N1247" s="51">
        <v>9851.4</v>
      </c>
      <c r="O1247" s="52">
        <v>25268.38</v>
      </c>
      <c r="P1247" s="53">
        <v>11145.09</v>
      </c>
      <c r="Q1247" s="54">
        <v>5919.2</v>
      </c>
      <c r="R1247" s="1"/>
      <c r="S1247" s="1"/>
      <c r="T1247" s="1"/>
    </row>
    <row r="1248" spans="1:20" ht="13.5" customHeight="1" x14ac:dyDescent="0.25">
      <c r="A1248" s="1"/>
      <c r="B1248" s="1"/>
      <c r="C1248" s="1"/>
      <c r="D1248" s="56">
        <v>540000</v>
      </c>
      <c r="E1248" s="57">
        <f t="shared" ref="E1248" si="540">SUM(E1242:E1247)</f>
        <v>217289.47</v>
      </c>
      <c r="F1248" s="58">
        <f>SUM(F1241:F1247)</f>
        <v>540000</v>
      </c>
      <c r="G1248" s="58">
        <v>540000</v>
      </c>
      <c r="H1248" s="59">
        <f>SUM(H1242:H1247)</f>
        <v>493001.63999999996</v>
      </c>
      <c r="I1248" s="59"/>
      <c r="J1248" s="60">
        <f t="shared" ref="J1248:Q1248" si="541">SUM(J1242:J1247)</f>
        <v>451750</v>
      </c>
      <c r="K1248" s="61">
        <f t="shared" si="541"/>
        <v>451750</v>
      </c>
      <c r="L1248" s="62">
        <f t="shared" si="541"/>
        <v>514650.41000000003</v>
      </c>
      <c r="M1248" s="62">
        <f t="shared" si="541"/>
        <v>436456.85</v>
      </c>
      <c r="N1248" s="63">
        <f t="shared" si="541"/>
        <v>404059.89000000007</v>
      </c>
      <c r="O1248" s="64">
        <f t="shared" si="541"/>
        <v>429728.54</v>
      </c>
      <c r="P1248" s="63">
        <f t="shared" si="541"/>
        <v>387168.3</v>
      </c>
      <c r="Q1248" s="65">
        <f t="shared" si="541"/>
        <v>444648.45</v>
      </c>
      <c r="R1248" s="1"/>
      <c r="S1248" s="1"/>
      <c r="T1248" s="1"/>
    </row>
    <row r="1249" spans="1:20" ht="13.5" customHeight="1" x14ac:dyDescent="0.25">
      <c r="A1249" s="1"/>
      <c r="B1249" s="1"/>
      <c r="C1249" s="1"/>
      <c r="D1249" s="42"/>
      <c r="E1249" s="44"/>
      <c r="F1249" s="45"/>
      <c r="G1249" s="45"/>
      <c r="H1249" s="66"/>
      <c r="I1249" s="66"/>
      <c r="J1249" s="48"/>
      <c r="K1249" s="49"/>
      <c r="L1249" s="50"/>
      <c r="M1249" s="50"/>
      <c r="N1249" s="51"/>
      <c r="O1249" s="52"/>
      <c r="P1249" s="53"/>
      <c r="Q1249" s="54"/>
      <c r="R1249" s="1"/>
      <c r="S1249" s="1"/>
      <c r="T1249" s="1"/>
    </row>
    <row r="1250" spans="1:20" ht="13.5" customHeight="1" x14ac:dyDescent="0.25">
      <c r="A1250" s="1"/>
      <c r="B1250" s="1" t="s">
        <v>1175</v>
      </c>
      <c r="C1250" s="1" t="s">
        <v>1154</v>
      </c>
      <c r="D1250" s="42">
        <v>50000</v>
      </c>
      <c r="E1250" s="70">
        <v>33466.339999999997</v>
      </c>
      <c r="F1250" s="73">
        <v>50000</v>
      </c>
      <c r="G1250" s="73">
        <v>50000</v>
      </c>
      <c r="H1250" s="74">
        <v>0</v>
      </c>
      <c r="I1250" s="183">
        <v>0</v>
      </c>
      <c r="J1250" s="75">
        <v>0</v>
      </c>
      <c r="K1250" s="76">
        <v>0</v>
      </c>
      <c r="L1250" s="50">
        <v>83350.929999999993</v>
      </c>
      <c r="M1250" s="50">
        <v>208843</v>
      </c>
      <c r="N1250" s="53">
        <v>0</v>
      </c>
      <c r="O1250" s="52">
        <v>3605.25</v>
      </c>
      <c r="P1250" s="53">
        <v>0</v>
      </c>
      <c r="Q1250" s="54">
        <v>0</v>
      </c>
      <c r="R1250" s="1"/>
      <c r="S1250" s="1"/>
      <c r="T1250" s="1"/>
    </row>
    <row r="1251" spans="1:20" ht="13.5" customHeight="1" x14ac:dyDescent="0.25">
      <c r="A1251" s="1"/>
      <c r="B1251" s="1" t="s">
        <v>1176</v>
      </c>
      <c r="C1251" s="1" t="s">
        <v>335</v>
      </c>
      <c r="D1251" s="42">
        <v>7500</v>
      </c>
      <c r="E1251" s="70">
        <v>0</v>
      </c>
      <c r="F1251" s="45">
        <v>7500</v>
      </c>
      <c r="G1251" s="45">
        <v>7500</v>
      </c>
      <c r="H1251" s="74">
        <v>0</v>
      </c>
      <c r="I1251" s="47">
        <f>H1251/J1251</f>
        <v>0</v>
      </c>
      <c r="J1251" s="48">
        <v>7500</v>
      </c>
      <c r="K1251" s="49">
        <v>7500</v>
      </c>
      <c r="L1251" s="77">
        <v>0</v>
      </c>
      <c r="M1251" s="77">
        <v>0</v>
      </c>
      <c r="N1251" s="53">
        <v>0</v>
      </c>
      <c r="O1251" s="52">
        <v>5000</v>
      </c>
      <c r="P1251" s="53">
        <v>0</v>
      </c>
      <c r="Q1251" s="54">
        <v>27790.639999999999</v>
      </c>
      <c r="R1251" s="1"/>
      <c r="S1251" s="1"/>
      <c r="T1251" s="1"/>
    </row>
    <row r="1252" spans="1:20" ht="13.5" customHeight="1" x14ac:dyDescent="0.25">
      <c r="A1252" s="1"/>
      <c r="B1252" s="1"/>
      <c r="C1252" s="1"/>
      <c r="D1252" s="56">
        <v>57500</v>
      </c>
      <c r="E1252" s="57">
        <f t="shared" ref="E1252" si="542">SUM(E1250:E1251)</f>
        <v>33466.339999999997</v>
      </c>
      <c r="F1252" s="58">
        <f>SUM(F1249:F1251)</f>
        <v>57500</v>
      </c>
      <c r="G1252" s="58">
        <v>57500</v>
      </c>
      <c r="H1252" s="59">
        <f>SUM(H1250:H1251)</f>
        <v>0</v>
      </c>
      <c r="I1252" s="59"/>
      <c r="J1252" s="60">
        <f t="shared" ref="J1252:Q1252" si="543">SUM(J1250:J1251)</f>
        <v>7500</v>
      </c>
      <c r="K1252" s="61">
        <f t="shared" si="543"/>
        <v>7500</v>
      </c>
      <c r="L1252" s="62">
        <f t="shared" si="543"/>
        <v>83350.929999999993</v>
      </c>
      <c r="M1252" s="62">
        <f t="shared" si="543"/>
        <v>208843</v>
      </c>
      <c r="N1252" s="63">
        <f t="shared" si="543"/>
        <v>0</v>
      </c>
      <c r="O1252" s="64">
        <f t="shared" si="543"/>
        <v>8605.25</v>
      </c>
      <c r="P1252" s="63">
        <f t="shared" si="543"/>
        <v>0</v>
      </c>
      <c r="Q1252" s="65">
        <f t="shared" si="543"/>
        <v>27790.639999999999</v>
      </c>
      <c r="R1252" s="1"/>
      <c r="S1252" s="1"/>
      <c r="T1252" s="1"/>
    </row>
    <row r="1253" spans="1:20" ht="13.5" customHeight="1" thickBot="1" x14ac:dyDescent="0.3">
      <c r="A1253" s="1"/>
      <c r="B1253" s="1"/>
      <c r="C1253" s="116" t="s">
        <v>1177</v>
      </c>
      <c r="D1253" s="267">
        <v>632500</v>
      </c>
      <c r="E1253" s="173">
        <f t="shared" ref="E1253" si="544">SUM(E1240+E1248+E1252)</f>
        <v>269238.12</v>
      </c>
      <c r="F1253" s="174">
        <f>SUM(F1240,F1248,F1252)</f>
        <v>632500</v>
      </c>
      <c r="G1253" s="174">
        <v>632500</v>
      </c>
      <c r="H1253" s="175">
        <f>SUM(H1240+H1248+H1252)</f>
        <v>518178.73999999993</v>
      </c>
      <c r="I1253" s="175"/>
      <c r="J1253" s="176">
        <f t="shared" ref="J1253:Q1253" si="545">SUM(J1240+J1248+J1252)</f>
        <v>494250</v>
      </c>
      <c r="K1253" s="177">
        <f t="shared" si="545"/>
        <v>494250</v>
      </c>
      <c r="L1253" s="178">
        <f t="shared" si="545"/>
        <v>629658.41999999993</v>
      </c>
      <c r="M1253" s="178">
        <f t="shared" si="545"/>
        <v>681136.61</v>
      </c>
      <c r="N1253" s="179">
        <f t="shared" si="545"/>
        <v>433960.85000000009</v>
      </c>
      <c r="O1253" s="180">
        <f t="shared" si="545"/>
        <v>462976.07999999996</v>
      </c>
      <c r="P1253" s="179">
        <f t="shared" si="545"/>
        <v>411977.12</v>
      </c>
      <c r="Q1253" s="181">
        <f t="shared" si="545"/>
        <v>503841.05000000005</v>
      </c>
      <c r="R1253" s="1"/>
      <c r="S1253" s="1"/>
      <c r="T1253" s="1"/>
    </row>
    <row r="1254" spans="1:20" ht="13.5" customHeight="1" thickTop="1" x14ac:dyDescent="0.25">
      <c r="A1254" s="1"/>
      <c r="B1254" s="1"/>
      <c r="C1254" s="1"/>
      <c r="D1254" s="42"/>
      <c r="E1254" s="67"/>
      <c r="F1254" s="45"/>
      <c r="G1254" s="45"/>
      <c r="H1254" s="74"/>
      <c r="I1254" s="66"/>
      <c r="J1254" s="48"/>
      <c r="K1254" s="49"/>
      <c r="L1254" s="77"/>
      <c r="M1254" s="77"/>
      <c r="N1254" s="53"/>
      <c r="O1254" s="52"/>
      <c r="P1254" s="53"/>
      <c r="Q1254" s="54"/>
      <c r="R1254" s="1"/>
      <c r="S1254" s="1"/>
      <c r="T1254" s="1"/>
    </row>
    <row r="1255" spans="1:20" ht="13.5" customHeight="1" x14ac:dyDescent="0.25">
      <c r="A1255" s="1"/>
      <c r="B1255" s="1"/>
      <c r="C1255" s="1"/>
      <c r="D1255" s="42"/>
      <c r="E1255" s="67"/>
      <c r="F1255" s="45"/>
      <c r="G1255" s="45"/>
      <c r="H1255" s="74"/>
      <c r="I1255" s="66"/>
      <c r="J1255" s="48"/>
      <c r="K1255" s="49"/>
      <c r="L1255" s="77"/>
      <c r="M1255" s="77"/>
      <c r="N1255" s="53"/>
      <c r="O1255" s="52"/>
      <c r="P1255" s="53"/>
      <c r="Q1255" s="54"/>
      <c r="R1255" s="1"/>
      <c r="S1255" s="1"/>
      <c r="T1255" s="1"/>
    </row>
    <row r="1256" spans="1:20" ht="13.5" customHeight="1" x14ac:dyDescent="0.25">
      <c r="A1256" s="1"/>
      <c r="B1256" s="1"/>
      <c r="C1256" s="41" t="s">
        <v>1178</v>
      </c>
      <c r="D1256" s="42"/>
      <c r="E1256" s="67"/>
      <c r="F1256" s="45"/>
      <c r="G1256" s="45"/>
      <c r="H1256" s="74"/>
      <c r="I1256" s="66"/>
      <c r="J1256" s="48"/>
      <c r="K1256" s="49"/>
      <c r="L1256" s="77"/>
      <c r="M1256" s="77"/>
      <c r="N1256" s="53"/>
      <c r="O1256" s="52"/>
      <c r="P1256" s="53"/>
      <c r="Q1256" s="54"/>
      <c r="R1256" s="1"/>
      <c r="S1256" s="1"/>
      <c r="T1256" s="1"/>
    </row>
    <row r="1257" spans="1:20" ht="13.5" customHeight="1" x14ac:dyDescent="0.25">
      <c r="A1257" s="1"/>
      <c r="B1257" s="1" t="s">
        <v>1179</v>
      </c>
      <c r="C1257" s="1" t="s">
        <v>1143</v>
      </c>
      <c r="D1257" s="42">
        <v>22500</v>
      </c>
      <c r="E1257" s="43">
        <v>3907.73</v>
      </c>
      <c r="F1257" s="45">
        <v>22500</v>
      </c>
      <c r="G1257" s="45">
        <v>22500</v>
      </c>
      <c r="H1257" s="46">
        <v>19458.45</v>
      </c>
      <c r="I1257" s="47">
        <f t="shared" ref="I1257:I1261" si="546">H1257/J1257</f>
        <v>0.86482000000000003</v>
      </c>
      <c r="J1257" s="48">
        <v>22500</v>
      </c>
      <c r="K1257" s="49">
        <v>22500</v>
      </c>
      <c r="L1257" s="50">
        <v>21881.16</v>
      </c>
      <c r="M1257" s="50">
        <v>16515.54</v>
      </c>
      <c r="N1257" s="51">
        <v>19802.45</v>
      </c>
      <c r="O1257" s="52">
        <v>21255.99</v>
      </c>
      <c r="P1257" s="53">
        <v>22763.84</v>
      </c>
      <c r="Q1257" s="54">
        <v>25730.03</v>
      </c>
      <c r="R1257" s="1"/>
      <c r="S1257" s="1"/>
      <c r="T1257" s="1"/>
    </row>
    <row r="1258" spans="1:20" ht="13.5" customHeight="1" x14ac:dyDescent="0.25">
      <c r="A1258" s="1"/>
      <c r="B1258" s="1" t="s">
        <v>1180</v>
      </c>
      <c r="C1258" s="1" t="s">
        <v>1145</v>
      </c>
      <c r="D1258" s="42">
        <v>1000</v>
      </c>
      <c r="E1258" s="43">
        <v>339.77</v>
      </c>
      <c r="F1258" s="45">
        <v>1000</v>
      </c>
      <c r="G1258" s="45">
        <v>1000</v>
      </c>
      <c r="H1258" s="46">
        <v>621.73</v>
      </c>
      <c r="I1258" s="47">
        <f t="shared" si="546"/>
        <v>0.62173</v>
      </c>
      <c r="J1258" s="48">
        <v>1000</v>
      </c>
      <c r="K1258" s="49">
        <v>1000</v>
      </c>
      <c r="L1258" s="50">
        <v>670.84</v>
      </c>
      <c r="M1258" s="50">
        <v>707.24</v>
      </c>
      <c r="N1258" s="51">
        <v>676.08</v>
      </c>
      <c r="O1258" s="52">
        <v>671.87</v>
      </c>
      <c r="P1258" s="53">
        <v>579.57000000000005</v>
      </c>
      <c r="Q1258" s="54">
        <v>598.55999999999995</v>
      </c>
      <c r="R1258" s="1"/>
      <c r="S1258" s="1"/>
      <c r="T1258" s="1"/>
    </row>
    <row r="1259" spans="1:20" ht="13.5" customHeight="1" x14ac:dyDescent="0.25">
      <c r="A1259" s="1"/>
      <c r="B1259" s="1" t="s">
        <v>1181</v>
      </c>
      <c r="C1259" s="1" t="s">
        <v>1147</v>
      </c>
      <c r="D1259" s="42">
        <v>3000</v>
      </c>
      <c r="E1259" s="43">
        <v>1202.24</v>
      </c>
      <c r="F1259" s="45">
        <v>3000</v>
      </c>
      <c r="G1259" s="45">
        <v>3000</v>
      </c>
      <c r="H1259" s="46">
        <v>2641</v>
      </c>
      <c r="I1259" s="47">
        <f t="shared" si="546"/>
        <v>0.8803333333333333</v>
      </c>
      <c r="J1259" s="48">
        <v>3000</v>
      </c>
      <c r="K1259" s="49">
        <v>3000</v>
      </c>
      <c r="L1259" s="50">
        <v>2510.5700000000002</v>
      </c>
      <c r="M1259" s="50">
        <v>2321.84</v>
      </c>
      <c r="N1259" s="51">
        <v>2449.79</v>
      </c>
      <c r="O1259" s="52">
        <v>2195.42</v>
      </c>
      <c r="P1259" s="53">
        <v>2138.92</v>
      </c>
      <c r="Q1259" s="54">
        <v>2006.15</v>
      </c>
      <c r="R1259" s="1"/>
      <c r="S1259" s="1"/>
      <c r="T1259" s="1"/>
    </row>
    <row r="1260" spans="1:20" ht="13.5" customHeight="1" x14ac:dyDescent="0.25">
      <c r="A1260" s="1"/>
      <c r="B1260" s="1" t="s">
        <v>1182</v>
      </c>
      <c r="C1260" s="1" t="s">
        <v>1126</v>
      </c>
      <c r="D1260" s="42">
        <v>10000</v>
      </c>
      <c r="E1260" s="43">
        <v>6583.44</v>
      </c>
      <c r="F1260" s="45">
        <v>10000</v>
      </c>
      <c r="G1260" s="45">
        <v>10000</v>
      </c>
      <c r="H1260" s="46">
        <v>5407.78</v>
      </c>
      <c r="I1260" s="47">
        <f t="shared" si="546"/>
        <v>2.1631119999999999</v>
      </c>
      <c r="J1260" s="48">
        <v>2500</v>
      </c>
      <c r="K1260" s="49">
        <v>2500</v>
      </c>
      <c r="L1260" s="50">
        <v>6085.36</v>
      </c>
      <c r="M1260" s="50">
        <v>3040.13</v>
      </c>
      <c r="N1260" s="51">
        <v>2051.13</v>
      </c>
      <c r="O1260" s="52">
        <v>1892.21</v>
      </c>
      <c r="P1260" s="53">
        <v>1628.89</v>
      </c>
      <c r="Q1260" s="54">
        <v>1897.59</v>
      </c>
      <c r="R1260" s="1"/>
      <c r="S1260" s="1"/>
      <c r="T1260" s="1"/>
    </row>
    <row r="1261" spans="1:20" ht="13.5" customHeight="1" x14ac:dyDescent="0.25">
      <c r="A1261" s="1"/>
      <c r="B1261" s="1" t="s">
        <v>1183</v>
      </c>
      <c r="C1261" s="1" t="s">
        <v>1150</v>
      </c>
      <c r="D1261" s="42">
        <v>15000</v>
      </c>
      <c r="E1261" s="43">
        <v>901.51</v>
      </c>
      <c r="F1261" s="45">
        <v>15000</v>
      </c>
      <c r="G1261" s="45">
        <v>15000</v>
      </c>
      <c r="H1261" s="46">
        <v>1101.78</v>
      </c>
      <c r="I1261" s="47">
        <f t="shared" si="546"/>
        <v>0.44071199999999999</v>
      </c>
      <c r="J1261" s="48">
        <v>2500</v>
      </c>
      <c r="K1261" s="49">
        <v>2500</v>
      </c>
      <c r="L1261" s="77">
        <v>0</v>
      </c>
      <c r="M1261" s="50">
        <v>2408.92</v>
      </c>
      <c r="N1261" s="53">
        <v>0</v>
      </c>
      <c r="O1261" s="52">
        <v>1347.85</v>
      </c>
      <c r="P1261" s="53">
        <v>177.78</v>
      </c>
      <c r="Q1261" s="54">
        <v>490</v>
      </c>
      <c r="R1261" s="1"/>
      <c r="S1261" s="1"/>
      <c r="T1261" s="1"/>
    </row>
    <row r="1262" spans="1:20" ht="13.5" customHeight="1" x14ac:dyDescent="0.25">
      <c r="A1262" s="1"/>
      <c r="B1262" s="1"/>
      <c r="C1262" s="1"/>
      <c r="D1262" s="56">
        <v>51500</v>
      </c>
      <c r="E1262" s="57">
        <f t="shared" ref="E1262" si="547">SUM(E1256:E1261)</f>
        <v>12934.69</v>
      </c>
      <c r="F1262" s="58">
        <f t="shared" ref="F1262:H1262" si="548">SUM(F1256:F1261)</f>
        <v>51500</v>
      </c>
      <c r="G1262" s="58">
        <f t="shared" si="548"/>
        <v>51500</v>
      </c>
      <c r="H1262" s="59">
        <f t="shared" si="548"/>
        <v>29230.739999999998</v>
      </c>
      <c r="I1262" s="59"/>
      <c r="J1262" s="60">
        <f t="shared" ref="J1262:M1262" si="549">SUM(J1256:J1261)</f>
        <v>31500</v>
      </c>
      <c r="K1262" s="61">
        <f t="shared" si="549"/>
        <v>31500</v>
      </c>
      <c r="L1262" s="62">
        <f t="shared" si="549"/>
        <v>31147.93</v>
      </c>
      <c r="M1262" s="62">
        <f t="shared" si="549"/>
        <v>24993.670000000006</v>
      </c>
      <c r="N1262" s="148"/>
      <c r="O1262" s="149"/>
      <c r="P1262" s="148"/>
      <c r="Q1262" s="150"/>
      <c r="R1262" s="1"/>
      <c r="S1262" s="1"/>
      <c r="T1262" s="1"/>
    </row>
    <row r="1263" spans="1:20" ht="13.5" customHeight="1" x14ac:dyDescent="0.25">
      <c r="A1263" s="1"/>
      <c r="B1263" s="1"/>
      <c r="C1263" s="1"/>
      <c r="D1263" s="42"/>
      <c r="E1263" s="44"/>
      <c r="F1263" s="45"/>
      <c r="G1263" s="45"/>
      <c r="H1263" s="66"/>
      <c r="I1263" s="66"/>
      <c r="J1263" s="48"/>
      <c r="K1263" s="49"/>
      <c r="L1263" s="50"/>
      <c r="M1263" s="50"/>
      <c r="N1263" s="148"/>
      <c r="O1263" s="149"/>
      <c r="P1263" s="148"/>
      <c r="Q1263" s="150"/>
      <c r="R1263" s="1"/>
      <c r="S1263" s="1"/>
      <c r="T1263" s="1"/>
    </row>
    <row r="1264" spans="1:20" ht="13.5" customHeight="1" x14ac:dyDescent="0.25">
      <c r="A1264" s="1"/>
      <c r="B1264" s="55" t="s">
        <v>1184</v>
      </c>
      <c r="C1264" s="1" t="s">
        <v>1154</v>
      </c>
      <c r="D1264" s="42">
        <v>50000</v>
      </c>
      <c r="E1264" s="70">
        <v>28321.9</v>
      </c>
      <c r="F1264" s="86">
        <v>0</v>
      </c>
      <c r="G1264" s="86">
        <v>0</v>
      </c>
      <c r="H1264" s="68">
        <v>49778</v>
      </c>
      <c r="I1264" s="183">
        <v>0</v>
      </c>
      <c r="J1264" s="75">
        <v>0</v>
      </c>
      <c r="K1264" s="76">
        <v>0</v>
      </c>
      <c r="L1264" s="69">
        <v>0</v>
      </c>
      <c r="M1264" s="69">
        <v>0</v>
      </c>
      <c r="N1264" s="148"/>
      <c r="O1264" s="149"/>
      <c r="P1264" s="148"/>
      <c r="Q1264" s="150"/>
      <c r="R1264" s="1"/>
      <c r="S1264" s="1"/>
      <c r="T1264" s="1"/>
    </row>
    <row r="1265" spans="1:20" ht="13.5" customHeight="1" x14ac:dyDescent="0.25">
      <c r="A1265" s="1"/>
      <c r="B1265" s="55" t="s">
        <v>1185</v>
      </c>
      <c r="C1265" s="1" t="s">
        <v>335</v>
      </c>
      <c r="D1265" s="42">
        <v>7500</v>
      </c>
      <c r="E1265" s="70">
        <v>0</v>
      </c>
      <c r="F1265" s="71">
        <v>0</v>
      </c>
      <c r="G1265" s="71">
        <v>0</v>
      </c>
      <c r="H1265" s="74">
        <v>0</v>
      </c>
      <c r="I1265" s="47">
        <f>H1265/J1265</f>
        <v>0</v>
      </c>
      <c r="J1265" s="48">
        <v>7500</v>
      </c>
      <c r="K1265" s="49">
        <v>7500</v>
      </c>
      <c r="L1265" s="77">
        <v>0</v>
      </c>
      <c r="M1265" s="77">
        <v>0</v>
      </c>
      <c r="N1265" s="148"/>
      <c r="O1265" s="149"/>
      <c r="P1265" s="148"/>
      <c r="Q1265" s="150"/>
      <c r="R1265" s="1"/>
      <c r="S1265" s="1"/>
      <c r="T1265" s="1"/>
    </row>
    <row r="1266" spans="1:20" ht="13.5" customHeight="1" x14ac:dyDescent="0.25">
      <c r="A1266" s="1"/>
      <c r="B1266" s="1"/>
      <c r="C1266" s="1"/>
      <c r="D1266" s="56">
        <v>57500</v>
      </c>
      <c r="E1266" s="57">
        <f t="shared" ref="E1266" si="550">SUM(E1264:E1265)</f>
        <v>28321.9</v>
      </c>
      <c r="F1266" s="58">
        <f>SUM(F1263:F1265)</f>
        <v>0</v>
      </c>
      <c r="G1266" s="58">
        <f t="shared" ref="G1266:H1266" si="551">SUM(G1264:G1265)</f>
        <v>0</v>
      </c>
      <c r="H1266" s="59">
        <f t="shared" si="551"/>
        <v>49778</v>
      </c>
      <c r="I1266" s="59"/>
      <c r="J1266" s="60">
        <f t="shared" ref="J1266:M1266" si="552">SUM(J1264:J1265)</f>
        <v>7500</v>
      </c>
      <c r="K1266" s="61">
        <f t="shared" si="552"/>
        <v>7500</v>
      </c>
      <c r="L1266" s="62">
        <f t="shared" si="552"/>
        <v>0</v>
      </c>
      <c r="M1266" s="62">
        <f t="shared" si="552"/>
        <v>0</v>
      </c>
      <c r="N1266" s="148"/>
      <c r="O1266" s="149"/>
      <c r="P1266" s="148"/>
      <c r="Q1266" s="150"/>
      <c r="R1266" s="1"/>
      <c r="S1266" s="1"/>
      <c r="T1266" s="1"/>
    </row>
    <row r="1267" spans="1:20" ht="13.5" customHeight="1" thickBot="1" x14ac:dyDescent="0.3">
      <c r="A1267" s="1"/>
      <c r="B1267" s="1"/>
      <c r="C1267" s="116" t="s">
        <v>1186</v>
      </c>
      <c r="D1267" s="117">
        <v>109000</v>
      </c>
      <c r="E1267" s="118">
        <f t="shared" ref="E1267" si="553">SUM(E1262+E1266)</f>
        <v>41256.590000000004</v>
      </c>
      <c r="F1267" s="119">
        <f>SUM(F1262,F1266)</f>
        <v>51500</v>
      </c>
      <c r="G1267" s="119">
        <f t="shared" ref="G1267:H1267" si="554">SUM(G1262+G1266)</f>
        <v>51500</v>
      </c>
      <c r="H1267" s="120">
        <f t="shared" si="554"/>
        <v>79008.739999999991</v>
      </c>
      <c r="I1267" s="120"/>
      <c r="J1267" s="121">
        <f t="shared" ref="J1267:Q1267" si="555">SUM(J1257:J1261)</f>
        <v>31500</v>
      </c>
      <c r="K1267" s="122">
        <f t="shared" si="555"/>
        <v>31500</v>
      </c>
      <c r="L1267" s="123">
        <f t="shared" si="555"/>
        <v>31147.93</v>
      </c>
      <c r="M1267" s="123">
        <f t="shared" si="555"/>
        <v>24993.670000000006</v>
      </c>
      <c r="N1267" s="124">
        <f t="shared" si="555"/>
        <v>24979.450000000004</v>
      </c>
      <c r="O1267" s="125">
        <f t="shared" si="555"/>
        <v>27363.339999999997</v>
      </c>
      <c r="P1267" s="124">
        <f t="shared" si="555"/>
        <v>27289</v>
      </c>
      <c r="Q1267" s="126">
        <f t="shared" si="555"/>
        <v>30722.33</v>
      </c>
      <c r="R1267" s="1"/>
      <c r="S1267" s="1"/>
      <c r="T1267" s="1"/>
    </row>
    <row r="1268" spans="1:20" ht="13.5" customHeight="1" thickTop="1" x14ac:dyDescent="0.25">
      <c r="A1268" s="1"/>
      <c r="B1268" s="1"/>
      <c r="C1268" s="1"/>
      <c r="D1268" s="42"/>
      <c r="E1268" s="44"/>
      <c r="F1268" s="45"/>
      <c r="G1268" s="45"/>
      <c r="H1268" s="66"/>
      <c r="I1268" s="66"/>
      <c r="J1268" s="48"/>
      <c r="K1268" s="49"/>
      <c r="L1268" s="77"/>
      <c r="M1268" s="50"/>
      <c r="N1268" s="53"/>
      <c r="O1268" s="52"/>
      <c r="P1268" s="53"/>
      <c r="Q1268" s="54"/>
      <c r="R1268" s="1"/>
      <c r="S1268" s="1"/>
      <c r="T1268" s="1"/>
    </row>
    <row r="1269" spans="1:20" ht="13.5" customHeight="1" x14ac:dyDescent="0.25">
      <c r="A1269" s="1"/>
      <c r="B1269" s="1"/>
      <c r="C1269" s="1"/>
      <c r="D1269" s="42"/>
      <c r="E1269" s="44"/>
      <c r="F1269" s="45"/>
      <c r="G1269" s="45"/>
      <c r="H1269" s="66"/>
      <c r="I1269" s="66"/>
      <c r="J1269" s="48"/>
      <c r="K1269" s="49"/>
      <c r="L1269" s="77"/>
      <c r="M1269" s="50"/>
      <c r="N1269" s="53"/>
      <c r="O1269" s="52"/>
      <c r="P1269" s="53"/>
      <c r="Q1269" s="54"/>
      <c r="R1269" s="1"/>
      <c r="S1269" s="1"/>
      <c r="T1269" s="1"/>
    </row>
    <row r="1270" spans="1:20" ht="13.5" customHeight="1" x14ac:dyDescent="0.25">
      <c r="A1270" s="1"/>
      <c r="B1270" s="1"/>
      <c r="C1270" s="41" t="s">
        <v>1187</v>
      </c>
      <c r="D1270" s="42"/>
      <c r="E1270" s="44"/>
      <c r="F1270" s="45"/>
      <c r="G1270" s="45"/>
      <c r="H1270" s="66"/>
      <c r="I1270" s="66"/>
      <c r="J1270" s="48"/>
      <c r="K1270" s="49"/>
      <c r="L1270" s="77"/>
      <c r="M1270" s="50"/>
      <c r="N1270" s="53"/>
      <c r="O1270" s="52"/>
      <c r="P1270" s="53"/>
      <c r="Q1270" s="54"/>
      <c r="R1270" s="1"/>
      <c r="S1270" s="1"/>
      <c r="T1270" s="1"/>
    </row>
    <row r="1271" spans="1:20" ht="13.5" customHeight="1" x14ac:dyDescent="0.25">
      <c r="A1271" s="1"/>
      <c r="B1271" s="1" t="s">
        <v>1188</v>
      </c>
      <c r="C1271" s="1" t="s">
        <v>1143</v>
      </c>
      <c r="D1271" s="42">
        <v>11000</v>
      </c>
      <c r="E1271" s="43">
        <v>3229.12</v>
      </c>
      <c r="F1271" s="45">
        <v>11000</v>
      </c>
      <c r="G1271" s="45">
        <v>11000</v>
      </c>
      <c r="H1271" s="46">
        <v>10702.46</v>
      </c>
      <c r="I1271" s="47">
        <f t="shared" ref="I1271:I1276" si="556">H1271/J1271</f>
        <v>0.97295090909090898</v>
      </c>
      <c r="J1271" s="48">
        <v>11000</v>
      </c>
      <c r="K1271" s="49">
        <v>11000</v>
      </c>
      <c r="L1271" s="50">
        <v>10397.56</v>
      </c>
      <c r="M1271" s="50">
        <v>11049.43</v>
      </c>
      <c r="N1271" s="51">
        <v>11728.87</v>
      </c>
      <c r="O1271" s="52">
        <v>11701.1</v>
      </c>
      <c r="P1271" s="53">
        <v>11288.11</v>
      </c>
      <c r="Q1271" s="54">
        <v>13988.29</v>
      </c>
      <c r="R1271" s="1"/>
      <c r="S1271" s="1"/>
      <c r="T1271" s="1"/>
    </row>
    <row r="1272" spans="1:20" ht="13.5" customHeight="1" x14ac:dyDescent="0.25">
      <c r="A1272" s="1"/>
      <c r="B1272" s="1" t="s">
        <v>1189</v>
      </c>
      <c r="C1272" s="1" t="s">
        <v>1145</v>
      </c>
      <c r="D1272" s="42">
        <v>2000</v>
      </c>
      <c r="E1272" s="43">
        <v>428.73</v>
      </c>
      <c r="F1272" s="45">
        <v>2000</v>
      </c>
      <c r="G1272" s="45">
        <v>2000</v>
      </c>
      <c r="H1272" s="46">
        <v>1102.93</v>
      </c>
      <c r="I1272" s="47">
        <f t="shared" si="556"/>
        <v>0.55146499999999998</v>
      </c>
      <c r="J1272" s="48">
        <v>2000</v>
      </c>
      <c r="K1272" s="49">
        <v>2000</v>
      </c>
      <c r="L1272" s="50">
        <v>1358.52</v>
      </c>
      <c r="M1272" s="50">
        <v>930.55</v>
      </c>
      <c r="N1272" s="51">
        <v>851.56</v>
      </c>
      <c r="O1272" s="52">
        <v>1155.31</v>
      </c>
      <c r="P1272" s="53">
        <v>1213.47</v>
      </c>
      <c r="Q1272" s="54">
        <v>948.01</v>
      </c>
      <c r="R1272" s="1"/>
      <c r="S1272" s="1"/>
      <c r="T1272" s="1"/>
    </row>
    <row r="1273" spans="1:20" ht="13.5" customHeight="1" x14ac:dyDescent="0.25">
      <c r="A1273" s="1"/>
      <c r="B1273" s="1" t="s">
        <v>1190</v>
      </c>
      <c r="C1273" s="1" t="s">
        <v>1147</v>
      </c>
      <c r="D1273" s="42">
        <v>2500</v>
      </c>
      <c r="E1273" s="43">
        <v>782.01</v>
      </c>
      <c r="F1273" s="45">
        <v>2500</v>
      </c>
      <c r="G1273" s="45">
        <v>2500</v>
      </c>
      <c r="H1273" s="46">
        <v>2191.29</v>
      </c>
      <c r="I1273" s="47">
        <f t="shared" si="556"/>
        <v>0.87651599999999996</v>
      </c>
      <c r="J1273" s="48">
        <v>2500</v>
      </c>
      <c r="K1273" s="49">
        <v>2500</v>
      </c>
      <c r="L1273" s="50">
        <v>2886.95</v>
      </c>
      <c r="M1273" s="50">
        <v>2533.33</v>
      </c>
      <c r="N1273" s="51">
        <v>2660.24</v>
      </c>
      <c r="O1273" s="52">
        <v>1971.46</v>
      </c>
      <c r="P1273" s="53">
        <v>1529.99</v>
      </c>
      <c r="Q1273" s="54">
        <v>3094.48</v>
      </c>
      <c r="R1273" s="1"/>
      <c r="S1273" s="1"/>
      <c r="T1273" s="1"/>
    </row>
    <row r="1274" spans="1:20" ht="13.5" customHeight="1" x14ac:dyDescent="0.25">
      <c r="A1274" s="1"/>
      <c r="B1274" s="1" t="s">
        <v>1191</v>
      </c>
      <c r="C1274" s="1" t="s">
        <v>1192</v>
      </c>
      <c r="D1274" s="42">
        <v>4900</v>
      </c>
      <c r="E1274" s="43">
        <v>1447.44</v>
      </c>
      <c r="F1274" s="45">
        <v>4900</v>
      </c>
      <c r="G1274" s="45">
        <v>4900</v>
      </c>
      <c r="H1274" s="46">
        <v>4905.87</v>
      </c>
      <c r="I1274" s="47">
        <f t="shared" si="556"/>
        <v>1.0011979591836735</v>
      </c>
      <c r="J1274" s="48">
        <v>4900</v>
      </c>
      <c r="K1274" s="49">
        <v>4900</v>
      </c>
      <c r="L1274" s="50">
        <v>3944.39</v>
      </c>
      <c r="M1274" s="50">
        <v>3281.11</v>
      </c>
      <c r="N1274" s="51">
        <v>4663.1499999999996</v>
      </c>
      <c r="O1274" s="52">
        <v>5830.34</v>
      </c>
      <c r="P1274" s="53">
        <v>3589.46</v>
      </c>
      <c r="Q1274" s="54">
        <v>3286.23</v>
      </c>
      <c r="R1274" s="1"/>
      <c r="S1274" s="1"/>
      <c r="T1274" s="1"/>
    </row>
    <row r="1275" spans="1:20" ht="13.5" customHeight="1" x14ac:dyDescent="0.25">
      <c r="A1275" s="1"/>
      <c r="B1275" s="1" t="s">
        <v>1193</v>
      </c>
      <c r="C1275" s="1" t="s">
        <v>1150</v>
      </c>
      <c r="D1275" s="42">
        <v>1500</v>
      </c>
      <c r="E1275" s="43">
        <v>0</v>
      </c>
      <c r="F1275" s="45">
        <v>1500</v>
      </c>
      <c r="G1275" s="45">
        <v>1500</v>
      </c>
      <c r="H1275" s="66">
        <v>102.33</v>
      </c>
      <c r="I1275" s="47">
        <f t="shared" si="556"/>
        <v>6.8220000000000003E-2</v>
      </c>
      <c r="J1275" s="48">
        <v>1500</v>
      </c>
      <c r="K1275" s="49">
        <v>1500</v>
      </c>
      <c r="L1275" s="77">
        <v>0</v>
      </c>
      <c r="M1275" s="77">
        <v>0</v>
      </c>
      <c r="N1275" s="51"/>
      <c r="O1275" s="52"/>
      <c r="P1275" s="53"/>
      <c r="Q1275" s="54"/>
      <c r="R1275" s="1"/>
      <c r="S1275" s="1"/>
      <c r="T1275" s="1"/>
    </row>
    <row r="1276" spans="1:20" ht="13.5" customHeight="1" x14ac:dyDescent="0.25">
      <c r="A1276" s="1"/>
      <c r="B1276" s="55" t="s">
        <v>1194</v>
      </c>
      <c r="C1276" s="55" t="s">
        <v>1152</v>
      </c>
      <c r="D1276" s="42">
        <v>0</v>
      </c>
      <c r="E1276" s="44">
        <f>905.84+2717.52</f>
        <v>3623.36</v>
      </c>
      <c r="F1276" s="45">
        <v>1500</v>
      </c>
      <c r="G1276" s="45">
        <v>1500</v>
      </c>
      <c r="H1276" s="46">
        <v>1811.68</v>
      </c>
      <c r="I1276" s="47">
        <f t="shared" si="556"/>
        <v>1.2077866666666668</v>
      </c>
      <c r="J1276" s="48">
        <v>1500</v>
      </c>
      <c r="K1276" s="49">
        <v>1500</v>
      </c>
      <c r="L1276" s="77">
        <v>0</v>
      </c>
      <c r="M1276" s="77">
        <v>0</v>
      </c>
      <c r="N1276" s="51">
        <v>154.38</v>
      </c>
      <c r="O1276" s="52">
        <v>387.34</v>
      </c>
      <c r="P1276" s="53">
        <v>129.30000000000001</v>
      </c>
      <c r="Q1276" s="54">
        <v>0</v>
      </c>
      <c r="R1276" s="1"/>
      <c r="S1276" s="1"/>
      <c r="T1276" s="1"/>
    </row>
    <row r="1277" spans="1:20" ht="13.5" customHeight="1" thickBot="1" x14ac:dyDescent="0.3">
      <c r="A1277" s="1"/>
      <c r="B1277" s="1"/>
      <c r="C1277" s="116" t="s">
        <v>1195</v>
      </c>
      <c r="D1277" s="117">
        <v>21900</v>
      </c>
      <c r="E1277" s="118">
        <f t="shared" ref="E1277" si="557">SUM(E1271:E1276)</f>
        <v>9510.66</v>
      </c>
      <c r="F1277" s="119">
        <f>SUM(F1270:F1276)</f>
        <v>23400</v>
      </c>
      <c r="G1277" s="119">
        <v>21900</v>
      </c>
      <c r="H1277" s="120">
        <f>SUM(H1271:H1276)</f>
        <v>20816.560000000001</v>
      </c>
      <c r="I1277" s="120"/>
      <c r="J1277" s="121">
        <f t="shared" ref="J1277:Q1277" si="558">SUM(J1271:J1276)</f>
        <v>23400</v>
      </c>
      <c r="K1277" s="122">
        <f t="shared" si="558"/>
        <v>23400</v>
      </c>
      <c r="L1277" s="123">
        <f t="shared" si="558"/>
        <v>18587.419999999998</v>
      </c>
      <c r="M1277" s="123">
        <f t="shared" si="558"/>
        <v>17794.419999999998</v>
      </c>
      <c r="N1277" s="124">
        <f t="shared" si="558"/>
        <v>20058.2</v>
      </c>
      <c r="O1277" s="125">
        <f t="shared" si="558"/>
        <v>21045.55</v>
      </c>
      <c r="P1277" s="124">
        <f t="shared" si="558"/>
        <v>17750.329999999998</v>
      </c>
      <c r="Q1277" s="126">
        <f t="shared" si="558"/>
        <v>21317.010000000002</v>
      </c>
      <c r="R1277" s="1"/>
      <c r="S1277" s="1"/>
      <c r="T1277" s="1"/>
    </row>
    <row r="1278" spans="1:20" ht="13.5" customHeight="1" thickTop="1" x14ac:dyDescent="0.25">
      <c r="A1278" s="1"/>
      <c r="B1278" s="1"/>
      <c r="C1278" s="1"/>
      <c r="D1278" s="42"/>
      <c r="E1278" s="44"/>
      <c r="F1278" s="45"/>
      <c r="G1278" s="45"/>
      <c r="H1278" s="66"/>
      <c r="I1278" s="66"/>
      <c r="J1278" s="48"/>
      <c r="K1278" s="49"/>
      <c r="L1278" s="77"/>
      <c r="M1278" s="77"/>
      <c r="N1278" s="51"/>
      <c r="O1278" s="52"/>
      <c r="P1278" s="53"/>
      <c r="Q1278" s="54"/>
      <c r="R1278" s="1"/>
      <c r="S1278" s="1"/>
      <c r="T1278" s="1"/>
    </row>
    <row r="1279" spans="1:20" ht="13.5" customHeight="1" x14ac:dyDescent="0.25">
      <c r="A1279" s="1"/>
      <c r="B1279" s="1"/>
      <c r="C1279" s="1"/>
      <c r="D1279" s="42"/>
      <c r="E1279" s="44"/>
      <c r="F1279" s="45"/>
      <c r="G1279" s="45"/>
      <c r="H1279" s="66"/>
      <c r="I1279" s="66"/>
      <c r="J1279" s="48"/>
      <c r="K1279" s="49"/>
      <c r="L1279" s="77"/>
      <c r="M1279" s="77"/>
      <c r="N1279" s="51"/>
      <c r="O1279" s="52"/>
      <c r="P1279" s="53"/>
      <c r="Q1279" s="54"/>
      <c r="R1279" s="1"/>
      <c r="S1279" s="1"/>
      <c r="T1279" s="1"/>
    </row>
    <row r="1280" spans="1:20" ht="13.5" customHeight="1" x14ac:dyDescent="0.25">
      <c r="A1280" s="1"/>
      <c r="B1280" s="1"/>
      <c r="C1280" s="1"/>
      <c r="D1280" s="42"/>
      <c r="E1280" s="44"/>
      <c r="F1280" s="45"/>
      <c r="G1280" s="45"/>
      <c r="H1280" s="66"/>
      <c r="I1280" s="66"/>
      <c r="J1280" s="48"/>
      <c r="K1280" s="49"/>
      <c r="L1280" s="77"/>
      <c r="M1280" s="77"/>
      <c r="N1280" s="51"/>
      <c r="O1280" s="52"/>
      <c r="P1280" s="53"/>
      <c r="Q1280" s="54"/>
      <c r="R1280" s="1"/>
      <c r="S1280" s="1"/>
      <c r="T1280" s="1"/>
    </row>
    <row r="1281" spans="1:20" ht="13.5" customHeight="1" x14ac:dyDescent="0.25">
      <c r="A1281" s="1"/>
      <c r="B1281" s="1"/>
      <c r="C1281" s="41" t="s">
        <v>1196</v>
      </c>
      <c r="D1281" s="72"/>
      <c r="E1281" s="67"/>
      <c r="F1281" s="73"/>
      <c r="G1281" s="73"/>
      <c r="H1281" s="74"/>
      <c r="I1281" s="74"/>
      <c r="J1281" s="75"/>
      <c r="K1281" s="76"/>
      <c r="L1281" s="50"/>
      <c r="M1281" s="77"/>
      <c r="N1281" s="53"/>
      <c r="O1281" s="52"/>
      <c r="P1281" s="53"/>
      <c r="Q1281" s="54"/>
      <c r="R1281" s="1"/>
      <c r="S1281" s="1"/>
      <c r="T1281" s="1"/>
    </row>
    <row r="1282" spans="1:20" ht="13.5" customHeight="1" x14ac:dyDescent="0.25">
      <c r="A1282" s="1"/>
      <c r="B1282" s="1" t="s">
        <v>1197</v>
      </c>
      <c r="C1282" s="1" t="s">
        <v>1143</v>
      </c>
      <c r="D1282" s="42">
        <v>13000</v>
      </c>
      <c r="E1282" s="43">
        <v>3326.39</v>
      </c>
      <c r="F1282" s="45">
        <v>13000</v>
      </c>
      <c r="G1282" s="45">
        <v>13000</v>
      </c>
      <c r="H1282" s="46">
        <v>10341.09</v>
      </c>
      <c r="I1282" s="47">
        <f t="shared" ref="I1282:I1288" si="559">H1282/J1282</f>
        <v>0.79546846153846151</v>
      </c>
      <c r="J1282" s="48">
        <v>13000</v>
      </c>
      <c r="K1282" s="49">
        <v>13000</v>
      </c>
      <c r="L1282" s="50">
        <v>10396.870000000001</v>
      </c>
      <c r="M1282" s="50">
        <v>8803.77</v>
      </c>
      <c r="N1282" s="51">
        <v>10979.21</v>
      </c>
      <c r="O1282" s="52">
        <v>11108.47</v>
      </c>
      <c r="P1282" s="53">
        <v>11539.32</v>
      </c>
      <c r="Q1282" s="54">
        <v>12496.1</v>
      </c>
      <c r="R1282" s="1"/>
      <c r="S1282" s="1"/>
      <c r="T1282" s="1"/>
    </row>
    <row r="1283" spans="1:20" ht="13.5" customHeight="1" x14ac:dyDescent="0.25">
      <c r="A1283" s="1"/>
      <c r="B1283" s="1" t="s">
        <v>1198</v>
      </c>
      <c r="C1283" s="1" t="s">
        <v>1147</v>
      </c>
      <c r="D1283" s="42">
        <v>1700</v>
      </c>
      <c r="E1283" s="43">
        <v>356.28</v>
      </c>
      <c r="F1283" s="45">
        <v>1700</v>
      </c>
      <c r="G1283" s="45">
        <v>1700</v>
      </c>
      <c r="H1283" s="46">
        <v>1322.07</v>
      </c>
      <c r="I1283" s="47">
        <f t="shared" si="559"/>
        <v>0.77768823529411757</v>
      </c>
      <c r="J1283" s="48">
        <v>1700</v>
      </c>
      <c r="K1283" s="49">
        <v>1700</v>
      </c>
      <c r="L1283" s="50">
        <v>1341.37</v>
      </c>
      <c r="M1283" s="50">
        <v>1316.52</v>
      </c>
      <c r="N1283" s="51">
        <v>1203.3900000000001</v>
      </c>
      <c r="O1283" s="52">
        <v>974.96</v>
      </c>
      <c r="P1283" s="53">
        <v>1787.41</v>
      </c>
      <c r="Q1283" s="54">
        <v>1225.43</v>
      </c>
      <c r="R1283" s="1"/>
      <c r="S1283" s="1"/>
      <c r="T1283" s="1"/>
    </row>
    <row r="1284" spans="1:20" ht="13.5" customHeight="1" x14ac:dyDescent="0.25">
      <c r="A1284" s="1"/>
      <c r="B1284" s="1" t="s">
        <v>1199</v>
      </c>
      <c r="C1284" s="1" t="s">
        <v>1126</v>
      </c>
      <c r="D1284" s="42">
        <v>10000</v>
      </c>
      <c r="E1284" s="43">
        <v>1080.8</v>
      </c>
      <c r="F1284" s="45">
        <v>10000</v>
      </c>
      <c r="G1284" s="45">
        <v>10000</v>
      </c>
      <c r="H1284" s="46">
        <v>6461.91</v>
      </c>
      <c r="I1284" s="47">
        <f t="shared" si="559"/>
        <v>2.5847639999999998</v>
      </c>
      <c r="J1284" s="48">
        <v>2500</v>
      </c>
      <c r="K1284" s="49">
        <v>2500</v>
      </c>
      <c r="L1284" s="50">
        <v>3738.65</v>
      </c>
      <c r="M1284" s="50">
        <v>7275.42</v>
      </c>
      <c r="N1284" s="51">
        <v>3943.57</v>
      </c>
      <c r="O1284" s="52">
        <v>3109.38</v>
      </c>
      <c r="P1284" s="53">
        <v>2807.68</v>
      </c>
      <c r="Q1284" s="54">
        <v>3826.21</v>
      </c>
      <c r="R1284" s="1"/>
      <c r="S1284" s="1"/>
      <c r="T1284" s="1"/>
    </row>
    <row r="1285" spans="1:20" ht="13.5" customHeight="1" x14ac:dyDescent="0.25">
      <c r="A1285" s="1"/>
      <c r="B1285" s="1" t="s">
        <v>1200</v>
      </c>
      <c r="C1285" s="1" t="s">
        <v>1201</v>
      </c>
      <c r="D1285" s="42">
        <v>1000</v>
      </c>
      <c r="E1285" s="43">
        <v>17.55</v>
      </c>
      <c r="F1285" s="45">
        <v>1000</v>
      </c>
      <c r="G1285" s="45">
        <v>1000</v>
      </c>
      <c r="H1285" s="66">
        <v>2973.34</v>
      </c>
      <c r="I1285" s="47">
        <f t="shared" si="559"/>
        <v>1.1855422647527911</v>
      </c>
      <c r="J1285" s="48">
        <v>2508</v>
      </c>
      <c r="K1285" s="49">
        <v>1000</v>
      </c>
      <c r="L1285" s="50">
        <v>27.5</v>
      </c>
      <c r="M1285" s="50">
        <v>1441.79</v>
      </c>
      <c r="N1285" s="51">
        <v>1802.97</v>
      </c>
      <c r="O1285" s="52">
        <v>0</v>
      </c>
      <c r="P1285" s="53">
        <v>0</v>
      </c>
      <c r="Q1285" s="54">
        <v>0</v>
      </c>
      <c r="R1285" s="1"/>
      <c r="S1285" s="1"/>
      <c r="T1285" s="1"/>
    </row>
    <row r="1286" spans="1:20" ht="13.5" customHeight="1" x14ac:dyDescent="0.25">
      <c r="A1286" s="1"/>
      <c r="B1286" s="1" t="s">
        <v>1202</v>
      </c>
      <c r="C1286" s="1" t="s">
        <v>1203</v>
      </c>
      <c r="D1286" s="42">
        <v>1000</v>
      </c>
      <c r="E1286" s="70">
        <v>0</v>
      </c>
      <c r="F1286" s="45">
        <v>1000</v>
      </c>
      <c r="G1286" s="45">
        <v>1000</v>
      </c>
      <c r="H1286" s="74">
        <v>0</v>
      </c>
      <c r="I1286" s="47">
        <f t="shared" si="559"/>
        <v>0</v>
      </c>
      <c r="J1286" s="48">
        <v>170</v>
      </c>
      <c r="K1286" s="49">
        <v>1000</v>
      </c>
      <c r="L1286" s="77">
        <v>0</v>
      </c>
      <c r="M1286" s="77">
        <v>0</v>
      </c>
      <c r="N1286" s="53">
        <v>0</v>
      </c>
      <c r="O1286" s="52">
        <v>0</v>
      </c>
      <c r="P1286" s="53"/>
      <c r="Q1286" s="54"/>
      <c r="R1286" s="1"/>
      <c r="S1286" s="1"/>
      <c r="T1286" s="1"/>
    </row>
    <row r="1287" spans="1:20" ht="13.5" customHeight="1" x14ac:dyDescent="0.25">
      <c r="A1287" s="1"/>
      <c r="B1287" s="1" t="s">
        <v>1204</v>
      </c>
      <c r="C1287" s="1" t="s">
        <v>1205</v>
      </c>
      <c r="D1287" s="42">
        <v>830</v>
      </c>
      <c r="E1287" s="43">
        <v>68.75</v>
      </c>
      <c r="F1287" s="73">
        <v>830</v>
      </c>
      <c r="G1287" s="73">
        <v>830</v>
      </c>
      <c r="H1287" s="46">
        <v>618.75</v>
      </c>
      <c r="I1287" s="47">
        <f t="shared" si="559"/>
        <v>0.74548192771084343</v>
      </c>
      <c r="J1287" s="48">
        <v>830</v>
      </c>
      <c r="K1287" s="76">
        <v>0</v>
      </c>
      <c r="L1287" s="50">
        <v>343.75</v>
      </c>
      <c r="M1287" s="77">
        <v>0</v>
      </c>
      <c r="N1287" s="53">
        <v>0</v>
      </c>
      <c r="O1287" s="52">
        <v>0</v>
      </c>
      <c r="P1287" s="53"/>
      <c r="Q1287" s="54"/>
      <c r="R1287" s="1"/>
      <c r="S1287" s="1"/>
      <c r="T1287" s="1"/>
    </row>
    <row r="1288" spans="1:20" ht="13.5" customHeight="1" x14ac:dyDescent="0.25">
      <c r="A1288" s="1"/>
      <c r="B1288" s="55" t="s">
        <v>1206</v>
      </c>
      <c r="C1288" s="55" t="s">
        <v>1154</v>
      </c>
      <c r="D1288" s="42">
        <v>0</v>
      </c>
      <c r="E1288" s="43">
        <v>7352.63</v>
      </c>
      <c r="F1288" s="86">
        <v>0</v>
      </c>
      <c r="G1288" s="86">
        <v>0</v>
      </c>
      <c r="H1288" s="46">
        <v>0</v>
      </c>
      <c r="I1288" s="47">
        <f t="shared" si="559"/>
        <v>0</v>
      </c>
      <c r="J1288" s="48">
        <v>830</v>
      </c>
      <c r="K1288" s="76">
        <v>0</v>
      </c>
      <c r="L1288" s="69">
        <v>0</v>
      </c>
      <c r="M1288" s="77">
        <v>0</v>
      </c>
      <c r="N1288" s="53">
        <v>0</v>
      </c>
      <c r="O1288" s="52">
        <v>0</v>
      </c>
      <c r="P1288" s="53"/>
      <c r="Q1288" s="54"/>
      <c r="R1288" s="1"/>
      <c r="S1288" s="1"/>
      <c r="T1288" s="1"/>
    </row>
    <row r="1289" spans="1:20" ht="13.5" customHeight="1" thickBot="1" x14ac:dyDescent="0.3">
      <c r="A1289" s="1"/>
      <c r="B1289" s="1"/>
      <c r="C1289" s="116" t="s">
        <v>1207</v>
      </c>
      <c r="D1289" s="184">
        <v>27530</v>
      </c>
      <c r="E1289" s="185">
        <f t="shared" ref="E1289" si="560">SUM(E1282:E1288)</f>
        <v>12202.400000000001</v>
      </c>
      <c r="F1289" s="186">
        <f>SUM(F1281:F1288)</f>
        <v>27530</v>
      </c>
      <c r="G1289" s="186">
        <v>27530</v>
      </c>
      <c r="H1289" s="187">
        <f>SUM(H1282:H1288)</f>
        <v>21717.16</v>
      </c>
      <c r="I1289" s="187"/>
      <c r="J1289" s="188">
        <f t="shared" ref="J1289:Q1289" si="561">SUM(J1282:J1288)</f>
        <v>21538</v>
      </c>
      <c r="K1289" s="189">
        <f t="shared" si="561"/>
        <v>19200</v>
      </c>
      <c r="L1289" s="190">
        <f t="shared" si="561"/>
        <v>15848.140000000001</v>
      </c>
      <c r="M1289" s="190">
        <f t="shared" si="561"/>
        <v>18837.5</v>
      </c>
      <c r="N1289" s="191">
        <f t="shared" si="561"/>
        <v>17929.14</v>
      </c>
      <c r="O1289" s="192">
        <f t="shared" si="561"/>
        <v>15192.810000000001</v>
      </c>
      <c r="P1289" s="191">
        <f t="shared" si="561"/>
        <v>16134.41</v>
      </c>
      <c r="Q1289" s="193">
        <f t="shared" si="561"/>
        <v>17547.740000000002</v>
      </c>
      <c r="R1289" s="1"/>
      <c r="S1289" s="1"/>
      <c r="T1289" s="1"/>
    </row>
    <row r="1290" spans="1:20" ht="13.5" customHeight="1" thickTop="1" x14ac:dyDescent="0.25">
      <c r="A1290" s="1"/>
      <c r="B1290" s="1"/>
      <c r="C1290" s="1"/>
      <c r="D1290" s="72"/>
      <c r="E1290" s="44"/>
      <c r="F1290" s="73"/>
      <c r="G1290" s="73"/>
      <c r="H1290" s="66"/>
      <c r="I1290" s="66"/>
      <c r="J1290" s="48"/>
      <c r="K1290" s="76"/>
      <c r="L1290" s="50"/>
      <c r="M1290" s="77"/>
      <c r="N1290" s="53"/>
      <c r="O1290" s="52"/>
      <c r="P1290" s="53"/>
      <c r="Q1290" s="54"/>
      <c r="R1290" s="1"/>
      <c r="S1290" s="1"/>
      <c r="T1290" s="1"/>
    </row>
    <row r="1291" spans="1:20" ht="13.5" customHeight="1" x14ac:dyDescent="0.25">
      <c r="A1291" s="1"/>
      <c r="B1291" s="1"/>
      <c r="C1291" s="1"/>
      <c r="D1291" s="72"/>
      <c r="E1291" s="44"/>
      <c r="F1291" s="73"/>
      <c r="G1291" s="73"/>
      <c r="H1291" s="66"/>
      <c r="I1291" s="66"/>
      <c r="J1291" s="48"/>
      <c r="K1291" s="76"/>
      <c r="L1291" s="50"/>
      <c r="M1291" s="77"/>
      <c r="N1291" s="53"/>
      <c r="O1291" s="52"/>
      <c r="P1291" s="53"/>
      <c r="Q1291" s="54"/>
      <c r="R1291" s="1"/>
      <c r="S1291" s="1"/>
      <c r="T1291" s="1"/>
    </row>
    <row r="1292" spans="1:20" ht="13.5" customHeight="1" x14ac:dyDescent="0.25">
      <c r="A1292" s="1"/>
      <c r="B1292" s="1"/>
      <c r="C1292" s="41" t="s">
        <v>1208</v>
      </c>
      <c r="D1292" s="72"/>
      <c r="E1292" s="44"/>
      <c r="F1292" s="73"/>
      <c r="G1292" s="73"/>
      <c r="H1292" s="66"/>
      <c r="I1292" s="66"/>
      <c r="J1292" s="48"/>
      <c r="K1292" s="76"/>
      <c r="L1292" s="50"/>
      <c r="M1292" s="77"/>
      <c r="N1292" s="53"/>
      <c r="O1292" s="52"/>
      <c r="P1292" s="53"/>
      <c r="Q1292" s="54"/>
      <c r="R1292" s="1"/>
      <c r="S1292" s="1"/>
      <c r="T1292" s="1"/>
    </row>
    <row r="1293" spans="1:20" ht="13.5" customHeight="1" x14ac:dyDescent="0.25">
      <c r="A1293" s="1"/>
      <c r="B1293" s="1" t="s">
        <v>1209</v>
      </c>
      <c r="C1293" s="1" t="s">
        <v>1143</v>
      </c>
      <c r="D1293" s="42">
        <v>6000</v>
      </c>
      <c r="E1293" s="43">
        <v>1898.6</v>
      </c>
      <c r="F1293" s="45">
        <v>6000</v>
      </c>
      <c r="G1293" s="45">
        <v>6000</v>
      </c>
      <c r="H1293" s="46">
        <v>5333.67</v>
      </c>
      <c r="I1293" s="47">
        <f t="shared" ref="I1293:I1296" si="562">H1293/J1293</f>
        <v>0.7619528571428571</v>
      </c>
      <c r="J1293" s="48">
        <v>7000</v>
      </c>
      <c r="K1293" s="49">
        <v>7000</v>
      </c>
      <c r="L1293" s="50">
        <v>5712.46</v>
      </c>
      <c r="M1293" s="50">
        <v>5431.25</v>
      </c>
      <c r="N1293" s="51">
        <v>5808.1</v>
      </c>
      <c r="O1293" s="52">
        <v>6487.71</v>
      </c>
      <c r="P1293" s="53">
        <v>6141.88</v>
      </c>
      <c r="Q1293" s="54">
        <v>7745.02</v>
      </c>
      <c r="R1293" s="1"/>
      <c r="S1293" s="1"/>
      <c r="T1293" s="1"/>
    </row>
    <row r="1294" spans="1:20" ht="13.5" customHeight="1" x14ac:dyDescent="0.25">
      <c r="A1294" s="1"/>
      <c r="B1294" s="1" t="s">
        <v>1210</v>
      </c>
      <c r="C1294" s="1" t="s">
        <v>1147</v>
      </c>
      <c r="D1294" s="42">
        <v>1028</v>
      </c>
      <c r="E1294" s="43">
        <v>451.46</v>
      </c>
      <c r="F1294" s="45">
        <v>1028</v>
      </c>
      <c r="G1294" s="45">
        <v>1028</v>
      </c>
      <c r="H1294" s="46">
        <v>897.34</v>
      </c>
      <c r="I1294" s="47">
        <f t="shared" si="562"/>
        <v>0.87289883268482493</v>
      </c>
      <c r="J1294" s="48">
        <v>1028</v>
      </c>
      <c r="K1294" s="49">
        <v>1028</v>
      </c>
      <c r="L1294" s="50">
        <v>1529.74</v>
      </c>
      <c r="M1294" s="50">
        <v>1370.29</v>
      </c>
      <c r="N1294" s="51">
        <v>905.23</v>
      </c>
      <c r="O1294" s="52">
        <v>918.7</v>
      </c>
      <c r="P1294" s="53">
        <v>1014.2</v>
      </c>
      <c r="Q1294" s="54">
        <v>769.65</v>
      </c>
      <c r="R1294" s="1"/>
      <c r="S1294" s="1"/>
      <c r="T1294" s="1"/>
    </row>
    <row r="1295" spans="1:20" ht="13.5" customHeight="1" x14ac:dyDescent="0.25">
      <c r="A1295" s="1"/>
      <c r="B1295" s="1" t="s">
        <v>1211</v>
      </c>
      <c r="C1295" s="1" t="s">
        <v>1126</v>
      </c>
      <c r="D1295" s="42">
        <v>5500</v>
      </c>
      <c r="E1295" s="43">
        <v>664.11</v>
      </c>
      <c r="F1295" s="45">
        <v>5500</v>
      </c>
      <c r="G1295" s="45">
        <v>5500</v>
      </c>
      <c r="H1295" s="46">
        <v>1757.72</v>
      </c>
      <c r="I1295" s="47">
        <f t="shared" si="562"/>
        <v>1.1718133333333334</v>
      </c>
      <c r="J1295" s="48">
        <v>1500</v>
      </c>
      <c r="K1295" s="49">
        <v>1500</v>
      </c>
      <c r="L1295" s="50">
        <v>3081.71</v>
      </c>
      <c r="M1295" s="50">
        <v>1347.11</v>
      </c>
      <c r="N1295" s="51">
        <v>1432.4</v>
      </c>
      <c r="O1295" s="52">
        <v>873.63</v>
      </c>
      <c r="P1295" s="53">
        <v>1153.68</v>
      </c>
      <c r="Q1295" s="54">
        <v>2659.12</v>
      </c>
      <c r="R1295" s="1"/>
      <c r="S1295" s="1"/>
      <c r="T1295" s="1"/>
    </row>
    <row r="1296" spans="1:20" ht="13.5" customHeight="1" x14ac:dyDescent="0.25">
      <c r="A1296" s="1"/>
      <c r="B1296" s="1" t="s">
        <v>1212</v>
      </c>
      <c r="C1296" s="1" t="s">
        <v>1150</v>
      </c>
      <c r="D1296" s="42">
        <v>3500</v>
      </c>
      <c r="E1296" s="43">
        <v>0</v>
      </c>
      <c r="F1296" s="45">
        <v>3500</v>
      </c>
      <c r="G1296" s="45">
        <v>3500</v>
      </c>
      <c r="H1296" s="46">
        <v>1501.63</v>
      </c>
      <c r="I1296" s="47">
        <f t="shared" si="562"/>
        <v>1.50163</v>
      </c>
      <c r="J1296" s="48">
        <v>1000</v>
      </c>
      <c r="K1296" s="49">
        <v>1000</v>
      </c>
      <c r="L1296" s="50">
        <v>2019.75</v>
      </c>
      <c r="M1296" s="50">
        <v>27.16</v>
      </c>
      <c r="N1296" s="53">
        <v>0</v>
      </c>
      <c r="O1296" s="52">
        <v>0</v>
      </c>
      <c r="P1296" s="53">
        <v>0</v>
      </c>
      <c r="Q1296" s="54">
        <v>2172.34</v>
      </c>
      <c r="R1296" s="1"/>
      <c r="S1296" s="1"/>
      <c r="T1296" s="1"/>
    </row>
    <row r="1297" spans="1:20" ht="13.5" customHeight="1" thickBot="1" x14ac:dyDescent="0.3">
      <c r="A1297" s="1"/>
      <c r="B1297" s="1"/>
      <c r="C1297" s="116" t="s">
        <v>1213</v>
      </c>
      <c r="D1297" s="267">
        <v>16028</v>
      </c>
      <c r="E1297" s="173">
        <f t="shared" ref="E1297" si="563">SUM(E1293:E1296)</f>
        <v>3014.17</v>
      </c>
      <c r="F1297" s="174">
        <f>SUM(F1292:F1296)</f>
        <v>16028</v>
      </c>
      <c r="G1297" s="174">
        <v>16028</v>
      </c>
      <c r="H1297" s="175">
        <f>SUM(H1293:H1296)</f>
        <v>9490.36</v>
      </c>
      <c r="I1297" s="175"/>
      <c r="J1297" s="176">
        <f t="shared" ref="J1297:Q1297" si="564">SUM(J1293:J1296)</f>
        <v>10528</v>
      </c>
      <c r="K1297" s="177">
        <f t="shared" si="564"/>
        <v>10528</v>
      </c>
      <c r="L1297" s="178">
        <f t="shared" si="564"/>
        <v>12343.66</v>
      </c>
      <c r="M1297" s="178">
        <f t="shared" si="564"/>
        <v>8175.8099999999995</v>
      </c>
      <c r="N1297" s="179">
        <f t="shared" si="564"/>
        <v>8145.73</v>
      </c>
      <c r="O1297" s="180">
        <f t="shared" si="564"/>
        <v>8280.0399999999991</v>
      </c>
      <c r="P1297" s="179">
        <f t="shared" si="564"/>
        <v>8309.76</v>
      </c>
      <c r="Q1297" s="181">
        <f t="shared" si="564"/>
        <v>13346.130000000001</v>
      </c>
      <c r="R1297" s="1"/>
      <c r="S1297" s="1"/>
      <c r="T1297" s="1"/>
    </row>
    <row r="1298" spans="1:20" ht="13.5" customHeight="1" thickTop="1" x14ac:dyDescent="0.25">
      <c r="A1298" s="1"/>
      <c r="B1298" s="1"/>
      <c r="C1298" s="1"/>
      <c r="D1298" s="42"/>
      <c r="E1298" s="44"/>
      <c r="F1298" s="45"/>
      <c r="G1298" s="45"/>
      <c r="H1298" s="66"/>
      <c r="I1298" s="66"/>
      <c r="J1298" s="48"/>
      <c r="K1298" s="49"/>
      <c r="L1298" s="50"/>
      <c r="M1298" s="50"/>
      <c r="N1298" s="53"/>
      <c r="O1298" s="52"/>
      <c r="P1298" s="53"/>
      <c r="Q1298" s="54"/>
      <c r="R1298" s="1"/>
      <c r="S1298" s="1"/>
      <c r="T1298" s="1"/>
    </row>
    <row r="1299" spans="1:20" ht="13.5" customHeight="1" x14ac:dyDescent="0.25">
      <c r="A1299" s="1"/>
      <c r="B1299" s="1"/>
      <c r="C1299" s="1"/>
      <c r="D1299" s="42"/>
      <c r="E1299" s="44"/>
      <c r="F1299" s="45"/>
      <c r="G1299" s="45"/>
      <c r="H1299" s="66"/>
      <c r="I1299" s="66"/>
      <c r="J1299" s="48"/>
      <c r="K1299" s="49"/>
      <c r="L1299" s="50"/>
      <c r="M1299" s="50"/>
      <c r="N1299" s="53"/>
      <c r="O1299" s="52"/>
      <c r="P1299" s="53"/>
      <c r="Q1299" s="54"/>
      <c r="R1299" s="1"/>
      <c r="S1299" s="1"/>
      <c r="T1299" s="1"/>
    </row>
    <row r="1300" spans="1:20" ht="13.5" customHeight="1" x14ac:dyDescent="0.25">
      <c r="A1300" s="1"/>
      <c r="B1300" s="1"/>
      <c r="C1300" s="41" t="s">
        <v>1214</v>
      </c>
      <c r="D1300" s="42"/>
      <c r="E1300" s="44"/>
      <c r="F1300" s="45"/>
      <c r="G1300" s="45"/>
      <c r="H1300" s="66"/>
      <c r="I1300" s="66"/>
      <c r="J1300" s="48"/>
      <c r="K1300" s="49"/>
      <c r="L1300" s="50"/>
      <c r="M1300" s="50"/>
      <c r="N1300" s="53"/>
      <c r="O1300" s="52"/>
      <c r="P1300" s="53"/>
      <c r="Q1300" s="54"/>
      <c r="R1300" s="1"/>
      <c r="S1300" s="1"/>
      <c r="T1300" s="1"/>
    </row>
    <row r="1301" spans="1:20" ht="13.5" customHeight="1" x14ac:dyDescent="0.25">
      <c r="A1301" s="1"/>
      <c r="B1301" s="1" t="s">
        <v>1215</v>
      </c>
      <c r="C1301" s="1" t="s">
        <v>1143</v>
      </c>
      <c r="D1301" s="42">
        <v>5000</v>
      </c>
      <c r="E1301" s="43">
        <v>1988.31</v>
      </c>
      <c r="F1301" s="45">
        <v>5000</v>
      </c>
      <c r="G1301" s="45">
        <v>5000</v>
      </c>
      <c r="H1301" s="46">
        <v>4900.88</v>
      </c>
      <c r="I1301" s="47">
        <f t="shared" ref="I1301:I1304" si="565">H1301/J1301</f>
        <v>0.8340503744043567</v>
      </c>
      <c r="J1301" s="48">
        <v>5876</v>
      </c>
      <c r="K1301" s="49">
        <v>6000</v>
      </c>
      <c r="L1301" s="50">
        <v>5137.2700000000004</v>
      </c>
      <c r="M1301" s="50">
        <v>4039.17</v>
      </c>
      <c r="N1301" s="51">
        <v>4308.7</v>
      </c>
      <c r="O1301" s="52">
        <v>4699.78</v>
      </c>
      <c r="P1301" s="53">
        <v>5080.17</v>
      </c>
      <c r="Q1301" s="54">
        <v>5839.77</v>
      </c>
      <c r="R1301" s="1"/>
      <c r="S1301" s="1"/>
      <c r="T1301" s="1"/>
    </row>
    <row r="1302" spans="1:20" ht="13.5" customHeight="1" x14ac:dyDescent="0.25">
      <c r="A1302" s="1"/>
      <c r="B1302" s="1" t="s">
        <v>1216</v>
      </c>
      <c r="C1302" s="1" t="s">
        <v>1147</v>
      </c>
      <c r="D1302" s="42">
        <v>1300</v>
      </c>
      <c r="E1302" s="43">
        <v>447.49</v>
      </c>
      <c r="F1302" s="45">
        <v>1300</v>
      </c>
      <c r="G1302" s="45">
        <v>1300</v>
      </c>
      <c r="H1302" s="46">
        <v>1265.3599999999999</v>
      </c>
      <c r="I1302" s="47">
        <f t="shared" si="565"/>
        <v>1.2653599999999998</v>
      </c>
      <c r="J1302" s="48">
        <v>1000</v>
      </c>
      <c r="K1302" s="49">
        <v>1000</v>
      </c>
      <c r="L1302" s="50">
        <v>1236.8499999999999</v>
      </c>
      <c r="M1302" s="50">
        <v>1160.6500000000001</v>
      </c>
      <c r="N1302" s="51">
        <v>1335.27</v>
      </c>
      <c r="O1302" s="52">
        <v>1184.6400000000001</v>
      </c>
      <c r="P1302" s="53">
        <v>828</v>
      </c>
      <c r="Q1302" s="54">
        <v>828.98</v>
      </c>
      <c r="R1302" s="1"/>
      <c r="S1302" s="1"/>
      <c r="T1302" s="1"/>
    </row>
    <row r="1303" spans="1:20" ht="13.5" customHeight="1" x14ac:dyDescent="0.25">
      <c r="A1303" s="1"/>
      <c r="B1303" s="1" t="s">
        <v>1217</v>
      </c>
      <c r="C1303" s="1" t="s">
        <v>1126</v>
      </c>
      <c r="D1303" s="42">
        <v>1200</v>
      </c>
      <c r="E1303" s="43">
        <v>863.33</v>
      </c>
      <c r="F1303" s="45">
        <v>1200</v>
      </c>
      <c r="G1303" s="45">
        <v>1200</v>
      </c>
      <c r="H1303" s="46">
        <v>2440.71</v>
      </c>
      <c r="I1303" s="47">
        <f t="shared" si="565"/>
        <v>1.8434365558912387</v>
      </c>
      <c r="J1303" s="48">
        <v>1324</v>
      </c>
      <c r="K1303" s="49">
        <v>1200</v>
      </c>
      <c r="L1303" s="50">
        <v>2750.24</v>
      </c>
      <c r="M1303" s="50">
        <v>1352.04</v>
      </c>
      <c r="N1303" s="51">
        <v>503.15</v>
      </c>
      <c r="O1303" s="52">
        <v>620.6</v>
      </c>
      <c r="P1303" s="53">
        <v>326.7</v>
      </c>
      <c r="Q1303" s="54">
        <v>886.55</v>
      </c>
      <c r="R1303" s="1"/>
      <c r="S1303" s="1"/>
      <c r="T1303" s="1"/>
    </row>
    <row r="1304" spans="1:20" ht="13.5" customHeight="1" x14ac:dyDescent="0.25">
      <c r="A1304" s="1"/>
      <c r="B1304" s="1" t="s">
        <v>1218</v>
      </c>
      <c r="C1304" s="1" t="s">
        <v>1150</v>
      </c>
      <c r="D1304" s="42">
        <v>1000</v>
      </c>
      <c r="E1304" s="43">
        <v>0</v>
      </c>
      <c r="F1304" s="73">
        <v>1000</v>
      </c>
      <c r="G1304" s="73">
        <v>1000</v>
      </c>
      <c r="H1304" s="66">
        <v>4590</v>
      </c>
      <c r="I1304" s="47">
        <f t="shared" si="565"/>
        <v>1</v>
      </c>
      <c r="J1304" s="48">
        <v>4590</v>
      </c>
      <c r="K1304" s="76">
        <v>0</v>
      </c>
      <c r="L1304" s="50">
        <v>760.86</v>
      </c>
      <c r="M1304" s="77">
        <v>0</v>
      </c>
      <c r="N1304" s="53">
        <v>0</v>
      </c>
      <c r="O1304" s="52">
        <v>0</v>
      </c>
      <c r="P1304" s="53">
        <v>0</v>
      </c>
      <c r="Q1304" s="54">
        <v>0</v>
      </c>
      <c r="R1304" s="1"/>
      <c r="S1304" s="1"/>
      <c r="T1304" s="1"/>
    </row>
    <row r="1305" spans="1:20" ht="13.5" customHeight="1" x14ac:dyDescent="0.25">
      <c r="A1305" s="1"/>
      <c r="B1305" s="1"/>
      <c r="C1305" s="1"/>
      <c r="D1305" s="56">
        <v>8500</v>
      </c>
      <c r="E1305" s="57">
        <f t="shared" ref="E1305" si="566">SUM(E1299:E1304)</f>
        <v>3299.13</v>
      </c>
      <c r="F1305" s="58">
        <f>SUM(F1300:F1304)</f>
        <v>8500</v>
      </c>
      <c r="G1305" s="218">
        <v>8500</v>
      </c>
      <c r="H1305" s="59">
        <f>SUM(H1299:H1304)</f>
        <v>13196.95</v>
      </c>
      <c r="I1305" s="59"/>
      <c r="J1305" s="60">
        <f t="shared" ref="J1305:M1305" si="567">SUM(J1299:J1304)</f>
        <v>12790</v>
      </c>
      <c r="K1305" s="61">
        <f t="shared" si="567"/>
        <v>8200</v>
      </c>
      <c r="L1305" s="62">
        <f t="shared" si="567"/>
        <v>9885.2200000000012</v>
      </c>
      <c r="M1305" s="62">
        <f t="shared" si="567"/>
        <v>6551.86</v>
      </c>
      <c r="N1305" s="53"/>
      <c r="O1305" s="52"/>
      <c r="P1305" s="53"/>
      <c r="Q1305" s="54"/>
      <c r="R1305" s="1"/>
      <c r="S1305" s="1"/>
      <c r="T1305" s="1"/>
    </row>
    <row r="1306" spans="1:20" ht="13.5" customHeight="1" x14ac:dyDescent="0.25">
      <c r="A1306" s="1"/>
      <c r="B1306" s="1"/>
      <c r="C1306" s="1"/>
      <c r="D1306" s="42"/>
      <c r="E1306" s="44"/>
      <c r="F1306" s="45"/>
      <c r="G1306" s="45"/>
      <c r="H1306" s="66"/>
      <c r="I1306" s="66"/>
      <c r="J1306" s="48"/>
      <c r="K1306" s="49"/>
      <c r="L1306" s="50"/>
      <c r="M1306" s="50"/>
      <c r="N1306" s="53"/>
      <c r="O1306" s="52"/>
      <c r="P1306" s="53"/>
      <c r="Q1306" s="54"/>
      <c r="R1306" s="1"/>
      <c r="S1306" s="1"/>
      <c r="T1306" s="1"/>
    </row>
    <row r="1307" spans="1:20" ht="13.5" customHeight="1" x14ac:dyDescent="0.25">
      <c r="A1307" s="1"/>
      <c r="B1307" s="55" t="s">
        <v>1219</v>
      </c>
      <c r="C1307" s="1" t="s">
        <v>1154</v>
      </c>
      <c r="D1307" s="42">
        <v>10000</v>
      </c>
      <c r="E1307" s="70">
        <v>0</v>
      </c>
      <c r="F1307" s="86">
        <v>0</v>
      </c>
      <c r="G1307" s="86">
        <v>0</v>
      </c>
      <c r="H1307" s="68">
        <v>35778</v>
      </c>
      <c r="I1307" s="183">
        <v>0</v>
      </c>
      <c r="J1307" s="75">
        <v>0</v>
      </c>
      <c r="K1307" s="76">
        <v>0</v>
      </c>
      <c r="L1307" s="69">
        <v>0</v>
      </c>
      <c r="M1307" s="69">
        <v>0</v>
      </c>
      <c r="N1307" s="53"/>
      <c r="O1307" s="52"/>
      <c r="P1307" s="53"/>
      <c r="Q1307" s="54"/>
      <c r="R1307" s="1"/>
      <c r="S1307" s="1"/>
      <c r="T1307" s="1"/>
    </row>
    <row r="1308" spans="1:20" ht="13.5" customHeight="1" x14ac:dyDescent="0.25">
      <c r="A1308" s="1"/>
      <c r="B1308" s="55" t="s">
        <v>1220</v>
      </c>
      <c r="C1308" s="1" t="s">
        <v>335</v>
      </c>
      <c r="D1308" s="42">
        <v>7500</v>
      </c>
      <c r="E1308" s="70">
        <v>0</v>
      </c>
      <c r="F1308" s="71">
        <v>0</v>
      </c>
      <c r="G1308" s="71">
        <v>0</v>
      </c>
      <c r="H1308" s="74">
        <v>0</v>
      </c>
      <c r="I1308" s="47">
        <f>H1308/J1308</f>
        <v>0</v>
      </c>
      <c r="J1308" s="48">
        <v>7500</v>
      </c>
      <c r="K1308" s="49">
        <v>7500</v>
      </c>
      <c r="L1308" s="77">
        <v>0</v>
      </c>
      <c r="M1308" s="77">
        <v>0</v>
      </c>
      <c r="N1308" s="53"/>
      <c r="O1308" s="52"/>
      <c r="P1308" s="53"/>
      <c r="Q1308" s="54"/>
      <c r="R1308" s="1"/>
      <c r="S1308" s="1"/>
      <c r="T1308" s="1"/>
    </row>
    <row r="1309" spans="1:20" ht="13.5" customHeight="1" x14ac:dyDescent="0.25">
      <c r="A1309" s="1"/>
      <c r="B1309" s="1"/>
      <c r="C1309" s="1"/>
      <c r="D1309" s="56">
        <v>17500</v>
      </c>
      <c r="E1309" s="57">
        <f t="shared" ref="E1309" si="568">SUM(E1307:E1308)</f>
        <v>0</v>
      </c>
      <c r="F1309" s="58">
        <f>SUM(F1306:F1308)</f>
        <v>0</v>
      </c>
      <c r="G1309" s="58">
        <f>SUM(G1307:G1308)</f>
        <v>0</v>
      </c>
      <c r="H1309" s="59">
        <f>SUM(H1306:H1308)</f>
        <v>35778</v>
      </c>
      <c r="I1309" s="59"/>
      <c r="J1309" s="60">
        <f t="shared" ref="J1309:M1309" si="569">SUM(J1307:J1308)</f>
        <v>7500</v>
      </c>
      <c r="K1309" s="61">
        <f t="shared" si="569"/>
        <v>7500</v>
      </c>
      <c r="L1309" s="62">
        <f t="shared" si="569"/>
        <v>0</v>
      </c>
      <c r="M1309" s="62">
        <f t="shared" si="569"/>
        <v>0</v>
      </c>
      <c r="N1309" s="53"/>
      <c r="O1309" s="52"/>
      <c r="P1309" s="53"/>
      <c r="Q1309" s="54"/>
      <c r="R1309" s="1"/>
      <c r="S1309" s="1"/>
      <c r="T1309" s="1"/>
    </row>
    <row r="1310" spans="1:20" ht="13.5" customHeight="1" thickBot="1" x14ac:dyDescent="0.3">
      <c r="A1310" s="1"/>
      <c r="B1310" s="1"/>
      <c r="C1310" s="116" t="s">
        <v>1221</v>
      </c>
      <c r="D1310" s="184">
        <v>26000</v>
      </c>
      <c r="E1310" s="185">
        <f>SUM(E1301:E1304)</f>
        <v>3299.13</v>
      </c>
      <c r="F1310" s="186">
        <f>SUM(F1305,F1309)</f>
        <v>8500</v>
      </c>
      <c r="G1310" s="186">
        <f t="shared" ref="G1310:H1310" si="570">SUM(G1305+G1309)</f>
        <v>8500</v>
      </c>
      <c r="H1310" s="187">
        <f t="shared" si="570"/>
        <v>48974.95</v>
      </c>
      <c r="I1310" s="187"/>
      <c r="J1310" s="188">
        <f t="shared" ref="J1310:Q1310" si="571">SUM(J1301:J1304)</f>
        <v>12790</v>
      </c>
      <c r="K1310" s="189">
        <f t="shared" si="571"/>
        <v>8200</v>
      </c>
      <c r="L1310" s="190">
        <f t="shared" si="571"/>
        <v>9885.2200000000012</v>
      </c>
      <c r="M1310" s="190">
        <f t="shared" si="571"/>
        <v>6551.86</v>
      </c>
      <c r="N1310" s="191">
        <f t="shared" si="571"/>
        <v>6147.119999999999</v>
      </c>
      <c r="O1310" s="192">
        <f t="shared" si="571"/>
        <v>6505.02</v>
      </c>
      <c r="P1310" s="191">
        <f t="shared" si="571"/>
        <v>6234.87</v>
      </c>
      <c r="Q1310" s="193">
        <f t="shared" si="571"/>
        <v>7555.3</v>
      </c>
      <c r="R1310" s="1"/>
      <c r="S1310" s="1"/>
      <c r="T1310" s="1"/>
    </row>
    <row r="1311" spans="1:20" ht="13.5" customHeight="1" thickTop="1" x14ac:dyDescent="0.25">
      <c r="A1311" s="1"/>
      <c r="B1311" s="1"/>
      <c r="C1311" s="1"/>
      <c r="D1311" s="72"/>
      <c r="E1311" s="44"/>
      <c r="F1311" s="73"/>
      <c r="G1311" s="73"/>
      <c r="H1311" s="66"/>
      <c r="I1311" s="66"/>
      <c r="J1311" s="48"/>
      <c r="K1311" s="76"/>
      <c r="L1311" s="50"/>
      <c r="M1311" s="77"/>
      <c r="N1311" s="53"/>
      <c r="O1311" s="52"/>
      <c r="P1311" s="53"/>
      <c r="Q1311" s="54"/>
      <c r="R1311" s="1"/>
      <c r="S1311" s="1"/>
      <c r="T1311" s="1"/>
    </row>
    <row r="1312" spans="1:20" ht="13.5" customHeight="1" x14ac:dyDescent="0.25">
      <c r="A1312" s="1"/>
      <c r="B1312" s="1"/>
      <c r="C1312" s="1"/>
      <c r="D1312" s="72"/>
      <c r="E1312" s="44"/>
      <c r="F1312" s="73"/>
      <c r="G1312" s="73"/>
      <c r="H1312" s="66"/>
      <c r="I1312" s="66"/>
      <c r="J1312" s="48"/>
      <c r="K1312" s="76"/>
      <c r="L1312" s="50"/>
      <c r="M1312" s="77"/>
      <c r="N1312" s="53"/>
      <c r="O1312" s="52"/>
      <c r="P1312" s="53"/>
      <c r="Q1312" s="54"/>
      <c r="R1312" s="1"/>
      <c r="S1312" s="1"/>
      <c r="T1312" s="1"/>
    </row>
    <row r="1313" spans="1:20" ht="13.5" customHeight="1" x14ac:dyDescent="0.25">
      <c r="A1313" s="1"/>
      <c r="B1313" s="1"/>
      <c r="C1313" s="41" t="s">
        <v>1222</v>
      </c>
      <c r="D1313" s="72"/>
      <c r="E1313" s="44"/>
      <c r="F1313" s="73"/>
      <c r="G1313" s="73"/>
      <c r="H1313" s="66"/>
      <c r="I1313" s="66"/>
      <c r="J1313" s="48"/>
      <c r="K1313" s="76"/>
      <c r="L1313" s="50"/>
      <c r="M1313" s="77"/>
      <c r="N1313" s="53"/>
      <c r="O1313" s="52"/>
      <c r="P1313" s="53"/>
      <c r="Q1313" s="54"/>
      <c r="R1313" s="1"/>
      <c r="S1313" s="1"/>
      <c r="T1313" s="1"/>
    </row>
    <row r="1314" spans="1:20" ht="13.5" customHeight="1" x14ac:dyDescent="0.25">
      <c r="A1314" s="1"/>
      <c r="B1314" s="1" t="s">
        <v>1223</v>
      </c>
      <c r="C1314" s="1" t="s">
        <v>1143</v>
      </c>
      <c r="D1314" s="42">
        <v>2000</v>
      </c>
      <c r="E1314" s="43">
        <v>393.94</v>
      </c>
      <c r="F1314" s="45">
        <v>2000</v>
      </c>
      <c r="G1314" s="45">
        <v>2000</v>
      </c>
      <c r="H1314" s="46">
        <v>1824.75</v>
      </c>
      <c r="I1314" s="47">
        <f t="shared" ref="I1314:I1316" si="572">H1314/J1314</f>
        <v>0.66354545454545455</v>
      </c>
      <c r="J1314" s="48">
        <v>2750</v>
      </c>
      <c r="K1314" s="49">
        <v>2750</v>
      </c>
      <c r="L1314" s="50">
        <v>2096.7399999999998</v>
      </c>
      <c r="M1314" s="50">
        <v>1199.3699999999999</v>
      </c>
      <c r="N1314" s="51">
        <v>1732.04</v>
      </c>
      <c r="O1314" s="52">
        <v>2166.85</v>
      </c>
      <c r="P1314" s="53">
        <v>2070.4699999999998</v>
      </c>
      <c r="Q1314" s="54">
        <v>2897.71</v>
      </c>
      <c r="R1314" s="1"/>
      <c r="S1314" s="1"/>
      <c r="T1314" s="1"/>
    </row>
    <row r="1315" spans="1:20" ht="13.5" customHeight="1" x14ac:dyDescent="0.25">
      <c r="A1315" s="1"/>
      <c r="B1315" s="1" t="s">
        <v>1224</v>
      </c>
      <c r="C1315" s="1" t="s">
        <v>1147</v>
      </c>
      <c r="D1315" s="42">
        <v>800</v>
      </c>
      <c r="E1315" s="43">
        <v>331.2</v>
      </c>
      <c r="F1315" s="45">
        <v>800</v>
      </c>
      <c r="G1315" s="45">
        <v>800</v>
      </c>
      <c r="H1315" s="46">
        <v>767.78</v>
      </c>
      <c r="I1315" s="47">
        <f t="shared" si="572"/>
        <v>0.95972499999999994</v>
      </c>
      <c r="J1315" s="48">
        <v>800</v>
      </c>
      <c r="K1315" s="49">
        <v>800</v>
      </c>
      <c r="L1315" s="50">
        <v>970.78</v>
      </c>
      <c r="M1315" s="50">
        <v>595.49</v>
      </c>
      <c r="N1315" s="51">
        <v>632.53</v>
      </c>
      <c r="O1315" s="52">
        <v>976.04</v>
      </c>
      <c r="P1315" s="53">
        <v>778.58</v>
      </c>
      <c r="Q1315" s="54">
        <v>510.46</v>
      </c>
      <c r="R1315" s="1"/>
      <c r="S1315" s="1"/>
      <c r="T1315" s="1"/>
    </row>
    <row r="1316" spans="1:20" ht="13.5" customHeight="1" x14ac:dyDescent="0.25">
      <c r="A1316" s="1"/>
      <c r="B1316" s="1" t="s">
        <v>1225</v>
      </c>
      <c r="C1316" s="1" t="s">
        <v>1126</v>
      </c>
      <c r="D1316" s="42">
        <v>200</v>
      </c>
      <c r="E1316" s="70">
        <v>0</v>
      </c>
      <c r="F1316" s="45">
        <v>200</v>
      </c>
      <c r="G1316" s="45">
        <v>200</v>
      </c>
      <c r="H1316" s="74">
        <v>0</v>
      </c>
      <c r="I1316" s="47">
        <f t="shared" si="572"/>
        <v>0</v>
      </c>
      <c r="J1316" s="48">
        <v>200</v>
      </c>
      <c r="K1316" s="49">
        <v>200</v>
      </c>
      <c r="L1316" s="77">
        <v>0</v>
      </c>
      <c r="M1316" s="77">
        <v>0</v>
      </c>
      <c r="N1316" s="53">
        <v>0</v>
      </c>
      <c r="O1316" s="52">
        <v>0</v>
      </c>
      <c r="P1316" s="53">
        <v>0</v>
      </c>
      <c r="Q1316" s="54">
        <v>25.25</v>
      </c>
      <c r="R1316" s="1"/>
      <c r="S1316" s="1"/>
      <c r="T1316" s="1"/>
    </row>
    <row r="1317" spans="1:20" ht="13.5" customHeight="1" thickBot="1" x14ac:dyDescent="0.3">
      <c r="A1317" s="1"/>
      <c r="B1317" s="1"/>
      <c r="C1317" s="116" t="s">
        <v>1226</v>
      </c>
      <c r="D1317" s="267">
        <v>3000</v>
      </c>
      <c r="E1317" s="173">
        <f t="shared" ref="E1317" si="573">SUM(E1314:E1316)</f>
        <v>725.14</v>
      </c>
      <c r="F1317" s="174">
        <f>SUM(F1312:F1316)</f>
        <v>3000</v>
      </c>
      <c r="G1317" s="174">
        <v>3000</v>
      </c>
      <c r="H1317" s="175">
        <f>SUM(H1314:H1316)</f>
        <v>2592.5299999999997</v>
      </c>
      <c r="I1317" s="175"/>
      <c r="J1317" s="176">
        <f t="shared" ref="J1317:Q1317" si="574">SUM(J1314:J1316)</f>
        <v>3750</v>
      </c>
      <c r="K1317" s="177">
        <f t="shared" si="574"/>
        <v>3750</v>
      </c>
      <c r="L1317" s="178">
        <f t="shared" si="574"/>
        <v>3067.5199999999995</v>
      </c>
      <c r="M1317" s="178">
        <f t="shared" si="574"/>
        <v>1794.86</v>
      </c>
      <c r="N1317" s="179">
        <f t="shared" si="574"/>
        <v>2364.5699999999997</v>
      </c>
      <c r="O1317" s="180">
        <f t="shared" si="574"/>
        <v>3142.89</v>
      </c>
      <c r="P1317" s="179">
        <f t="shared" si="574"/>
        <v>2849.0499999999997</v>
      </c>
      <c r="Q1317" s="181">
        <f t="shared" si="574"/>
        <v>3433.42</v>
      </c>
      <c r="R1317" s="1"/>
      <c r="S1317" s="1"/>
      <c r="T1317" s="1"/>
    </row>
    <row r="1318" spans="1:20" ht="13.5" customHeight="1" thickTop="1" x14ac:dyDescent="0.25">
      <c r="A1318" s="1"/>
      <c r="B1318" s="1"/>
      <c r="C1318" s="1"/>
      <c r="D1318" s="42"/>
      <c r="E1318" s="67"/>
      <c r="F1318" s="45"/>
      <c r="G1318" s="45"/>
      <c r="H1318" s="74"/>
      <c r="I1318" s="66"/>
      <c r="J1318" s="48"/>
      <c r="K1318" s="49"/>
      <c r="L1318" s="77"/>
      <c r="M1318" s="77"/>
      <c r="N1318" s="53"/>
      <c r="O1318" s="52"/>
      <c r="P1318" s="53"/>
      <c r="Q1318" s="54"/>
      <c r="R1318" s="1"/>
      <c r="S1318" s="1"/>
      <c r="T1318" s="1"/>
    </row>
    <row r="1319" spans="1:20" ht="13.5" customHeight="1" x14ac:dyDescent="0.25">
      <c r="A1319" s="1"/>
      <c r="B1319" s="1"/>
      <c r="C1319" s="1"/>
      <c r="D1319" s="42"/>
      <c r="E1319" s="67"/>
      <c r="F1319" s="45"/>
      <c r="G1319" s="45"/>
      <c r="H1319" s="74"/>
      <c r="I1319" s="66"/>
      <c r="J1319" s="48"/>
      <c r="K1319" s="49"/>
      <c r="L1319" s="77"/>
      <c r="M1319" s="77"/>
      <c r="N1319" s="53"/>
      <c r="O1319" s="52"/>
      <c r="P1319" s="53"/>
      <c r="Q1319" s="54"/>
      <c r="R1319" s="1"/>
      <c r="S1319" s="1"/>
      <c r="T1319" s="1"/>
    </row>
    <row r="1320" spans="1:20" ht="13.5" customHeight="1" x14ac:dyDescent="0.25">
      <c r="A1320" s="1"/>
      <c r="B1320" s="1"/>
      <c r="C1320" s="41" t="s">
        <v>1227</v>
      </c>
      <c r="D1320" s="42"/>
      <c r="E1320" s="67"/>
      <c r="F1320" s="45"/>
      <c r="G1320" s="45"/>
      <c r="H1320" s="74"/>
      <c r="I1320" s="66"/>
      <c r="J1320" s="48"/>
      <c r="K1320" s="49"/>
      <c r="L1320" s="77"/>
      <c r="M1320" s="77"/>
      <c r="N1320" s="53"/>
      <c r="O1320" s="52"/>
      <c r="P1320" s="53"/>
      <c r="Q1320" s="54"/>
      <c r="R1320" s="1"/>
      <c r="S1320" s="1"/>
      <c r="T1320" s="1"/>
    </row>
    <row r="1321" spans="1:20" ht="13.5" customHeight="1" x14ac:dyDescent="0.25">
      <c r="A1321" s="1"/>
      <c r="B1321" s="55" t="s">
        <v>1228</v>
      </c>
      <c r="C1321" s="55" t="s">
        <v>438</v>
      </c>
      <c r="D1321" s="42">
        <v>0</v>
      </c>
      <c r="E1321" s="43">
        <v>0</v>
      </c>
      <c r="F1321" s="71">
        <v>65</v>
      </c>
      <c r="G1321" s="71">
        <v>0</v>
      </c>
      <c r="H1321" s="46">
        <v>3329.09</v>
      </c>
      <c r="I1321" s="47"/>
      <c r="J1321" s="48"/>
      <c r="K1321" s="49"/>
      <c r="L1321" s="69">
        <v>0</v>
      </c>
      <c r="M1321" s="69">
        <v>0</v>
      </c>
      <c r="N1321" s="51"/>
      <c r="O1321" s="52"/>
      <c r="P1321" s="53"/>
      <c r="Q1321" s="54"/>
      <c r="R1321" s="1"/>
      <c r="S1321" s="1"/>
      <c r="T1321" s="1"/>
    </row>
    <row r="1322" spans="1:20" ht="13.5" customHeight="1" x14ac:dyDescent="0.25">
      <c r="A1322" s="1"/>
      <c r="B1322" s="55" t="s">
        <v>1229</v>
      </c>
      <c r="C1322" s="55" t="s">
        <v>271</v>
      </c>
      <c r="D1322" s="42">
        <v>0</v>
      </c>
      <c r="E1322" s="43">
        <v>0</v>
      </c>
      <c r="F1322" s="71">
        <v>0</v>
      </c>
      <c r="G1322" s="71">
        <v>0</v>
      </c>
      <c r="H1322" s="46">
        <v>4300</v>
      </c>
      <c r="I1322" s="47"/>
      <c r="J1322" s="48"/>
      <c r="K1322" s="49"/>
      <c r="L1322" s="69">
        <v>0</v>
      </c>
      <c r="M1322" s="69">
        <v>0</v>
      </c>
      <c r="N1322" s="51"/>
      <c r="O1322" s="52"/>
      <c r="P1322" s="53"/>
      <c r="Q1322" s="54"/>
      <c r="R1322" s="1"/>
      <c r="S1322" s="1"/>
      <c r="T1322" s="1"/>
    </row>
    <row r="1323" spans="1:20" ht="13.5" customHeight="1" x14ac:dyDescent="0.25">
      <c r="A1323" s="1"/>
      <c r="B1323" s="1" t="s">
        <v>1230</v>
      </c>
      <c r="C1323" s="1" t="s">
        <v>1143</v>
      </c>
      <c r="D1323" s="42">
        <v>43000</v>
      </c>
      <c r="E1323" s="43">
        <v>14072.81</v>
      </c>
      <c r="F1323" s="45">
        <v>43000</v>
      </c>
      <c r="G1323" s="45">
        <v>43000</v>
      </c>
      <c r="H1323" s="46">
        <v>41182.93</v>
      </c>
      <c r="I1323" s="47">
        <f t="shared" ref="I1323:I1328" si="575">H1323/J1323</f>
        <v>0.95792077595831782</v>
      </c>
      <c r="J1323" s="48">
        <v>42992</v>
      </c>
      <c r="K1323" s="49">
        <v>43000</v>
      </c>
      <c r="L1323" s="50">
        <v>40281.440000000002</v>
      </c>
      <c r="M1323" s="50">
        <v>42174.43</v>
      </c>
      <c r="N1323" s="51">
        <v>46334.8</v>
      </c>
      <c r="O1323" s="52">
        <v>46496.18</v>
      </c>
      <c r="P1323" s="53">
        <v>49210.43</v>
      </c>
      <c r="Q1323" s="54">
        <v>54311.41</v>
      </c>
      <c r="R1323" s="1"/>
      <c r="S1323" s="1"/>
      <c r="T1323" s="1"/>
    </row>
    <row r="1324" spans="1:20" ht="13.5" customHeight="1" x14ac:dyDescent="0.25">
      <c r="A1324" s="1"/>
      <c r="B1324" s="1" t="s">
        <v>1231</v>
      </c>
      <c r="C1324" s="1" t="s">
        <v>1145</v>
      </c>
      <c r="D1324" s="42">
        <v>6500</v>
      </c>
      <c r="E1324" s="43">
        <v>1154.0899999999999</v>
      </c>
      <c r="F1324" s="45">
        <v>6500</v>
      </c>
      <c r="G1324" s="45">
        <v>6500</v>
      </c>
      <c r="H1324" s="46">
        <v>2427.2399999999998</v>
      </c>
      <c r="I1324" s="47">
        <f t="shared" si="575"/>
        <v>0.37342153846153842</v>
      </c>
      <c r="J1324" s="48">
        <v>6500</v>
      </c>
      <c r="K1324" s="49">
        <v>6500</v>
      </c>
      <c r="L1324" s="50">
        <v>2898.67</v>
      </c>
      <c r="M1324" s="50">
        <v>1940.61</v>
      </c>
      <c r="N1324" s="51">
        <v>1283.97</v>
      </c>
      <c r="O1324" s="52">
        <v>2090.61</v>
      </c>
      <c r="P1324" s="53">
        <v>3493.92</v>
      </c>
      <c r="Q1324" s="54">
        <v>3563.36</v>
      </c>
      <c r="R1324" s="1"/>
      <c r="S1324" s="1"/>
      <c r="T1324" s="1"/>
    </row>
    <row r="1325" spans="1:20" ht="13.5" customHeight="1" x14ac:dyDescent="0.25">
      <c r="A1325" s="1"/>
      <c r="B1325" s="1" t="s">
        <v>1232</v>
      </c>
      <c r="C1325" s="1" t="s">
        <v>1147</v>
      </c>
      <c r="D1325" s="42">
        <v>8000</v>
      </c>
      <c r="E1325" s="43">
        <v>2502.0100000000002</v>
      </c>
      <c r="F1325" s="45">
        <v>8000</v>
      </c>
      <c r="G1325" s="45">
        <v>8000</v>
      </c>
      <c r="H1325" s="46">
        <v>6523.86</v>
      </c>
      <c r="I1325" s="47">
        <f t="shared" si="575"/>
        <v>0.8154825</v>
      </c>
      <c r="J1325" s="48">
        <v>8000</v>
      </c>
      <c r="K1325" s="49">
        <v>8000</v>
      </c>
      <c r="L1325" s="50">
        <v>6318.06</v>
      </c>
      <c r="M1325" s="50">
        <v>6069.13</v>
      </c>
      <c r="N1325" s="51">
        <v>6238.99</v>
      </c>
      <c r="O1325" s="52">
        <v>5337.9</v>
      </c>
      <c r="P1325" s="53">
        <v>5302.02</v>
      </c>
      <c r="Q1325" s="54">
        <v>5568.96</v>
      </c>
      <c r="R1325" s="1"/>
      <c r="S1325" s="1"/>
      <c r="T1325" s="1"/>
    </row>
    <row r="1326" spans="1:20" ht="13.5" customHeight="1" x14ac:dyDescent="0.25">
      <c r="A1326" s="1"/>
      <c r="B1326" s="1" t="s">
        <v>1233</v>
      </c>
      <c r="C1326" s="1" t="s">
        <v>1234</v>
      </c>
      <c r="D1326" s="42">
        <v>15000</v>
      </c>
      <c r="E1326" s="43">
        <v>2576.61</v>
      </c>
      <c r="F1326" s="45">
        <v>15000</v>
      </c>
      <c r="G1326" s="45">
        <v>15000</v>
      </c>
      <c r="H1326" s="46">
        <v>10779.93</v>
      </c>
      <c r="I1326" s="47">
        <f t="shared" si="575"/>
        <v>0.71866200000000002</v>
      </c>
      <c r="J1326" s="48">
        <v>15000</v>
      </c>
      <c r="K1326" s="49">
        <v>15000</v>
      </c>
      <c r="L1326" s="50">
        <v>4769.76</v>
      </c>
      <c r="M1326" s="50">
        <v>5897.34</v>
      </c>
      <c r="N1326" s="51">
        <v>6077.17</v>
      </c>
      <c r="O1326" s="52">
        <v>11882.82</v>
      </c>
      <c r="P1326" s="53">
        <v>28487.57</v>
      </c>
      <c r="Q1326" s="54">
        <v>5964.65</v>
      </c>
      <c r="R1326" s="1"/>
      <c r="S1326" s="1"/>
      <c r="T1326" s="1"/>
    </row>
    <row r="1327" spans="1:20" ht="13.5" customHeight="1" x14ac:dyDescent="0.25">
      <c r="A1327" s="1"/>
      <c r="B1327" s="1" t="s">
        <v>1235</v>
      </c>
      <c r="C1327" s="1" t="s">
        <v>1150</v>
      </c>
      <c r="D1327" s="42">
        <v>25000</v>
      </c>
      <c r="E1327" s="70">
        <v>5558.72</v>
      </c>
      <c r="F1327" s="45">
        <f>25000-65</f>
        <v>24935</v>
      </c>
      <c r="G1327" s="45">
        <v>25000</v>
      </c>
      <c r="H1327" s="68">
        <v>8.14</v>
      </c>
      <c r="I1327" s="47">
        <f t="shared" si="575"/>
        <v>8.1400000000000005E-4</v>
      </c>
      <c r="J1327" s="48">
        <v>10000</v>
      </c>
      <c r="K1327" s="49">
        <v>10000</v>
      </c>
      <c r="L1327" s="50">
        <v>10.95</v>
      </c>
      <c r="M1327" s="50">
        <v>4941.46</v>
      </c>
      <c r="N1327" s="51">
        <v>21732.71</v>
      </c>
      <c r="O1327" s="52">
        <v>5858.95</v>
      </c>
      <c r="P1327" s="53">
        <v>245.59</v>
      </c>
      <c r="Q1327" s="54">
        <v>1083.74</v>
      </c>
      <c r="R1327" s="1"/>
      <c r="S1327" s="1"/>
      <c r="T1327" s="1"/>
    </row>
    <row r="1328" spans="1:20" ht="13.5" customHeight="1" x14ac:dyDescent="0.25">
      <c r="A1328" s="1"/>
      <c r="B1328" s="1" t="s">
        <v>1236</v>
      </c>
      <c r="C1328" s="1" t="s">
        <v>1152</v>
      </c>
      <c r="D1328" s="42">
        <v>2500</v>
      </c>
      <c r="E1328" s="43">
        <v>905.84</v>
      </c>
      <c r="F1328" s="45">
        <v>2500</v>
      </c>
      <c r="G1328" s="45">
        <v>2500</v>
      </c>
      <c r="H1328" s="46">
        <v>5109.84</v>
      </c>
      <c r="I1328" s="47">
        <f t="shared" si="575"/>
        <v>2.0374162679425836</v>
      </c>
      <c r="J1328" s="48">
        <v>2508</v>
      </c>
      <c r="K1328" s="49">
        <v>2500</v>
      </c>
      <c r="L1328" s="50">
        <v>2879.42</v>
      </c>
      <c r="M1328" s="50">
        <v>2753.51</v>
      </c>
      <c r="N1328" s="51">
        <v>2634.27</v>
      </c>
      <c r="O1328" s="52">
        <v>2528.3200000000002</v>
      </c>
      <c r="P1328" s="53">
        <v>2338.63</v>
      </c>
      <c r="Q1328" s="54">
        <v>2557.0700000000002</v>
      </c>
      <c r="R1328" s="1"/>
      <c r="S1328" s="1"/>
      <c r="T1328" s="1"/>
    </row>
    <row r="1329" spans="1:20" ht="13.5" customHeight="1" x14ac:dyDescent="0.25">
      <c r="A1329" s="1"/>
      <c r="B1329" s="1" t="s">
        <v>1237</v>
      </c>
      <c r="C1329" s="1" t="s">
        <v>1154</v>
      </c>
      <c r="D1329" s="42">
        <v>50000</v>
      </c>
      <c r="E1329" s="70">
        <v>0</v>
      </c>
      <c r="F1329" s="73">
        <v>10000</v>
      </c>
      <c r="G1329" s="73">
        <v>10000</v>
      </c>
      <c r="H1329" s="68">
        <v>108000</v>
      </c>
      <c r="I1329" s="183">
        <v>0</v>
      </c>
      <c r="J1329" s="75">
        <v>0</v>
      </c>
      <c r="K1329" s="76">
        <v>0</v>
      </c>
      <c r="L1329" s="77">
        <v>0</v>
      </c>
      <c r="M1329" s="50">
        <v>5965</v>
      </c>
      <c r="N1329" s="53">
        <v>0</v>
      </c>
      <c r="O1329" s="52">
        <v>0</v>
      </c>
      <c r="P1329" s="53">
        <v>104612</v>
      </c>
      <c r="Q1329" s="54">
        <v>0</v>
      </c>
      <c r="R1329" s="1"/>
      <c r="S1329" s="1"/>
      <c r="T1329" s="1"/>
    </row>
    <row r="1330" spans="1:20" ht="13.5" customHeight="1" x14ac:dyDescent="0.25">
      <c r="A1330" s="1"/>
      <c r="B1330" s="1" t="s">
        <v>1238</v>
      </c>
      <c r="C1330" s="1" t="s">
        <v>335</v>
      </c>
      <c r="D1330" s="42">
        <v>5000</v>
      </c>
      <c r="E1330" s="70">
        <v>0</v>
      </c>
      <c r="F1330" s="45">
        <v>5000</v>
      </c>
      <c r="G1330" s="45">
        <v>5000</v>
      </c>
      <c r="H1330" s="68">
        <v>15671.41</v>
      </c>
      <c r="I1330" s="47">
        <f>H1330/J1330</f>
        <v>3.1342819999999998</v>
      </c>
      <c r="J1330" s="48">
        <v>5000</v>
      </c>
      <c r="K1330" s="49">
        <v>5000</v>
      </c>
      <c r="L1330" s="77">
        <v>0</v>
      </c>
      <c r="M1330" s="77">
        <v>0</v>
      </c>
      <c r="N1330" s="53">
        <v>0</v>
      </c>
      <c r="O1330" s="52">
        <v>0</v>
      </c>
      <c r="P1330" s="53">
        <v>0</v>
      </c>
      <c r="Q1330" s="54">
        <v>4250</v>
      </c>
      <c r="R1330" s="1"/>
      <c r="S1330" s="1"/>
      <c r="T1330" s="1"/>
    </row>
    <row r="1331" spans="1:20" ht="13.5" customHeight="1" thickBot="1" x14ac:dyDescent="0.3">
      <c r="A1331" s="1"/>
      <c r="B1331" s="1"/>
      <c r="C1331" s="116" t="s">
        <v>1239</v>
      </c>
      <c r="D1331" s="267">
        <v>155000</v>
      </c>
      <c r="E1331" s="173">
        <f>SUM(E1321:E1330)</f>
        <v>26770.080000000002</v>
      </c>
      <c r="F1331" s="174">
        <f t="shared" ref="F1331:H1331" si="576">SUM(F1320:F1330)</f>
        <v>115000</v>
      </c>
      <c r="G1331" s="174">
        <f t="shared" si="576"/>
        <v>115000</v>
      </c>
      <c r="H1331" s="175">
        <f t="shared" si="576"/>
        <v>197332.44</v>
      </c>
      <c r="I1331" s="175"/>
      <c r="J1331" s="176">
        <f t="shared" ref="J1331:Q1331" si="577">SUM(J1323:J1330)</f>
        <v>90000</v>
      </c>
      <c r="K1331" s="177">
        <f t="shared" si="577"/>
        <v>90000</v>
      </c>
      <c r="L1331" s="178">
        <f t="shared" si="577"/>
        <v>57158.299999999996</v>
      </c>
      <c r="M1331" s="178">
        <f t="shared" si="577"/>
        <v>69741.48</v>
      </c>
      <c r="N1331" s="179">
        <f t="shared" si="577"/>
        <v>84301.91</v>
      </c>
      <c r="O1331" s="180">
        <f t="shared" si="577"/>
        <v>74194.780000000013</v>
      </c>
      <c r="P1331" s="179">
        <f t="shared" si="577"/>
        <v>193690.16</v>
      </c>
      <c r="Q1331" s="181">
        <f t="shared" si="577"/>
        <v>77299.190000000017</v>
      </c>
      <c r="R1331" s="1"/>
      <c r="S1331" s="1"/>
      <c r="T1331" s="1"/>
    </row>
    <row r="1332" spans="1:20" ht="13.5" customHeight="1" thickTop="1" x14ac:dyDescent="0.25">
      <c r="A1332" s="1"/>
      <c r="B1332" s="1"/>
      <c r="C1332" s="1"/>
      <c r="D1332" s="42"/>
      <c r="E1332" s="67"/>
      <c r="F1332" s="45"/>
      <c r="G1332" s="45"/>
      <c r="H1332" s="74"/>
      <c r="I1332" s="66"/>
      <c r="J1332" s="48"/>
      <c r="K1332" s="49"/>
      <c r="L1332" s="77"/>
      <c r="M1332" s="77"/>
      <c r="N1332" s="53"/>
      <c r="O1332" s="52"/>
      <c r="P1332" s="53"/>
      <c r="Q1332" s="54"/>
      <c r="R1332" s="1"/>
      <c r="S1332" s="1"/>
      <c r="T1332" s="1"/>
    </row>
    <row r="1333" spans="1:20" ht="13.5" customHeight="1" x14ac:dyDescent="0.25">
      <c r="A1333" s="1"/>
      <c r="B1333" s="1"/>
      <c r="C1333" s="1"/>
      <c r="D1333" s="42"/>
      <c r="E1333" s="67"/>
      <c r="F1333" s="45"/>
      <c r="G1333" s="45"/>
      <c r="H1333" s="74"/>
      <c r="I1333" s="66"/>
      <c r="J1333" s="48"/>
      <c r="K1333" s="49"/>
      <c r="L1333" s="77"/>
      <c r="M1333" s="77"/>
      <c r="N1333" s="53"/>
      <c r="O1333" s="52"/>
      <c r="P1333" s="53"/>
      <c r="Q1333" s="54"/>
      <c r="R1333" s="1"/>
      <c r="S1333" s="1"/>
      <c r="T1333" s="1"/>
    </row>
    <row r="1334" spans="1:20" ht="13.5" customHeight="1" x14ac:dyDescent="0.25">
      <c r="A1334" s="1"/>
      <c r="B1334" s="1"/>
      <c r="C1334" s="41" t="s">
        <v>1240</v>
      </c>
      <c r="D1334" s="42"/>
      <c r="E1334" s="67"/>
      <c r="F1334" s="45"/>
      <c r="G1334" s="45"/>
      <c r="H1334" s="74"/>
      <c r="I1334" s="66"/>
      <c r="J1334" s="48"/>
      <c r="K1334" s="49"/>
      <c r="L1334" s="77"/>
      <c r="M1334" s="77"/>
      <c r="N1334" s="53"/>
      <c r="O1334" s="52"/>
      <c r="P1334" s="53"/>
      <c r="Q1334" s="54"/>
      <c r="R1334" s="1"/>
      <c r="S1334" s="1"/>
      <c r="T1334" s="1"/>
    </row>
    <row r="1335" spans="1:20" ht="13.5" customHeight="1" x14ac:dyDescent="0.25">
      <c r="A1335" s="1"/>
      <c r="B1335" s="1" t="s">
        <v>1241</v>
      </c>
      <c r="C1335" s="1" t="s">
        <v>1143</v>
      </c>
      <c r="D1335" s="42">
        <v>1950</v>
      </c>
      <c r="E1335" s="43">
        <v>296.24</v>
      </c>
      <c r="F1335" s="45">
        <v>1950</v>
      </c>
      <c r="G1335" s="45">
        <v>1950</v>
      </c>
      <c r="H1335" s="46">
        <v>1278.31</v>
      </c>
      <c r="I1335" s="47">
        <f t="shared" ref="I1335:I1339" si="578">H1335/J1335</f>
        <v>0.65554358974358973</v>
      </c>
      <c r="J1335" s="48">
        <v>1950</v>
      </c>
      <c r="K1335" s="49">
        <v>1950</v>
      </c>
      <c r="L1335" s="50">
        <v>1238.3499999999999</v>
      </c>
      <c r="M1335" s="50">
        <v>1277.07</v>
      </c>
      <c r="N1335" s="51">
        <v>1455.75</v>
      </c>
      <c r="O1335" s="52">
        <v>1442.69</v>
      </c>
      <c r="P1335" s="53">
        <v>1547.87</v>
      </c>
      <c r="Q1335" s="54">
        <v>2170.7800000000002</v>
      </c>
      <c r="R1335" s="1"/>
      <c r="S1335" s="1"/>
      <c r="T1335" s="1"/>
    </row>
    <row r="1336" spans="1:20" ht="13.5" customHeight="1" x14ac:dyDescent="0.25">
      <c r="A1336" s="1"/>
      <c r="B1336" s="1" t="s">
        <v>1242</v>
      </c>
      <c r="C1336" s="1" t="s">
        <v>1145</v>
      </c>
      <c r="D1336" s="42">
        <v>1000</v>
      </c>
      <c r="E1336" s="43">
        <v>333.17</v>
      </c>
      <c r="F1336" s="45">
        <v>1000</v>
      </c>
      <c r="G1336" s="45">
        <v>1000</v>
      </c>
      <c r="H1336" s="46">
        <v>759.8</v>
      </c>
      <c r="I1336" s="47">
        <f t="shared" si="578"/>
        <v>0.75979999999999992</v>
      </c>
      <c r="J1336" s="48">
        <v>1000</v>
      </c>
      <c r="K1336" s="49">
        <v>1000</v>
      </c>
      <c r="L1336" s="50">
        <v>857.4</v>
      </c>
      <c r="M1336" s="50">
        <v>778.5</v>
      </c>
      <c r="N1336" s="51">
        <v>764.12</v>
      </c>
      <c r="O1336" s="52">
        <v>836.34</v>
      </c>
      <c r="P1336" s="53">
        <v>859.17</v>
      </c>
      <c r="Q1336" s="54">
        <v>621.12</v>
      </c>
      <c r="R1336" s="1"/>
      <c r="S1336" s="1"/>
      <c r="T1336" s="1"/>
    </row>
    <row r="1337" spans="1:20" ht="13.5" customHeight="1" x14ac:dyDescent="0.25">
      <c r="A1337" s="1"/>
      <c r="B1337" s="1" t="s">
        <v>1243</v>
      </c>
      <c r="C1337" s="1" t="s">
        <v>1147</v>
      </c>
      <c r="D1337" s="42">
        <v>400</v>
      </c>
      <c r="E1337" s="43">
        <v>175.9</v>
      </c>
      <c r="F1337" s="45">
        <v>400</v>
      </c>
      <c r="G1337" s="45">
        <v>400</v>
      </c>
      <c r="H1337" s="46">
        <v>425.66</v>
      </c>
      <c r="I1337" s="47">
        <f t="shared" si="578"/>
        <v>1.0641500000000002</v>
      </c>
      <c r="J1337" s="48">
        <v>400</v>
      </c>
      <c r="K1337" s="49">
        <v>400</v>
      </c>
      <c r="L1337" s="50">
        <v>422.16</v>
      </c>
      <c r="M1337" s="50">
        <v>532.17999999999995</v>
      </c>
      <c r="N1337" s="51">
        <v>435.78</v>
      </c>
      <c r="O1337" s="52">
        <v>380.37</v>
      </c>
      <c r="P1337" s="53">
        <v>390.15</v>
      </c>
      <c r="Q1337" s="54">
        <v>301.56</v>
      </c>
      <c r="R1337" s="1"/>
      <c r="S1337" s="1"/>
      <c r="T1337" s="1"/>
    </row>
    <row r="1338" spans="1:20" ht="13.5" customHeight="1" x14ac:dyDescent="0.25">
      <c r="A1338" s="1"/>
      <c r="B1338" s="1" t="s">
        <v>1244</v>
      </c>
      <c r="C1338" s="1" t="s">
        <v>1126</v>
      </c>
      <c r="D1338" s="42">
        <v>150</v>
      </c>
      <c r="E1338" s="43">
        <v>207.07</v>
      </c>
      <c r="F1338" s="45">
        <v>150</v>
      </c>
      <c r="G1338" s="45">
        <v>150</v>
      </c>
      <c r="H1338" s="66">
        <v>125</v>
      </c>
      <c r="I1338" s="47">
        <f t="shared" si="578"/>
        <v>0.83333333333333337</v>
      </c>
      <c r="J1338" s="48">
        <v>150</v>
      </c>
      <c r="K1338" s="49">
        <v>150</v>
      </c>
      <c r="L1338" s="50">
        <v>312.89999999999998</v>
      </c>
      <c r="M1338" s="50">
        <v>254.9</v>
      </c>
      <c r="N1338" s="51">
        <v>341.42</v>
      </c>
      <c r="O1338" s="52">
        <v>1030.7</v>
      </c>
      <c r="P1338" s="53">
        <v>0</v>
      </c>
      <c r="Q1338" s="54">
        <v>0</v>
      </c>
      <c r="R1338" s="1"/>
      <c r="S1338" s="1"/>
      <c r="T1338" s="1"/>
    </row>
    <row r="1339" spans="1:20" ht="13.5" customHeight="1" x14ac:dyDescent="0.25">
      <c r="A1339" s="1"/>
      <c r="B1339" s="1" t="s">
        <v>1245</v>
      </c>
      <c r="C1339" s="1" t="s">
        <v>1205</v>
      </c>
      <c r="D1339" s="42">
        <v>500</v>
      </c>
      <c r="E1339" s="43">
        <v>167.7</v>
      </c>
      <c r="F1339" s="45">
        <v>500</v>
      </c>
      <c r="G1339" s="45">
        <v>500</v>
      </c>
      <c r="H1339" s="46">
        <v>335.4</v>
      </c>
      <c r="I1339" s="47">
        <f t="shared" si="578"/>
        <v>0.67079999999999995</v>
      </c>
      <c r="J1339" s="48">
        <v>500</v>
      </c>
      <c r="K1339" s="49">
        <v>500</v>
      </c>
      <c r="L1339" s="50">
        <v>328.05</v>
      </c>
      <c r="M1339" s="50">
        <v>306</v>
      </c>
      <c r="N1339" s="51">
        <v>306</v>
      </c>
      <c r="O1339" s="52">
        <v>306</v>
      </c>
      <c r="P1339" s="53">
        <v>306</v>
      </c>
      <c r="Q1339" s="54">
        <v>364.5</v>
      </c>
      <c r="R1339" s="1"/>
      <c r="S1339" s="1"/>
      <c r="T1339" s="1"/>
    </row>
    <row r="1340" spans="1:20" ht="13.5" customHeight="1" thickBot="1" x14ac:dyDescent="0.3">
      <c r="A1340" s="1"/>
      <c r="B1340" s="1"/>
      <c r="C1340" s="116" t="s">
        <v>1246</v>
      </c>
      <c r="D1340" s="267">
        <v>4000</v>
      </c>
      <c r="E1340" s="173">
        <f t="shared" ref="E1340" si="579">SUM(E1335:E1339)</f>
        <v>1180.0800000000002</v>
      </c>
      <c r="F1340" s="174">
        <f>SUM(F1334:F1339)</f>
        <v>4000</v>
      </c>
      <c r="G1340" s="174">
        <v>4000</v>
      </c>
      <c r="H1340" s="175">
        <f>SUM(H1335:H1339)</f>
        <v>2924.17</v>
      </c>
      <c r="I1340" s="175"/>
      <c r="J1340" s="176">
        <f t="shared" ref="J1340:Q1340" si="580">SUM(J1335:J1339)</f>
        <v>4000</v>
      </c>
      <c r="K1340" s="177">
        <f t="shared" si="580"/>
        <v>4000</v>
      </c>
      <c r="L1340" s="178">
        <f t="shared" si="580"/>
        <v>3158.86</v>
      </c>
      <c r="M1340" s="178">
        <f t="shared" si="580"/>
        <v>3148.6499999999996</v>
      </c>
      <c r="N1340" s="179">
        <f t="shared" si="580"/>
        <v>3303.0699999999997</v>
      </c>
      <c r="O1340" s="180">
        <f t="shared" si="580"/>
        <v>3996.1000000000004</v>
      </c>
      <c r="P1340" s="179">
        <f t="shared" si="580"/>
        <v>3103.19</v>
      </c>
      <c r="Q1340" s="181">
        <f t="shared" si="580"/>
        <v>3457.96</v>
      </c>
      <c r="R1340" s="1"/>
      <c r="S1340" s="1"/>
      <c r="T1340" s="1"/>
    </row>
    <row r="1341" spans="1:20" ht="13.5" customHeight="1" thickTop="1" x14ac:dyDescent="0.25">
      <c r="A1341" s="1"/>
      <c r="B1341" s="1"/>
      <c r="C1341" s="1"/>
      <c r="D1341" s="42"/>
      <c r="E1341" s="44"/>
      <c r="F1341" s="45"/>
      <c r="G1341" s="45"/>
      <c r="H1341" s="66"/>
      <c r="I1341" s="66"/>
      <c r="J1341" s="48"/>
      <c r="K1341" s="49"/>
      <c r="L1341" s="50"/>
      <c r="M1341" s="50"/>
      <c r="N1341" s="51"/>
      <c r="O1341" s="52"/>
      <c r="P1341" s="53"/>
      <c r="Q1341" s="54"/>
      <c r="R1341" s="1"/>
      <c r="S1341" s="1"/>
      <c r="T1341" s="1"/>
    </row>
    <row r="1342" spans="1:20" ht="13.5" customHeight="1" x14ac:dyDescent="0.25">
      <c r="A1342" s="1"/>
      <c r="B1342" s="1"/>
      <c r="C1342" s="1"/>
      <c r="D1342" s="42"/>
      <c r="E1342" s="44"/>
      <c r="F1342" s="45"/>
      <c r="G1342" s="45"/>
      <c r="H1342" s="66"/>
      <c r="I1342" s="66"/>
      <c r="J1342" s="48"/>
      <c r="K1342" s="49"/>
      <c r="L1342" s="50"/>
      <c r="M1342" s="50"/>
      <c r="N1342" s="51"/>
      <c r="O1342" s="52"/>
      <c r="P1342" s="53"/>
      <c r="Q1342" s="54"/>
      <c r="R1342" s="1"/>
      <c r="S1342" s="1"/>
      <c r="T1342" s="1"/>
    </row>
    <row r="1343" spans="1:20" ht="13.5" customHeight="1" x14ac:dyDescent="0.25">
      <c r="A1343" s="1"/>
      <c r="B1343" s="1"/>
      <c r="C1343" s="116" t="s">
        <v>1247</v>
      </c>
      <c r="D1343" s="42"/>
      <c r="E1343" s="44"/>
      <c r="F1343" s="45"/>
      <c r="G1343" s="45"/>
      <c r="H1343" s="66"/>
      <c r="I1343" s="66"/>
      <c r="J1343" s="48"/>
      <c r="K1343" s="49"/>
      <c r="L1343" s="50"/>
      <c r="M1343" s="50"/>
      <c r="N1343" s="51"/>
      <c r="O1343" s="52"/>
      <c r="P1343" s="53"/>
      <c r="Q1343" s="54"/>
      <c r="R1343" s="1"/>
      <c r="S1343" s="1"/>
      <c r="T1343" s="1"/>
    </row>
    <row r="1344" spans="1:20" ht="13.5" customHeight="1" x14ac:dyDescent="0.25">
      <c r="A1344" s="1"/>
      <c r="B1344" s="1" t="s">
        <v>1248</v>
      </c>
      <c r="C1344" s="1" t="s">
        <v>1143</v>
      </c>
      <c r="D1344" s="42">
        <v>5000</v>
      </c>
      <c r="E1344" s="43">
        <v>245.39</v>
      </c>
      <c r="F1344" s="45">
        <v>5000</v>
      </c>
      <c r="G1344" s="45">
        <v>5000</v>
      </c>
      <c r="H1344" s="46">
        <v>251.2</v>
      </c>
      <c r="I1344" s="47"/>
      <c r="J1344" s="48">
        <v>0</v>
      </c>
      <c r="K1344" s="49">
        <v>0</v>
      </c>
      <c r="L1344" s="50">
        <v>0</v>
      </c>
      <c r="M1344" s="50">
        <v>0</v>
      </c>
      <c r="N1344" s="51"/>
      <c r="O1344" s="52"/>
      <c r="P1344" s="53"/>
      <c r="Q1344" s="54"/>
      <c r="R1344" s="1"/>
      <c r="S1344" s="1"/>
      <c r="T1344" s="1"/>
    </row>
    <row r="1345" spans="1:20" ht="13.5" customHeight="1" x14ac:dyDescent="0.25">
      <c r="A1345" s="1"/>
      <c r="B1345" s="1" t="s">
        <v>1249</v>
      </c>
      <c r="C1345" s="1" t="s">
        <v>1147</v>
      </c>
      <c r="D1345" s="42">
        <v>1000</v>
      </c>
      <c r="E1345" s="43">
        <v>149.85</v>
      </c>
      <c r="F1345" s="45">
        <v>1000</v>
      </c>
      <c r="G1345" s="45">
        <v>1000</v>
      </c>
      <c r="H1345" s="66">
        <v>0</v>
      </c>
      <c r="I1345" s="47"/>
      <c r="J1345" s="48">
        <v>0</v>
      </c>
      <c r="K1345" s="49">
        <v>0</v>
      </c>
      <c r="L1345" s="50">
        <v>0</v>
      </c>
      <c r="M1345" s="50">
        <v>0</v>
      </c>
      <c r="N1345" s="51"/>
      <c r="O1345" s="52"/>
      <c r="P1345" s="53"/>
      <c r="Q1345" s="54"/>
      <c r="R1345" s="1"/>
      <c r="S1345" s="1"/>
      <c r="T1345" s="1"/>
    </row>
    <row r="1346" spans="1:20" ht="13.5" customHeight="1" x14ac:dyDescent="0.25">
      <c r="A1346" s="1"/>
      <c r="B1346" s="1" t="s">
        <v>1250</v>
      </c>
      <c r="C1346" s="1" t="s">
        <v>1126</v>
      </c>
      <c r="D1346" s="42">
        <v>300</v>
      </c>
      <c r="E1346" s="43">
        <v>0</v>
      </c>
      <c r="F1346" s="45">
        <v>300</v>
      </c>
      <c r="G1346" s="45">
        <v>300</v>
      </c>
      <c r="H1346" s="66">
        <v>0</v>
      </c>
      <c r="I1346" s="47"/>
      <c r="J1346" s="48">
        <v>0</v>
      </c>
      <c r="K1346" s="49">
        <v>0</v>
      </c>
      <c r="L1346" s="50">
        <v>0</v>
      </c>
      <c r="M1346" s="50">
        <v>0</v>
      </c>
      <c r="N1346" s="51"/>
      <c r="O1346" s="52"/>
      <c r="P1346" s="53"/>
      <c r="Q1346" s="54"/>
      <c r="R1346" s="1"/>
      <c r="S1346" s="1"/>
      <c r="T1346" s="1"/>
    </row>
    <row r="1347" spans="1:20" ht="13.5" customHeight="1" x14ac:dyDescent="0.25">
      <c r="A1347" s="1"/>
      <c r="B1347" s="1" t="s">
        <v>1251</v>
      </c>
      <c r="C1347" s="1" t="s">
        <v>1205</v>
      </c>
      <c r="D1347" s="42">
        <v>500</v>
      </c>
      <c r="E1347" s="43">
        <v>0</v>
      </c>
      <c r="F1347" s="73">
        <v>500</v>
      </c>
      <c r="G1347" s="73">
        <v>500</v>
      </c>
      <c r="H1347" s="66">
        <v>0</v>
      </c>
      <c r="I1347" s="74"/>
      <c r="J1347" s="75">
        <v>0</v>
      </c>
      <c r="K1347" s="76">
        <v>0</v>
      </c>
      <c r="L1347" s="77">
        <v>0</v>
      </c>
      <c r="M1347" s="77">
        <v>0</v>
      </c>
      <c r="N1347" s="53"/>
      <c r="O1347" s="52"/>
      <c r="P1347" s="53"/>
      <c r="Q1347" s="54"/>
      <c r="R1347" s="1"/>
      <c r="S1347" s="1"/>
      <c r="T1347" s="1"/>
    </row>
    <row r="1348" spans="1:20" ht="13.5" customHeight="1" x14ac:dyDescent="0.25">
      <c r="A1348" s="1"/>
      <c r="B1348" s="1" t="s">
        <v>1252</v>
      </c>
      <c r="C1348" s="1" t="s">
        <v>1253</v>
      </c>
      <c r="D1348" s="42">
        <v>0</v>
      </c>
      <c r="E1348" s="43">
        <v>257641.62</v>
      </c>
      <c r="F1348" s="73">
        <v>0</v>
      </c>
      <c r="G1348" s="73">
        <v>0</v>
      </c>
      <c r="H1348" s="46">
        <v>117117.94</v>
      </c>
      <c r="I1348" s="74"/>
      <c r="J1348" s="75">
        <v>0</v>
      </c>
      <c r="K1348" s="76">
        <v>0</v>
      </c>
      <c r="L1348" s="77">
        <v>0</v>
      </c>
      <c r="M1348" s="77">
        <v>0</v>
      </c>
      <c r="N1348" s="53" t="s">
        <v>16</v>
      </c>
      <c r="O1348" s="52"/>
      <c r="P1348" s="53"/>
      <c r="Q1348" s="54"/>
      <c r="R1348" s="1"/>
      <c r="S1348" s="1"/>
      <c r="T1348" s="1"/>
    </row>
    <row r="1349" spans="1:20" ht="13.5" customHeight="1" thickBot="1" x14ac:dyDescent="0.3">
      <c r="A1349" s="1"/>
      <c r="B1349" s="1"/>
      <c r="C1349" s="116" t="s">
        <v>1254</v>
      </c>
      <c r="D1349" s="184">
        <v>6800</v>
      </c>
      <c r="E1349" s="185">
        <f t="shared" ref="E1349" si="581">SUM(E1343:E1348)</f>
        <v>258036.86</v>
      </c>
      <c r="F1349" s="186">
        <f t="shared" ref="F1349:H1349" si="582">SUM(F1343:F1348)</f>
        <v>6800</v>
      </c>
      <c r="G1349" s="186">
        <f t="shared" si="582"/>
        <v>6800</v>
      </c>
      <c r="H1349" s="187">
        <f t="shared" si="582"/>
        <v>117369.14</v>
      </c>
      <c r="I1349" s="187"/>
      <c r="J1349" s="188">
        <f t="shared" ref="J1349:Q1349" si="583">SUM(J1348)</f>
        <v>0</v>
      </c>
      <c r="K1349" s="189">
        <f t="shared" si="583"/>
        <v>0</v>
      </c>
      <c r="L1349" s="190">
        <f t="shared" si="583"/>
        <v>0</v>
      </c>
      <c r="M1349" s="190">
        <f t="shared" si="583"/>
        <v>0</v>
      </c>
      <c r="N1349" s="191">
        <f t="shared" si="583"/>
        <v>0</v>
      </c>
      <c r="O1349" s="192">
        <f t="shared" si="583"/>
        <v>0</v>
      </c>
      <c r="P1349" s="191">
        <f t="shared" si="583"/>
        <v>0</v>
      </c>
      <c r="Q1349" s="193">
        <f t="shared" si="583"/>
        <v>0</v>
      </c>
      <c r="R1349" s="1"/>
      <c r="S1349" s="1"/>
      <c r="T1349" s="1"/>
    </row>
    <row r="1350" spans="1:20" ht="13.5" customHeight="1" thickTop="1" x14ac:dyDescent="0.25">
      <c r="A1350" s="1"/>
      <c r="B1350" s="1"/>
      <c r="C1350" s="1"/>
      <c r="D1350" s="72"/>
      <c r="E1350" s="44"/>
      <c r="F1350" s="73"/>
      <c r="G1350" s="73"/>
      <c r="H1350" s="66"/>
      <c r="I1350" s="74"/>
      <c r="J1350" s="75"/>
      <c r="K1350" s="76"/>
      <c r="L1350" s="77"/>
      <c r="M1350" s="77"/>
      <c r="N1350" s="53"/>
      <c r="O1350" s="52"/>
      <c r="P1350" s="53"/>
      <c r="Q1350" s="54"/>
      <c r="R1350" s="1"/>
      <c r="S1350" s="1"/>
      <c r="T1350" s="1"/>
    </row>
    <row r="1351" spans="1:20" ht="13.5" customHeight="1" x14ac:dyDescent="0.25">
      <c r="A1351" s="1"/>
      <c r="B1351" s="1"/>
      <c r="C1351" s="116" t="s">
        <v>1255</v>
      </c>
      <c r="D1351" s="72"/>
      <c r="E1351" s="44"/>
      <c r="F1351" s="73"/>
      <c r="G1351" s="73"/>
      <c r="H1351" s="66"/>
      <c r="I1351" s="74"/>
      <c r="J1351" s="75"/>
      <c r="K1351" s="76"/>
      <c r="L1351" s="77"/>
      <c r="M1351" s="77"/>
      <c r="N1351" s="53"/>
      <c r="O1351" s="52"/>
      <c r="P1351" s="53"/>
      <c r="Q1351" s="54"/>
      <c r="R1351" s="1"/>
      <c r="S1351" s="1"/>
      <c r="T1351" s="1"/>
    </row>
    <row r="1352" spans="1:20" ht="13.5" customHeight="1" x14ac:dyDescent="0.25">
      <c r="A1352" s="1"/>
      <c r="B1352" s="1" t="s">
        <v>1256</v>
      </c>
      <c r="C1352" s="1" t="s">
        <v>471</v>
      </c>
      <c r="D1352" s="42">
        <v>3000</v>
      </c>
      <c r="E1352" s="70">
        <v>0</v>
      </c>
      <c r="F1352" s="45">
        <v>3000</v>
      </c>
      <c r="G1352" s="45">
        <v>3000</v>
      </c>
      <c r="H1352" s="68">
        <v>3000</v>
      </c>
      <c r="I1352" s="47">
        <f t="shared" ref="I1352:I1354" si="584">H1352/J1352</f>
        <v>1</v>
      </c>
      <c r="J1352" s="48">
        <v>3000</v>
      </c>
      <c r="K1352" s="49">
        <v>3000</v>
      </c>
      <c r="L1352" s="77">
        <v>0</v>
      </c>
      <c r="M1352" s="77">
        <v>0</v>
      </c>
      <c r="N1352" s="53">
        <v>0</v>
      </c>
      <c r="O1352" s="52"/>
      <c r="P1352" s="53"/>
      <c r="Q1352" s="54"/>
      <c r="R1352" s="1"/>
      <c r="S1352" s="1"/>
      <c r="T1352" s="1"/>
    </row>
    <row r="1353" spans="1:20" ht="13.5" customHeight="1" x14ac:dyDescent="0.25">
      <c r="A1353" s="1"/>
      <c r="B1353" s="1" t="s">
        <v>1257</v>
      </c>
      <c r="C1353" s="1" t="s">
        <v>473</v>
      </c>
      <c r="D1353" s="42">
        <v>740</v>
      </c>
      <c r="E1353" s="70">
        <v>0</v>
      </c>
      <c r="F1353" s="45">
        <v>740</v>
      </c>
      <c r="G1353" s="45">
        <v>740</v>
      </c>
      <c r="H1353" s="68">
        <v>740</v>
      </c>
      <c r="I1353" s="47">
        <f t="shared" si="584"/>
        <v>1</v>
      </c>
      <c r="J1353" s="48">
        <v>740</v>
      </c>
      <c r="K1353" s="49">
        <v>740</v>
      </c>
      <c r="L1353" s="77">
        <v>0</v>
      </c>
      <c r="M1353" s="77">
        <v>0</v>
      </c>
      <c r="N1353" s="53">
        <v>0</v>
      </c>
      <c r="O1353" s="52"/>
      <c r="P1353" s="53"/>
      <c r="Q1353" s="54"/>
      <c r="R1353" s="1"/>
      <c r="S1353" s="1"/>
      <c r="T1353" s="1"/>
    </row>
    <row r="1354" spans="1:20" ht="13.5" customHeight="1" x14ac:dyDescent="0.25">
      <c r="A1354" s="1"/>
      <c r="B1354" s="1" t="s">
        <v>1258</v>
      </c>
      <c r="C1354" s="1" t="s">
        <v>489</v>
      </c>
      <c r="D1354" s="42">
        <v>4225</v>
      </c>
      <c r="E1354" s="70">
        <v>0</v>
      </c>
      <c r="F1354" s="45">
        <v>4225</v>
      </c>
      <c r="G1354" s="45">
        <v>4225</v>
      </c>
      <c r="H1354" s="68">
        <v>3522</v>
      </c>
      <c r="I1354" s="47">
        <f t="shared" si="584"/>
        <v>0.83360946745562126</v>
      </c>
      <c r="J1354" s="48">
        <v>4225</v>
      </c>
      <c r="K1354" s="49">
        <v>4225</v>
      </c>
      <c r="L1354" s="77">
        <v>0</v>
      </c>
      <c r="M1354" s="77">
        <v>0</v>
      </c>
      <c r="N1354" s="53">
        <v>0</v>
      </c>
      <c r="O1354" s="52"/>
      <c r="P1354" s="53"/>
      <c r="Q1354" s="54"/>
      <c r="R1354" s="1"/>
      <c r="S1354" s="1"/>
      <c r="T1354" s="1"/>
    </row>
    <row r="1355" spans="1:20" ht="13.5" customHeight="1" thickBot="1" x14ac:dyDescent="0.3">
      <c r="A1355" s="1"/>
      <c r="B1355" s="1"/>
      <c r="C1355" s="116" t="s">
        <v>1259</v>
      </c>
      <c r="D1355" s="267">
        <v>7965</v>
      </c>
      <c r="E1355" s="173">
        <f t="shared" ref="E1355" si="585">SUM(E1352:E1354)</f>
        <v>0</v>
      </c>
      <c r="F1355" s="174">
        <f>SUM(F1351:F1354)</f>
        <v>7965</v>
      </c>
      <c r="G1355" s="174">
        <v>7965</v>
      </c>
      <c r="H1355" s="175">
        <f>SUM(H1352:H1354)</f>
        <v>7262</v>
      </c>
      <c r="I1355" s="175"/>
      <c r="J1355" s="176">
        <f t="shared" ref="J1355:Q1355" si="586">SUM(J1352:J1354)</f>
        <v>7965</v>
      </c>
      <c r="K1355" s="177">
        <f t="shared" si="586"/>
        <v>7965</v>
      </c>
      <c r="L1355" s="178">
        <f t="shared" si="586"/>
        <v>0</v>
      </c>
      <c r="M1355" s="178">
        <f t="shared" si="586"/>
        <v>0</v>
      </c>
      <c r="N1355" s="179">
        <f t="shared" si="586"/>
        <v>0</v>
      </c>
      <c r="O1355" s="180">
        <f t="shared" si="586"/>
        <v>0</v>
      </c>
      <c r="P1355" s="179">
        <f t="shared" si="586"/>
        <v>0</v>
      </c>
      <c r="Q1355" s="181">
        <f t="shared" si="586"/>
        <v>0</v>
      </c>
      <c r="R1355" s="1"/>
      <c r="S1355" s="1"/>
      <c r="T1355" s="1"/>
    </row>
    <row r="1356" spans="1:20" ht="13.5" customHeight="1" thickTop="1" x14ac:dyDescent="0.25">
      <c r="A1356" s="1"/>
      <c r="B1356" s="1"/>
      <c r="C1356" s="1"/>
      <c r="D1356" s="42"/>
      <c r="E1356" s="67"/>
      <c r="F1356" s="45"/>
      <c r="G1356" s="45"/>
      <c r="H1356" s="74"/>
      <c r="I1356" s="66"/>
      <c r="J1356" s="48"/>
      <c r="K1356" s="49"/>
      <c r="L1356" s="77"/>
      <c r="M1356" s="77"/>
      <c r="N1356" s="53"/>
      <c r="O1356" s="52"/>
      <c r="P1356" s="53"/>
      <c r="Q1356" s="54"/>
      <c r="R1356" s="1"/>
      <c r="S1356" s="1"/>
      <c r="T1356" s="1"/>
    </row>
    <row r="1357" spans="1:20" ht="13.5" customHeight="1" x14ac:dyDescent="0.25">
      <c r="A1357" s="1"/>
      <c r="B1357" s="78"/>
      <c r="C1357" s="78"/>
      <c r="D1357" s="42"/>
      <c r="E1357" s="67"/>
      <c r="F1357" s="45"/>
      <c r="G1357" s="45"/>
      <c r="H1357" s="74"/>
      <c r="I1357" s="66"/>
      <c r="J1357" s="48"/>
      <c r="K1357" s="49"/>
      <c r="L1357" s="77"/>
      <c r="M1357" s="77"/>
      <c r="N1357" s="53"/>
      <c r="O1357" s="52"/>
      <c r="P1357" s="53"/>
      <c r="Q1357" s="54"/>
      <c r="R1357" s="1"/>
      <c r="S1357" s="1"/>
      <c r="T1357" s="1"/>
    </row>
    <row r="1358" spans="1:20" ht="13.5" customHeight="1" x14ac:dyDescent="0.25">
      <c r="A1358" s="1"/>
      <c r="B1358" s="1"/>
      <c r="C1358" s="41" t="s">
        <v>1260</v>
      </c>
      <c r="D1358" s="42"/>
      <c r="E1358" s="67"/>
      <c r="F1358" s="45"/>
      <c r="G1358" s="45"/>
      <c r="H1358" s="74"/>
      <c r="I1358" s="66"/>
      <c r="J1358" s="48"/>
      <c r="K1358" s="49"/>
      <c r="L1358" s="77"/>
      <c r="M1358" s="77"/>
      <c r="N1358" s="53"/>
      <c r="O1358" s="52"/>
      <c r="P1358" s="53"/>
      <c r="Q1358" s="54"/>
      <c r="R1358" s="1"/>
      <c r="S1358" s="1"/>
      <c r="T1358" s="1"/>
    </row>
    <row r="1359" spans="1:20" ht="13.5" customHeight="1" x14ac:dyDescent="0.25">
      <c r="A1359" s="1"/>
      <c r="B1359" s="1" t="s">
        <v>1261</v>
      </c>
      <c r="C1359" s="1" t="s">
        <v>418</v>
      </c>
      <c r="D1359" s="42">
        <v>50800</v>
      </c>
      <c r="E1359" s="43">
        <v>23599.39</v>
      </c>
      <c r="F1359" s="45">
        <v>49885</v>
      </c>
      <c r="G1359" s="45">
        <v>49885</v>
      </c>
      <c r="H1359" s="46">
        <v>43553</v>
      </c>
      <c r="I1359" s="47">
        <f t="shared" ref="I1359:I1360" si="587">H1359/J1359</f>
        <v>1.0062845128347311</v>
      </c>
      <c r="J1359" s="48">
        <v>43281</v>
      </c>
      <c r="K1359" s="49">
        <v>43281</v>
      </c>
      <c r="L1359" s="50">
        <v>42482.69</v>
      </c>
      <c r="M1359" s="50">
        <v>41572.21</v>
      </c>
      <c r="N1359" s="51">
        <v>40916.959999999999</v>
      </c>
      <c r="O1359" s="52">
        <v>39123.410000000003</v>
      </c>
      <c r="P1359" s="53">
        <v>39053.5</v>
      </c>
      <c r="Q1359" s="54">
        <v>37633.19</v>
      </c>
      <c r="R1359" s="1"/>
      <c r="S1359" s="1"/>
      <c r="T1359" s="1"/>
    </row>
    <row r="1360" spans="1:20" ht="13.5" customHeight="1" x14ac:dyDescent="0.25">
      <c r="A1360" s="1"/>
      <c r="B1360" s="1" t="s">
        <v>1262</v>
      </c>
      <c r="C1360" s="1" t="s">
        <v>423</v>
      </c>
      <c r="D1360" s="42">
        <v>0</v>
      </c>
      <c r="E1360" s="43">
        <v>0</v>
      </c>
      <c r="F1360" s="45">
        <v>0</v>
      </c>
      <c r="G1360" s="45">
        <v>0</v>
      </c>
      <c r="H1360" s="46">
        <v>4876.42</v>
      </c>
      <c r="I1360" s="47">
        <f t="shared" si="587"/>
        <v>0.97528400000000004</v>
      </c>
      <c r="J1360" s="48">
        <v>5000</v>
      </c>
      <c r="K1360" s="49">
        <v>5000</v>
      </c>
      <c r="L1360" s="50">
        <v>5027.54</v>
      </c>
      <c r="M1360" s="50">
        <v>5000.0600000000004</v>
      </c>
      <c r="N1360" s="51">
        <v>5019.3</v>
      </c>
      <c r="O1360" s="52">
        <v>4776.5600000000004</v>
      </c>
      <c r="P1360" s="53">
        <v>4499.88</v>
      </c>
      <c r="Q1360" s="54">
        <v>4264.58</v>
      </c>
      <c r="R1360" s="1"/>
      <c r="S1360" s="1"/>
      <c r="T1360" s="1"/>
    </row>
    <row r="1361" spans="1:20" ht="13.5" customHeight="1" x14ac:dyDescent="0.25">
      <c r="A1361" s="1"/>
      <c r="B1361" s="1"/>
      <c r="C1361" s="1"/>
      <c r="D1361" s="56">
        <v>50800</v>
      </c>
      <c r="E1361" s="57">
        <f t="shared" ref="E1361" si="588">SUM(E1359:E1360)</f>
        <v>23599.39</v>
      </c>
      <c r="F1361" s="58">
        <f>SUM(F1358:F1360)</f>
        <v>49885</v>
      </c>
      <c r="G1361" s="58">
        <v>49885</v>
      </c>
      <c r="H1361" s="59">
        <f>SUM(H1359:H1360)</f>
        <v>48429.42</v>
      </c>
      <c r="I1361" s="59"/>
      <c r="J1361" s="60">
        <f t="shared" ref="J1361:Q1361" si="589">SUM(J1359:J1360)</f>
        <v>48281</v>
      </c>
      <c r="K1361" s="61">
        <f t="shared" si="589"/>
        <v>48281</v>
      </c>
      <c r="L1361" s="62">
        <f t="shared" si="589"/>
        <v>47510.23</v>
      </c>
      <c r="M1361" s="62">
        <f t="shared" si="589"/>
        <v>46572.27</v>
      </c>
      <c r="N1361" s="63">
        <f t="shared" si="589"/>
        <v>45936.26</v>
      </c>
      <c r="O1361" s="64">
        <f t="shared" si="589"/>
        <v>43899.97</v>
      </c>
      <c r="P1361" s="63">
        <f t="shared" si="589"/>
        <v>43553.38</v>
      </c>
      <c r="Q1361" s="65">
        <f t="shared" si="589"/>
        <v>41897.770000000004</v>
      </c>
      <c r="R1361" s="1"/>
      <c r="S1361" s="1"/>
      <c r="T1361" s="1"/>
    </row>
    <row r="1362" spans="1:20" ht="13.5" customHeight="1" x14ac:dyDescent="0.25">
      <c r="A1362" s="1"/>
      <c r="B1362" s="1"/>
      <c r="C1362" s="1"/>
      <c r="D1362" s="42"/>
      <c r="E1362" s="44"/>
      <c r="F1362" s="45"/>
      <c r="G1362" s="45"/>
      <c r="H1362" s="66"/>
      <c r="I1362" s="66"/>
      <c r="J1362" s="48"/>
      <c r="K1362" s="49"/>
      <c r="L1362" s="50"/>
      <c r="M1362" s="50"/>
      <c r="N1362" s="51"/>
      <c r="O1362" s="52"/>
      <c r="P1362" s="53"/>
      <c r="Q1362" s="54"/>
      <c r="R1362" s="1"/>
      <c r="S1362" s="1"/>
      <c r="T1362" s="1"/>
    </row>
    <row r="1363" spans="1:20" ht="13.5" customHeight="1" x14ac:dyDescent="0.25">
      <c r="A1363" s="1"/>
      <c r="B1363" s="1" t="s">
        <v>1263</v>
      </c>
      <c r="C1363" s="1" t="s">
        <v>247</v>
      </c>
      <c r="D1363" s="42">
        <v>3978</v>
      </c>
      <c r="E1363" s="43">
        <v>1745.85</v>
      </c>
      <c r="F1363" s="45">
        <v>3953.9025000000001</v>
      </c>
      <c r="G1363" s="45">
        <v>3953.9025000000001</v>
      </c>
      <c r="H1363" s="46">
        <v>3578.05</v>
      </c>
      <c r="I1363" s="47">
        <f t="shared" ref="I1363:I1369" si="590">H1363/J1363</f>
        <v>0.96704054054054056</v>
      </c>
      <c r="J1363" s="48">
        <v>3700</v>
      </c>
      <c r="K1363" s="49">
        <v>3700</v>
      </c>
      <c r="L1363" s="50">
        <v>3512.72</v>
      </c>
      <c r="M1363" s="50">
        <v>3470.62</v>
      </c>
      <c r="N1363" s="51">
        <v>3023.84</v>
      </c>
      <c r="O1363" s="52">
        <v>2927.44</v>
      </c>
      <c r="P1363" s="53">
        <v>2882.15</v>
      </c>
      <c r="Q1363" s="54">
        <v>2770.77</v>
      </c>
      <c r="R1363" s="1"/>
      <c r="S1363" s="1"/>
      <c r="T1363" s="1"/>
    </row>
    <row r="1364" spans="1:20" ht="13.5" customHeight="1" x14ac:dyDescent="0.25">
      <c r="A1364" s="1"/>
      <c r="B1364" s="1" t="s">
        <v>1264</v>
      </c>
      <c r="C1364" s="1" t="s">
        <v>249</v>
      </c>
      <c r="D1364" s="42">
        <v>10463.434800000001</v>
      </c>
      <c r="E1364" s="43">
        <v>5178.18</v>
      </c>
      <c r="F1364" s="45">
        <v>10463.2736</v>
      </c>
      <c r="G1364" s="45">
        <v>10463.2736</v>
      </c>
      <c r="H1364" s="46">
        <v>10176.06</v>
      </c>
      <c r="I1364" s="47">
        <f t="shared" si="590"/>
        <v>0.99453283815480842</v>
      </c>
      <c r="J1364" s="48">
        <v>10232</v>
      </c>
      <c r="K1364" s="49">
        <v>10232</v>
      </c>
      <c r="L1364" s="50">
        <v>10140</v>
      </c>
      <c r="M1364" s="50">
        <v>9294.1</v>
      </c>
      <c r="N1364" s="51">
        <v>10165.6</v>
      </c>
      <c r="O1364" s="52">
        <v>10124.16</v>
      </c>
      <c r="P1364" s="53">
        <v>9977.7999999999993</v>
      </c>
      <c r="Q1364" s="54">
        <v>9616.7999999999993</v>
      </c>
      <c r="R1364" s="1"/>
      <c r="S1364" s="1"/>
      <c r="T1364" s="1"/>
    </row>
    <row r="1365" spans="1:20" ht="13.5" customHeight="1" x14ac:dyDescent="0.25">
      <c r="A1365" s="1"/>
      <c r="B1365" s="1" t="s">
        <v>1265</v>
      </c>
      <c r="C1365" s="1" t="s">
        <v>251</v>
      </c>
      <c r="D1365" s="42">
        <v>7810.4</v>
      </c>
      <c r="E1365" s="43">
        <v>3629.89</v>
      </c>
      <c r="F1365" s="45">
        <v>7672.9669999999996</v>
      </c>
      <c r="G1365" s="45">
        <v>7672.9669999999996</v>
      </c>
      <c r="H1365" s="46">
        <v>7213.44</v>
      </c>
      <c r="I1365" s="47">
        <f t="shared" si="590"/>
        <v>1.0039582463465553</v>
      </c>
      <c r="J1365" s="48">
        <v>7185</v>
      </c>
      <c r="K1365" s="49">
        <v>7185</v>
      </c>
      <c r="L1365" s="50">
        <v>6971.12</v>
      </c>
      <c r="M1365" s="50">
        <v>6487.88</v>
      </c>
      <c r="N1365" s="51">
        <v>6313.18</v>
      </c>
      <c r="O1365" s="52">
        <v>6006.06</v>
      </c>
      <c r="P1365" s="53">
        <v>5912.51</v>
      </c>
      <c r="Q1365" s="54">
        <v>5356.02</v>
      </c>
      <c r="R1365" s="1"/>
      <c r="S1365" s="1"/>
      <c r="T1365" s="1"/>
    </row>
    <row r="1366" spans="1:20" ht="13.5" customHeight="1" x14ac:dyDescent="0.25">
      <c r="A1366" s="1"/>
      <c r="B1366" s="1" t="s">
        <v>1266</v>
      </c>
      <c r="C1366" s="1" t="s">
        <v>253</v>
      </c>
      <c r="D1366" s="42">
        <v>83.2</v>
      </c>
      <c r="E1366" s="43">
        <v>38.67</v>
      </c>
      <c r="F1366" s="45">
        <v>81.736000000000004</v>
      </c>
      <c r="G1366" s="45">
        <v>81.736000000000004</v>
      </c>
      <c r="H1366" s="46">
        <v>79.42</v>
      </c>
      <c r="I1366" s="47">
        <f t="shared" si="590"/>
        <v>0.99275000000000002</v>
      </c>
      <c r="J1366" s="48">
        <v>80</v>
      </c>
      <c r="K1366" s="49">
        <v>80</v>
      </c>
      <c r="L1366" s="50">
        <v>88.01</v>
      </c>
      <c r="M1366" s="50">
        <v>88.4</v>
      </c>
      <c r="N1366" s="51">
        <v>109.72</v>
      </c>
      <c r="O1366" s="52">
        <v>117.96</v>
      </c>
      <c r="P1366" s="53">
        <v>107.98</v>
      </c>
      <c r="Q1366" s="54">
        <v>100.25</v>
      </c>
      <c r="R1366" s="1"/>
      <c r="S1366" s="1"/>
      <c r="T1366" s="1"/>
    </row>
    <row r="1367" spans="1:20" ht="13.5" customHeight="1" x14ac:dyDescent="0.25">
      <c r="A1367" s="1"/>
      <c r="B1367" s="1" t="s">
        <v>1267</v>
      </c>
      <c r="C1367" s="1" t="s">
        <v>255</v>
      </c>
      <c r="D1367" s="42">
        <v>351.12</v>
      </c>
      <c r="E1367" s="43">
        <v>167.28</v>
      </c>
      <c r="F1367" s="45">
        <v>335</v>
      </c>
      <c r="G1367" s="45">
        <v>335</v>
      </c>
      <c r="H1367" s="46">
        <v>323.95999999999998</v>
      </c>
      <c r="I1367" s="47">
        <f t="shared" si="590"/>
        <v>1.006086956521739</v>
      </c>
      <c r="J1367" s="48">
        <v>322</v>
      </c>
      <c r="K1367" s="49">
        <v>322</v>
      </c>
      <c r="L1367" s="50">
        <v>313.24</v>
      </c>
      <c r="M1367" s="50">
        <v>277.10000000000002</v>
      </c>
      <c r="N1367" s="51">
        <v>329.54</v>
      </c>
      <c r="O1367" s="52">
        <v>335.4</v>
      </c>
      <c r="P1367" s="53">
        <v>335.4</v>
      </c>
      <c r="Q1367" s="54">
        <v>320.3</v>
      </c>
      <c r="R1367" s="1"/>
      <c r="S1367" s="1"/>
      <c r="T1367" s="1"/>
    </row>
    <row r="1368" spans="1:20" ht="13.5" customHeight="1" x14ac:dyDescent="0.25">
      <c r="A1368" s="1"/>
      <c r="B1368" s="1" t="s">
        <v>1268</v>
      </c>
      <c r="C1368" s="1" t="s">
        <v>257</v>
      </c>
      <c r="D1368" s="42">
        <v>0</v>
      </c>
      <c r="E1368" s="70">
        <v>0</v>
      </c>
      <c r="F1368" s="45">
        <v>600</v>
      </c>
      <c r="G1368" s="45">
        <v>600</v>
      </c>
      <c r="H1368" s="74">
        <v>0</v>
      </c>
      <c r="I1368" s="47">
        <f t="shared" si="590"/>
        <v>0</v>
      </c>
      <c r="J1368" s="48">
        <v>600</v>
      </c>
      <c r="K1368" s="49">
        <v>600</v>
      </c>
      <c r="L1368" s="77">
        <v>0</v>
      </c>
      <c r="M1368" s="77">
        <v>0</v>
      </c>
      <c r="N1368" s="51">
        <v>600</v>
      </c>
      <c r="O1368" s="52">
        <v>575</v>
      </c>
      <c r="P1368" s="53">
        <v>625</v>
      </c>
      <c r="Q1368" s="54">
        <v>0</v>
      </c>
      <c r="R1368" s="1"/>
      <c r="S1368" s="1"/>
      <c r="T1368" s="1"/>
    </row>
    <row r="1369" spans="1:20" ht="13.5" customHeight="1" x14ac:dyDescent="0.25">
      <c r="A1369" s="1"/>
      <c r="B1369" s="1" t="s">
        <v>1269</v>
      </c>
      <c r="C1369" s="1" t="s">
        <v>559</v>
      </c>
      <c r="D1369" s="42">
        <v>1200</v>
      </c>
      <c r="E1369" s="43">
        <v>599.95000000000005</v>
      </c>
      <c r="F1369" s="45">
        <v>1200</v>
      </c>
      <c r="G1369" s="45">
        <v>1200</v>
      </c>
      <c r="H1369" s="46">
        <v>1199.9000000000001</v>
      </c>
      <c r="I1369" s="47">
        <f t="shared" si="590"/>
        <v>0.99991666666666679</v>
      </c>
      <c r="J1369" s="48">
        <v>1200</v>
      </c>
      <c r="K1369" s="49">
        <v>1200</v>
      </c>
      <c r="L1369" s="50">
        <v>1199.9000000000001</v>
      </c>
      <c r="M1369" s="50">
        <v>1153.75</v>
      </c>
      <c r="N1369" s="51">
        <v>1199.9000000000001</v>
      </c>
      <c r="O1369" s="52">
        <v>1300.05</v>
      </c>
      <c r="P1369" s="53">
        <v>1199.9000000000001</v>
      </c>
      <c r="Q1369" s="54">
        <v>1199.9000000000001</v>
      </c>
      <c r="R1369" s="1"/>
      <c r="S1369" s="1"/>
      <c r="T1369" s="1"/>
    </row>
    <row r="1370" spans="1:20" ht="13.5" customHeight="1" x14ac:dyDescent="0.25">
      <c r="A1370" s="1"/>
      <c r="B1370" s="1"/>
      <c r="C1370" s="1"/>
      <c r="D1370" s="56">
        <v>23886.1548</v>
      </c>
      <c r="E1370" s="57">
        <f t="shared" ref="E1370" si="591">SUM(E1363:E1369)</f>
        <v>11359.820000000002</v>
      </c>
      <c r="F1370" s="58">
        <f>SUM(F1363:F1369)</f>
        <v>24306.879100000002</v>
      </c>
      <c r="G1370" s="58">
        <v>24306.879100000002</v>
      </c>
      <c r="H1370" s="59">
        <f>SUM(H1363:H1369)</f>
        <v>22570.829999999998</v>
      </c>
      <c r="I1370" s="59"/>
      <c r="J1370" s="60">
        <f t="shared" ref="J1370:Q1370" si="592">SUM(J1363:J1369)</f>
        <v>23319</v>
      </c>
      <c r="K1370" s="61">
        <f t="shared" si="592"/>
        <v>23319</v>
      </c>
      <c r="L1370" s="62">
        <f t="shared" si="592"/>
        <v>22224.99</v>
      </c>
      <c r="M1370" s="62">
        <f t="shared" si="592"/>
        <v>20771.850000000002</v>
      </c>
      <c r="N1370" s="63">
        <f t="shared" si="592"/>
        <v>21741.780000000006</v>
      </c>
      <c r="O1370" s="64">
        <f t="shared" si="592"/>
        <v>21386.07</v>
      </c>
      <c r="P1370" s="63">
        <f t="shared" si="592"/>
        <v>21040.74</v>
      </c>
      <c r="Q1370" s="65">
        <f t="shared" si="592"/>
        <v>19364.04</v>
      </c>
      <c r="R1370" s="1"/>
      <c r="S1370" s="1"/>
      <c r="T1370" s="1"/>
    </row>
    <row r="1371" spans="1:20" ht="13.5" customHeight="1" x14ac:dyDescent="0.25">
      <c r="A1371" s="1"/>
      <c r="B1371" s="1"/>
      <c r="C1371" s="1"/>
      <c r="D1371" s="42"/>
      <c r="E1371" s="44"/>
      <c r="F1371" s="45"/>
      <c r="G1371" s="45"/>
      <c r="H1371" s="66"/>
      <c r="I1371" s="66"/>
      <c r="J1371" s="48"/>
      <c r="K1371" s="49"/>
      <c r="L1371" s="50"/>
      <c r="M1371" s="50"/>
      <c r="N1371" s="51"/>
      <c r="O1371" s="52"/>
      <c r="P1371" s="53"/>
      <c r="Q1371" s="54"/>
      <c r="R1371" s="1"/>
      <c r="S1371" s="1"/>
      <c r="T1371" s="1"/>
    </row>
    <row r="1372" spans="1:20" ht="13.5" customHeight="1" x14ac:dyDescent="0.25">
      <c r="A1372" s="1"/>
      <c r="B1372" s="1" t="s">
        <v>1270</v>
      </c>
      <c r="C1372" s="1" t="s">
        <v>259</v>
      </c>
      <c r="D1372" s="42">
        <v>100</v>
      </c>
      <c r="E1372" s="70">
        <v>0</v>
      </c>
      <c r="F1372" s="45">
        <v>100</v>
      </c>
      <c r="G1372" s="45">
        <v>100</v>
      </c>
      <c r="H1372" s="74">
        <v>0</v>
      </c>
      <c r="I1372" s="47">
        <f t="shared" ref="I1372:I1376" si="593">H1372/J1372</f>
        <v>0</v>
      </c>
      <c r="J1372" s="48">
        <v>100</v>
      </c>
      <c r="K1372" s="49">
        <v>100</v>
      </c>
      <c r="L1372" s="50">
        <v>48.73</v>
      </c>
      <c r="M1372" s="50">
        <v>83.75</v>
      </c>
      <c r="N1372" s="51">
        <v>2.4</v>
      </c>
      <c r="O1372" s="52">
        <v>0</v>
      </c>
      <c r="P1372" s="53">
        <v>102.59</v>
      </c>
      <c r="Q1372" s="54">
        <v>161.52000000000001</v>
      </c>
      <c r="R1372" s="1"/>
      <c r="S1372" s="1"/>
      <c r="T1372" s="1"/>
    </row>
    <row r="1373" spans="1:20" ht="13.5" customHeight="1" x14ac:dyDescent="0.25">
      <c r="A1373" s="1"/>
      <c r="B1373" s="1" t="s">
        <v>1271</v>
      </c>
      <c r="C1373" s="1" t="s">
        <v>261</v>
      </c>
      <c r="D1373" s="42">
        <v>100</v>
      </c>
      <c r="E1373" s="70">
        <v>0</v>
      </c>
      <c r="F1373" s="45">
        <v>100</v>
      </c>
      <c r="G1373" s="45">
        <v>100</v>
      </c>
      <c r="H1373" s="74">
        <v>0</v>
      </c>
      <c r="I1373" s="47">
        <f t="shared" si="593"/>
        <v>0</v>
      </c>
      <c r="J1373" s="48">
        <v>100</v>
      </c>
      <c r="K1373" s="49">
        <v>100</v>
      </c>
      <c r="L1373" s="77">
        <v>0</v>
      </c>
      <c r="M1373" s="77">
        <v>0</v>
      </c>
      <c r="N1373" s="53">
        <v>0</v>
      </c>
      <c r="O1373" s="52">
        <v>0</v>
      </c>
      <c r="P1373" s="53">
        <v>0</v>
      </c>
      <c r="Q1373" s="54">
        <v>92</v>
      </c>
      <c r="R1373" s="1"/>
      <c r="S1373" s="1"/>
      <c r="T1373" s="1"/>
    </row>
    <row r="1374" spans="1:20" ht="13.5" customHeight="1" x14ac:dyDescent="0.25">
      <c r="A1374" s="1"/>
      <c r="B1374" s="1" t="s">
        <v>1272</v>
      </c>
      <c r="C1374" s="1" t="s">
        <v>471</v>
      </c>
      <c r="D1374" s="42">
        <v>2000</v>
      </c>
      <c r="E1374" s="43">
        <v>181.92</v>
      </c>
      <c r="F1374" s="45">
        <v>2000</v>
      </c>
      <c r="G1374" s="45">
        <v>2000</v>
      </c>
      <c r="H1374" s="46">
        <v>982.46</v>
      </c>
      <c r="I1374" s="47">
        <f t="shared" si="593"/>
        <v>0.49123</v>
      </c>
      <c r="J1374" s="48">
        <v>2000</v>
      </c>
      <c r="K1374" s="49">
        <v>2000</v>
      </c>
      <c r="L1374" s="50">
        <v>1197.04</v>
      </c>
      <c r="M1374" s="50">
        <v>1134</v>
      </c>
      <c r="N1374" s="51">
        <v>1053.3800000000001</v>
      </c>
      <c r="O1374" s="52">
        <v>1590.57</v>
      </c>
      <c r="P1374" s="53">
        <v>1970.92</v>
      </c>
      <c r="Q1374" s="54">
        <v>1745.14</v>
      </c>
      <c r="R1374" s="1"/>
      <c r="S1374" s="1"/>
      <c r="T1374" s="1"/>
    </row>
    <row r="1375" spans="1:20" ht="13.5" customHeight="1" x14ac:dyDescent="0.25">
      <c r="A1375" s="1"/>
      <c r="B1375" s="1" t="s">
        <v>1273</v>
      </c>
      <c r="C1375" s="1" t="s">
        <v>473</v>
      </c>
      <c r="D1375" s="42">
        <v>400</v>
      </c>
      <c r="E1375" s="70">
        <v>0</v>
      </c>
      <c r="F1375" s="45">
        <v>400</v>
      </c>
      <c r="G1375" s="45">
        <v>400</v>
      </c>
      <c r="H1375" s="74">
        <v>0</v>
      </c>
      <c r="I1375" s="47">
        <f t="shared" si="593"/>
        <v>0</v>
      </c>
      <c r="J1375" s="48">
        <v>400</v>
      </c>
      <c r="K1375" s="49">
        <v>400</v>
      </c>
      <c r="L1375" s="77">
        <v>0</v>
      </c>
      <c r="M1375" s="77">
        <v>0</v>
      </c>
      <c r="N1375" s="53">
        <v>0</v>
      </c>
      <c r="O1375" s="52">
        <v>0</v>
      </c>
      <c r="P1375" s="53">
        <v>0</v>
      </c>
      <c r="Q1375" s="54">
        <v>0</v>
      </c>
      <c r="R1375" s="1"/>
      <c r="S1375" s="1"/>
      <c r="T1375" s="1"/>
    </row>
    <row r="1376" spans="1:20" ht="13.5" customHeight="1" x14ac:dyDescent="0.25">
      <c r="A1376" s="1"/>
      <c r="B1376" s="1" t="s">
        <v>1274</v>
      </c>
      <c r="C1376" s="1" t="s">
        <v>1275</v>
      </c>
      <c r="D1376" s="42">
        <v>300</v>
      </c>
      <c r="E1376" s="70">
        <v>0</v>
      </c>
      <c r="F1376" s="45">
        <v>300</v>
      </c>
      <c r="G1376" s="45">
        <v>300</v>
      </c>
      <c r="H1376" s="74">
        <v>0</v>
      </c>
      <c r="I1376" s="47">
        <f t="shared" si="593"/>
        <v>0</v>
      </c>
      <c r="J1376" s="48">
        <v>300</v>
      </c>
      <c r="K1376" s="49">
        <v>300</v>
      </c>
      <c r="L1376" s="50">
        <v>207.25</v>
      </c>
      <c r="M1376" s="77">
        <v>0</v>
      </c>
      <c r="N1376" s="53">
        <v>0</v>
      </c>
      <c r="O1376" s="52">
        <v>17.5</v>
      </c>
      <c r="P1376" s="53">
        <v>461.24</v>
      </c>
      <c r="Q1376" s="54">
        <v>0</v>
      </c>
      <c r="R1376" s="1"/>
      <c r="S1376" s="1"/>
      <c r="T1376" s="1"/>
    </row>
    <row r="1377" spans="1:20" ht="13.5" customHeight="1" x14ac:dyDescent="0.25">
      <c r="A1377" s="1"/>
      <c r="B1377" s="1" t="s">
        <v>1276</v>
      </c>
      <c r="C1377" s="55" t="s">
        <v>265</v>
      </c>
      <c r="D1377" s="42">
        <v>0</v>
      </c>
      <c r="E1377" s="70">
        <v>0</v>
      </c>
      <c r="F1377" s="73">
        <v>0</v>
      </c>
      <c r="G1377" s="73">
        <v>0</v>
      </c>
      <c r="H1377" s="74">
        <v>0</v>
      </c>
      <c r="I1377" s="183">
        <v>0</v>
      </c>
      <c r="J1377" s="75">
        <v>0</v>
      </c>
      <c r="K1377" s="76">
        <v>0</v>
      </c>
      <c r="L1377" s="50">
        <v>2965</v>
      </c>
      <c r="M1377" s="77">
        <v>0</v>
      </c>
      <c r="N1377" s="53">
        <v>0</v>
      </c>
      <c r="O1377" s="52">
        <v>0</v>
      </c>
      <c r="P1377" s="53">
        <v>61.46</v>
      </c>
      <c r="Q1377" s="54">
        <v>0</v>
      </c>
      <c r="R1377" s="1"/>
      <c r="S1377" s="1"/>
      <c r="T1377" s="1"/>
    </row>
    <row r="1378" spans="1:20" ht="13.5" customHeight="1" x14ac:dyDescent="0.25">
      <c r="A1378" s="1"/>
      <c r="B1378" s="1" t="s">
        <v>1277</v>
      </c>
      <c r="C1378" s="55" t="s">
        <v>294</v>
      </c>
      <c r="D1378" s="42">
        <v>200</v>
      </c>
      <c r="E1378" s="70">
        <v>0</v>
      </c>
      <c r="F1378" s="45">
        <v>200</v>
      </c>
      <c r="G1378" s="45">
        <v>200</v>
      </c>
      <c r="H1378" s="74">
        <v>0</v>
      </c>
      <c r="I1378" s="47">
        <f>H1378/J1378</f>
        <v>0</v>
      </c>
      <c r="J1378" s="48">
        <v>400</v>
      </c>
      <c r="K1378" s="49">
        <v>400</v>
      </c>
      <c r="L1378" s="50">
        <v>36.9</v>
      </c>
      <c r="M1378" s="50">
        <v>722.27</v>
      </c>
      <c r="N1378" s="53">
        <v>0</v>
      </c>
      <c r="O1378" s="52">
        <v>0</v>
      </c>
      <c r="P1378" s="53">
        <v>0</v>
      </c>
      <c r="Q1378" s="54">
        <v>0</v>
      </c>
      <c r="R1378" s="1"/>
      <c r="S1378" s="1"/>
      <c r="T1378" s="1"/>
    </row>
    <row r="1379" spans="1:20" ht="13.5" customHeight="1" x14ac:dyDescent="0.25">
      <c r="A1379" s="1"/>
      <c r="B1379" s="1"/>
      <c r="C1379" s="1"/>
      <c r="D1379" s="56">
        <v>3100</v>
      </c>
      <c r="E1379" s="57">
        <f t="shared" ref="E1379" si="594">SUM(E1372:E1378)</f>
        <v>181.92</v>
      </c>
      <c r="F1379" s="58">
        <f>SUM(F1372:F1378)</f>
        <v>3100</v>
      </c>
      <c r="G1379" s="58">
        <v>3100</v>
      </c>
      <c r="H1379" s="59">
        <f>SUM(H1372:H1378)</f>
        <v>982.46</v>
      </c>
      <c r="I1379" s="59"/>
      <c r="J1379" s="60">
        <f t="shared" ref="J1379:Q1379" si="595">SUM(J1372:J1378)</f>
        <v>3300</v>
      </c>
      <c r="K1379" s="61">
        <f t="shared" si="595"/>
        <v>3300</v>
      </c>
      <c r="L1379" s="62">
        <f t="shared" si="595"/>
        <v>4454.92</v>
      </c>
      <c r="M1379" s="62">
        <f t="shared" si="595"/>
        <v>1940.02</v>
      </c>
      <c r="N1379" s="63">
        <f t="shared" si="595"/>
        <v>1055.7800000000002</v>
      </c>
      <c r="O1379" s="64">
        <f t="shared" si="595"/>
        <v>1608.07</v>
      </c>
      <c r="P1379" s="63">
        <f t="shared" si="595"/>
        <v>2596.21</v>
      </c>
      <c r="Q1379" s="65">
        <f t="shared" si="595"/>
        <v>1998.66</v>
      </c>
      <c r="R1379" s="1"/>
      <c r="S1379" s="1"/>
      <c r="T1379" s="1"/>
    </row>
    <row r="1380" spans="1:20" ht="13.5" customHeight="1" x14ac:dyDescent="0.25">
      <c r="A1380" s="1"/>
      <c r="B1380" s="1"/>
      <c r="C1380" s="1"/>
      <c r="D1380" s="42"/>
      <c r="E1380" s="67"/>
      <c r="F1380" s="45"/>
      <c r="G1380" s="45"/>
      <c r="H1380" s="74"/>
      <c r="I1380" s="66"/>
      <c r="J1380" s="48"/>
      <c r="K1380" s="49"/>
      <c r="L1380" s="50"/>
      <c r="M1380" s="50"/>
      <c r="N1380" s="53"/>
      <c r="O1380" s="52"/>
      <c r="P1380" s="53"/>
      <c r="Q1380" s="54"/>
      <c r="R1380" s="1"/>
      <c r="S1380" s="1"/>
      <c r="T1380" s="1"/>
    </row>
    <row r="1381" spans="1:20" ht="13.5" customHeight="1" x14ac:dyDescent="0.25">
      <c r="A1381" s="1"/>
      <c r="B1381" s="1" t="s">
        <v>1278</v>
      </c>
      <c r="C1381" s="1" t="s">
        <v>482</v>
      </c>
      <c r="D1381" s="42">
        <v>60</v>
      </c>
      <c r="E1381" s="43">
        <v>60</v>
      </c>
      <c r="F1381" s="45">
        <v>60</v>
      </c>
      <c r="G1381" s="45">
        <v>60</v>
      </c>
      <c r="H1381" s="66">
        <v>60</v>
      </c>
      <c r="I1381" s="47">
        <f>H1381/J1381</f>
        <v>1</v>
      </c>
      <c r="J1381" s="48">
        <v>60</v>
      </c>
      <c r="K1381" s="49">
        <v>60</v>
      </c>
      <c r="L1381" s="50">
        <v>60</v>
      </c>
      <c r="M1381" s="50">
        <v>60</v>
      </c>
      <c r="N1381" s="53">
        <v>0</v>
      </c>
      <c r="O1381" s="52">
        <v>0</v>
      </c>
      <c r="P1381" s="53">
        <v>0</v>
      </c>
      <c r="Q1381" s="54">
        <v>60</v>
      </c>
      <c r="R1381" s="1"/>
      <c r="S1381" s="1"/>
      <c r="T1381" s="1"/>
    </row>
    <row r="1382" spans="1:20" ht="13.5" customHeight="1" x14ac:dyDescent="0.25">
      <c r="A1382" s="1"/>
      <c r="B1382" s="1" t="s">
        <v>1279</v>
      </c>
      <c r="C1382" s="1" t="s">
        <v>1128</v>
      </c>
      <c r="D1382" s="42">
        <v>0</v>
      </c>
      <c r="E1382" s="70">
        <v>0</v>
      </c>
      <c r="F1382" s="86">
        <v>0</v>
      </c>
      <c r="G1382" s="86">
        <v>0</v>
      </c>
      <c r="H1382" s="68">
        <v>0</v>
      </c>
      <c r="I1382" s="74"/>
      <c r="J1382" s="75" t="s">
        <v>16</v>
      </c>
      <c r="K1382" s="76" t="s">
        <v>16</v>
      </c>
      <c r="L1382" s="83">
        <v>0</v>
      </c>
      <c r="M1382" s="50">
        <v>209</v>
      </c>
      <c r="N1382" s="53" t="s">
        <v>16</v>
      </c>
      <c r="O1382" s="52"/>
      <c r="P1382" s="53"/>
      <c r="Q1382" s="54"/>
      <c r="R1382" s="1"/>
      <c r="S1382" s="1"/>
      <c r="T1382" s="1"/>
    </row>
    <row r="1383" spans="1:20" ht="13.5" customHeight="1" x14ac:dyDescent="0.25">
      <c r="A1383" s="1"/>
      <c r="B1383" s="1" t="s">
        <v>1280</v>
      </c>
      <c r="C1383" s="1" t="s">
        <v>489</v>
      </c>
      <c r="D1383" s="42">
        <v>400</v>
      </c>
      <c r="E1383" s="43">
        <v>135.44</v>
      </c>
      <c r="F1383" s="45">
        <v>400</v>
      </c>
      <c r="G1383" s="45">
        <v>400</v>
      </c>
      <c r="H1383" s="46">
        <v>56.08</v>
      </c>
      <c r="I1383" s="47">
        <f>H1383/J1383</f>
        <v>0.28039999999999998</v>
      </c>
      <c r="J1383" s="48">
        <v>200</v>
      </c>
      <c r="K1383" s="49">
        <v>200</v>
      </c>
      <c r="L1383" s="50">
        <v>33.33</v>
      </c>
      <c r="M1383" s="50">
        <v>292.79000000000002</v>
      </c>
      <c r="N1383" s="51">
        <v>815.5</v>
      </c>
      <c r="O1383" s="52">
        <v>6208.38</v>
      </c>
      <c r="P1383" s="53">
        <v>2953.04</v>
      </c>
      <c r="Q1383" s="54">
        <v>206.92</v>
      </c>
      <c r="R1383" s="1"/>
      <c r="S1383" s="1"/>
      <c r="T1383" s="1"/>
    </row>
    <row r="1384" spans="1:20" ht="13.5" customHeight="1" x14ac:dyDescent="0.25">
      <c r="A1384" s="1"/>
      <c r="B1384" s="1" t="s">
        <v>1281</v>
      </c>
      <c r="C1384" s="1" t="s">
        <v>541</v>
      </c>
      <c r="D1384" s="42">
        <v>0</v>
      </c>
      <c r="E1384" s="70">
        <v>0</v>
      </c>
      <c r="F1384" s="86">
        <v>0</v>
      </c>
      <c r="G1384" s="86">
        <v>0</v>
      </c>
      <c r="H1384" s="68">
        <v>0</v>
      </c>
      <c r="I1384" s="74"/>
      <c r="J1384" s="75" t="s">
        <v>16</v>
      </c>
      <c r="K1384" s="76" t="s">
        <v>16</v>
      </c>
      <c r="L1384" s="83">
        <v>0</v>
      </c>
      <c r="M1384" s="50">
        <v>177.5</v>
      </c>
      <c r="N1384" s="53" t="s">
        <v>16</v>
      </c>
      <c r="O1384" s="52"/>
      <c r="P1384" s="53"/>
      <c r="Q1384" s="54"/>
      <c r="R1384" s="1"/>
      <c r="S1384" s="1"/>
      <c r="T1384" s="1"/>
    </row>
    <row r="1385" spans="1:20" ht="13.5" customHeight="1" x14ac:dyDescent="0.25">
      <c r="A1385" s="1"/>
      <c r="B1385" s="1"/>
      <c r="C1385" s="1"/>
      <c r="D1385" s="88">
        <v>460</v>
      </c>
      <c r="E1385" s="89">
        <f t="shared" ref="E1385" si="596">SUM(E1381:E1384)</f>
        <v>195.44</v>
      </c>
      <c r="F1385" s="90">
        <f>SUM(F1381:F1384)</f>
        <v>460</v>
      </c>
      <c r="G1385" s="90">
        <v>460</v>
      </c>
      <c r="H1385" s="91">
        <f>SUM(H1381:H1384)</f>
        <v>116.08</v>
      </c>
      <c r="I1385" s="91"/>
      <c r="J1385" s="92">
        <f t="shared" ref="J1385:Q1385" si="597">SUM(J1381:J1384)</f>
        <v>260</v>
      </c>
      <c r="K1385" s="93">
        <f t="shared" si="597"/>
        <v>260</v>
      </c>
      <c r="L1385" s="94">
        <f t="shared" si="597"/>
        <v>93.33</v>
      </c>
      <c r="M1385" s="94">
        <f t="shared" si="597"/>
        <v>739.29</v>
      </c>
      <c r="N1385" s="95">
        <f t="shared" si="597"/>
        <v>815.5</v>
      </c>
      <c r="O1385" s="96">
        <f t="shared" si="597"/>
        <v>6208.38</v>
      </c>
      <c r="P1385" s="95">
        <f t="shared" si="597"/>
        <v>2953.04</v>
      </c>
      <c r="Q1385" s="97">
        <f t="shared" si="597"/>
        <v>266.91999999999996</v>
      </c>
      <c r="R1385" s="1"/>
      <c r="S1385" s="1"/>
      <c r="T1385" s="1"/>
    </row>
    <row r="1386" spans="1:20" ht="13.5" customHeight="1" x14ac:dyDescent="0.25">
      <c r="A1386" s="1"/>
      <c r="B1386" s="1"/>
      <c r="C1386" s="1"/>
      <c r="D1386" s="72"/>
      <c r="E1386" s="67"/>
      <c r="F1386" s="73"/>
      <c r="G1386" s="73"/>
      <c r="H1386" s="74"/>
      <c r="I1386" s="74"/>
      <c r="J1386" s="75"/>
      <c r="K1386" s="76"/>
      <c r="L1386" s="77"/>
      <c r="M1386" s="50"/>
      <c r="N1386" s="53"/>
      <c r="O1386" s="52"/>
      <c r="P1386" s="53"/>
      <c r="Q1386" s="54"/>
      <c r="R1386" s="1"/>
      <c r="S1386" s="1"/>
      <c r="T1386" s="1"/>
    </row>
    <row r="1387" spans="1:20" ht="13.5" customHeight="1" x14ac:dyDescent="0.25">
      <c r="A1387" s="1"/>
      <c r="B1387" s="1" t="s">
        <v>1282</v>
      </c>
      <c r="C1387" s="1" t="s">
        <v>1283</v>
      </c>
      <c r="D1387" s="42">
        <v>0</v>
      </c>
      <c r="E1387" s="67">
        <v>0</v>
      </c>
      <c r="F1387" s="73">
        <v>0</v>
      </c>
      <c r="G1387" s="73">
        <v>0</v>
      </c>
      <c r="H1387" s="74">
        <v>0</v>
      </c>
      <c r="I1387" s="74">
        <v>0</v>
      </c>
      <c r="J1387" s="75">
        <v>0</v>
      </c>
      <c r="K1387" s="76">
        <v>0</v>
      </c>
      <c r="L1387" s="50">
        <v>27695</v>
      </c>
      <c r="M1387" s="77">
        <v>0</v>
      </c>
      <c r="N1387" s="53">
        <v>0</v>
      </c>
      <c r="O1387" s="52"/>
      <c r="P1387" s="53"/>
      <c r="Q1387" s="54"/>
      <c r="R1387" s="1"/>
      <c r="S1387" s="1"/>
      <c r="T1387" s="1"/>
    </row>
    <row r="1388" spans="1:20" ht="13.5" customHeight="1" x14ac:dyDescent="0.25">
      <c r="A1388" s="1"/>
      <c r="B1388" s="1"/>
      <c r="C1388" s="1"/>
      <c r="D1388" s="203">
        <v>0</v>
      </c>
      <c r="E1388" s="204">
        <v>0</v>
      </c>
      <c r="F1388" s="205">
        <f>SUM(F1386:F1387)</f>
        <v>0</v>
      </c>
      <c r="G1388" s="205">
        <v>0</v>
      </c>
      <c r="H1388" s="91">
        <f>SUM(H1387)</f>
        <v>0</v>
      </c>
      <c r="I1388" s="91"/>
      <c r="J1388" s="92">
        <f t="shared" ref="J1388:Q1388" si="598">SUM(J1387)</f>
        <v>0</v>
      </c>
      <c r="K1388" s="93">
        <f t="shared" si="598"/>
        <v>0</v>
      </c>
      <c r="L1388" s="94">
        <f t="shared" si="598"/>
        <v>27695</v>
      </c>
      <c r="M1388" s="94">
        <f t="shared" si="598"/>
        <v>0</v>
      </c>
      <c r="N1388" s="95">
        <f t="shared" si="598"/>
        <v>0</v>
      </c>
      <c r="O1388" s="96">
        <f t="shared" si="598"/>
        <v>0</v>
      </c>
      <c r="P1388" s="95">
        <f t="shared" si="598"/>
        <v>0</v>
      </c>
      <c r="Q1388" s="97">
        <f t="shared" si="598"/>
        <v>0</v>
      </c>
      <c r="R1388" s="1"/>
      <c r="S1388" s="1"/>
      <c r="T1388" s="1"/>
    </row>
    <row r="1389" spans="1:20" ht="13.5" customHeight="1" thickBot="1" x14ac:dyDescent="0.3">
      <c r="A1389" s="116"/>
      <c r="B1389" s="116"/>
      <c r="C1389" s="116" t="s">
        <v>1284</v>
      </c>
      <c r="D1389" s="219">
        <v>78246.154800000004</v>
      </c>
      <c r="E1389" s="220">
        <f t="shared" ref="E1389" si="599">SUM(E1361+E1370+E1379+E1385+E1388)</f>
        <v>35336.57</v>
      </c>
      <c r="F1389" s="221">
        <f>SUM(F1361,F1370,F1379,F1385,F1388)</f>
        <v>77751.879100000006</v>
      </c>
      <c r="G1389" s="221">
        <v>77751.879100000006</v>
      </c>
      <c r="H1389" s="222">
        <f>SUM(H1361+H1370+H1379+H1385+H1388)</f>
        <v>72098.790000000008</v>
      </c>
      <c r="I1389" s="222"/>
      <c r="J1389" s="223">
        <f t="shared" ref="J1389:Q1389" si="600">SUM(J1361+J1370+J1379+J1385+J1388)</f>
        <v>75160</v>
      </c>
      <c r="K1389" s="224">
        <f t="shared" si="600"/>
        <v>75160</v>
      </c>
      <c r="L1389" s="225">
        <f t="shared" si="600"/>
        <v>101978.47</v>
      </c>
      <c r="M1389" s="225">
        <f t="shared" si="600"/>
        <v>70023.429999999993</v>
      </c>
      <c r="N1389" s="226">
        <f t="shared" si="600"/>
        <v>69549.320000000007</v>
      </c>
      <c r="O1389" s="227">
        <f t="shared" si="600"/>
        <v>73102.490000000005</v>
      </c>
      <c r="P1389" s="226">
        <f t="shared" si="600"/>
        <v>70143.37</v>
      </c>
      <c r="Q1389" s="228">
        <f t="shared" si="600"/>
        <v>63527.390000000007</v>
      </c>
      <c r="R1389" s="116"/>
      <c r="S1389" s="116"/>
      <c r="T1389" s="116"/>
    </row>
    <row r="1390" spans="1:20" ht="13.5" customHeight="1" thickTop="1" x14ac:dyDescent="0.25">
      <c r="A1390" s="1"/>
      <c r="B1390" s="1"/>
      <c r="C1390" s="1"/>
      <c r="D1390" s="72"/>
      <c r="E1390" s="67"/>
      <c r="F1390" s="73"/>
      <c r="G1390" s="73"/>
      <c r="H1390" s="74"/>
      <c r="I1390" s="74"/>
      <c r="J1390" s="75"/>
      <c r="K1390" s="76"/>
      <c r="L1390" s="50"/>
      <c r="M1390" s="77"/>
      <c r="N1390" s="53"/>
      <c r="O1390" s="52"/>
      <c r="P1390" s="53"/>
      <c r="Q1390" s="54"/>
      <c r="R1390" s="1"/>
      <c r="S1390" s="1"/>
      <c r="T1390" s="1"/>
    </row>
    <row r="1391" spans="1:20" ht="13.5" customHeight="1" x14ac:dyDescent="0.25">
      <c r="A1391" s="1"/>
      <c r="B1391" s="1"/>
      <c r="C1391" s="41" t="s">
        <v>1285</v>
      </c>
      <c r="D1391" s="72"/>
      <c r="E1391" s="67"/>
      <c r="F1391" s="73"/>
      <c r="G1391" s="73"/>
      <c r="H1391" s="74"/>
      <c r="I1391" s="74"/>
      <c r="J1391" s="75"/>
      <c r="K1391" s="76"/>
      <c r="L1391" s="50"/>
      <c r="M1391" s="77"/>
      <c r="N1391" s="53"/>
      <c r="O1391" s="52"/>
      <c r="P1391" s="53"/>
      <c r="Q1391" s="54"/>
      <c r="R1391" s="1"/>
      <c r="S1391" s="1"/>
      <c r="T1391" s="1"/>
    </row>
    <row r="1392" spans="1:20" ht="13.5" customHeight="1" x14ac:dyDescent="0.25">
      <c r="A1392" s="1"/>
      <c r="B1392" s="1" t="s">
        <v>1286</v>
      </c>
      <c r="C1392" s="1" t="s">
        <v>418</v>
      </c>
      <c r="D1392" s="42">
        <v>49885</v>
      </c>
      <c r="E1392" s="43">
        <v>23599.39</v>
      </c>
      <c r="F1392" s="45">
        <v>49885</v>
      </c>
      <c r="G1392" s="45">
        <v>49885</v>
      </c>
      <c r="H1392" s="46">
        <v>43553</v>
      </c>
      <c r="I1392" s="47">
        <f t="shared" ref="I1392:I1393" si="601">H1392/J1392</f>
        <v>1.0062845128347311</v>
      </c>
      <c r="J1392" s="48">
        <v>43281</v>
      </c>
      <c r="K1392" s="49">
        <v>43281</v>
      </c>
      <c r="L1392" s="50">
        <v>42482.69</v>
      </c>
      <c r="M1392" s="50">
        <v>41572.230000000003</v>
      </c>
      <c r="N1392" s="51">
        <v>40916.980000000003</v>
      </c>
      <c r="O1392" s="52">
        <v>39123.1</v>
      </c>
      <c r="P1392" s="53">
        <v>39053.5</v>
      </c>
      <c r="Q1392" s="54">
        <v>37633.19</v>
      </c>
      <c r="R1392" s="1"/>
      <c r="S1392" s="1"/>
      <c r="T1392" s="1"/>
    </row>
    <row r="1393" spans="1:20" ht="13.5" customHeight="1" x14ac:dyDescent="0.25">
      <c r="A1393" s="1"/>
      <c r="B1393" s="1" t="s">
        <v>1287</v>
      </c>
      <c r="C1393" s="1" t="s">
        <v>423</v>
      </c>
      <c r="D1393" s="42">
        <v>0</v>
      </c>
      <c r="E1393" s="44">
        <v>0</v>
      </c>
      <c r="F1393" s="45">
        <v>0</v>
      </c>
      <c r="G1393" s="45">
        <v>0</v>
      </c>
      <c r="H1393" s="46">
        <v>4876.42</v>
      </c>
      <c r="I1393" s="47">
        <f t="shared" si="601"/>
        <v>0.97528400000000004</v>
      </c>
      <c r="J1393" s="48">
        <v>5000</v>
      </c>
      <c r="K1393" s="49">
        <v>5000</v>
      </c>
      <c r="L1393" s="50">
        <v>5027.54</v>
      </c>
      <c r="M1393" s="50">
        <v>4852.1899999999996</v>
      </c>
      <c r="N1393" s="51">
        <v>4522.6099999999997</v>
      </c>
      <c r="O1393" s="52">
        <v>3250.11</v>
      </c>
      <c r="P1393" s="53">
        <v>2379.13</v>
      </c>
      <c r="Q1393" s="54">
        <v>2136.35</v>
      </c>
      <c r="R1393" s="1"/>
      <c r="S1393" s="1"/>
      <c r="T1393" s="1"/>
    </row>
    <row r="1394" spans="1:20" ht="13.5" customHeight="1" x14ac:dyDescent="0.25">
      <c r="A1394" s="1"/>
      <c r="B1394" s="1"/>
      <c r="C1394" s="1"/>
      <c r="D1394" s="56">
        <v>49885</v>
      </c>
      <c r="E1394" s="57">
        <f t="shared" ref="E1394" si="602">SUM(E1392:E1393)</f>
        <v>23599.39</v>
      </c>
      <c r="F1394" s="58">
        <f>SUM(F1391:F1393)</f>
        <v>49885</v>
      </c>
      <c r="G1394" s="58">
        <v>49885</v>
      </c>
      <c r="H1394" s="59">
        <f>SUM(H1392:H1393)</f>
        <v>48429.42</v>
      </c>
      <c r="I1394" s="59"/>
      <c r="J1394" s="60">
        <f t="shared" ref="J1394:Q1394" si="603">SUM(J1392:J1393)</f>
        <v>48281</v>
      </c>
      <c r="K1394" s="61">
        <f t="shared" si="603"/>
        <v>48281</v>
      </c>
      <c r="L1394" s="62">
        <f t="shared" si="603"/>
        <v>47510.23</v>
      </c>
      <c r="M1394" s="62">
        <f t="shared" si="603"/>
        <v>46424.420000000006</v>
      </c>
      <c r="N1394" s="63">
        <f t="shared" si="603"/>
        <v>45439.590000000004</v>
      </c>
      <c r="O1394" s="64">
        <f t="shared" si="603"/>
        <v>42373.21</v>
      </c>
      <c r="P1394" s="63">
        <f t="shared" si="603"/>
        <v>41432.629999999997</v>
      </c>
      <c r="Q1394" s="65">
        <f t="shared" si="603"/>
        <v>39769.54</v>
      </c>
      <c r="R1394" s="1"/>
      <c r="S1394" s="1"/>
      <c r="T1394" s="1"/>
    </row>
    <row r="1395" spans="1:20" ht="13.5" customHeight="1" x14ac:dyDescent="0.25">
      <c r="A1395" s="1"/>
      <c r="B1395" s="1"/>
      <c r="C1395" s="1"/>
      <c r="D1395" s="42"/>
      <c r="E1395" s="44"/>
      <c r="F1395" s="45"/>
      <c r="G1395" s="45"/>
      <c r="H1395" s="66"/>
      <c r="I1395" s="66"/>
      <c r="J1395" s="48"/>
      <c r="K1395" s="49"/>
      <c r="L1395" s="50"/>
      <c r="M1395" s="50"/>
      <c r="N1395" s="51"/>
      <c r="O1395" s="52"/>
      <c r="P1395" s="53"/>
      <c r="Q1395" s="54"/>
      <c r="R1395" s="1"/>
      <c r="S1395" s="1"/>
      <c r="T1395" s="1"/>
    </row>
    <row r="1396" spans="1:20" ht="13.5" customHeight="1" x14ac:dyDescent="0.25">
      <c r="A1396" s="1"/>
      <c r="B1396" s="1" t="s">
        <v>1288</v>
      </c>
      <c r="C1396" s="1" t="s">
        <v>247</v>
      </c>
      <c r="D1396" s="42">
        <v>3908.0025000000001</v>
      </c>
      <c r="E1396" s="43">
        <v>1657.09</v>
      </c>
      <c r="F1396" s="45">
        <v>3953.9025000000001</v>
      </c>
      <c r="G1396" s="45">
        <v>3953.9025000000001</v>
      </c>
      <c r="H1396" s="46">
        <v>3293.02</v>
      </c>
      <c r="I1396" s="47">
        <f t="shared" ref="I1396:I1402" si="604">H1396/J1396</f>
        <v>0.8900054054054054</v>
      </c>
      <c r="J1396" s="48">
        <v>3700</v>
      </c>
      <c r="K1396" s="49">
        <v>3700</v>
      </c>
      <c r="L1396" s="50">
        <v>3198.1</v>
      </c>
      <c r="M1396" s="50">
        <v>3147.22</v>
      </c>
      <c r="N1396" s="51">
        <v>3079.96</v>
      </c>
      <c r="O1396" s="52">
        <v>3093.1</v>
      </c>
      <c r="P1396" s="53">
        <v>3074.64</v>
      </c>
      <c r="Q1396" s="54">
        <v>2920.29</v>
      </c>
      <c r="R1396" s="1"/>
      <c r="S1396" s="1"/>
      <c r="T1396" s="1"/>
    </row>
    <row r="1397" spans="1:20" ht="13.5" customHeight="1" x14ac:dyDescent="0.25">
      <c r="A1397" s="1"/>
      <c r="B1397" s="1" t="s">
        <v>1289</v>
      </c>
      <c r="C1397" s="1" t="s">
        <v>249</v>
      </c>
      <c r="D1397" s="42">
        <v>10463.434800000001</v>
      </c>
      <c r="E1397" s="43">
        <v>5178.18</v>
      </c>
      <c r="F1397" s="45">
        <v>10463.2736</v>
      </c>
      <c r="G1397" s="45">
        <v>10463.2736</v>
      </c>
      <c r="H1397" s="46">
        <v>10176.06</v>
      </c>
      <c r="I1397" s="47">
        <f t="shared" si="604"/>
        <v>0.99453283815480842</v>
      </c>
      <c r="J1397" s="48">
        <v>10232</v>
      </c>
      <c r="K1397" s="49">
        <v>10232</v>
      </c>
      <c r="L1397" s="50">
        <v>10140</v>
      </c>
      <c r="M1397" s="50">
        <v>10139</v>
      </c>
      <c r="N1397" s="51">
        <v>10165.6</v>
      </c>
      <c r="O1397" s="52">
        <v>10124.16</v>
      </c>
      <c r="P1397" s="53">
        <v>9977.7999999999993</v>
      </c>
      <c r="Q1397" s="54">
        <v>9616.7999999999993</v>
      </c>
      <c r="R1397" s="1"/>
      <c r="S1397" s="1"/>
      <c r="T1397" s="1"/>
    </row>
    <row r="1398" spans="1:20" ht="13.5" customHeight="1" x14ac:dyDescent="0.25">
      <c r="A1398" s="1"/>
      <c r="B1398" s="1" t="s">
        <v>1290</v>
      </c>
      <c r="C1398" s="1" t="s">
        <v>251</v>
      </c>
      <c r="D1398" s="42">
        <v>7672.9669999999996</v>
      </c>
      <c r="E1398" s="43">
        <v>3629.89</v>
      </c>
      <c r="F1398" s="45">
        <v>7672.9669999999996</v>
      </c>
      <c r="G1398" s="45">
        <v>7672.9669999999996</v>
      </c>
      <c r="H1398" s="46">
        <v>7213.44</v>
      </c>
      <c r="I1398" s="47">
        <f t="shared" si="604"/>
        <v>1.0039582463465553</v>
      </c>
      <c r="J1398" s="48">
        <v>7185</v>
      </c>
      <c r="K1398" s="49">
        <v>7185</v>
      </c>
      <c r="L1398" s="50">
        <v>6971.12</v>
      </c>
      <c r="M1398" s="50">
        <v>6467.27</v>
      </c>
      <c r="N1398" s="51">
        <v>6257.29</v>
      </c>
      <c r="O1398" s="52">
        <v>5797</v>
      </c>
      <c r="P1398" s="53">
        <v>5624.76</v>
      </c>
      <c r="Q1398" s="54">
        <v>5085.08</v>
      </c>
      <c r="R1398" s="1"/>
      <c r="S1398" s="1"/>
      <c r="T1398" s="1"/>
    </row>
    <row r="1399" spans="1:20" ht="13.5" customHeight="1" x14ac:dyDescent="0.25">
      <c r="A1399" s="1"/>
      <c r="B1399" s="1" t="s">
        <v>1291</v>
      </c>
      <c r="C1399" s="1" t="s">
        <v>253</v>
      </c>
      <c r="D1399" s="42">
        <v>81.736000000000004</v>
      </c>
      <c r="E1399" s="43">
        <v>38.67</v>
      </c>
      <c r="F1399" s="45">
        <v>81.736000000000004</v>
      </c>
      <c r="G1399" s="45">
        <v>81.736000000000004</v>
      </c>
      <c r="H1399" s="46">
        <v>79.42</v>
      </c>
      <c r="I1399" s="47">
        <f t="shared" si="604"/>
        <v>0.99275000000000002</v>
      </c>
      <c r="J1399" s="48">
        <v>80</v>
      </c>
      <c r="K1399" s="49">
        <v>80</v>
      </c>
      <c r="L1399" s="50">
        <v>88.01</v>
      </c>
      <c r="M1399" s="50">
        <v>88.08</v>
      </c>
      <c r="N1399" s="51">
        <v>108.88</v>
      </c>
      <c r="O1399" s="52">
        <v>113.73</v>
      </c>
      <c r="P1399" s="53">
        <v>102.56</v>
      </c>
      <c r="Q1399" s="54">
        <v>95</v>
      </c>
      <c r="R1399" s="1"/>
      <c r="S1399" s="1"/>
      <c r="T1399" s="1"/>
    </row>
    <row r="1400" spans="1:20" ht="13.5" customHeight="1" x14ac:dyDescent="0.25">
      <c r="A1400" s="1"/>
      <c r="B1400" s="1" t="s">
        <v>1292</v>
      </c>
      <c r="C1400" s="1" t="s">
        <v>255</v>
      </c>
      <c r="D1400" s="42">
        <v>351.12</v>
      </c>
      <c r="E1400" s="43">
        <v>167.28</v>
      </c>
      <c r="F1400" s="45">
        <v>335</v>
      </c>
      <c r="G1400" s="45">
        <v>335</v>
      </c>
      <c r="H1400" s="46">
        <v>323.95999999999998</v>
      </c>
      <c r="I1400" s="47">
        <f t="shared" si="604"/>
        <v>1.006086956521739</v>
      </c>
      <c r="J1400" s="48">
        <v>322</v>
      </c>
      <c r="K1400" s="49">
        <v>322</v>
      </c>
      <c r="L1400" s="50">
        <v>313.24</v>
      </c>
      <c r="M1400" s="50">
        <v>302.12</v>
      </c>
      <c r="N1400" s="51">
        <v>329.54</v>
      </c>
      <c r="O1400" s="52">
        <v>335.4</v>
      </c>
      <c r="P1400" s="53">
        <v>335.4</v>
      </c>
      <c r="Q1400" s="54">
        <v>320.3</v>
      </c>
      <c r="R1400" s="1"/>
      <c r="S1400" s="1"/>
      <c r="T1400" s="1"/>
    </row>
    <row r="1401" spans="1:20" ht="13.5" customHeight="1" x14ac:dyDescent="0.25">
      <c r="A1401" s="1"/>
      <c r="B1401" s="1" t="s">
        <v>1293</v>
      </c>
      <c r="C1401" s="1" t="s">
        <v>257</v>
      </c>
      <c r="D1401" s="42">
        <v>0</v>
      </c>
      <c r="E1401" s="70">
        <v>0</v>
      </c>
      <c r="F1401" s="45">
        <v>600</v>
      </c>
      <c r="G1401" s="45">
        <v>600</v>
      </c>
      <c r="H1401" s="74">
        <v>0</v>
      </c>
      <c r="I1401" s="47">
        <f t="shared" si="604"/>
        <v>0</v>
      </c>
      <c r="J1401" s="48">
        <v>600</v>
      </c>
      <c r="K1401" s="49">
        <v>600</v>
      </c>
      <c r="L1401" s="77">
        <v>0</v>
      </c>
      <c r="M1401" s="77">
        <v>0</v>
      </c>
      <c r="N1401" s="53">
        <v>0</v>
      </c>
      <c r="O1401" s="52">
        <v>375</v>
      </c>
      <c r="P1401" s="53">
        <v>625</v>
      </c>
      <c r="Q1401" s="54">
        <v>0</v>
      </c>
      <c r="R1401" s="1"/>
      <c r="S1401" s="1"/>
      <c r="T1401" s="1"/>
    </row>
    <row r="1402" spans="1:20" ht="13.5" customHeight="1" x14ac:dyDescent="0.25">
      <c r="A1402" s="1"/>
      <c r="B1402" s="1" t="s">
        <v>1294</v>
      </c>
      <c r="C1402" s="1" t="s">
        <v>559</v>
      </c>
      <c r="D1402" s="42">
        <v>1200</v>
      </c>
      <c r="E1402" s="43">
        <v>599.95000000000005</v>
      </c>
      <c r="F1402" s="45">
        <v>1200</v>
      </c>
      <c r="G1402" s="45">
        <v>1200</v>
      </c>
      <c r="H1402" s="46">
        <v>1199.9000000000001</v>
      </c>
      <c r="I1402" s="47">
        <f t="shared" si="604"/>
        <v>0.99991666666666679</v>
      </c>
      <c r="J1402" s="48">
        <v>1200</v>
      </c>
      <c r="K1402" s="49">
        <v>1200</v>
      </c>
      <c r="L1402" s="50">
        <v>1199.9000000000001</v>
      </c>
      <c r="M1402" s="50">
        <v>1199.9000000000001</v>
      </c>
      <c r="N1402" s="51">
        <v>1199.9000000000001</v>
      </c>
      <c r="O1402" s="52">
        <v>1246.05</v>
      </c>
      <c r="P1402" s="53">
        <v>1199.9000000000001</v>
      </c>
      <c r="Q1402" s="54">
        <v>1199.9000000000001</v>
      </c>
      <c r="R1402" s="1"/>
      <c r="S1402" s="1"/>
      <c r="T1402" s="1"/>
    </row>
    <row r="1403" spans="1:20" ht="13.5" customHeight="1" x14ac:dyDescent="0.25">
      <c r="A1403" s="1"/>
      <c r="B1403" s="1"/>
      <c r="C1403" s="1"/>
      <c r="D1403" s="56">
        <v>23677.260300000002</v>
      </c>
      <c r="E1403" s="57">
        <f t="shared" ref="E1403" si="605">SUM(E1396:E1402)</f>
        <v>11271.060000000001</v>
      </c>
      <c r="F1403" s="58">
        <f>SUM(F1395:F1402)</f>
        <v>24306.879100000002</v>
      </c>
      <c r="G1403" s="58">
        <v>24306.879100000002</v>
      </c>
      <c r="H1403" s="59">
        <f>SUM(H1396:H1402)</f>
        <v>22285.8</v>
      </c>
      <c r="I1403" s="59"/>
      <c r="J1403" s="60">
        <f t="shared" ref="J1403:Q1403" si="606">SUM(J1396:J1402)</f>
        <v>23319</v>
      </c>
      <c r="K1403" s="61">
        <f t="shared" si="606"/>
        <v>23319</v>
      </c>
      <c r="L1403" s="62">
        <f t="shared" si="606"/>
        <v>21910.370000000003</v>
      </c>
      <c r="M1403" s="62">
        <f t="shared" si="606"/>
        <v>21343.59</v>
      </c>
      <c r="N1403" s="63">
        <f t="shared" si="606"/>
        <v>21141.170000000006</v>
      </c>
      <c r="O1403" s="64">
        <f t="shared" si="606"/>
        <v>21084.440000000002</v>
      </c>
      <c r="P1403" s="63">
        <f t="shared" si="606"/>
        <v>20940.060000000001</v>
      </c>
      <c r="Q1403" s="65">
        <f t="shared" si="606"/>
        <v>19237.37</v>
      </c>
      <c r="R1403" s="1"/>
      <c r="S1403" s="1"/>
      <c r="T1403" s="1"/>
    </row>
    <row r="1404" spans="1:20" ht="13.5" customHeight="1" x14ac:dyDescent="0.25">
      <c r="A1404" s="1"/>
      <c r="B1404" s="1"/>
      <c r="C1404" s="1"/>
      <c r="D1404" s="42"/>
      <c r="E1404" s="44"/>
      <c r="F1404" s="45"/>
      <c r="G1404" s="45"/>
      <c r="H1404" s="66"/>
      <c r="I1404" s="66"/>
      <c r="J1404" s="48"/>
      <c r="K1404" s="49"/>
      <c r="L1404" s="50"/>
      <c r="M1404" s="50"/>
      <c r="N1404" s="51"/>
      <c r="O1404" s="52"/>
      <c r="P1404" s="53"/>
      <c r="Q1404" s="54"/>
      <c r="R1404" s="1"/>
      <c r="S1404" s="1"/>
      <c r="T1404" s="1"/>
    </row>
    <row r="1405" spans="1:20" ht="13.5" customHeight="1" x14ac:dyDescent="0.25">
      <c r="A1405" s="1"/>
      <c r="B1405" s="1" t="s">
        <v>1295</v>
      </c>
      <c r="C1405" s="1" t="s">
        <v>259</v>
      </c>
      <c r="D1405" s="42">
        <v>200</v>
      </c>
      <c r="E1405" s="70">
        <v>168.17</v>
      </c>
      <c r="F1405" s="45">
        <v>200</v>
      </c>
      <c r="G1405" s="45">
        <v>200</v>
      </c>
      <c r="H1405" s="68">
        <v>350.88</v>
      </c>
      <c r="I1405" s="47">
        <f t="shared" ref="I1405:I1408" si="607">H1405/J1405</f>
        <v>2.5611678832116787</v>
      </c>
      <c r="J1405" s="48">
        <v>137</v>
      </c>
      <c r="K1405" s="49">
        <v>137</v>
      </c>
      <c r="L1405" s="50">
        <v>145.56</v>
      </c>
      <c r="M1405" s="50">
        <v>124.1</v>
      </c>
      <c r="N1405" s="51">
        <v>231.84</v>
      </c>
      <c r="O1405" s="52">
        <v>170.89</v>
      </c>
      <c r="P1405" s="53">
        <v>13.5</v>
      </c>
      <c r="Q1405" s="54">
        <v>158.03</v>
      </c>
      <c r="R1405" s="1"/>
      <c r="S1405" s="1"/>
      <c r="T1405" s="1"/>
    </row>
    <row r="1406" spans="1:20" ht="13.5" customHeight="1" x14ac:dyDescent="0.25">
      <c r="A1406" s="1"/>
      <c r="B1406" s="1" t="s">
        <v>1296</v>
      </c>
      <c r="C1406" s="1" t="s">
        <v>261</v>
      </c>
      <c r="D1406" s="42">
        <v>200</v>
      </c>
      <c r="E1406" s="70">
        <v>0</v>
      </c>
      <c r="F1406" s="45">
        <v>200</v>
      </c>
      <c r="G1406" s="45">
        <v>200</v>
      </c>
      <c r="H1406" s="68">
        <v>172</v>
      </c>
      <c r="I1406" s="47">
        <f t="shared" si="607"/>
        <v>0.62318840579710144</v>
      </c>
      <c r="J1406" s="48">
        <v>276</v>
      </c>
      <c r="K1406" s="49">
        <v>276</v>
      </c>
      <c r="L1406" s="50">
        <v>106.92</v>
      </c>
      <c r="M1406" s="77">
        <v>0</v>
      </c>
      <c r="N1406" s="53">
        <v>0</v>
      </c>
      <c r="O1406" s="52">
        <v>0</v>
      </c>
      <c r="P1406" s="53">
        <v>192</v>
      </c>
      <c r="Q1406" s="54">
        <v>179.62</v>
      </c>
      <c r="R1406" s="1"/>
      <c r="S1406" s="1"/>
      <c r="T1406" s="1"/>
    </row>
    <row r="1407" spans="1:20" ht="13.5" customHeight="1" x14ac:dyDescent="0.25">
      <c r="A1407" s="1"/>
      <c r="B1407" s="1" t="s">
        <v>1297</v>
      </c>
      <c r="C1407" s="1" t="s">
        <v>471</v>
      </c>
      <c r="D1407" s="42">
        <v>2000</v>
      </c>
      <c r="E1407" s="43">
        <v>392.56</v>
      </c>
      <c r="F1407" s="45">
        <v>2000</v>
      </c>
      <c r="G1407" s="45">
        <v>2000</v>
      </c>
      <c r="H1407" s="46">
        <v>1459.87</v>
      </c>
      <c r="I1407" s="47">
        <f t="shared" si="607"/>
        <v>0.729935</v>
      </c>
      <c r="J1407" s="48">
        <v>2000</v>
      </c>
      <c r="K1407" s="49">
        <v>2000</v>
      </c>
      <c r="L1407" s="50">
        <v>1677.04</v>
      </c>
      <c r="M1407" s="50">
        <v>1642.6</v>
      </c>
      <c r="N1407" s="51">
        <v>1648.27</v>
      </c>
      <c r="O1407" s="52">
        <v>2098.35</v>
      </c>
      <c r="P1407" s="53">
        <v>2814.44</v>
      </c>
      <c r="Q1407" s="54">
        <v>2813.26</v>
      </c>
      <c r="R1407" s="1"/>
      <c r="S1407" s="1"/>
      <c r="T1407" s="1"/>
    </row>
    <row r="1408" spans="1:20" ht="13.5" customHeight="1" x14ac:dyDescent="0.25">
      <c r="A1408" s="1"/>
      <c r="B1408" s="1" t="s">
        <v>1298</v>
      </c>
      <c r="C1408" s="1" t="s">
        <v>473</v>
      </c>
      <c r="D1408" s="42">
        <v>400</v>
      </c>
      <c r="E1408" s="70">
        <v>0</v>
      </c>
      <c r="F1408" s="45">
        <v>400</v>
      </c>
      <c r="G1408" s="45">
        <v>400</v>
      </c>
      <c r="H1408" s="68">
        <v>15</v>
      </c>
      <c r="I1408" s="47">
        <f t="shared" si="607"/>
        <v>3.7499999999999999E-2</v>
      </c>
      <c r="J1408" s="48">
        <v>400</v>
      </c>
      <c r="K1408" s="49">
        <v>400</v>
      </c>
      <c r="L1408" s="50">
        <v>479.94</v>
      </c>
      <c r="M1408" s="77">
        <v>0</v>
      </c>
      <c r="N1408" s="53">
        <v>0</v>
      </c>
      <c r="O1408" s="52">
        <v>0</v>
      </c>
      <c r="P1408" s="53">
        <v>551.36</v>
      </c>
      <c r="Q1408" s="54">
        <v>532</v>
      </c>
      <c r="R1408" s="1"/>
      <c r="S1408" s="1"/>
      <c r="T1408" s="1"/>
    </row>
    <row r="1409" spans="1:20" ht="13.5" customHeight="1" x14ac:dyDescent="0.25">
      <c r="A1409" s="1"/>
      <c r="B1409" s="1"/>
      <c r="C1409" s="1"/>
      <c r="D1409" s="56">
        <v>2800</v>
      </c>
      <c r="E1409" s="57">
        <f t="shared" ref="E1409" si="608">SUM(E1405:E1408)</f>
        <v>560.73</v>
      </c>
      <c r="F1409" s="58">
        <f>SUM(F1404:F1408)</f>
        <v>2800</v>
      </c>
      <c r="G1409" s="58">
        <v>2800</v>
      </c>
      <c r="H1409" s="59">
        <f>SUM(H1405:H1408)</f>
        <v>1997.75</v>
      </c>
      <c r="I1409" s="59"/>
      <c r="J1409" s="60">
        <f t="shared" ref="J1409:Q1409" si="609">SUM(J1405:J1408)</f>
        <v>2813</v>
      </c>
      <c r="K1409" s="61">
        <f t="shared" si="609"/>
        <v>2813</v>
      </c>
      <c r="L1409" s="62">
        <f t="shared" si="609"/>
        <v>2409.46</v>
      </c>
      <c r="M1409" s="62">
        <f t="shared" si="609"/>
        <v>1766.6999999999998</v>
      </c>
      <c r="N1409" s="63">
        <f t="shared" si="609"/>
        <v>1880.11</v>
      </c>
      <c r="O1409" s="64">
        <f t="shared" si="609"/>
        <v>2269.2399999999998</v>
      </c>
      <c r="P1409" s="63">
        <f t="shared" si="609"/>
        <v>3571.3</v>
      </c>
      <c r="Q1409" s="65">
        <f t="shared" si="609"/>
        <v>3682.9100000000003</v>
      </c>
      <c r="R1409" s="1"/>
      <c r="S1409" s="1"/>
      <c r="T1409" s="1"/>
    </row>
    <row r="1410" spans="1:20" ht="13.5" customHeight="1" x14ac:dyDescent="0.25">
      <c r="A1410" s="1"/>
      <c r="B1410" s="1"/>
      <c r="C1410" s="1"/>
      <c r="D1410" s="42"/>
      <c r="E1410" s="67"/>
      <c r="F1410" s="45"/>
      <c r="G1410" s="45"/>
      <c r="H1410" s="74"/>
      <c r="I1410" s="66"/>
      <c r="J1410" s="48"/>
      <c r="K1410" s="49"/>
      <c r="L1410" s="50"/>
      <c r="M1410" s="77"/>
      <c r="N1410" s="53"/>
      <c r="O1410" s="52"/>
      <c r="P1410" s="53"/>
      <c r="Q1410" s="54"/>
      <c r="R1410" s="1"/>
      <c r="S1410" s="1"/>
      <c r="T1410" s="1"/>
    </row>
    <row r="1411" spans="1:20" ht="13.5" customHeight="1" x14ac:dyDescent="0.25">
      <c r="A1411" s="1"/>
      <c r="B1411" s="1" t="s">
        <v>1299</v>
      </c>
      <c r="C1411" s="1" t="s">
        <v>404</v>
      </c>
      <c r="D1411" s="42">
        <v>100</v>
      </c>
      <c r="E1411" s="43">
        <v>0</v>
      </c>
      <c r="F1411" s="45">
        <v>100</v>
      </c>
      <c r="G1411" s="45">
        <v>100</v>
      </c>
      <c r="H1411" s="66">
        <v>100</v>
      </c>
      <c r="I1411" s="47">
        <f t="shared" ref="I1411:I1413" si="610">H1411/J1411</f>
        <v>1</v>
      </c>
      <c r="J1411" s="48">
        <v>100</v>
      </c>
      <c r="K1411" s="49">
        <v>100</v>
      </c>
      <c r="L1411" s="50">
        <v>48</v>
      </c>
      <c r="M1411" s="77">
        <v>0</v>
      </c>
      <c r="N1411" s="53">
        <v>0</v>
      </c>
      <c r="O1411" s="52">
        <v>200</v>
      </c>
      <c r="P1411" s="53">
        <v>50</v>
      </c>
      <c r="Q1411" s="54">
        <v>0</v>
      </c>
      <c r="R1411" s="1"/>
      <c r="S1411" s="1"/>
      <c r="T1411" s="1"/>
    </row>
    <row r="1412" spans="1:20" ht="13.5" customHeight="1" x14ac:dyDescent="0.25">
      <c r="A1412" s="1"/>
      <c r="B1412" s="1" t="s">
        <v>1300</v>
      </c>
      <c r="C1412" s="1" t="s">
        <v>482</v>
      </c>
      <c r="D1412" s="42">
        <v>60</v>
      </c>
      <c r="E1412" s="43">
        <v>0</v>
      </c>
      <c r="F1412" s="45">
        <v>60</v>
      </c>
      <c r="G1412" s="45">
        <v>60</v>
      </c>
      <c r="H1412" s="66">
        <v>60</v>
      </c>
      <c r="I1412" s="47">
        <f t="shared" si="610"/>
        <v>1</v>
      </c>
      <c r="J1412" s="75">
        <v>60</v>
      </c>
      <c r="K1412" s="76">
        <v>0</v>
      </c>
      <c r="L1412" s="50">
        <v>60</v>
      </c>
      <c r="M1412" s="50">
        <v>60</v>
      </c>
      <c r="N1412" s="53">
        <v>0</v>
      </c>
      <c r="O1412" s="52">
        <v>200</v>
      </c>
      <c r="P1412" s="53">
        <v>35</v>
      </c>
      <c r="Q1412" s="54">
        <v>0</v>
      </c>
      <c r="R1412" s="1"/>
      <c r="S1412" s="1"/>
      <c r="T1412" s="1"/>
    </row>
    <row r="1413" spans="1:20" ht="13.5" customHeight="1" x14ac:dyDescent="0.25">
      <c r="A1413" s="1"/>
      <c r="B1413" s="1" t="s">
        <v>1301</v>
      </c>
      <c r="C1413" s="1" t="s">
        <v>489</v>
      </c>
      <c r="D1413" s="42">
        <v>400</v>
      </c>
      <c r="E1413" s="43">
        <v>7.5</v>
      </c>
      <c r="F1413" s="45">
        <v>400</v>
      </c>
      <c r="G1413" s="45">
        <v>400</v>
      </c>
      <c r="H1413" s="46">
        <v>1623.89</v>
      </c>
      <c r="I1413" s="47">
        <f t="shared" si="610"/>
        <v>1.7275425531914894</v>
      </c>
      <c r="J1413" s="48">
        <v>940</v>
      </c>
      <c r="K1413" s="49">
        <v>1000</v>
      </c>
      <c r="L1413" s="50">
        <v>169.46</v>
      </c>
      <c r="M1413" s="50">
        <v>247.36</v>
      </c>
      <c r="N1413" s="51">
        <v>1377.28</v>
      </c>
      <c r="O1413" s="52">
        <v>94.03</v>
      </c>
      <c r="P1413" s="53">
        <v>658.87</v>
      </c>
      <c r="Q1413" s="54">
        <v>768.89</v>
      </c>
      <c r="R1413" s="1"/>
      <c r="S1413" s="1"/>
      <c r="T1413" s="1"/>
    </row>
    <row r="1414" spans="1:20" ht="13.5" customHeight="1" x14ac:dyDescent="0.25">
      <c r="A1414" s="1"/>
      <c r="B1414" s="1" t="s">
        <v>1302</v>
      </c>
      <c r="C1414" s="1" t="s">
        <v>541</v>
      </c>
      <c r="D1414" s="42">
        <v>0</v>
      </c>
      <c r="E1414" s="70">
        <v>0</v>
      </c>
      <c r="F1414" s="73">
        <v>0</v>
      </c>
      <c r="G1414" s="73">
        <v>0</v>
      </c>
      <c r="H1414" s="74">
        <v>0</v>
      </c>
      <c r="I1414" s="74"/>
      <c r="J1414" s="75">
        <v>0</v>
      </c>
      <c r="K1414" s="76">
        <v>0</v>
      </c>
      <c r="L1414" s="77">
        <v>0</v>
      </c>
      <c r="M1414" s="50">
        <v>177.5</v>
      </c>
      <c r="N1414" s="53">
        <v>0</v>
      </c>
      <c r="O1414" s="52">
        <v>0</v>
      </c>
      <c r="P1414" s="53">
        <v>0</v>
      </c>
      <c r="Q1414" s="54">
        <v>0</v>
      </c>
      <c r="R1414" s="1"/>
      <c r="S1414" s="1"/>
      <c r="T1414" s="1"/>
    </row>
    <row r="1415" spans="1:20" ht="13.5" customHeight="1" x14ac:dyDescent="0.25">
      <c r="A1415" s="1"/>
      <c r="B1415" s="1"/>
      <c r="C1415" s="1"/>
      <c r="D1415" s="88">
        <v>560</v>
      </c>
      <c r="E1415" s="89">
        <f t="shared" ref="E1415" si="611">SUM(E1411:E1414)</f>
        <v>7.5</v>
      </c>
      <c r="F1415" s="90">
        <f>SUM(F1410:F1414)</f>
        <v>560</v>
      </c>
      <c r="G1415" s="90">
        <v>560</v>
      </c>
      <c r="H1415" s="91">
        <f>SUM(H1411:H1414)</f>
        <v>1783.89</v>
      </c>
      <c r="I1415" s="91"/>
      <c r="J1415" s="92">
        <f t="shared" ref="J1415:Q1415" si="612">SUM(J1411:J1414)</f>
        <v>1100</v>
      </c>
      <c r="K1415" s="93">
        <f t="shared" si="612"/>
        <v>1100</v>
      </c>
      <c r="L1415" s="94">
        <f t="shared" si="612"/>
        <v>277.46000000000004</v>
      </c>
      <c r="M1415" s="94">
        <f t="shared" si="612"/>
        <v>484.86</v>
      </c>
      <c r="N1415" s="95">
        <f t="shared" si="612"/>
        <v>1377.28</v>
      </c>
      <c r="O1415" s="96">
        <f t="shared" si="612"/>
        <v>494.03</v>
      </c>
      <c r="P1415" s="95">
        <f t="shared" si="612"/>
        <v>743.87</v>
      </c>
      <c r="Q1415" s="97">
        <f t="shared" si="612"/>
        <v>768.89</v>
      </c>
      <c r="R1415" s="1"/>
      <c r="S1415" s="1"/>
      <c r="T1415" s="1"/>
    </row>
    <row r="1416" spans="1:20" ht="13.5" customHeight="1" x14ac:dyDescent="0.25">
      <c r="A1416" s="1"/>
      <c r="B1416" s="1"/>
      <c r="C1416" s="1"/>
      <c r="D1416" s="72"/>
      <c r="E1416" s="67"/>
      <c r="F1416" s="73"/>
      <c r="G1416" s="73"/>
      <c r="H1416" s="74"/>
      <c r="I1416" s="74"/>
      <c r="J1416" s="75"/>
      <c r="K1416" s="76"/>
      <c r="L1416" s="77"/>
      <c r="M1416" s="50"/>
      <c r="N1416" s="53"/>
      <c r="O1416" s="52"/>
      <c r="P1416" s="53"/>
      <c r="Q1416" s="54"/>
      <c r="R1416" s="1"/>
      <c r="S1416" s="1"/>
      <c r="T1416" s="1"/>
    </row>
    <row r="1417" spans="1:20" ht="13.5" customHeight="1" x14ac:dyDescent="0.25">
      <c r="A1417" s="1"/>
      <c r="B1417" s="1" t="s">
        <v>1303</v>
      </c>
      <c r="C1417" s="1" t="s">
        <v>1283</v>
      </c>
      <c r="D1417" s="42">
        <v>0</v>
      </c>
      <c r="E1417" s="44">
        <v>0</v>
      </c>
      <c r="F1417" s="45">
        <v>0</v>
      </c>
      <c r="G1417" s="45">
        <v>0</v>
      </c>
      <c r="H1417" s="74">
        <v>0</v>
      </c>
      <c r="I1417" s="74"/>
      <c r="J1417" s="75">
        <v>0</v>
      </c>
      <c r="K1417" s="76">
        <v>0</v>
      </c>
      <c r="L1417" s="77">
        <v>0</v>
      </c>
      <c r="M1417" s="77">
        <v>0</v>
      </c>
      <c r="N1417" s="53">
        <v>0</v>
      </c>
      <c r="O1417" s="52">
        <v>0</v>
      </c>
      <c r="P1417" s="53">
        <v>0</v>
      </c>
      <c r="Q1417" s="54">
        <v>0</v>
      </c>
      <c r="R1417" s="1"/>
      <c r="S1417" s="1"/>
      <c r="T1417" s="1"/>
    </row>
    <row r="1418" spans="1:20" ht="13.5" customHeight="1" x14ac:dyDescent="0.25">
      <c r="A1418" s="1"/>
      <c r="B1418" s="1"/>
      <c r="C1418" s="1"/>
      <c r="D1418" s="56">
        <v>0</v>
      </c>
      <c r="E1418" s="57">
        <f t="shared" ref="E1418" si="613">SUM(E1417)</f>
        <v>0</v>
      </c>
      <c r="F1418" s="58">
        <f>SUM(F1416:F1417)</f>
        <v>0</v>
      </c>
      <c r="G1418" s="58">
        <v>0</v>
      </c>
      <c r="H1418" s="59">
        <f>SUM(H1417)</f>
        <v>0</v>
      </c>
      <c r="I1418" s="59"/>
      <c r="J1418" s="60">
        <f t="shared" ref="J1418:Q1418" si="614">SUM(J1417)</f>
        <v>0</v>
      </c>
      <c r="K1418" s="61">
        <f t="shared" si="614"/>
        <v>0</v>
      </c>
      <c r="L1418" s="62">
        <f t="shared" si="614"/>
        <v>0</v>
      </c>
      <c r="M1418" s="62">
        <f t="shared" si="614"/>
        <v>0</v>
      </c>
      <c r="N1418" s="63">
        <f t="shared" si="614"/>
        <v>0</v>
      </c>
      <c r="O1418" s="64">
        <f t="shared" si="614"/>
        <v>0</v>
      </c>
      <c r="P1418" s="63">
        <f t="shared" si="614"/>
        <v>0</v>
      </c>
      <c r="Q1418" s="65">
        <f t="shared" si="614"/>
        <v>0</v>
      </c>
      <c r="R1418" s="1"/>
      <c r="S1418" s="1"/>
      <c r="T1418" s="1"/>
    </row>
    <row r="1419" spans="1:20" ht="13.5" customHeight="1" thickBot="1" x14ac:dyDescent="0.3">
      <c r="A1419" s="1"/>
      <c r="B1419" s="1"/>
      <c r="C1419" s="116" t="s">
        <v>1304</v>
      </c>
      <c r="D1419" s="267">
        <v>76922.260299999994</v>
      </c>
      <c r="E1419" s="173">
        <f t="shared" ref="E1419" si="615">SUM(E1394+E1403+E1409+E1415+E1418)</f>
        <v>35438.68</v>
      </c>
      <c r="F1419" s="174">
        <f>SUM(F1394,F1403,F1409,F1415,F1418)</f>
        <v>77551.879100000006</v>
      </c>
      <c r="G1419" s="174">
        <v>77551.879100000006</v>
      </c>
      <c r="H1419" s="175">
        <f>SUM(H1394+H1403+H1409+H1415+H1418)</f>
        <v>74496.86</v>
      </c>
      <c r="I1419" s="175"/>
      <c r="J1419" s="176">
        <f t="shared" ref="J1419:Q1419" si="616">SUM(J1394+J1403+J1409+J1415+J1418)</f>
        <v>75513</v>
      </c>
      <c r="K1419" s="177">
        <f t="shared" si="616"/>
        <v>75513</v>
      </c>
      <c r="L1419" s="178">
        <f t="shared" si="616"/>
        <v>72107.520000000019</v>
      </c>
      <c r="M1419" s="178">
        <f t="shared" si="616"/>
        <v>70019.570000000007</v>
      </c>
      <c r="N1419" s="179">
        <f t="shared" si="616"/>
        <v>69838.150000000009</v>
      </c>
      <c r="O1419" s="180">
        <f t="shared" si="616"/>
        <v>66220.92</v>
      </c>
      <c r="P1419" s="179">
        <f t="shared" si="616"/>
        <v>66687.86</v>
      </c>
      <c r="Q1419" s="181">
        <f t="shared" si="616"/>
        <v>63458.710000000006</v>
      </c>
      <c r="R1419" s="1"/>
      <c r="S1419" s="1"/>
      <c r="T1419" s="1"/>
    </row>
    <row r="1420" spans="1:20" ht="13.5" customHeight="1" thickTop="1" x14ac:dyDescent="0.25">
      <c r="A1420" s="1"/>
      <c r="B1420" s="1"/>
      <c r="C1420" s="1"/>
      <c r="D1420" s="42"/>
      <c r="E1420" s="67"/>
      <c r="F1420" s="45"/>
      <c r="G1420" s="45"/>
      <c r="H1420" s="74"/>
      <c r="I1420" s="74"/>
      <c r="J1420" s="75"/>
      <c r="K1420" s="76"/>
      <c r="L1420" s="77"/>
      <c r="M1420" s="77"/>
      <c r="N1420" s="53"/>
      <c r="O1420" s="52"/>
      <c r="P1420" s="53"/>
      <c r="Q1420" s="54"/>
      <c r="R1420" s="1"/>
      <c r="S1420" s="1"/>
      <c r="T1420" s="1"/>
    </row>
    <row r="1421" spans="1:20" ht="13.5" customHeight="1" x14ac:dyDescent="0.25">
      <c r="A1421" s="1"/>
      <c r="B1421" s="1"/>
      <c r="C1421" s="41" t="s">
        <v>1305</v>
      </c>
      <c r="D1421" s="42"/>
      <c r="E1421" s="67"/>
      <c r="F1421" s="45"/>
      <c r="G1421" s="45"/>
      <c r="H1421" s="74"/>
      <c r="I1421" s="74"/>
      <c r="J1421" s="75"/>
      <c r="K1421" s="76"/>
      <c r="L1421" s="77"/>
      <c r="M1421" s="77"/>
      <c r="N1421" s="53"/>
      <c r="O1421" s="52"/>
      <c r="P1421" s="53"/>
      <c r="Q1421" s="54"/>
      <c r="R1421" s="1"/>
      <c r="S1421" s="1"/>
      <c r="T1421" s="1"/>
    </row>
    <row r="1422" spans="1:20" ht="13.5" customHeight="1" x14ac:dyDescent="0.25">
      <c r="A1422" s="1"/>
      <c r="B1422" s="1" t="s">
        <v>1306</v>
      </c>
      <c r="C1422" s="1" t="s">
        <v>418</v>
      </c>
      <c r="D1422" s="42">
        <v>48987</v>
      </c>
      <c r="E1422" s="43">
        <v>22757.83</v>
      </c>
      <c r="F1422" s="45">
        <v>48106</v>
      </c>
      <c r="G1422" s="45">
        <v>48106</v>
      </c>
      <c r="H1422" s="46">
        <v>43505.1</v>
      </c>
      <c r="I1422" s="47">
        <f t="shared" ref="I1422:I1423" si="617">H1422/J1422</f>
        <v>1.0051777916406737</v>
      </c>
      <c r="J1422" s="48">
        <v>43281</v>
      </c>
      <c r="K1422" s="49">
        <v>43281</v>
      </c>
      <c r="L1422" s="50">
        <v>42482.69</v>
      </c>
      <c r="M1422" s="50">
        <v>41572.230000000003</v>
      </c>
      <c r="N1422" s="51">
        <v>40916.980000000003</v>
      </c>
      <c r="O1422" s="52">
        <v>39123.410000000003</v>
      </c>
      <c r="P1422" s="53">
        <v>39053.5</v>
      </c>
      <c r="Q1422" s="54">
        <v>37633.19</v>
      </c>
      <c r="R1422" s="1"/>
      <c r="S1422" s="1"/>
      <c r="T1422" s="1"/>
    </row>
    <row r="1423" spans="1:20" ht="13.5" customHeight="1" x14ac:dyDescent="0.25">
      <c r="A1423" s="1"/>
      <c r="B1423" s="1" t="s">
        <v>1307</v>
      </c>
      <c r="C1423" s="1" t="s">
        <v>423</v>
      </c>
      <c r="D1423" s="42">
        <v>0</v>
      </c>
      <c r="E1423" s="44">
        <v>0</v>
      </c>
      <c r="F1423" s="45">
        <v>0</v>
      </c>
      <c r="G1423" s="45">
        <v>0</v>
      </c>
      <c r="H1423" s="46">
        <v>3604.51</v>
      </c>
      <c r="I1423" s="47">
        <f t="shared" si="617"/>
        <v>0.97498241817690023</v>
      </c>
      <c r="J1423" s="48">
        <v>3697</v>
      </c>
      <c r="K1423" s="49">
        <v>3697</v>
      </c>
      <c r="L1423" s="50">
        <v>3589.47</v>
      </c>
      <c r="M1423" s="50">
        <v>3046.17</v>
      </c>
      <c r="N1423" s="51">
        <v>2915.11</v>
      </c>
      <c r="O1423" s="52">
        <v>2657.1</v>
      </c>
      <c r="P1423" s="53">
        <v>2379.13</v>
      </c>
      <c r="Q1423" s="54">
        <v>2136.35</v>
      </c>
      <c r="R1423" s="1"/>
      <c r="S1423" s="1"/>
      <c r="T1423" s="1"/>
    </row>
    <row r="1424" spans="1:20" ht="13.5" customHeight="1" x14ac:dyDescent="0.25">
      <c r="A1424" s="1"/>
      <c r="B1424" s="1"/>
      <c r="C1424" s="1"/>
      <c r="D1424" s="56">
        <v>48987</v>
      </c>
      <c r="E1424" s="57">
        <f t="shared" ref="E1424" si="618">SUM(E1422:E1423)</f>
        <v>22757.83</v>
      </c>
      <c r="F1424" s="58">
        <f>SUM(F1421:F1423)</f>
        <v>48106</v>
      </c>
      <c r="G1424" s="58">
        <v>48106</v>
      </c>
      <c r="H1424" s="59">
        <f>SUM(H1422:H1423)</f>
        <v>47109.61</v>
      </c>
      <c r="I1424" s="59"/>
      <c r="J1424" s="60">
        <f t="shared" ref="J1424:Q1424" si="619">SUM(J1422:J1423)</f>
        <v>46978</v>
      </c>
      <c r="K1424" s="61">
        <f t="shared" si="619"/>
        <v>46978</v>
      </c>
      <c r="L1424" s="62">
        <f t="shared" si="619"/>
        <v>46072.160000000003</v>
      </c>
      <c r="M1424" s="62">
        <f t="shared" si="619"/>
        <v>44618.400000000001</v>
      </c>
      <c r="N1424" s="63">
        <f t="shared" si="619"/>
        <v>43832.090000000004</v>
      </c>
      <c r="O1424" s="64">
        <f t="shared" si="619"/>
        <v>41780.51</v>
      </c>
      <c r="P1424" s="63">
        <f t="shared" si="619"/>
        <v>41432.629999999997</v>
      </c>
      <c r="Q1424" s="65">
        <f t="shared" si="619"/>
        <v>39769.54</v>
      </c>
      <c r="R1424" s="1"/>
      <c r="S1424" s="1"/>
      <c r="T1424" s="1"/>
    </row>
    <row r="1425" spans="1:20" ht="13.5" customHeight="1" x14ac:dyDescent="0.25">
      <c r="A1425" s="1"/>
      <c r="B1425" s="1"/>
      <c r="C1425" s="1"/>
      <c r="D1425" s="42"/>
      <c r="E1425" s="44"/>
      <c r="F1425" s="45"/>
      <c r="G1425" s="45"/>
      <c r="H1425" s="66"/>
      <c r="I1425" s="66"/>
      <c r="J1425" s="48"/>
      <c r="K1425" s="49"/>
      <c r="L1425" s="50"/>
      <c r="M1425" s="50"/>
      <c r="N1425" s="51"/>
      <c r="O1425" s="52"/>
      <c r="P1425" s="53"/>
      <c r="Q1425" s="54"/>
      <c r="R1425" s="1"/>
      <c r="S1425" s="1"/>
      <c r="T1425" s="1"/>
    </row>
    <row r="1426" spans="1:20" ht="13.5" customHeight="1" x14ac:dyDescent="0.25">
      <c r="A1426" s="1"/>
      <c r="B1426" s="1" t="s">
        <v>1308</v>
      </c>
      <c r="C1426" s="1" t="s">
        <v>247</v>
      </c>
      <c r="D1426" s="42">
        <v>3839.3054999999999</v>
      </c>
      <c r="E1426" s="43">
        <v>1522.96</v>
      </c>
      <c r="F1426" s="45">
        <v>3817.8089999999997</v>
      </c>
      <c r="G1426" s="45">
        <v>3817.8089999999997</v>
      </c>
      <c r="H1426" s="46">
        <v>3219.15</v>
      </c>
      <c r="I1426" s="47">
        <f t="shared" ref="I1426:I1432" si="620">H1426/J1426</f>
        <v>0.8992039106145252</v>
      </c>
      <c r="J1426" s="48">
        <v>3580</v>
      </c>
      <c r="K1426" s="49">
        <v>3580</v>
      </c>
      <c r="L1426" s="50">
        <v>3045.84</v>
      </c>
      <c r="M1426" s="50">
        <v>2933.54</v>
      </c>
      <c r="N1426" s="51">
        <v>2873.01</v>
      </c>
      <c r="O1426" s="52">
        <v>2827.91</v>
      </c>
      <c r="P1426" s="53">
        <v>2780.72</v>
      </c>
      <c r="Q1426" s="54">
        <v>2849.84</v>
      </c>
      <c r="R1426" s="1"/>
      <c r="S1426" s="1"/>
      <c r="T1426" s="1"/>
    </row>
    <row r="1427" spans="1:20" ht="13.5" customHeight="1" x14ac:dyDescent="0.25">
      <c r="A1427" s="1"/>
      <c r="B1427" s="1" t="s">
        <v>1309</v>
      </c>
      <c r="C1427" s="1" t="s">
        <v>249</v>
      </c>
      <c r="D1427" s="42">
        <v>10463.434800000001</v>
      </c>
      <c r="E1427" s="43">
        <v>5178.18</v>
      </c>
      <c r="F1427" s="45">
        <v>10463.2736</v>
      </c>
      <c r="G1427" s="45">
        <v>10463.2736</v>
      </c>
      <c r="H1427" s="46">
        <v>10176.06</v>
      </c>
      <c r="I1427" s="47">
        <f t="shared" si="620"/>
        <v>0.99453283815480842</v>
      </c>
      <c r="J1427" s="48">
        <v>10232</v>
      </c>
      <c r="K1427" s="49">
        <v>10232</v>
      </c>
      <c r="L1427" s="50">
        <v>10140</v>
      </c>
      <c r="M1427" s="50">
        <v>10139</v>
      </c>
      <c r="N1427" s="51">
        <v>10165.6</v>
      </c>
      <c r="O1427" s="52">
        <v>10124.16</v>
      </c>
      <c r="P1427" s="53">
        <v>9977.7999999999993</v>
      </c>
      <c r="Q1427" s="54">
        <v>9616.7999999999993</v>
      </c>
      <c r="R1427" s="1"/>
      <c r="S1427" s="1"/>
      <c r="T1427" s="1"/>
    </row>
    <row r="1428" spans="1:20" ht="13.5" customHeight="1" x14ac:dyDescent="0.25">
      <c r="A1428" s="1"/>
      <c r="B1428" s="1" t="s">
        <v>1310</v>
      </c>
      <c r="C1428" s="1" t="s">
        <v>251</v>
      </c>
      <c r="D1428" s="42">
        <v>7538.0874000000003</v>
      </c>
      <c r="E1428" s="43">
        <v>3545.92</v>
      </c>
      <c r="F1428" s="45">
        <v>7405.7611999999999</v>
      </c>
      <c r="G1428" s="45">
        <v>7405.7611999999999</v>
      </c>
      <c r="H1428" s="46">
        <v>7108.97</v>
      </c>
      <c r="I1428" s="47">
        <f t="shared" si="620"/>
        <v>1.0161477987421383</v>
      </c>
      <c r="J1428" s="48">
        <v>6996</v>
      </c>
      <c r="K1428" s="49">
        <v>6996</v>
      </c>
      <c r="L1428" s="50">
        <v>6808.59</v>
      </c>
      <c r="M1428" s="50">
        <v>6216.53</v>
      </c>
      <c r="N1428" s="51">
        <v>6024.18</v>
      </c>
      <c r="O1428" s="52">
        <v>5715.85</v>
      </c>
      <c r="P1428" s="53">
        <v>5624.76</v>
      </c>
      <c r="Q1428" s="54">
        <v>5085.08</v>
      </c>
      <c r="R1428" s="1"/>
      <c r="S1428" s="1"/>
      <c r="T1428" s="1"/>
    </row>
    <row r="1429" spans="1:20" ht="13.5" customHeight="1" x14ac:dyDescent="0.25">
      <c r="A1429" s="1"/>
      <c r="B1429" s="1" t="s">
        <v>1311</v>
      </c>
      <c r="C1429" s="1" t="s">
        <v>253</v>
      </c>
      <c r="D1429" s="42">
        <v>80.299199999999999</v>
      </c>
      <c r="E1429" s="43">
        <v>37.770000000000003</v>
      </c>
      <c r="F1429" s="45">
        <v>78.889600000000002</v>
      </c>
      <c r="G1429" s="45">
        <v>78.889600000000002</v>
      </c>
      <c r="H1429" s="46">
        <v>78.260000000000005</v>
      </c>
      <c r="I1429" s="47">
        <f t="shared" si="620"/>
        <v>1.0033333333333334</v>
      </c>
      <c r="J1429" s="48">
        <v>78</v>
      </c>
      <c r="K1429" s="49">
        <v>78</v>
      </c>
      <c r="L1429" s="50">
        <v>86.21</v>
      </c>
      <c r="M1429" s="50">
        <v>84.5</v>
      </c>
      <c r="N1429" s="51">
        <v>104.78</v>
      </c>
      <c r="O1429" s="52">
        <v>112.29</v>
      </c>
      <c r="P1429" s="53">
        <v>102.56</v>
      </c>
      <c r="Q1429" s="54">
        <v>95</v>
      </c>
      <c r="R1429" s="1"/>
      <c r="S1429" s="1"/>
      <c r="T1429" s="1"/>
    </row>
    <row r="1430" spans="1:20" ht="13.5" customHeight="1" x14ac:dyDescent="0.25">
      <c r="A1430" s="1"/>
      <c r="B1430" s="1" t="s">
        <v>1312</v>
      </c>
      <c r="C1430" s="1" t="s">
        <v>255</v>
      </c>
      <c r="D1430" s="42">
        <v>351.12</v>
      </c>
      <c r="E1430" s="43">
        <v>167.28</v>
      </c>
      <c r="F1430" s="45">
        <v>335</v>
      </c>
      <c r="G1430" s="45">
        <v>335</v>
      </c>
      <c r="H1430" s="46">
        <v>323.95999999999998</v>
      </c>
      <c r="I1430" s="47">
        <f t="shared" si="620"/>
        <v>1.006086956521739</v>
      </c>
      <c r="J1430" s="48">
        <v>322</v>
      </c>
      <c r="K1430" s="49">
        <v>322</v>
      </c>
      <c r="L1430" s="50">
        <v>313.24</v>
      </c>
      <c r="M1430" s="50">
        <v>302.12</v>
      </c>
      <c r="N1430" s="51">
        <v>329.54</v>
      </c>
      <c r="O1430" s="52">
        <v>335.4</v>
      </c>
      <c r="P1430" s="53">
        <v>335.4</v>
      </c>
      <c r="Q1430" s="54">
        <v>320.3</v>
      </c>
      <c r="R1430" s="1"/>
      <c r="S1430" s="1"/>
      <c r="T1430" s="1"/>
    </row>
    <row r="1431" spans="1:20" ht="13.5" customHeight="1" x14ac:dyDescent="0.25">
      <c r="A1431" s="1"/>
      <c r="B1431" s="1" t="s">
        <v>1313</v>
      </c>
      <c r="C1431" s="1" t="s">
        <v>257</v>
      </c>
      <c r="D1431" s="42">
        <v>0</v>
      </c>
      <c r="E1431" s="43">
        <v>300</v>
      </c>
      <c r="F1431" s="45">
        <v>600</v>
      </c>
      <c r="G1431" s="45">
        <v>600</v>
      </c>
      <c r="H1431" s="46">
        <v>600</v>
      </c>
      <c r="I1431" s="47">
        <f t="shared" si="620"/>
        <v>1</v>
      </c>
      <c r="J1431" s="48">
        <v>600</v>
      </c>
      <c r="K1431" s="49">
        <v>600</v>
      </c>
      <c r="L1431" s="50">
        <v>600</v>
      </c>
      <c r="M1431" s="50">
        <v>600</v>
      </c>
      <c r="N1431" s="51">
        <v>600</v>
      </c>
      <c r="O1431" s="52">
        <v>575</v>
      </c>
      <c r="P1431" s="53">
        <v>625</v>
      </c>
      <c r="Q1431" s="54">
        <v>0</v>
      </c>
      <c r="R1431" s="1"/>
      <c r="S1431" s="1"/>
      <c r="T1431" s="1"/>
    </row>
    <row r="1432" spans="1:20" ht="13.5" customHeight="1" x14ac:dyDescent="0.25">
      <c r="A1432" s="1"/>
      <c r="B1432" s="1" t="s">
        <v>1314</v>
      </c>
      <c r="C1432" s="1" t="s">
        <v>559</v>
      </c>
      <c r="D1432" s="42">
        <v>1200</v>
      </c>
      <c r="E1432" s="43">
        <v>599.95000000000005</v>
      </c>
      <c r="F1432" s="45">
        <v>1200</v>
      </c>
      <c r="G1432" s="45">
        <v>1200</v>
      </c>
      <c r="H1432" s="46">
        <v>1199.9000000000001</v>
      </c>
      <c r="I1432" s="47">
        <f t="shared" si="620"/>
        <v>0.99991666666666679</v>
      </c>
      <c r="J1432" s="48">
        <v>1200</v>
      </c>
      <c r="K1432" s="49">
        <v>1200</v>
      </c>
      <c r="L1432" s="50">
        <v>1199.9000000000001</v>
      </c>
      <c r="M1432" s="50">
        <v>1199.9000000000001</v>
      </c>
      <c r="N1432" s="51">
        <v>1199.9000000000001</v>
      </c>
      <c r="O1432" s="52">
        <v>1246.05</v>
      </c>
      <c r="P1432" s="53">
        <v>1199.9000000000001</v>
      </c>
      <c r="Q1432" s="54">
        <v>1199.9000000000001</v>
      </c>
      <c r="R1432" s="1"/>
      <c r="S1432" s="1"/>
      <c r="T1432" s="1"/>
    </row>
    <row r="1433" spans="1:20" ht="13.5" customHeight="1" x14ac:dyDescent="0.25">
      <c r="A1433" s="1"/>
      <c r="B1433" s="1"/>
      <c r="C1433" s="1"/>
      <c r="D1433" s="56">
        <v>23472.246900000002</v>
      </c>
      <c r="E1433" s="57">
        <f t="shared" ref="E1433" si="621">SUM(E1426:E1432)</f>
        <v>11352.060000000003</v>
      </c>
      <c r="F1433" s="58">
        <f>SUM(F1425:F1432)</f>
        <v>23900.733399999997</v>
      </c>
      <c r="G1433" s="58">
        <v>23900.733399999997</v>
      </c>
      <c r="H1433" s="59">
        <f>SUM(H1426:H1432)</f>
        <v>22706.3</v>
      </c>
      <c r="I1433" s="59"/>
      <c r="J1433" s="60">
        <f t="shared" ref="J1433:Q1433" si="622">SUM(J1426:J1432)</f>
        <v>23008</v>
      </c>
      <c r="K1433" s="61">
        <f t="shared" si="622"/>
        <v>23008</v>
      </c>
      <c r="L1433" s="62">
        <f t="shared" si="622"/>
        <v>22193.780000000002</v>
      </c>
      <c r="M1433" s="62">
        <f t="shared" si="622"/>
        <v>21475.59</v>
      </c>
      <c r="N1433" s="63">
        <f t="shared" si="622"/>
        <v>21297.010000000002</v>
      </c>
      <c r="O1433" s="64">
        <f t="shared" si="622"/>
        <v>20936.66</v>
      </c>
      <c r="P1433" s="63">
        <f t="shared" si="622"/>
        <v>20646.140000000003</v>
      </c>
      <c r="Q1433" s="65">
        <f t="shared" si="622"/>
        <v>19166.920000000002</v>
      </c>
      <c r="R1433" s="1"/>
      <c r="S1433" s="1"/>
      <c r="T1433" s="1"/>
    </row>
    <row r="1434" spans="1:20" ht="13.5" customHeight="1" x14ac:dyDescent="0.25">
      <c r="A1434" s="1"/>
      <c r="B1434" s="1"/>
      <c r="C1434" s="1"/>
      <c r="D1434" s="42"/>
      <c r="E1434" s="44"/>
      <c r="F1434" s="45"/>
      <c r="G1434" s="45"/>
      <c r="H1434" s="66"/>
      <c r="I1434" s="66"/>
      <c r="J1434" s="48"/>
      <c r="K1434" s="49"/>
      <c r="L1434" s="50"/>
      <c r="M1434" s="50"/>
      <c r="N1434" s="51"/>
      <c r="O1434" s="52"/>
      <c r="P1434" s="53"/>
      <c r="Q1434" s="54"/>
      <c r="R1434" s="1"/>
      <c r="S1434" s="1"/>
      <c r="T1434" s="1"/>
    </row>
    <row r="1435" spans="1:20" ht="13.5" customHeight="1" x14ac:dyDescent="0.25">
      <c r="A1435" s="1"/>
      <c r="B1435" s="1" t="s">
        <v>1315</v>
      </c>
      <c r="C1435" s="1" t="s">
        <v>259</v>
      </c>
      <c r="D1435" s="42">
        <v>200</v>
      </c>
      <c r="E1435" s="70">
        <v>0</v>
      </c>
      <c r="F1435" s="45">
        <v>200</v>
      </c>
      <c r="G1435" s="45">
        <v>200</v>
      </c>
      <c r="H1435" s="68">
        <v>63.98</v>
      </c>
      <c r="I1435" s="47">
        <f t="shared" ref="I1435:I1439" si="623">H1435/J1435</f>
        <v>0.31989999999999996</v>
      </c>
      <c r="J1435" s="48">
        <v>200</v>
      </c>
      <c r="K1435" s="49">
        <v>200</v>
      </c>
      <c r="L1435" s="50">
        <v>3.79</v>
      </c>
      <c r="M1435" s="50">
        <v>136.69999999999999</v>
      </c>
      <c r="N1435" s="51">
        <v>106.88</v>
      </c>
      <c r="O1435" s="52">
        <v>0</v>
      </c>
      <c r="P1435" s="53">
        <v>83.71</v>
      </c>
      <c r="Q1435" s="54">
        <v>99.95</v>
      </c>
      <c r="R1435" s="1"/>
      <c r="S1435" s="1"/>
      <c r="T1435" s="1"/>
    </row>
    <row r="1436" spans="1:20" ht="13.5" customHeight="1" x14ac:dyDescent="0.25">
      <c r="A1436" s="1"/>
      <c r="B1436" s="1" t="s">
        <v>1316</v>
      </c>
      <c r="C1436" s="1" t="s">
        <v>261</v>
      </c>
      <c r="D1436" s="42">
        <v>50</v>
      </c>
      <c r="E1436" s="70">
        <v>0</v>
      </c>
      <c r="F1436" s="45">
        <v>50</v>
      </c>
      <c r="G1436" s="45">
        <v>50</v>
      </c>
      <c r="H1436" s="74">
        <v>0</v>
      </c>
      <c r="I1436" s="47">
        <f t="shared" si="623"/>
        <v>0</v>
      </c>
      <c r="J1436" s="48">
        <v>50</v>
      </c>
      <c r="K1436" s="49">
        <v>50</v>
      </c>
      <c r="L1436" s="77">
        <v>0</v>
      </c>
      <c r="M1436" s="77">
        <v>0</v>
      </c>
      <c r="N1436" s="53">
        <v>0</v>
      </c>
      <c r="O1436" s="52">
        <v>0</v>
      </c>
      <c r="P1436" s="53">
        <v>0</v>
      </c>
      <c r="Q1436" s="54">
        <v>0</v>
      </c>
      <c r="R1436" s="1"/>
      <c r="S1436" s="1"/>
      <c r="T1436" s="1"/>
    </row>
    <row r="1437" spans="1:20" ht="13.5" customHeight="1" x14ac:dyDescent="0.25">
      <c r="A1437" s="1"/>
      <c r="B1437" s="1" t="s">
        <v>1317</v>
      </c>
      <c r="C1437" s="1" t="s">
        <v>471</v>
      </c>
      <c r="D1437" s="42">
        <v>2000</v>
      </c>
      <c r="E1437" s="43">
        <v>488.06</v>
      </c>
      <c r="F1437" s="45">
        <v>2000</v>
      </c>
      <c r="G1437" s="45">
        <v>2000</v>
      </c>
      <c r="H1437" s="46">
        <v>1458.96</v>
      </c>
      <c r="I1437" s="47">
        <f t="shared" si="623"/>
        <v>0.72948000000000002</v>
      </c>
      <c r="J1437" s="48">
        <v>2000</v>
      </c>
      <c r="K1437" s="49">
        <v>2000</v>
      </c>
      <c r="L1437" s="50">
        <v>1585.36</v>
      </c>
      <c r="M1437" s="50">
        <v>1250.8599999999999</v>
      </c>
      <c r="N1437" s="51">
        <v>1471.77</v>
      </c>
      <c r="O1437" s="52">
        <v>1961.52</v>
      </c>
      <c r="P1437" s="53">
        <v>2454.89</v>
      </c>
      <c r="Q1437" s="54">
        <v>2715.82</v>
      </c>
      <c r="R1437" s="1"/>
      <c r="S1437" s="1"/>
      <c r="T1437" s="1"/>
    </row>
    <row r="1438" spans="1:20" ht="13.5" customHeight="1" x14ac:dyDescent="0.25">
      <c r="A1438" s="1"/>
      <c r="B1438" s="1" t="s">
        <v>1318</v>
      </c>
      <c r="C1438" s="1" t="s">
        <v>473</v>
      </c>
      <c r="D1438" s="42">
        <v>400</v>
      </c>
      <c r="E1438" s="70">
        <v>0</v>
      </c>
      <c r="F1438" s="45">
        <v>400</v>
      </c>
      <c r="G1438" s="45">
        <v>400</v>
      </c>
      <c r="H1438" s="74">
        <v>0</v>
      </c>
      <c r="I1438" s="47">
        <f t="shared" si="623"/>
        <v>0</v>
      </c>
      <c r="J1438" s="48">
        <v>400</v>
      </c>
      <c r="K1438" s="49">
        <v>400</v>
      </c>
      <c r="L1438" s="50">
        <v>500</v>
      </c>
      <c r="M1438" s="77">
        <v>0</v>
      </c>
      <c r="N1438" s="51">
        <v>130</v>
      </c>
      <c r="O1438" s="52">
        <v>537.5</v>
      </c>
      <c r="P1438" s="53">
        <v>0</v>
      </c>
      <c r="Q1438" s="54">
        <v>420</v>
      </c>
      <c r="R1438" s="1"/>
      <c r="S1438" s="1"/>
      <c r="T1438" s="1"/>
    </row>
    <row r="1439" spans="1:20" ht="13.5" customHeight="1" x14ac:dyDescent="0.25">
      <c r="A1439" s="1"/>
      <c r="B1439" s="1" t="s">
        <v>1319</v>
      </c>
      <c r="C1439" s="1" t="s">
        <v>267</v>
      </c>
      <c r="D1439" s="42">
        <v>200</v>
      </c>
      <c r="E1439" s="70">
        <v>0</v>
      </c>
      <c r="F1439" s="45">
        <v>200</v>
      </c>
      <c r="G1439" s="45">
        <v>200</v>
      </c>
      <c r="H1439" s="68">
        <v>104.72</v>
      </c>
      <c r="I1439" s="47">
        <f t="shared" si="623"/>
        <v>0.52359999999999995</v>
      </c>
      <c r="J1439" s="48">
        <v>200</v>
      </c>
      <c r="K1439" s="49">
        <v>200</v>
      </c>
      <c r="L1439" s="77">
        <v>0</v>
      </c>
      <c r="M1439" s="77">
        <v>0</v>
      </c>
      <c r="N1439" s="53">
        <v>0</v>
      </c>
      <c r="O1439" s="52">
        <v>279.98</v>
      </c>
      <c r="P1439" s="53">
        <v>114</v>
      </c>
      <c r="Q1439" s="54">
        <v>0</v>
      </c>
      <c r="R1439" s="1"/>
      <c r="S1439" s="1"/>
      <c r="T1439" s="1"/>
    </row>
    <row r="1440" spans="1:20" ht="13.5" customHeight="1" x14ac:dyDescent="0.25">
      <c r="A1440" s="1"/>
      <c r="B1440" s="1"/>
      <c r="C1440" s="1"/>
      <c r="D1440" s="56">
        <v>2850</v>
      </c>
      <c r="E1440" s="57">
        <f t="shared" ref="E1440" si="624">SUM(E1435:E1439)</f>
        <v>488.06</v>
      </c>
      <c r="F1440" s="58">
        <f>SUM(F1434:F1439)</f>
        <v>2850</v>
      </c>
      <c r="G1440" s="58">
        <v>2850</v>
      </c>
      <c r="H1440" s="59">
        <f>SUM(H1435:H1439)</f>
        <v>1627.66</v>
      </c>
      <c r="I1440" s="59"/>
      <c r="J1440" s="60">
        <f t="shared" ref="J1440:Q1440" si="625">SUM(J1435:J1439)</f>
        <v>2850</v>
      </c>
      <c r="K1440" s="61">
        <f t="shared" si="625"/>
        <v>2850</v>
      </c>
      <c r="L1440" s="62">
        <f t="shared" si="625"/>
        <v>2089.1499999999996</v>
      </c>
      <c r="M1440" s="62">
        <f t="shared" si="625"/>
        <v>1387.56</v>
      </c>
      <c r="N1440" s="63">
        <f t="shared" si="625"/>
        <v>1708.65</v>
      </c>
      <c r="O1440" s="64">
        <f t="shared" si="625"/>
        <v>2779</v>
      </c>
      <c r="P1440" s="63">
        <f t="shared" si="625"/>
        <v>2652.6</v>
      </c>
      <c r="Q1440" s="65">
        <f t="shared" si="625"/>
        <v>3235.77</v>
      </c>
      <c r="R1440" s="1"/>
      <c r="S1440" s="1"/>
      <c r="T1440" s="1"/>
    </row>
    <row r="1441" spans="1:20" ht="13.5" customHeight="1" x14ac:dyDescent="0.25">
      <c r="A1441" s="1"/>
      <c r="B1441" s="1"/>
      <c r="C1441" s="1"/>
      <c r="D1441" s="42"/>
      <c r="E1441" s="67"/>
      <c r="F1441" s="45"/>
      <c r="G1441" s="45"/>
      <c r="H1441" s="74"/>
      <c r="I1441" s="66"/>
      <c r="J1441" s="48"/>
      <c r="K1441" s="49"/>
      <c r="L1441" s="77"/>
      <c r="M1441" s="77"/>
      <c r="N1441" s="53"/>
      <c r="O1441" s="52"/>
      <c r="P1441" s="53"/>
      <c r="Q1441" s="54"/>
      <c r="R1441" s="1"/>
      <c r="S1441" s="1"/>
      <c r="T1441" s="1"/>
    </row>
    <row r="1442" spans="1:20" ht="13.5" customHeight="1" x14ac:dyDescent="0.25">
      <c r="A1442" s="1"/>
      <c r="B1442" s="1" t="s">
        <v>1320</v>
      </c>
      <c r="C1442" s="1" t="s">
        <v>275</v>
      </c>
      <c r="D1442" s="42">
        <v>100</v>
      </c>
      <c r="E1442" s="43">
        <v>0</v>
      </c>
      <c r="F1442" s="45">
        <v>100</v>
      </c>
      <c r="G1442" s="45">
        <v>100</v>
      </c>
      <c r="H1442" s="66">
        <v>100</v>
      </c>
      <c r="I1442" s="47">
        <f t="shared" ref="I1442:I1445" si="626">H1442/J1442</f>
        <v>1</v>
      </c>
      <c r="J1442" s="48">
        <v>100</v>
      </c>
      <c r="K1442" s="49">
        <v>100</v>
      </c>
      <c r="L1442" s="50">
        <v>48</v>
      </c>
      <c r="M1442" s="77">
        <v>0</v>
      </c>
      <c r="N1442" s="53">
        <v>0</v>
      </c>
      <c r="O1442" s="52">
        <v>0</v>
      </c>
      <c r="P1442" s="53">
        <v>0</v>
      </c>
      <c r="Q1442" s="54">
        <v>0</v>
      </c>
      <c r="R1442" s="1"/>
      <c r="S1442" s="1"/>
      <c r="T1442" s="1"/>
    </row>
    <row r="1443" spans="1:20" ht="13.5" customHeight="1" x14ac:dyDescent="0.25">
      <c r="A1443" s="1"/>
      <c r="B1443" s="1" t="s">
        <v>1321</v>
      </c>
      <c r="C1443" s="1" t="s">
        <v>482</v>
      </c>
      <c r="D1443" s="42">
        <v>60</v>
      </c>
      <c r="E1443" s="43">
        <v>0</v>
      </c>
      <c r="F1443" s="45">
        <v>60</v>
      </c>
      <c r="G1443" s="45">
        <v>60</v>
      </c>
      <c r="H1443" s="66">
        <v>60</v>
      </c>
      <c r="I1443" s="47">
        <f t="shared" si="626"/>
        <v>1</v>
      </c>
      <c r="J1443" s="48">
        <v>60</v>
      </c>
      <c r="K1443" s="49">
        <v>60</v>
      </c>
      <c r="L1443" s="50">
        <v>60</v>
      </c>
      <c r="M1443" s="50">
        <v>60</v>
      </c>
      <c r="N1443" s="51">
        <v>60</v>
      </c>
      <c r="O1443" s="52">
        <v>0</v>
      </c>
      <c r="P1443" s="53">
        <v>0</v>
      </c>
      <c r="Q1443" s="54">
        <v>0</v>
      </c>
      <c r="R1443" s="1"/>
      <c r="S1443" s="1"/>
      <c r="T1443" s="1"/>
    </row>
    <row r="1444" spans="1:20" ht="13.5" customHeight="1" x14ac:dyDescent="0.25">
      <c r="A1444" s="1"/>
      <c r="B1444" s="1" t="s">
        <v>1322</v>
      </c>
      <c r="C1444" s="1" t="s">
        <v>1128</v>
      </c>
      <c r="D1444" s="42">
        <v>200</v>
      </c>
      <c r="E1444" s="70">
        <v>0</v>
      </c>
      <c r="F1444" s="45">
        <v>200</v>
      </c>
      <c r="G1444" s="45">
        <v>200</v>
      </c>
      <c r="H1444" s="74">
        <v>0</v>
      </c>
      <c r="I1444" s="47">
        <f t="shared" si="626"/>
        <v>0</v>
      </c>
      <c r="J1444" s="48">
        <v>200</v>
      </c>
      <c r="K1444" s="49">
        <v>200</v>
      </c>
      <c r="L1444" s="77">
        <v>0</v>
      </c>
      <c r="M1444" s="77">
        <v>0</v>
      </c>
      <c r="N1444" s="53">
        <v>0</v>
      </c>
      <c r="O1444" s="52">
        <v>0</v>
      </c>
      <c r="P1444" s="53">
        <v>0</v>
      </c>
      <c r="Q1444" s="54">
        <v>0</v>
      </c>
      <c r="R1444" s="1"/>
      <c r="S1444" s="1"/>
      <c r="T1444" s="1"/>
    </row>
    <row r="1445" spans="1:20" ht="13.5" customHeight="1" x14ac:dyDescent="0.25">
      <c r="A1445" s="1"/>
      <c r="B1445" s="1" t="s">
        <v>1323</v>
      </c>
      <c r="C1445" s="1" t="s">
        <v>489</v>
      </c>
      <c r="D1445" s="42">
        <v>600</v>
      </c>
      <c r="E1445" s="43">
        <v>140.44999999999999</v>
      </c>
      <c r="F1445" s="45">
        <v>600</v>
      </c>
      <c r="G1445" s="45">
        <v>600</v>
      </c>
      <c r="H1445" s="46">
        <v>174.87</v>
      </c>
      <c r="I1445" s="47">
        <f t="shared" si="626"/>
        <v>0.29144999999999999</v>
      </c>
      <c r="J1445" s="48">
        <v>600</v>
      </c>
      <c r="K1445" s="49">
        <v>600</v>
      </c>
      <c r="L1445" s="50">
        <v>325.75</v>
      </c>
      <c r="M1445" s="50">
        <v>134.69</v>
      </c>
      <c r="N1445" s="51">
        <v>196.5</v>
      </c>
      <c r="O1445" s="52">
        <v>106.66</v>
      </c>
      <c r="P1445" s="53">
        <v>145.94</v>
      </c>
      <c r="Q1445" s="54">
        <v>266.10000000000002</v>
      </c>
      <c r="R1445" s="1"/>
      <c r="S1445" s="1"/>
      <c r="T1445" s="1"/>
    </row>
    <row r="1446" spans="1:20" ht="13.5" customHeight="1" x14ac:dyDescent="0.25">
      <c r="A1446" s="1"/>
      <c r="B1446" s="1" t="s">
        <v>1324</v>
      </c>
      <c r="C1446" s="1" t="s">
        <v>279</v>
      </c>
      <c r="D1446" s="42">
        <v>0</v>
      </c>
      <c r="E1446" s="70">
        <v>0</v>
      </c>
      <c r="F1446" s="73">
        <v>0</v>
      </c>
      <c r="G1446" s="73">
        <v>0</v>
      </c>
      <c r="H1446" s="74">
        <v>0</v>
      </c>
      <c r="I1446" s="74">
        <v>0</v>
      </c>
      <c r="J1446" s="75">
        <v>0</v>
      </c>
      <c r="K1446" s="76">
        <v>0</v>
      </c>
      <c r="L1446" s="77">
        <v>0</v>
      </c>
      <c r="M1446" s="50">
        <v>177.5</v>
      </c>
      <c r="N1446" s="53">
        <v>0</v>
      </c>
      <c r="O1446" s="52">
        <v>0</v>
      </c>
      <c r="P1446" s="53">
        <v>0</v>
      </c>
      <c r="Q1446" s="54">
        <v>0</v>
      </c>
      <c r="R1446" s="1"/>
      <c r="S1446" s="1"/>
      <c r="T1446" s="1"/>
    </row>
    <row r="1447" spans="1:20" ht="13.5" customHeight="1" x14ac:dyDescent="0.25">
      <c r="A1447" s="1"/>
      <c r="B1447" s="1"/>
      <c r="C1447" s="1"/>
      <c r="D1447" s="88">
        <v>960</v>
      </c>
      <c r="E1447" s="89">
        <f t="shared" ref="E1447" si="627">SUM(E1442:E1446)</f>
        <v>140.44999999999999</v>
      </c>
      <c r="F1447" s="90">
        <f>SUM(F1441:F1446)</f>
        <v>960</v>
      </c>
      <c r="G1447" s="90">
        <v>960</v>
      </c>
      <c r="H1447" s="91">
        <f>SUM(H1442:H1446)</f>
        <v>334.87</v>
      </c>
      <c r="I1447" s="91"/>
      <c r="J1447" s="92">
        <f t="shared" ref="J1447:Q1447" si="628">SUM(J1442:J1446)</f>
        <v>960</v>
      </c>
      <c r="K1447" s="93">
        <f t="shared" si="628"/>
        <v>960</v>
      </c>
      <c r="L1447" s="94">
        <f t="shared" si="628"/>
        <v>433.75</v>
      </c>
      <c r="M1447" s="94">
        <f t="shared" si="628"/>
        <v>372.19</v>
      </c>
      <c r="N1447" s="95">
        <f t="shared" si="628"/>
        <v>256.5</v>
      </c>
      <c r="O1447" s="96">
        <f t="shared" si="628"/>
        <v>106.66</v>
      </c>
      <c r="P1447" s="95">
        <f t="shared" si="628"/>
        <v>145.94</v>
      </c>
      <c r="Q1447" s="97">
        <f t="shared" si="628"/>
        <v>266.10000000000002</v>
      </c>
      <c r="R1447" s="1"/>
      <c r="S1447" s="1"/>
      <c r="T1447" s="1"/>
    </row>
    <row r="1448" spans="1:20" ht="13.5" customHeight="1" thickBot="1" x14ac:dyDescent="0.3">
      <c r="A1448" s="1"/>
      <c r="B1448" s="1"/>
      <c r="C1448" s="116" t="s">
        <v>1325</v>
      </c>
      <c r="D1448" s="184">
        <v>76269.246899999998</v>
      </c>
      <c r="E1448" s="185">
        <f t="shared" ref="E1448" si="629">SUM(E1424+E1433+E1440+E1447)</f>
        <v>34738.400000000001</v>
      </c>
      <c r="F1448" s="186">
        <f>SUM(F1424,F1433,F1440,F1447)</f>
        <v>75816.733399999997</v>
      </c>
      <c r="G1448" s="186">
        <v>75816.733399999997</v>
      </c>
      <c r="H1448" s="187">
        <f>SUM(H1424+H1433+H1440+H1447)</f>
        <v>71778.44</v>
      </c>
      <c r="I1448" s="187"/>
      <c r="J1448" s="188">
        <f t="shared" ref="J1448:Q1448" si="630">SUM(J1424+J1433+J1440+J1447)</f>
        <v>73796</v>
      </c>
      <c r="K1448" s="189">
        <f t="shared" si="630"/>
        <v>73796</v>
      </c>
      <c r="L1448" s="190">
        <f t="shared" si="630"/>
        <v>70788.84</v>
      </c>
      <c r="M1448" s="190">
        <f t="shared" si="630"/>
        <v>67853.740000000005</v>
      </c>
      <c r="N1448" s="191">
        <f t="shared" si="630"/>
        <v>67094.25</v>
      </c>
      <c r="O1448" s="192">
        <f t="shared" si="630"/>
        <v>65602.83</v>
      </c>
      <c r="P1448" s="191">
        <f t="shared" si="630"/>
        <v>64877.310000000005</v>
      </c>
      <c r="Q1448" s="193">
        <f t="shared" si="630"/>
        <v>62438.33</v>
      </c>
      <c r="R1448" s="1"/>
      <c r="S1448" s="1"/>
      <c r="T1448" s="1"/>
    </row>
    <row r="1449" spans="1:20" ht="13.5" customHeight="1" thickTop="1" x14ac:dyDescent="0.25">
      <c r="A1449" s="1"/>
      <c r="B1449" s="1"/>
      <c r="C1449" s="1"/>
      <c r="D1449" s="72"/>
      <c r="E1449" s="67"/>
      <c r="F1449" s="73"/>
      <c r="G1449" s="73"/>
      <c r="H1449" s="74"/>
      <c r="I1449" s="74"/>
      <c r="J1449" s="75"/>
      <c r="K1449" s="76"/>
      <c r="L1449" s="77"/>
      <c r="M1449" s="50"/>
      <c r="N1449" s="53"/>
      <c r="O1449" s="52"/>
      <c r="P1449" s="53"/>
      <c r="Q1449" s="54"/>
      <c r="R1449" s="1"/>
      <c r="S1449" s="1"/>
      <c r="T1449" s="1"/>
    </row>
    <row r="1450" spans="1:20" ht="13.5" customHeight="1" x14ac:dyDescent="0.25">
      <c r="A1450" s="1"/>
      <c r="B1450" s="1"/>
      <c r="C1450" s="41" t="s">
        <v>1326</v>
      </c>
      <c r="D1450" s="72"/>
      <c r="E1450" s="67"/>
      <c r="F1450" s="73"/>
      <c r="G1450" s="73"/>
      <c r="H1450" s="74"/>
      <c r="I1450" s="74"/>
      <c r="J1450" s="75"/>
      <c r="K1450" s="76"/>
      <c r="L1450" s="77"/>
      <c r="M1450" s="50"/>
      <c r="N1450" s="53"/>
      <c r="O1450" s="52"/>
      <c r="P1450" s="53"/>
      <c r="Q1450" s="54"/>
      <c r="R1450" s="1"/>
      <c r="S1450" s="1"/>
      <c r="T1450" s="1"/>
    </row>
    <row r="1451" spans="1:20" ht="13.5" customHeight="1" x14ac:dyDescent="0.25">
      <c r="A1451" s="1"/>
      <c r="B1451" s="1" t="s">
        <v>1327</v>
      </c>
      <c r="C1451" s="1" t="s">
        <v>418</v>
      </c>
      <c r="D1451" s="42">
        <v>44734</v>
      </c>
      <c r="E1451" s="43">
        <v>20782.330000000002</v>
      </c>
      <c r="F1451" s="45">
        <v>43929</v>
      </c>
      <c r="G1451" s="45">
        <v>43929</v>
      </c>
      <c r="H1451" s="46">
        <v>43392.67</v>
      </c>
      <c r="I1451" s="47">
        <f>H1451/J1451</f>
        <v>1.0025801159862295</v>
      </c>
      <c r="J1451" s="48">
        <v>43281</v>
      </c>
      <c r="K1451" s="49">
        <v>43281</v>
      </c>
      <c r="L1451" s="50">
        <v>42482.69</v>
      </c>
      <c r="M1451" s="50">
        <v>41572.21</v>
      </c>
      <c r="N1451" s="51">
        <v>40916.959999999999</v>
      </c>
      <c r="O1451" s="52">
        <v>39123.410000000003</v>
      </c>
      <c r="P1451" s="53">
        <v>39053.5</v>
      </c>
      <c r="Q1451" s="54">
        <v>37633.19</v>
      </c>
      <c r="R1451" s="1"/>
      <c r="S1451" s="1"/>
      <c r="T1451" s="1"/>
    </row>
    <row r="1452" spans="1:20" ht="13.5" customHeight="1" x14ac:dyDescent="0.25">
      <c r="A1452" s="1"/>
      <c r="B1452" s="1" t="s">
        <v>1328</v>
      </c>
      <c r="C1452" s="1" t="s">
        <v>423</v>
      </c>
      <c r="D1452" s="42">
        <v>0</v>
      </c>
      <c r="E1452" s="70">
        <v>0</v>
      </c>
      <c r="F1452" s="73">
        <v>0</v>
      </c>
      <c r="G1452" s="73">
        <v>0</v>
      </c>
      <c r="H1452" s="74">
        <v>0</v>
      </c>
      <c r="I1452" s="74">
        <v>0</v>
      </c>
      <c r="J1452" s="75">
        <v>0</v>
      </c>
      <c r="K1452" s="76">
        <v>0</v>
      </c>
      <c r="L1452" s="77">
        <v>0</v>
      </c>
      <c r="M1452" s="77">
        <v>0</v>
      </c>
      <c r="N1452" s="51">
        <v>2970.95</v>
      </c>
      <c r="O1452" s="52">
        <v>2657.1</v>
      </c>
      <c r="P1452" s="53">
        <v>2379.13</v>
      </c>
      <c r="Q1452" s="54">
        <v>2136.35</v>
      </c>
      <c r="R1452" s="1"/>
      <c r="S1452" s="1"/>
      <c r="T1452" s="1"/>
    </row>
    <row r="1453" spans="1:20" ht="13.5" customHeight="1" x14ac:dyDescent="0.25">
      <c r="A1453" s="1"/>
      <c r="B1453" s="1"/>
      <c r="C1453" s="1"/>
      <c r="D1453" s="88">
        <v>44734</v>
      </c>
      <c r="E1453" s="89">
        <f t="shared" ref="E1453" si="631">SUM(E1451:E1452)</f>
        <v>20782.330000000002</v>
      </c>
      <c r="F1453" s="90">
        <f>SUM(F1450:F1452)</f>
        <v>43929</v>
      </c>
      <c r="G1453" s="90">
        <v>43929</v>
      </c>
      <c r="H1453" s="91">
        <f>SUM(H1451:H1452)</f>
        <v>43392.67</v>
      </c>
      <c r="I1453" s="91"/>
      <c r="J1453" s="92">
        <f t="shared" ref="J1453:Q1453" si="632">SUM(J1451:J1452)</f>
        <v>43281</v>
      </c>
      <c r="K1453" s="93">
        <f t="shared" si="632"/>
        <v>43281</v>
      </c>
      <c r="L1453" s="94">
        <f t="shared" si="632"/>
        <v>42482.69</v>
      </c>
      <c r="M1453" s="94">
        <f t="shared" si="632"/>
        <v>41572.21</v>
      </c>
      <c r="N1453" s="95">
        <f t="shared" si="632"/>
        <v>43887.909999999996</v>
      </c>
      <c r="O1453" s="96">
        <f t="shared" si="632"/>
        <v>41780.51</v>
      </c>
      <c r="P1453" s="95">
        <f t="shared" si="632"/>
        <v>41432.629999999997</v>
      </c>
      <c r="Q1453" s="97">
        <f t="shared" si="632"/>
        <v>39769.54</v>
      </c>
      <c r="R1453" s="1"/>
      <c r="S1453" s="1"/>
      <c r="T1453" s="1"/>
    </row>
    <row r="1454" spans="1:20" ht="13.5" customHeight="1" x14ac:dyDescent="0.25">
      <c r="A1454" s="1"/>
      <c r="B1454" s="1"/>
      <c r="C1454" s="1"/>
      <c r="D1454" s="72"/>
      <c r="E1454" s="67"/>
      <c r="F1454" s="73"/>
      <c r="G1454" s="73"/>
      <c r="H1454" s="74"/>
      <c r="I1454" s="74"/>
      <c r="J1454" s="75"/>
      <c r="K1454" s="76"/>
      <c r="L1454" s="77"/>
      <c r="M1454" s="77"/>
      <c r="N1454" s="51"/>
      <c r="O1454" s="52"/>
      <c r="P1454" s="53"/>
      <c r="Q1454" s="54"/>
      <c r="R1454" s="1"/>
      <c r="S1454" s="1"/>
      <c r="T1454" s="1"/>
    </row>
    <row r="1455" spans="1:20" ht="13.5" customHeight="1" x14ac:dyDescent="0.25">
      <c r="A1455" s="1"/>
      <c r="B1455" s="1" t="s">
        <v>1329</v>
      </c>
      <c r="C1455" s="1" t="s">
        <v>247</v>
      </c>
      <c r="D1455" s="42">
        <v>3513.951</v>
      </c>
      <c r="E1455" s="43">
        <v>1407.6</v>
      </c>
      <c r="F1455" s="45">
        <v>3498.2685000000001</v>
      </c>
      <c r="G1455" s="45">
        <v>3498.2685000000001</v>
      </c>
      <c r="H1455" s="46">
        <v>2934.75</v>
      </c>
      <c r="I1455" s="47">
        <f t="shared" ref="I1455:I1461" si="633">H1455/J1455</f>
        <v>0.81976256983240225</v>
      </c>
      <c r="J1455" s="48">
        <v>3580</v>
      </c>
      <c r="K1455" s="49">
        <v>3580</v>
      </c>
      <c r="L1455" s="50">
        <v>2871.46</v>
      </c>
      <c r="M1455" s="50">
        <v>3001.11</v>
      </c>
      <c r="N1455" s="51">
        <v>3346.21</v>
      </c>
      <c r="O1455" s="52">
        <v>3222.46</v>
      </c>
      <c r="P1455" s="53">
        <v>3203.46</v>
      </c>
      <c r="Q1455" s="54">
        <v>3072.92</v>
      </c>
      <c r="R1455" s="1"/>
      <c r="S1455" s="1"/>
      <c r="T1455" s="1"/>
    </row>
    <row r="1456" spans="1:20" ht="13.5" customHeight="1" x14ac:dyDescent="0.25">
      <c r="A1456" s="1"/>
      <c r="B1456" s="1" t="s">
        <v>1330</v>
      </c>
      <c r="C1456" s="1" t="s">
        <v>249</v>
      </c>
      <c r="D1456" s="42">
        <v>10463.434800000001</v>
      </c>
      <c r="E1456" s="43">
        <v>5178.18</v>
      </c>
      <c r="F1456" s="45">
        <v>10463.2736</v>
      </c>
      <c r="G1456" s="45">
        <v>10463.2736</v>
      </c>
      <c r="H1456" s="46">
        <v>10176.06</v>
      </c>
      <c r="I1456" s="47">
        <f t="shared" si="633"/>
        <v>0.99453283815480842</v>
      </c>
      <c r="J1456" s="48">
        <v>10232</v>
      </c>
      <c r="K1456" s="49">
        <v>10232</v>
      </c>
      <c r="L1456" s="50">
        <v>10140</v>
      </c>
      <c r="M1456" s="50">
        <v>7604.3</v>
      </c>
      <c r="N1456" s="51">
        <v>10165.6</v>
      </c>
      <c r="O1456" s="52">
        <v>10124.16</v>
      </c>
      <c r="P1456" s="53">
        <v>9977.7999999999993</v>
      </c>
      <c r="Q1456" s="54">
        <v>9616.7999999999993</v>
      </c>
      <c r="R1456" s="1"/>
      <c r="S1456" s="1"/>
      <c r="T1456" s="1"/>
    </row>
    <row r="1457" spans="1:20" ht="13.5" customHeight="1" x14ac:dyDescent="0.25">
      <c r="A1457" s="1"/>
      <c r="B1457" s="1" t="s">
        <v>1331</v>
      </c>
      <c r="C1457" s="1" t="s">
        <v>251</v>
      </c>
      <c r="D1457" s="42">
        <v>6899.2867999999999</v>
      </c>
      <c r="E1457" s="43">
        <v>3206.76</v>
      </c>
      <c r="F1457" s="45">
        <v>6778.3757999999998</v>
      </c>
      <c r="G1457" s="45">
        <v>6778.3757999999998</v>
      </c>
      <c r="H1457" s="46">
        <v>6481.3</v>
      </c>
      <c r="I1457" s="47">
        <f t="shared" si="633"/>
        <v>1.0034525468338753</v>
      </c>
      <c r="J1457" s="48">
        <v>6459</v>
      </c>
      <c r="K1457" s="49">
        <v>6459</v>
      </c>
      <c r="L1457" s="50">
        <v>6243.12</v>
      </c>
      <c r="M1457" s="50">
        <v>5799.1</v>
      </c>
      <c r="N1457" s="51">
        <v>6024.18</v>
      </c>
      <c r="O1457" s="52">
        <v>5715.85</v>
      </c>
      <c r="P1457" s="53">
        <v>5624.76</v>
      </c>
      <c r="Q1457" s="54">
        <v>5085.08</v>
      </c>
      <c r="R1457" s="1"/>
      <c r="S1457" s="1"/>
      <c r="T1457" s="1"/>
    </row>
    <row r="1458" spans="1:20" ht="13.5" customHeight="1" x14ac:dyDescent="0.25">
      <c r="A1458" s="1"/>
      <c r="B1458" s="1" t="s">
        <v>1332</v>
      </c>
      <c r="C1458" s="1" t="s">
        <v>253</v>
      </c>
      <c r="D1458" s="42">
        <v>73.494399999999999</v>
      </c>
      <c r="E1458" s="43">
        <v>34.15</v>
      </c>
      <c r="F1458" s="45">
        <v>72.206400000000002</v>
      </c>
      <c r="G1458" s="45">
        <v>72.206400000000002</v>
      </c>
      <c r="H1458" s="46">
        <v>71.36</v>
      </c>
      <c r="I1458" s="47">
        <f t="shared" si="633"/>
        <v>0.99111111111111105</v>
      </c>
      <c r="J1458" s="48">
        <v>72</v>
      </c>
      <c r="K1458" s="49">
        <v>72</v>
      </c>
      <c r="L1458" s="50">
        <v>78.849999999999994</v>
      </c>
      <c r="M1458" s="50">
        <v>79.25</v>
      </c>
      <c r="N1458" s="51">
        <v>104.78</v>
      </c>
      <c r="O1458" s="52">
        <v>112.29</v>
      </c>
      <c r="P1458" s="53">
        <v>102.56</v>
      </c>
      <c r="Q1458" s="54">
        <v>95</v>
      </c>
      <c r="R1458" s="1"/>
      <c r="S1458" s="1"/>
      <c r="T1458" s="1"/>
    </row>
    <row r="1459" spans="1:20" ht="13.5" customHeight="1" x14ac:dyDescent="0.25">
      <c r="A1459" s="1"/>
      <c r="B1459" s="1" t="s">
        <v>1333</v>
      </c>
      <c r="C1459" s="1" t="s">
        <v>255</v>
      </c>
      <c r="D1459" s="42">
        <v>351.12</v>
      </c>
      <c r="E1459" s="43">
        <v>167.28</v>
      </c>
      <c r="F1459" s="45">
        <v>335</v>
      </c>
      <c r="G1459" s="45">
        <v>335</v>
      </c>
      <c r="H1459" s="46">
        <v>323.95999999999998</v>
      </c>
      <c r="I1459" s="47">
        <f t="shared" si="633"/>
        <v>1.006086956521739</v>
      </c>
      <c r="J1459" s="48">
        <v>322</v>
      </c>
      <c r="K1459" s="49">
        <v>322</v>
      </c>
      <c r="L1459" s="50">
        <v>313.24</v>
      </c>
      <c r="M1459" s="50">
        <v>227.06</v>
      </c>
      <c r="N1459" s="51">
        <v>329.54</v>
      </c>
      <c r="O1459" s="52">
        <v>335.4</v>
      </c>
      <c r="P1459" s="53">
        <v>335.4</v>
      </c>
      <c r="Q1459" s="54">
        <v>320.3</v>
      </c>
      <c r="R1459" s="1"/>
      <c r="S1459" s="1"/>
      <c r="T1459" s="1"/>
    </row>
    <row r="1460" spans="1:20" ht="13.5" customHeight="1" x14ac:dyDescent="0.25">
      <c r="A1460" s="1"/>
      <c r="B1460" s="1" t="s">
        <v>1334</v>
      </c>
      <c r="C1460" s="1" t="s">
        <v>257</v>
      </c>
      <c r="D1460" s="42">
        <v>0</v>
      </c>
      <c r="E1460" s="70">
        <v>0</v>
      </c>
      <c r="F1460" s="45">
        <v>600</v>
      </c>
      <c r="G1460" s="45">
        <v>600</v>
      </c>
      <c r="H1460" s="74">
        <v>0</v>
      </c>
      <c r="I1460" s="47">
        <f t="shared" si="633"/>
        <v>0</v>
      </c>
      <c r="J1460" s="48">
        <v>600</v>
      </c>
      <c r="K1460" s="49">
        <v>600</v>
      </c>
      <c r="L1460" s="77">
        <v>0</v>
      </c>
      <c r="M1460" s="77">
        <v>0</v>
      </c>
      <c r="N1460" s="53">
        <v>0</v>
      </c>
      <c r="O1460" s="52">
        <v>0</v>
      </c>
      <c r="P1460" s="53">
        <v>0</v>
      </c>
      <c r="Q1460" s="54">
        <v>0</v>
      </c>
      <c r="R1460" s="1"/>
      <c r="S1460" s="1"/>
      <c r="T1460" s="1"/>
    </row>
    <row r="1461" spans="1:20" ht="13.5" customHeight="1" x14ac:dyDescent="0.25">
      <c r="A1461" s="1"/>
      <c r="B1461" s="1" t="s">
        <v>1335</v>
      </c>
      <c r="C1461" s="1" t="s">
        <v>559</v>
      </c>
      <c r="D1461" s="42">
        <v>1200</v>
      </c>
      <c r="E1461" s="43">
        <v>599.95000000000005</v>
      </c>
      <c r="F1461" s="45">
        <v>1200</v>
      </c>
      <c r="G1461" s="45">
        <v>1200</v>
      </c>
      <c r="H1461" s="46">
        <v>1199.9000000000001</v>
      </c>
      <c r="I1461" s="47">
        <f t="shared" si="633"/>
        <v>0.99991666666666679</v>
      </c>
      <c r="J1461" s="48">
        <v>1200</v>
      </c>
      <c r="K1461" s="49">
        <v>1200</v>
      </c>
      <c r="L1461" s="50">
        <v>1199.9000000000001</v>
      </c>
      <c r="M1461" s="50">
        <v>1199.9000000000001</v>
      </c>
      <c r="N1461" s="51">
        <v>1199.9000000000001</v>
      </c>
      <c r="O1461" s="52">
        <v>1246.05</v>
      </c>
      <c r="P1461" s="53">
        <v>1199.9000000000001</v>
      </c>
      <c r="Q1461" s="54">
        <v>1199.9000000000001</v>
      </c>
      <c r="R1461" s="1"/>
      <c r="S1461" s="1"/>
      <c r="T1461" s="1"/>
    </row>
    <row r="1462" spans="1:20" ht="13.5" customHeight="1" x14ac:dyDescent="0.25">
      <c r="A1462" s="1"/>
      <c r="B1462" s="1"/>
      <c r="C1462" s="1"/>
      <c r="D1462" s="56">
        <v>22501.286999999997</v>
      </c>
      <c r="E1462" s="57">
        <f t="shared" ref="E1462" si="634">SUM(E1455:E1461)</f>
        <v>10593.920000000002</v>
      </c>
      <c r="F1462" s="58">
        <f>SUM(F1454:F1461)</f>
        <v>22947.124299999999</v>
      </c>
      <c r="G1462" s="58">
        <v>22947.124299999999</v>
      </c>
      <c r="H1462" s="59">
        <f>SUM(H1455:H1461)</f>
        <v>21187.33</v>
      </c>
      <c r="I1462" s="59"/>
      <c r="J1462" s="60">
        <f t="shared" ref="J1462:Q1462" si="635">SUM(J1455:J1461)</f>
        <v>22465</v>
      </c>
      <c r="K1462" s="61">
        <f t="shared" si="635"/>
        <v>22465</v>
      </c>
      <c r="L1462" s="62">
        <f t="shared" si="635"/>
        <v>20846.57</v>
      </c>
      <c r="M1462" s="62">
        <f t="shared" si="635"/>
        <v>17910.720000000005</v>
      </c>
      <c r="N1462" s="63">
        <f t="shared" si="635"/>
        <v>21170.210000000003</v>
      </c>
      <c r="O1462" s="64">
        <f t="shared" si="635"/>
        <v>20756.210000000003</v>
      </c>
      <c r="P1462" s="63">
        <f t="shared" si="635"/>
        <v>20443.88</v>
      </c>
      <c r="Q1462" s="65">
        <f t="shared" si="635"/>
        <v>19390</v>
      </c>
      <c r="R1462" s="1"/>
      <c r="S1462" s="1"/>
      <c r="T1462" s="1"/>
    </row>
    <row r="1463" spans="1:20" ht="13.5" customHeight="1" x14ac:dyDescent="0.25">
      <c r="A1463" s="1"/>
      <c r="B1463" s="1"/>
      <c r="C1463" s="1"/>
      <c r="D1463" s="42"/>
      <c r="E1463" s="44"/>
      <c r="F1463" s="45"/>
      <c r="G1463" s="45"/>
      <c r="H1463" s="66"/>
      <c r="I1463" s="66"/>
      <c r="J1463" s="48"/>
      <c r="K1463" s="49"/>
      <c r="L1463" s="50"/>
      <c r="M1463" s="50"/>
      <c r="N1463" s="51"/>
      <c r="O1463" s="52"/>
      <c r="P1463" s="53"/>
      <c r="Q1463" s="54"/>
      <c r="R1463" s="1"/>
      <c r="S1463" s="1"/>
      <c r="T1463" s="1"/>
    </row>
    <row r="1464" spans="1:20" ht="13.5" customHeight="1" x14ac:dyDescent="0.25">
      <c r="A1464" s="1"/>
      <c r="B1464" s="1" t="s">
        <v>1336</v>
      </c>
      <c r="C1464" s="1" t="s">
        <v>259</v>
      </c>
      <c r="D1464" s="42">
        <v>50</v>
      </c>
      <c r="E1464" s="70">
        <v>0</v>
      </c>
      <c r="F1464" s="45">
        <v>50</v>
      </c>
      <c r="G1464" s="45">
        <v>50</v>
      </c>
      <c r="H1464" s="74">
        <v>0</v>
      </c>
      <c r="I1464" s="47">
        <f t="shared" ref="I1464:I1467" si="636">H1464/J1464</f>
        <v>0</v>
      </c>
      <c r="J1464" s="48">
        <v>50</v>
      </c>
      <c r="K1464" s="49">
        <v>50</v>
      </c>
      <c r="L1464" s="77">
        <v>0</v>
      </c>
      <c r="M1464" s="50">
        <v>219.6</v>
      </c>
      <c r="N1464" s="51">
        <v>1</v>
      </c>
      <c r="O1464" s="52">
        <v>0</v>
      </c>
      <c r="P1464" s="53">
        <v>45.54</v>
      </c>
      <c r="Q1464" s="54">
        <v>120.06</v>
      </c>
      <c r="R1464" s="1"/>
      <c r="S1464" s="1"/>
      <c r="T1464" s="1"/>
    </row>
    <row r="1465" spans="1:20" ht="13.5" customHeight="1" x14ac:dyDescent="0.25">
      <c r="A1465" s="1"/>
      <c r="B1465" s="1" t="s">
        <v>1337</v>
      </c>
      <c r="C1465" s="1" t="s">
        <v>261</v>
      </c>
      <c r="D1465" s="42">
        <v>100</v>
      </c>
      <c r="E1465" s="70">
        <v>0</v>
      </c>
      <c r="F1465" s="45">
        <v>100</v>
      </c>
      <c r="G1465" s="45">
        <v>100</v>
      </c>
      <c r="H1465" s="74">
        <v>0</v>
      </c>
      <c r="I1465" s="47">
        <f t="shared" si="636"/>
        <v>0</v>
      </c>
      <c r="J1465" s="48">
        <v>100</v>
      </c>
      <c r="K1465" s="49">
        <v>100</v>
      </c>
      <c r="L1465" s="77">
        <v>0</v>
      </c>
      <c r="M1465" s="77">
        <v>0</v>
      </c>
      <c r="N1465" s="53">
        <v>0</v>
      </c>
      <c r="O1465" s="52">
        <v>0</v>
      </c>
      <c r="P1465" s="53">
        <v>0</v>
      </c>
      <c r="Q1465" s="54">
        <v>0</v>
      </c>
      <c r="R1465" s="1"/>
      <c r="S1465" s="1"/>
      <c r="T1465" s="1"/>
    </row>
    <row r="1466" spans="1:20" ht="13.5" customHeight="1" x14ac:dyDescent="0.25">
      <c r="A1466" s="1"/>
      <c r="B1466" s="1" t="s">
        <v>1338</v>
      </c>
      <c r="C1466" s="1" t="s">
        <v>471</v>
      </c>
      <c r="D1466" s="42">
        <v>2000</v>
      </c>
      <c r="E1466" s="43">
        <v>379.44</v>
      </c>
      <c r="F1466" s="45">
        <v>2000</v>
      </c>
      <c r="G1466" s="45">
        <v>2000</v>
      </c>
      <c r="H1466" s="46">
        <v>1350.65</v>
      </c>
      <c r="I1466" s="47">
        <f t="shared" si="636"/>
        <v>0.67532500000000006</v>
      </c>
      <c r="J1466" s="48">
        <v>2000</v>
      </c>
      <c r="K1466" s="49">
        <v>2000</v>
      </c>
      <c r="L1466" s="50">
        <v>1410.02</v>
      </c>
      <c r="M1466" s="50">
        <v>1176.79</v>
      </c>
      <c r="N1466" s="51">
        <v>1303.54</v>
      </c>
      <c r="O1466" s="52">
        <v>851.82</v>
      </c>
      <c r="P1466" s="53">
        <v>2869.83</v>
      </c>
      <c r="Q1466" s="54">
        <v>2537.92</v>
      </c>
      <c r="R1466" s="1"/>
      <c r="S1466" s="1"/>
      <c r="T1466" s="1"/>
    </row>
    <row r="1467" spans="1:20" ht="13.5" customHeight="1" x14ac:dyDescent="0.25">
      <c r="A1467" s="1"/>
      <c r="B1467" s="1" t="s">
        <v>1339</v>
      </c>
      <c r="C1467" s="1" t="s">
        <v>473</v>
      </c>
      <c r="D1467" s="42">
        <v>400</v>
      </c>
      <c r="E1467" s="70">
        <v>0</v>
      </c>
      <c r="F1467" s="45">
        <v>400</v>
      </c>
      <c r="G1467" s="45">
        <v>400</v>
      </c>
      <c r="H1467" s="68">
        <v>285.01</v>
      </c>
      <c r="I1467" s="47">
        <f t="shared" si="636"/>
        <v>0.71252499999999996</v>
      </c>
      <c r="J1467" s="48">
        <v>400</v>
      </c>
      <c r="K1467" s="49">
        <v>400</v>
      </c>
      <c r="L1467" s="50">
        <v>66</v>
      </c>
      <c r="M1467" s="50">
        <v>422.83</v>
      </c>
      <c r="N1467" s="51">
        <v>388</v>
      </c>
      <c r="O1467" s="52">
        <v>0</v>
      </c>
      <c r="P1467" s="53">
        <v>0</v>
      </c>
      <c r="Q1467" s="54">
        <v>149.94999999999999</v>
      </c>
      <c r="R1467" s="1"/>
      <c r="S1467" s="1"/>
      <c r="T1467" s="1"/>
    </row>
    <row r="1468" spans="1:20" ht="13.5" customHeight="1" x14ac:dyDescent="0.25">
      <c r="A1468" s="1"/>
      <c r="B1468" s="1" t="s">
        <v>1340</v>
      </c>
      <c r="C1468" s="55" t="s">
        <v>267</v>
      </c>
      <c r="D1468" s="42">
        <v>0</v>
      </c>
      <c r="E1468" s="70">
        <v>0</v>
      </c>
      <c r="F1468" s="73">
        <v>0</v>
      </c>
      <c r="G1468" s="73">
        <v>0</v>
      </c>
      <c r="H1468" s="74">
        <v>0</v>
      </c>
      <c r="I1468" s="74">
        <v>0</v>
      </c>
      <c r="J1468" s="75">
        <v>0</v>
      </c>
      <c r="K1468" s="76">
        <v>0</v>
      </c>
      <c r="L1468" s="77">
        <v>0</v>
      </c>
      <c r="M1468" s="50">
        <v>83.75</v>
      </c>
      <c r="N1468" s="53">
        <v>0</v>
      </c>
      <c r="O1468" s="52">
        <v>372.9</v>
      </c>
      <c r="P1468" s="53">
        <v>0</v>
      </c>
      <c r="Q1468" s="54">
        <v>0</v>
      </c>
      <c r="R1468" s="1"/>
      <c r="S1468" s="1"/>
      <c r="T1468" s="1"/>
    </row>
    <row r="1469" spans="1:20" ht="13.5" customHeight="1" x14ac:dyDescent="0.25">
      <c r="A1469" s="1"/>
      <c r="B1469" s="1"/>
      <c r="C1469" s="1"/>
      <c r="D1469" s="88">
        <v>2550</v>
      </c>
      <c r="E1469" s="89">
        <f t="shared" ref="E1469" si="637">SUM(E1464:E1468)</f>
        <v>379.44</v>
      </c>
      <c r="F1469" s="90">
        <f>SUM(F1463:F1468)</f>
        <v>2550</v>
      </c>
      <c r="G1469" s="90">
        <v>2550</v>
      </c>
      <c r="H1469" s="91">
        <f>SUM(H1464:H1468)</f>
        <v>1635.66</v>
      </c>
      <c r="I1469" s="91"/>
      <c r="J1469" s="92">
        <f t="shared" ref="J1469:Q1469" si="638">SUM(J1464:J1468)</f>
        <v>2550</v>
      </c>
      <c r="K1469" s="93">
        <f t="shared" si="638"/>
        <v>2550</v>
      </c>
      <c r="L1469" s="94">
        <f t="shared" si="638"/>
        <v>1476.02</v>
      </c>
      <c r="M1469" s="94">
        <f t="shared" si="638"/>
        <v>1902.9699999999998</v>
      </c>
      <c r="N1469" s="95">
        <f t="shared" si="638"/>
        <v>1692.54</v>
      </c>
      <c r="O1469" s="96">
        <f t="shared" si="638"/>
        <v>1224.72</v>
      </c>
      <c r="P1469" s="95">
        <f t="shared" si="638"/>
        <v>2915.37</v>
      </c>
      <c r="Q1469" s="97">
        <f t="shared" si="638"/>
        <v>2807.93</v>
      </c>
      <c r="R1469" s="1"/>
      <c r="S1469" s="1"/>
      <c r="T1469" s="1"/>
    </row>
    <row r="1470" spans="1:20" ht="13.5" customHeight="1" x14ac:dyDescent="0.25">
      <c r="A1470" s="1"/>
      <c r="B1470" s="1"/>
      <c r="C1470" s="1"/>
      <c r="D1470" s="72"/>
      <c r="E1470" s="67"/>
      <c r="F1470" s="73"/>
      <c r="G1470" s="73"/>
      <c r="H1470" s="74"/>
      <c r="I1470" s="74"/>
      <c r="J1470" s="75"/>
      <c r="K1470" s="76"/>
      <c r="L1470" s="77"/>
      <c r="M1470" s="50"/>
      <c r="N1470" s="53"/>
      <c r="O1470" s="52"/>
      <c r="P1470" s="53"/>
      <c r="Q1470" s="54"/>
      <c r="R1470" s="1"/>
      <c r="S1470" s="1"/>
      <c r="T1470" s="1"/>
    </row>
    <row r="1471" spans="1:20" ht="13.5" customHeight="1" x14ac:dyDescent="0.25">
      <c r="A1471" s="1"/>
      <c r="B1471" s="1" t="s">
        <v>1341</v>
      </c>
      <c r="C1471" s="1" t="s">
        <v>275</v>
      </c>
      <c r="D1471" s="42">
        <v>100</v>
      </c>
      <c r="E1471" s="43">
        <v>100</v>
      </c>
      <c r="F1471" s="45">
        <v>100</v>
      </c>
      <c r="G1471" s="45">
        <v>100</v>
      </c>
      <c r="H1471" s="66">
        <v>60</v>
      </c>
      <c r="I1471" s="47">
        <f t="shared" ref="I1471:I1472" si="639">H1471/J1471</f>
        <v>0.6</v>
      </c>
      <c r="J1471" s="48">
        <v>100</v>
      </c>
      <c r="K1471" s="49">
        <v>100</v>
      </c>
      <c r="L1471" s="50">
        <v>51</v>
      </c>
      <c r="M1471" s="50">
        <v>40.68</v>
      </c>
      <c r="N1471" s="51">
        <v>35</v>
      </c>
      <c r="O1471" s="52">
        <v>0</v>
      </c>
      <c r="P1471" s="53">
        <v>0</v>
      </c>
      <c r="Q1471" s="54">
        <v>0</v>
      </c>
      <c r="R1471" s="1"/>
      <c r="S1471" s="1"/>
      <c r="T1471" s="1"/>
    </row>
    <row r="1472" spans="1:20" ht="13.5" customHeight="1" x14ac:dyDescent="0.25">
      <c r="A1472" s="1"/>
      <c r="B1472" s="1" t="s">
        <v>1342</v>
      </c>
      <c r="C1472" s="1" t="s">
        <v>489</v>
      </c>
      <c r="D1472" s="42">
        <v>400</v>
      </c>
      <c r="E1472" s="43">
        <f>254.81+57</f>
        <v>311.81</v>
      </c>
      <c r="F1472" s="45">
        <v>400</v>
      </c>
      <c r="G1472" s="45">
        <v>400</v>
      </c>
      <c r="H1472" s="46">
        <v>274.14999999999998</v>
      </c>
      <c r="I1472" s="47">
        <f t="shared" si="639"/>
        <v>0.68537499999999996</v>
      </c>
      <c r="J1472" s="48">
        <v>400</v>
      </c>
      <c r="K1472" s="49">
        <v>400</v>
      </c>
      <c r="L1472" s="50">
        <v>47.83</v>
      </c>
      <c r="M1472" s="50">
        <v>262.42</v>
      </c>
      <c r="N1472" s="51">
        <v>904.88</v>
      </c>
      <c r="O1472" s="52">
        <v>242.98</v>
      </c>
      <c r="P1472" s="53">
        <v>316.3</v>
      </c>
      <c r="Q1472" s="54">
        <v>232.08</v>
      </c>
      <c r="R1472" s="1"/>
      <c r="S1472" s="1"/>
      <c r="T1472" s="1"/>
    </row>
    <row r="1473" spans="1:20" ht="13.5" customHeight="1" x14ac:dyDescent="0.25">
      <c r="A1473" s="1"/>
      <c r="B1473" s="1" t="s">
        <v>1343</v>
      </c>
      <c r="C1473" s="1" t="s">
        <v>541</v>
      </c>
      <c r="D1473" s="42">
        <v>0</v>
      </c>
      <c r="E1473" s="67">
        <v>0</v>
      </c>
      <c r="F1473" s="73">
        <v>0</v>
      </c>
      <c r="G1473" s="73">
        <v>0</v>
      </c>
      <c r="H1473" s="74">
        <v>0</v>
      </c>
      <c r="I1473" s="74">
        <v>0</v>
      </c>
      <c r="J1473" s="75">
        <v>0</v>
      </c>
      <c r="K1473" s="76">
        <v>0</v>
      </c>
      <c r="L1473" s="77">
        <v>0</v>
      </c>
      <c r="M1473" s="50">
        <v>177.5</v>
      </c>
      <c r="N1473" s="53">
        <v>0</v>
      </c>
      <c r="O1473" s="52"/>
      <c r="P1473" s="53"/>
      <c r="Q1473" s="54"/>
      <c r="R1473" s="1"/>
      <c r="S1473" s="1"/>
      <c r="T1473" s="1"/>
    </row>
    <row r="1474" spans="1:20" ht="13.5" customHeight="1" x14ac:dyDescent="0.25">
      <c r="A1474" s="1"/>
      <c r="B1474" s="1"/>
      <c r="C1474" s="1"/>
      <c r="D1474" s="88">
        <v>500</v>
      </c>
      <c r="E1474" s="89">
        <f t="shared" ref="E1474" si="640">SUM(E1471:E1473)</f>
        <v>411.81</v>
      </c>
      <c r="F1474" s="90">
        <f>SUM(F1470:F1473)</f>
        <v>500</v>
      </c>
      <c r="G1474" s="90">
        <v>500</v>
      </c>
      <c r="H1474" s="91">
        <f>SUM(H1471:H1473)</f>
        <v>334.15</v>
      </c>
      <c r="I1474" s="91"/>
      <c r="J1474" s="92">
        <f t="shared" ref="J1474:Q1474" si="641">SUM(J1471:J1473)</f>
        <v>500</v>
      </c>
      <c r="K1474" s="93">
        <f t="shared" si="641"/>
        <v>500</v>
      </c>
      <c r="L1474" s="94">
        <f t="shared" si="641"/>
        <v>98.83</v>
      </c>
      <c r="M1474" s="94">
        <f t="shared" si="641"/>
        <v>480.6</v>
      </c>
      <c r="N1474" s="95">
        <f t="shared" si="641"/>
        <v>939.88</v>
      </c>
      <c r="O1474" s="96">
        <f t="shared" si="641"/>
        <v>242.98</v>
      </c>
      <c r="P1474" s="95">
        <f t="shared" si="641"/>
        <v>316.3</v>
      </c>
      <c r="Q1474" s="97">
        <f t="shared" si="641"/>
        <v>232.08</v>
      </c>
      <c r="R1474" s="1"/>
      <c r="S1474" s="1"/>
      <c r="T1474" s="1"/>
    </row>
    <row r="1475" spans="1:20" ht="13.5" customHeight="1" thickBot="1" x14ac:dyDescent="0.3">
      <c r="A1475" s="1"/>
      <c r="B1475" s="1"/>
      <c r="C1475" s="116" t="s">
        <v>1344</v>
      </c>
      <c r="D1475" s="229">
        <v>70285.286999999997</v>
      </c>
      <c r="E1475" s="230">
        <f t="shared" ref="E1475" si="642">SUM(E1453+E1462+E1469+E1474)</f>
        <v>32167.500000000004</v>
      </c>
      <c r="F1475" s="231">
        <f>SUM(F1453,F1462,F1469,F1474)</f>
        <v>69926.124299999996</v>
      </c>
      <c r="G1475" s="231">
        <v>69926.124299999996</v>
      </c>
      <c r="H1475" s="232">
        <f>SUM(H1453+H1462+H1469+H1474)</f>
        <v>66549.81</v>
      </c>
      <c r="I1475" s="232"/>
      <c r="J1475" s="233">
        <f t="shared" ref="J1475:Q1475" si="643">SUM(J1453+J1462+J1469+J1474)</f>
        <v>68796</v>
      </c>
      <c r="K1475" s="234">
        <f t="shared" si="643"/>
        <v>68796</v>
      </c>
      <c r="L1475" s="235">
        <f t="shared" si="643"/>
        <v>64904.11</v>
      </c>
      <c r="M1475" s="235">
        <f t="shared" si="643"/>
        <v>61866.500000000007</v>
      </c>
      <c r="N1475" s="236">
        <f t="shared" si="643"/>
        <v>67690.539999999994</v>
      </c>
      <c r="O1475" s="237">
        <f t="shared" si="643"/>
        <v>64004.420000000006</v>
      </c>
      <c r="P1475" s="236">
        <f t="shared" si="643"/>
        <v>65108.18</v>
      </c>
      <c r="Q1475" s="238">
        <f t="shared" si="643"/>
        <v>62199.55</v>
      </c>
      <c r="R1475" s="1"/>
      <c r="S1475" s="1"/>
      <c r="T1475" s="1"/>
    </row>
    <row r="1476" spans="1:20" ht="13.5" customHeight="1" x14ac:dyDescent="0.25">
      <c r="A1476" s="1"/>
      <c r="B1476" s="1"/>
      <c r="C1476" s="1"/>
      <c r="D1476" s="72"/>
      <c r="E1476" s="67"/>
      <c r="F1476" s="73"/>
      <c r="G1476" s="73"/>
      <c r="H1476" s="74"/>
      <c r="I1476" s="74"/>
      <c r="J1476" s="75"/>
      <c r="K1476" s="76"/>
      <c r="L1476" s="77"/>
      <c r="M1476" s="50"/>
      <c r="N1476" s="53"/>
      <c r="O1476" s="52"/>
      <c r="P1476" s="53"/>
      <c r="Q1476" s="54"/>
      <c r="R1476" s="1"/>
      <c r="S1476" s="1"/>
      <c r="T1476" s="1"/>
    </row>
    <row r="1477" spans="1:20" ht="13.5" customHeight="1" x14ac:dyDescent="0.25">
      <c r="A1477" s="1"/>
      <c r="B1477" s="1"/>
      <c r="C1477" s="41" t="s">
        <v>1345</v>
      </c>
      <c r="D1477" s="72"/>
      <c r="E1477" s="67"/>
      <c r="F1477" s="73"/>
      <c r="G1477" s="73"/>
      <c r="H1477" s="74"/>
      <c r="I1477" s="74"/>
      <c r="J1477" s="75"/>
      <c r="K1477" s="76"/>
      <c r="L1477" s="77"/>
      <c r="M1477" s="50"/>
      <c r="N1477" s="53"/>
      <c r="O1477" s="52"/>
      <c r="P1477" s="53"/>
      <c r="Q1477" s="54"/>
      <c r="R1477" s="1"/>
      <c r="S1477" s="1"/>
      <c r="T1477" s="1"/>
    </row>
    <row r="1478" spans="1:20" ht="13.5" customHeight="1" x14ac:dyDescent="0.25">
      <c r="A1478" s="1"/>
      <c r="B1478" s="1" t="s">
        <v>1346</v>
      </c>
      <c r="C1478" s="1" t="s">
        <v>418</v>
      </c>
      <c r="D1478" s="42">
        <v>48987</v>
      </c>
      <c r="E1478" s="43">
        <v>22757.83</v>
      </c>
      <c r="F1478" s="45">
        <v>48106</v>
      </c>
      <c r="G1478" s="45">
        <v>48106</v>
      </c>
      <c r="H1478" s="46">
        <v>43505.1</v>
      </c>
      <c r="I1478" s="47">
        <f t="shared" ref="I1478:I1479" si="644">H1478/J1478</f>
        <v>1.0051777916406737</v>
      </c>
      <c r="J1478" s="48">
        <v>43281</v>
      </c>
      <c r="K1478" s="49">
        <v>43281</v>
      </c>
      <c r="L1478" s="50">
        <v>42482.69</v>
      </c>
      <c r="M1478" s="50">
        <v>41572.230000000003</v>
      </c>
      <c r="N1478" s="51">
        <v>40916.980000000003</v>
      </c>
      <c r="O1478" s="52">
        <v>39123.410000000003</v>
      </c>
      <c r="P1478" s="53">
        <v>39053.5</v>
      </c>
      <c r="Q1478" s="54">
        <v>37633.19</v>
      </c>
      <c r="R1478" s="1"/>
      <c r="S1478" s="1"/>
      <c r="T1478" s="1"/>
    </row>
    <row r="1479" spans="1:20" ht="13.5" hidden="1" customHeight="1" x14ac:dyDescent="0.25">
      <c r="A1479" s="1"/>
      <c r="B1479" s="1" t="s">
        <v>1347</v>
      </c>
      <c r="C1479" s="1" t="s">
        <v>423</v>
      </c>
      <c r="D1479" s="42">
        <v>0</v>
      </c>
      <c r="E1479" s="43">
        <v>0</v>
      </c>
      <c r="F1479" s="45">
        <v>0</v>
      </c>
      <c r="G1479" s="45">
        <v>0</v>
      </c>
      <c r="H1479" s="46">
        <v>3604.51</v>
      </c>
      <c r="I1479" s="47">
        <f t="shared" si="644"/>
        <v>0.97498241817690023</v>
      </c>
      <c r="J1479" s="48">
        <v>3697</v>
      </c>
      <c r="K1479" s="49">
        <v>3697</v>
      </c>
      <c r="L1479" s="50">
        <v>3457.39</v>
      </c>
      <c r="M1479" s="50">
        <v>3173.17</v>
      </c>
      <c r="N1479" s="51">
        <v>2920.19</v>
      </c>
      <c r="O1479" s="52">
        <v>2657.1</v>
      </c>
      <c r="P1479" s="53">
        <v>2379.13</v>
      </c>
      <c r="Q1479" s="54">
        <v>2136.35</v>
      </c>
      <c r="R1479" s="1"/>
      <c r="S1479" s="1"/>
      <c r="T1479" s="1"/>
    </row>
    <row r="1480" spans="1:20" ht="13.5" customHeight="1" x14ac:dyDescent="0.25">
      <c r="A1480" s="1"/>
      <c r="B1480" s="1"/>
      <c r="C1480" s="1"/>
      <c r="D1480" s="56">
        <v>48987</v>
      </c>
      <c r="E1480" s="57">
        <f t="shared" ref="E1480" si="645">SUM(E1478:E1479)</f>
        <v>22757.83</v>
      </c>
      <c r="F1480" s="58">
        <f>SUM(F1477:F1479)</f>
        <v>48106</v>
      </c>
      <c r="G1480" s="58">
        <v>48106</v>
      </c>
      <c r="H1480" s="59">
        <f>SUM(H1478:H1479)</f>
        <v>47109.61</v>
      </c>
      <c r="I1480" s="59"/>
      <c r="J1480" s="60">
        <f t="shared" ref="J1480:Q1480" si="646">SUM(J1478:J1479)</f>
        <v>46978</v>
      </c>
      <c r="K1480" s="61">
        <f t="shared" si="646"/>
        <v>46978</v>
      </c>
      <c r="L1480" s="62">
        <f t="shared" si="646"/>
        <v>45940.08</v>
      </c>
      <c r="M1480" s="62">
        <f t="shared" si="646"/>
        <v>44745.4</v>
      </c>
      <c r="N1480" s="63">
        <f t="shared" si="646"/>
        <v>43837.170000000006</v>
      </c>
      <c r="O1480" s="64">
        <f t="shared" si="646"/>
        <v>41780.51</v>
      </c>
      <c r="P1480" s="63">
        <f t="shared" si="646"/>
        <v>41432.629999999997</v>
      </c>
      <c r="Q1480" s="65">
        <f t="shared" si="646"/>
        <v>39769.54</v>
      </c>
      <c r="R1480" s="1"/>
      <c r="S1480" s="1"/>
      <c r="T1480" s="1"/>
    </row>
    <row r="1481" spans="1:20" ht="13.5" customHeight="1" x14ac:dyDescent="0.25">
      <c r="A1481" s="1"/>
      <c r="B1481" s="1"/>
      <c r="C1481" s="1"/>
      <c r="D1481" s="42"/>
      <c r="E1481" s="44"/>
      <c r="F1481" s="45"/>
      <c r="G1481" s="45"/>
      <c r="H1481" s="66"/>
      <c r="I1481" s="66"/>
      <c r="J1481" s="48"/>
      <c r="K1481" s="49"/>
      <c r="L1481" s="50"/>
      <c r="M1481" s="50"/>
      <c r="N1481" s="51"/>
      <c r="O1481" s="52"/>
      <c r="P1481" s="53"/>
      <c r="Q1481" s="54"/>
      <c r="R1481" s="1"/>
      <c r="S1481" s="1"/>
      <c r="T1481" s="1"/>
    </row>
    <row r="1482" spans="1:20" ht="13.5" customHeight="1" x14ac:dyDescent="0.25">
      <c r="A1482" s="1"/>
      <c r="B1482" s="1" t="s">
        <v>1348</v>
      </c>
      <c r="C1482" s="1" t="s">
        <v>247</v>
      </c>
      <c r="D1482" s="42">
        <v>3839.3054999999999</v>
      </c>
      <c r="E1482" s="43">
        <v>1545.56</v>
      </c>
      <c r="F1482" s="45">
        <v>3817.8089999999997</v>
      </c>
      <c r="G1482" s="45">
        <v>3817.8089999999997</v>
      </c>
      <c r="H1482" s="46">
        <v>3198.51</v>
      </c>
      <c r="I1482" s="47">
        <f t="shared" ref="I1482:I1488" si="647">H1482/J1482</f>
        <v>0.89343854748603357</v>
      </c>
      <c r="J1482" s="48">
        <v>3580</v>
      </c>
      <c r="K1482" s="49">
        <v>3580</v>
      </c>
      <c r="L1482" s="50">
        <v>3112.72</v>
      </c>
      <c r="M1482" s="50">
        <v>3059.95</v>
      </c>
      <c r="N1482" s="51">
        <v>2981.23</v>
      </c>
      <c r="O1482" s="52">
        <v>2909.68</v>
      </c>
      <c r="P1482" s="53">
        <v>2902.45</v>
      </c>
      <c r="Q1482" s="54">
        <v>2891.55</v>
      </c>
      <c r="R1482" s="1"/>
      <c r="S1482" s="1"/>
      <c r="T1482" s="1"/>
    </row>
    <row r="1483" spans="1:20" ht="13.5" customHeight="1" x14ac:dyDescent="0.25">
      <c r="A1483" s="1"/>
      <c r="B1483" s="1" t="s">
        <v>1349</v>
      </c>
      <c r="C1483" s="1" t="s">
        <v>249</v>
      </c>
      <c r="D1483" s="42">
        <v>10463.434800000001</v>
      </c>
      <c r="E1483" s="43">
        <v>5178.18</v>
      </c>
      <c r="F1483" s="45">
        <v>10463.2736</v>
      </c>
      <c r="G1483" s="45">
        <v>10463.2736</v>
      </c>
      <c r="H1483" s="46">
        <v>10176.06</v>
      </c>
      <c r="I1483" s="47">
        <f t="shared" si="647"/>
        <v>0.99453283815480842</v>
      </c>
      <c r="J1483" s="48">
        <v>10232</v>
      </c>
      <c r="K1483" s="49">
        <v>10232</v>
      </c>
      <c r="L1483" s="50">
        <v>10140</v>
      </c>
      <c r="M1483" s="50">
        <v>10139</v>
      </c>
      <c r="N1483" s="51">
        <v>10165.6</v>
      </c>
      <c r="O1483" s="52">
        <v>10124.16</v>
      </c>
      <c r="P1483" s="53">
        <v>9977.7999999999993</v>
      </c>
      <c r="Q1483" s="54">
        <v>9616.7999999999993</v>
      </c>
      <c r="R1483" s="1"/>
      <c r="S1483" s="1"/>
      <c r="T1483" s="1"/>
    </row>
    <row r="1484" spans="1:20" ht="13.5" customHeight="1" x14ac:dyDescent="0.25">
      <c r="A1484" s="1"/>
      <c r="B1484" s="1" t="s">
        <v>1350</v>
      </c>
      <c r="C1484" s="1" t="s">
        <v>251</v>
      </c>
      <c r="D1484" s="42">
        <v>7538.0874000000003</v>
      </c>
      <c r="E1484" s="43">
        <v>3503.48</v>
      </c>
      <c r="F1484" s="45">
        <v>7405.7611999999999</v>
      </c>
      <c r="G1484" s="45">
        <v>7405.7611999999999</v>
      </c>
      <c r="H1484" s="46">
        <v>7021.56</v>
      </c>
      <c r="I1484" s="47">
        <f t="shared" si="647"/>
        <v>1.0036535162950257</v>
      </c>
      <c r="J1484" s="48">
        <v>6996</v>
      </c>
      <c r="K1484" s="49">
        <v>6996</v>
      </c>
      <c r="L1484" s="50">
        <v>6743.69</v>
      </c>
      <c r="M1484" s="50">
        <v>6233.37</v>
      </c>
      <c r="N1484" s="51">
        <v>6024.88</v>
      </c>
      <c r="O1484" s="52">
        <v>5715.85</v>
      </c>
      <c r="P1484" s="53">
        <v>5624.76</v>
      </c>
      <c r="Q1484" s="54">
        <v>5085.08</v>
      </c>
      <c r="R1484" s="1"/>
      <c r="S1484" s="1"/>
      <c r="T1484" s="1"/>
    </row>
    <row r="1485" spans="1:20" ht="13.5" customHeight="1" x14ac:dyDescent="0.25">
      <c r="A1485" s="1"/>
      <c r="B1485" s="1" t="s">
        <v>1351</v>
      </c>
      <c r="C1485" s="1" t="s">
        <v>253</v>
      </c>
      <c r="D1485" s="42">
        <v>80.299199999999999</v>
      </c>
      <c r="E1485" s="43">
        <v>37.32</v>
      </c>
      <c r="F1485" s="45">
        <v>78.889600000000002</v>
      </c>
      <c r="G1485" s="45">
        <v>78.889600000000002</v>
      </c>
      <c r="H1485" s="46">
        <v>77.3</v>
      </c>
      <c r="I1485" s="47">
        <f t="shared" si="647"/>
        <v>0.99102564102564095</v>
      </c>
      <c r="J1485" s="48">
        <v>78</v>
      </c>
      <c r="K1485" s="49">
        <v>78</v>
      </c>
      <c r="L1485" s="50">
        <v>85.1</v>
      </c>
      <c r="M1485" s="50">
        <v>85.02</v>
      </c>
      <c r="N1485" s="51">
        <v>104.78</v>
      </c>
      <c r="O1485" s="52">
        <v>112.29</v>
      </c>
      <c r="P1485" s="53">
        <v>102.56</v>
      </c>
      <c r="Q1485" s="54">
        <v>95</v>
      </c>
      <c r="R1485" s="1"/>
      <c r="S1485" s="1"/>
      <c r="T1485" s="1"/>
    </row>
    <row r="1486" spans="1:20" ht="13.5" customHeight="1" x14ac:dyDescent="0.25">
      <c r="A1486" s="1"/>
      <c r="B1486" s="1" t="s">
        <v>1352</v>
      </c>
      <c r="C1486" s="1" t="s">
        <v>255</v>
      </c>
      <c r="D1486" s="42">
        <v>351.12</v>
      </c>
      <c r="E1486" s="43">
        <v>167.28</v>
      </c>
      <c r="F1486" s="45">
        <v>335</v>
      </c>
      <c r="G1486" s="45">
        <v>335</v>
      </c>
      <c r="H1486" s="46">
        <v>323.95999999999998</v>
      </c>
      <c r="I1486" s="47">
        <f t="shared" si="647"/>
        <v>1.006086956521739</v>
      </c>
      <c r="J1486" s="48">
        <v>322</v>
      </c>
      <c r="K1486" s="49">
        <v>322</v>
      </c>
      <c r="L1486" s="50">
        <v>313.24</v>
      </c>
      <c r="M1486" s="50">
        <v>302.12</v>
      </c>
      <c r="N1486" s="51">
        <v>329.54</v>
      </c>
      <c r="O1486" s="52">
        <v>335.4</v>
      </c>
      <c r="P1486" s="53">
        <v>335.4</v>
      </c>
      <c r="Q1486" s="54">
        <v>320.3</v>
      </c>
      <c r="R1486" s="1"/>
      <c r="S1486" s="1"/>
      <c r="T1486" s="1"/>
    </row>
    <row r="1487" spans="1:20" ht="13.5" customHeight="1" x14ac:dyDescent="0.25">
      <c r="A1487" s="1"/>
      <c r="B1487" s="1" t="s">
        <v>1353</v>
      </c>
      <c r="C1487" s="1" t="s">
        <v>257</v>
      </c>
      <c r="D1487" s="42">
        <v>0</v>
      </c>
      <c r="E1487" s="70">
        <v>0</v>
      </c>
      <c r="F1487" s="45">
        <v>600</v>
      </c>
      <c r="G1487" s="45">
        <v>600</v>
      </c>
      <c r="H1487" s="74">
        <v>0</v>
      </c>
      <c r="I1487" s="47">
        <f t="shared" si="647"/>
        <v>0</v>
      </c>
      <c r="J1487" s="48">
        <v>600</v>
      </c>
      <c r="K1487" s="49">
        <v>600</v>
      </c>
      <c r="L1487" s="77">
        <v>0</v>
      </c>
      <c r="M1487" s="77">
        <v>0</v>
      </c>
      <c r="N1487" s="53">
        <v>0</v>
      </c>
      <c r="O1487" s="52">
        <v>0</v>
      </c>
      <c r="P1487" s="53">
        <v>0</v>
      </c>
      <c r="Q1487" s="54">
        <v>0</v>
      </c>
      <c r="R1487" s="1"/>
      <c r="S1487" s="1"/>
      <c r="T1487" s="1"/>
    </row>
    <row r="1488" spans="1:20" ht="13.5" customHeight="1" x14ac:dyDescent="0.25">
      <c r="A1488" s="1"/>
      <c r="B1488" s="1" t="s">
        <v>1354</v>
      </c>
      <c r="C1488" s="1" t="s">
        <v>559</v>
      </c>
      <c r="D1488" s="42">
        <v>1200</v>
      </c>
      <c r="E1488" s="43">
        <v>599.95000000000005</v>
      </c>
      <c r="F1488" s="45">
        <v>1200</v>
      </c>
      <c r="G1488" s="45">
        <v>1200</v>
      </c>
      <c r="H1488" s="46">
        <v>1199.9000000000001</v>
      </c>
      <c r="I1488" s="47">
        <f t="shared" si="647"/>
        <v>0.99991666666666679</v>
      </c>
      <c r="J1488" s="48">
        <v>1200</v>
      </c>
      <c r="K1488" s="49">
        <v>1200</v>
      </c>
      <c r="L1488" s="50">
        <v>1199.9000000000001</v>
      </c>
      <c r="M1488" s="50">
        <v>1199.9000000000001</v>
      </c>
      <c r="N1488" s="51">
        <v>1199.9000000000001</v>
      </c>
      <c r="O1488" s="52">
        <v>1246.05</v>
      </c>
      <c r="P1488" s="53">
        <v>1199.9000000000001</v>
      </c>
      <c r="Q1488" s="54">
        <v>1199.9000000000001</v>
      </c>
      <c r="R1488" s="1"/>
      <c r="S1488" s="1"/>
      <c r="T1488" s="1"/>
    </row>
    <row r="1489" spans="1:20" ht="13.5" customHeight="1" x14ac:dyDescent="0.25">
      <c r="A1489" s="1"/>
      <c r="B1489" s="1"/>
      <c r="C1489" s="1"/>
      <c r="D1489" s="56">
        <v>23472.246900000002</v>
      </c>
      <c r="E1489" s="57">
        <f t="shared" ref="E1489" si="648">SUM(E1482:E1488)</f>
        <v>11031.77</v>
      </c>
      <c r="F1489" s="58">
        <f>SUM(F1481:F1488)</f>
        <v>23900.733399999997</v>
      </c>
      <c r="G1489" s="58">
        <v>23900.733399999997</v>
      </c>
      <c r="H1489" s="59">
        <f>SUM(H1482:H1488)</f>
        <v>21997.29</v>
      </c>
      <c r="I1489" s="59"/>
      <c r="J1489" s="60">
        <f t="shared" ref="J1489:Q1489" si="649">SUM(J1482:J1488)</f>
        <v>23008</v>
      </c>
      <c r="K1489" s="61">
        <f t="shared" si="649"/>
        <v>23008</v>
      </c>
      <c r="L1489" s="62">
        <f t="shared" si="649"/>
        <v>21594.65</v>
      </c>
      <c r="M1489" s="62">
        <f t="shared" si="649"/>
        <v>21019.360000000001</v>
      </c>
      <c r="N1489" s="63">
        <f t="shared" si="649"/>
        <v>20805.93</v>
      </c>
      <c r="O1489" s="64">
        <f t="shared" si="649"/>
        <v>20443.430000000004</v>
      </c>
      <c r="P1489" s="63">
        <f t="shared" si="649"/>
        <v>20142.870000000006</v>
      </c>
      <c r="Q1489" s="65">
        <f t="shared" si="649"/>
        <v>19208.63</v>
      </c>
      <c r="R1489" s="1"/>
      <c r="S1489" s="1"/>
      <c r="T1489" s="1"/>
    </row>
    <row r="1490" spans="1:20" ht="13.5" customHeight="1" x14ac:dyDescent="0.25">
      <c r="A1490" s="1"/>
      <c r="B1490" s="1"/>
      <c r="C1490" s="1"/>
      <c r="D1490" s="42"/>
      <c r="E1490" s="44"/>
      <c r="F1490" s="45"/>
      <c r="G1490" s="45"/>
      <c r="H1490" s="66"/>
      <c r="I1490" s="66"/>
      <c r="J1490" s="48"/>
      <c r="K1490" s="49"/>
      <c r="L1490" s="50"/>
      <c r="M1490" s="50"/>
      <c r="N1490" s="51"/>
      <c r="O1490" s="52"/>
      <c r="P1490" s="53"/>
      <c r="Q1490" s="54"/>
      <c r="R1490" s="1"/>
      <c r="S1490" s="1"/>
      <c r="T1490" s="1"/>
    </row>
    <row r="1491" spans="1:20" ht="13.5" customHeight="1" x14ac:dyDescent="0.25">
      <c r="A1491" s="1"/>
      <c r="B1491" s="1" t="s">
        <v>1355</v>
      </c>
      <c r="C1491" s="1" t="s">
        <v>259</v>
      </c>
      <c r="D1491" s="42">
        <v>100</v>
      </c>
      <c r="E1491" s="70">
        <v>0</v>
      </c>
      <c r="F1491" s="45">
        <v>100</v>
      </c>
      <c r="G1491" s="45">
        <v>100</v>
      </c>
      <c r="H1491" s="74">
        <v>0</v>
      </c>
      <c r="I1491" s="47">
        <f t="shared" ref="I1491:I1494" si="650">H1491/J1491</f>
        <v>0</v>
      </c>
      <c r="J1491" s="48">
        <v>100</v>
      </c>
      <c r="K1491" s="49">
        <v>100</v>
      </c>
      <c r="L1491" s="50">
        <v>15.7</v>
      </c>
      <c r="M1491" s="50">
        <v>98.2</v>
      </c>
      <c r="N1491" s="53">
        <v>0</v>
      </c>
      <c r="O1491" s="52">
        <v>0</v>
      </c>
      <c r="P1491" s="53">
        <v>91</v>
      </c>
      <c r="Q1491" s="54">
        <v>43.5</v>
      </c>
      <c r="R1491" s="1"/>
      <c r="S1491" s="1"/>
      <c r="T1491" s="1"/>
    </row>
    <row r="1492" spans="1:20" ht="13.5" customHeight="1" x14ac:dyDescent="0.25">
      <c r="A1492" s="1"/>
      <c r="B1492" s="1" t="s">
        <v>1356</v>
      </c>
      <c r="C1492" s="1" t="s">
        <v>261</v>
      </c>
      <c r="D1492" s="42">
        <v>50</v>
      </c>
      <c r="E1492" s="70">
        <v>0</v>
      </c>
      <c r="F1492" s="45">
        <v>50</v>
      </c>
      <c r="G1492" s="45">
        <v>50</v>
      </c>
      <c r="H1492" s="74">
        <v>0</v>
      </c>
      <c r="I1492" s="47">
        <f t="shared" si="650"/>
        <v>0</v>
      </c>
      <c r="J1492" s="48">
        <v>50</v>
      </c>
      <c r="K1492" s="49">
        <v>50</v>
      </c>
      <c r="L1492" s="77">
        <v>0</v>
      </c>
      <c r="M1492" s="77">
        <v>0</v>
      </c>
      <c r="N1492" s="53">
        <v>0</v>
      </c>
      <c r="O1492" s="52">
        <v>0</v>
      </c>
      <c r="P1492" s="53">
        <v>0</v>
      </c>
      <c r="Q1492" s="54">
        <v>0</v>
      </c>
      <c r="R1492" s="1"/>
      <c r="S1492" s="1"/>
      <c r="T1492" s="1"/>
    </row>
    <row r="1493" spans="1:20" ht="13.5" customHeight="1" x14ac:dyDescent="0.25">
      <c r="A1493" s="1"/>
      <c r="B1493" s="1" t="s">
        <v>1357</v>
      </c>
      <c r="C1493" s="1" t="s">
        <v>471</v>
      </c>
      <c r="D1493" s="42">
        <v>2500</v>
      </c>
      <c r="E1493" s="43">
        <v>580.63</v>
      </c>
      <c r="F1493" s="45">
        <v>2500</v>
      </c>
      <c r="G1493" s="45">
        <v>2500</v>
      </c>
      <c r="H1493" s="46">
        <v>2685.91</v>
      </c>
      <c r="I1493" s="47">
        <f t="shared" si="650"/>
        <v>0.89530333333333334</v>
      </c>
      <c r="J1493" s="48">
        <v>3000</v>
      </c>
      <c r="K1493" s="49">
        <v>3000</v>
      </c>
      <c r="L1493" s="50">
        <v>3234.95</v>
      </c>
      <c r="M1493" s="50">
        <v>2906.04</v>
      </c>
      <c r="N1493" s="51">
        <v>2258.12</v>
      </c>
      <c r="O1493" s="52">
        <v>2337.6999999999998</v>
      </c>
      <c r="P1493" s="53">
        <v>3448.44</v>
      </c>
      <c r="Q1493" s="54">
        <v>3799.22</v>
      </c>
      <c r="R1493" s="1"/>
      <c r="S1493" s="1"/>
      <c r="T1493" s="1"/>
    </row>
    <row r="1494" spans="1:20" ht="13.5" customHeight="1" x14ac:dyDescent="0.25">
      <c r="A1494" s="1"/>
      <c r="B1494" s="1" t="s">
        <v>1358</v>
      </c>
      <c r="C1494" s="1" t="s">
        <v>473</v>
      </c>
      <c r="D1494" s="42">
        <v>400</v>
      </c>
      <c r="E1494" s="70">
        <v>0</v>
      </c>
      <c r="F1494" s="45">
        <v>400</v>
      </c>
      <c r="G1494" s="45">
        <v>400</v>
      </c>
      <c r="H1494" s="74">
        <v>0</v>
      </c>
      <c r="I1494" s="47">
        <f t="shared" si="650"/>
        <v>0</v>
      </c>
      <c r="J1494" s="48">
        <v>400</v>
      </c>
      <c r="K1494" s="49">
        <v>400</v>
      </c>
      <c r="L1494" s="50">
        <v>66</v>
      </c>
      <c r="M1494" s="77">
        <v>0</v>
      </c>
      <c r="N1494" s="51">
        <v>320.98</v>
      </c>
      <c r="O1494" s="52">
        <v>409.95</v>
      </c>
      <c r="P1494" s="53">
        <v>257.24</v>
      </c>
      <c r="Q1494" s="54">
        <v>15</v>
      </c>
      <c r="R1494" s="1"/>
      <c r="S1494" s="1"/>
      <c r="T1494" s="1"/>
    </row>
    <row r="1495" spans="1:20" ht="13.5" customHeight="1" x14ac:dyDescent="0.25">
      <c r="A1495" s="1"/>
      <c r="B1495" s="1" t="s">
        <v>1359</v>
      </c>
      <c r="C1495" s="55" t="s">
        <v>265</v>
      </c>
      <c r="D1495" s="42">
        <v>0</v>
      </c>
      <c r="E1495" s="70">
        <v>0</v>
      </c>
      <c r="F1495" s="73">
        <v>0</v>
      </c>
      <c r="G1495" s="73">
        <v>0</v>
      </c>
      <c r="H1495" s="74">
        <v>0</v>
      </c>
      <c r="I1495" s="183">
        <v>0</v>
      </c>
      <c r="J1495" s="75">
        <v>0</v>
      </c>
      <c r="K1495" s="76">
        <v>0</v>
      </c>
      <c r="L1495" s="50">
        <v>2965</v>
      </c>
      <c r="M1495" s="77">
        <v>0</v>
      </c>
      <c r="N1495" s="53">
        <v>0</v>
      </c>
      <c r="O1495" s="52">
        <v>0</v>
      </c>
      <c r="P1495" s="53">
        <v>0</v>
      </c>
      <c r="Q1495" s="54">
        <v>0</v>
      </c>
      <c r="R1495" s="1"/>
      <c r="S1495" s="1"/>
      <c r="T1495" s="1"/>
    </row>
    <row r="1496" spans="1:20" ht="13.5" customHeight="1" x14ac:dyDescent="0.25">
      <c r="A1496" s="1"/>
      <c r="B1496" s="1" t="s">
        <v>1360</v>
      </c>
      <c r="C1496" s="1" t="s">
        <v>267</v>
      </c>
      <c r="D1496" s="42">
        <v>0</v>
      </c>
      <c r="E1496" s="70">
        <v>0</v>
      </c>
      <c r="F1496" s="73">
        <v>0</v>
      </c>
      <c r="G1496" s="73">
        <v>0</v>
      </c>
      <c r="H1496" s="68">
        <v>111.13</v>
      </c>
      <c r="I1496" s="183">
        <v>0</v>
      </c>
      <c r="J1496" s="75">
        <v>0</v>
      </c>
      <c r="K1496" s="76">
        <v>0</v>
      </c>
      <c r="L1496" s="50">
        <v>36.9</v>
      </c>
      <c r="M1496" s="50">
        <v>357.91</v>
      </c>
      <c r="N1496" s="53">
        <v>0</v>
      </c>
      <c r="O1496" s="52">
        <v>156.32</v>
      </c>
      <c r="P1496" s="53">
        <v>0</v>
      </c>
      <c r="Q1496" s="54">
        <v>58.46</v>
      </c>
      <c r="R1496" s="1"/>
      <c r="S1496" s="1"/>
      <c r="T1496" s="1"/>
    </row>
    <row r="1497" spans="1:20" ht="13.5" customHeight="1" x14ac:dyDescent="0.25">
      <c r="A1497" s="1"/>
      <c r="B1497" s="1"/>
      <c r="C1497" s="1"/>
      <c r="D1497" s="88">
        <v>3050</v>
      </c>
      <c r="E1497" s="89">
        <f t="shared" ref="E1497" si="651">SUM(E1491:E1496)</f>
        <v>580.63</v>
      </c>
      <c r="F1497" s="90">
        <f>SUM(F1491:F1496)</f>
        <v>3050</v>
      </c>
      <c r="G1497" s="90">
        <v>3050</v>
      </c>
      <c r="H1497" s="91">
        <f>SUM(H1491:H1496)</f>
        <v>2797.04</v>
      </c>
      <c r="I1497" s="91"/>
      <c r="J1497" s="92">
        <f t="shared" ref="J1497:Q1497" si="652">SUM(J1491:J1496)</f>
        <v>3550</v>
      </c>
      <c r="K1497" s="93">
        <f t="shared" si="652"/>
        <v>3550</v>
      </c>
      <c r="L1497" s="94">
        <f t="shared" si="652"/>
        <v>6318.5499999999993</v>
      </c>
      <c r="M1497" s="94">
        <f t="shared" si="652"/>
        <v>3362.1499999999996</v>
      </c>
      <c r="N1497" s="95">
        <f t="shared" si="652"/>
        <v>2579.1</v>
      </c>
      <c r="O1497" s="96">
        <f t="shared" si="652"/>
        <v>2903.97</v>
      </c>
      <c r="P1497" s="95">
        <f t="shared" si="652"/>
        <v>3796.6800000000003</v>
      </c>
      <c r="Q1497" s="97">
        <f t="shared" si="652"/>
        <v>3916.18</v>
      </c>
      <c r="R1497" s="1"/>
      <c r="S1497" s="1"/>
      <c r="T1497" s="1"/>
    </row>
    <row r="1498" spans="1:20" ht="13.5" customHeight="1" x14ac:dyDescent="0.25">
      <c r="A1498" s="1"/>
      <c r="B1498" s="1"/>
      <c r="C1498" s="1"/>
      <c r="D1498" s="72"/>
      <c r="E1498" s="67"/>
      <c r="F1498" s="73"/>
      <c r="G1498" s="73"/>
      <c r="H1498" s="74"/>
      <c r="I1498" s="74"/>
      <c r="J1498" s="75"/>
      <c r="K1498" s="76"/>
      <c r="L1498" s="50"/>
      <c r="M1498" s="50"/>
      <c r="N1498" s="53"/>
      <c r="O1498" s="52"/>
      <c r="P1498" s="53"/>
      <c r="Q1498" s="54"/>
      <c r="R1498" s="1"/>
      <c r="S1498" s="1"/>
      <c r="T1498" s="1"/>
    </row>
    <row r="1499" spans="1:20" ht="13.5" customHeight="1" x14ac:dyDescent="0.25">
      <c r="A1499" s="1"/>
      <c r="B1499" s="1" t="s">
        <v>1361</v>
      </c>
      <c r="C1499" s="1" t="s">
        <v>275</v>
      </c>
      <c r="D1499" s="42">
        <v>100</v>
      </c>
      <c r="E1499" s="70">
        <v>0</v>
      </c>
      <c r="F1499" s="45">
        <v>100</v>
      </c>
      <c r="G1499" s="45">
        <v>100</v>
      </c>
      <c r="H1499" s="74">
        <v>0</v>
      </c>
      <c r="I1499" s="47">
        <f>H1499/J1499</f>
        <v>0</v>
      </c>
      <c r="J1499" s="48">
        <v>100</v>
      </c>
      <c r="K1499" s="49">
        <v>100</v>
      </c>
      <c r="L1499" s="77">
        <v>0</v>
      </c>
      <c r="M1499" s="77">
        <v>0</v>
      </c>
      <c r="N1499" s="53">
        <v>0</v>
      </c>
      <c r="O1499" s="52">
        <v>60</v>
      </c>
      <c r="P1499" s="53">
        <v>0</v>
      </c>
      <c r="Q1499" s="54">
        <v>0</v>
      </c>
      <c r="R1499" s="1"/>
      <c r="S1499" s="1"/>
      <c r="T1499" s="1"/>
    </row>
    <row r="1500" spans="1:20" ht="13.5" customHeight="1" x14ac:dyDescent="0.25">
      <c r="A1500" s="1"/>
      <c r="B1500" s="1" t="s">
        <v>1362</v>
      </c>
      <c r="C1500" s="1" t="s">
        <v>1363</v>
      </c>
      <c r="D1500" s="42">
        <v>0</v>
      </c>
      <c r="E1500" s="70">
        <v>0</v>
      </c>
      <c r="F1500" s="73">
        <v>0</v>
      </c>
      <c r="G1500" s="73">
        <v>0</v>
      </c>
      <c r="H1500" s="68">
        <v>162</v>
      </c>
      <c r="I1500" s="183">
        <v>0</v>
      </c>
      <c r="J1500" s="75">
        <v>0</v>
      </c>
      <c r="K1500" s="76">
        <v>0</v>
      </c>
      <c r="L1500" s="50">
        <v>162</v>
      </c>
      <c r="M1500" s="77">
        <v>0</v>
      </c>
      <c r="N1500" s="51">
        <v>156</v>
      </c>
      <c r="O1500" s="52">
        <v>156</v>
      </c>
      <c r="P1500" s="53">
        <v>145</v>
      </c>
      <c r="Q1500" s="54">
        <v>145</v>
      </c>
      <c r="R1500" s="1"/>
      <c r="S1500" s="1"/>
      <c r="T1500" s="1"/>
    </row>
    <row r="1501" spans="1:20" ht="13.5" customHeight="1" x14ac:dyDescent="0.25">
      <c r="A1501" s="1"/>
      <c r="B1501" s="1" t="s">
        <v>1364</v>
      </c>
      <c r="C1501" s="1" t="s">
        <v>489</v>
      </c>
      <c r="D1501" s="42">
        <v>400</v>
      </c>
      <c r="E1501" s="43">
        <v>40</v>
      </c>
      <c r="F1501" s="45">
        <v>400</v>
      </c>
      <c r="G1501" s="45">
        <v>400</v>
      </c>
      <c r="H1501" s="46">
        <v>331.36</v>
      </c>
      <c r="I1501" s="47">
        <f>H1501/J1501</f>
        <v>0.82840000000000003</v>
      </c>
      <c r="J1501" s="48">
        <v>400</v>
      </c>
      <c r="K1501" s="49">
        <v>400</v>
      </c>
      <c r="L1501" s="50">
        <v>226.4</v>
      </c>
      <c r="M1501" s="50">
        <v>1120.5</v>
      </c>
      <c r="N1501" s="51">
        <v>905.64</v>
      </c>
      <c r="O1501" s="52">
        <v>1562.82</v>
      </c>
      <c r="P1501" s="53">
        <v>126.37</v>
      </c>
      <c r="Q1501" s="54">
        <v>586.38</v>
      </c>
      <c r="R1501" s="1"/>
      <c r="S1501" s="1"/>
      <c r="T1501" s="1"/>
    </row>
    <row r="1502" spans="1:20" ht="13.5" customHeight="1" x14ac:dyDescent="0.25">
      <c r="A1502" s="1"/>
      <c r="B1502" s="1" t="s">
        <v>1365</v>
      </c>
      <c r="C1502" s="1" t="s">
        <v>541</v>
      </c>
      <c r="D1502" s="42">
        <v>0</v>
      </c>
      <c r="E1502" s="70">
        <v>0</v>
      </c>
      <c r="F1502" s="73">
        <v>0</v>
      </c>
      <c r="G1502" s="73">
        <v>0</v>
      </c>
      <c r="H1502" s="74">
        <v>0</v>
      </c>
      <c r="I1502" s="183">
        <v>0</v>
      </c>
      <c r="J1502" s="75">
        <v>0</v>
      </c>
      <c r="K1502" s="76">
        <v>0</v>
      </c>
      <c r="L1502" s="77">
        <v>0</v>
      </c>
      <c r="M1502" s="50">
        <v>177.5</v>
      </c>
      <c r="N1502" s="53">
        <v>0</v>
      </c>
      <c r="O1502" s="52">
        <v>0</v>
      </c>
      <c r="P1502" s="53">
        <v>0</v>
      </c>
      <c r="Q1502" s="54">
        <v>0</v>
      </c>
      <c r="R1502" s="1"/>
      <c r="S1502" s="1"/>
      <c r="T1502" s="1"/>
    </row>
    <row r="1503" spans="1:20" ht="13.5" customHeight="1" x14ac:dyDescent="0.25">
      <c r="A1503" s="1"/>
      <c r="B1503" s="1"/>
      <c r="C1503" s="1"/>
      <c r="D1503" s="88">
        <v>500</v>
      </c>
      <c r="E1503" s="89">
        <f t="shared" ref="E1503" si="653">SUM(E1499:E1502)</f>
        <v>40</v>
      </c>
      <c r="F1503" s="90">
        <f>SUM(F1498:F1502)</f>
        <v>500</v>
      </c>
      <c r="G1503" s="90">
        <v>500</v>
      </c>
      <c r="H1503" s="91">
        <f>SUM(H1499:H1502)</f>
        <v>493.36</v>
      </c>
      <c r="I1503" s="91"/>
      <c r="J1503" s="92">
        <f t="shared" ref="J1503:Q1503" si="654">SUM(J1499:J1502)</f>
        <v>500</v>
      </c>
      <c r="K1503" s="93">
        <f t="shared" si="654"/>
        <v>500</v>
      </c>
      <c r="L1503" s="94">
        <f t="shared" si="654"/>
        <v>388.4</v>
      </c>
      <c r="M1503" s="94">
        <f t="shared" si="654"/>
        <v>1298</v>
      </c>
      <c r="N1503" s="95">
        <f t="shared" si="654"/>
        <v>1061.6399999999999</v>
      </c>
      <c r="O1503" s="96">
        <f t="shared" si="654"/>
        <v>1778.82</v>
      </c>
      <c r="P1503" s="95">
        <f t="shared" si="654"/>
        <v>271.37</v>
      </c>
      <c r="Q1503" s="97">
        <f t="shared" si="654"/>
        <v>731.38</v>
      </c>
      <c r="R1503" s="1"/>
      <c r="S1503" s="1"/>
      <c r="T1503" s="1"/>
    </row>
    <row r="1504" spans="1:20" ht="13.5" customHeight="1" x14ac:dyDescent="0.25">
      <c r="A1504" s="1"/>
      <c r="B1504" s="1"/>
      <c r="C1504" s="1"/>
      <c r="D1504" s="72"/>
      <c r="E1504" s="67"/>
      <c r="F1504" s="73"/>
      <c r="G1504" s="73"/>
      <c r="H1504" s="74"/>
      <c r="I1504" s="74"/>
      <c r="J1504" s="75"/>
      <c r="K1504" s="76"/>
      <c r="L1504" s="77"/>
      <c r="M1504" s="50"/>
      <c r="N1504" s="53"/>
      <c r="O1504" s="52"/>
      <c r="P1504" s="53"/>
      <c r="Q1504" s="54"/>
      <c r="R1504" s="1"/>
      <c r="S1504" s="1"/>
      <c r="T1504" s="1"/>
    </row>
    <row r="1505" spans="1:20" ht="13.5" customHeight="1" x14ac:dyDescent="0.25">
      <c r="A1505" s="1"/>
      <c r="B1505" s="1" t="s">
        <v>1366</v>
      </c>
      <c r="C1505" s="1" t="s">
        <v>919</v>
      </c>
      <c r="D1505" s="42">
        <v>0</v>
      </c>
      <c r="E1505" s="67">
        <v>0</v>
      </c>
      <c r="F1505" s="73">
        <v>0</v>
      </c>
      <c r="G1505" s="73">
        <v>0</v>
      </c>
      <c r="H1505" s="74">
        <v>0</v>
      </c>
      <c r="I1505" s="183">
        <v>0</v>
      </c>
      <c r="J1505" s="75">
        <v>0</v>
      </c>
      <c r="K1505" s="76">
        <v>0</v>
      </c>
      <c r="L1505" s="50">
        <v>27695</v>
      </c>
      <c r="M1505" s="77">
        <v>0</v>
      </c>
      <c r="N1505" s="53">
        <v>0</v>
      </c>
      <c r="O1505" s="52">
        <v>0</v>
      </c>
      <c r="P1505" s="53">
        <v>0</v>
      </c>
      <c r="Q1505" s="54">
        <v>0</v>
      </c>
      <c r="R1505" s="1"/>
      <c r="S1505" s="1"/>
      <c r="T1505" s="1"/>
    </row>
    <row r="1506" spans="1:20" ht="13.5" customHeight="1" x14ac:dyDescent="0.25">
      <c r="A1506" s="1"/>
      <c r="B1506" s="1"/>
      <c r="C1506" s="1"/>
      <c r="D1506" s="88">
        <v>0</v>
      </c>
      <c r="E1506" s="89">
        <f t="shared" ref="E1506" si="655">SUM(E1505)</f>
        <v>0</v>
      </c>
      <c r="F1506" s="90">
        <f>SUM(F1504:F1505)</f>
        <v>0</v>
      </c>
      <c r="G1506" s="90">
        <v>0</v>
      </c>
      <c r="H1506" s="91">
        <f>SUM(H1505)</f>
        <v>0</v>
      </c>
      <c r="I1506" s="91"/>
      <c r="J1506" s="92">
        <f t="shared" ref="J1506:Q1506" si="656">SUM(J1505)</f>
        <v>0</v>
      </c>
      <c r="K1506" s="93">
        <f t="shared" si="656"/>
        <v>0</v>
      </c>
      <c r="L1506" s="94">
        <f t="shared" si="656"/>
        <v>27695</v>
      </c>
      <c r="M1506" s="94">
        <f t="shared" si="656"/>
        <v>0</v>
      </c>
      <c r="N1506" s="95">
        <f t="shared" si="656"/>
        <v>0</v>
      </c>
      <c r="O1506" s="96">
        <f t="shared" si="656"/>
        <v>0</v>
      </c>
      <c r="P1506" s="95">
        <f t="shared" si="656"/>
        <v>0</v>
      </c>
      <c r="Q1506" s="97">
        <f t="shared" si="656"/>
        <v>0</v>
      </c>
      <c r="R1506" s="1"/>
      <c r="S1506" s="1"/>
      <c r="T1506" s="1"/>
    </row>
    <row r="1507" spans="1:20" ht="13.5" customHeight="1" thickBot="1" x14ac:dyDescent="0.3">
      <c r="A1507" s="1"/>
      <c r="B1507" s="1"/>
      <c r="C1507" s="116" t="s">
        <v>1367</v>
      </c>
      <c r="D1507" s="184">
        <v>76009.246899999998</v>
      </c>
      <c r="E1507" s="185">
        <f t="shared" ref="E1507" si="657">SUM(E1480+E1489+E1497+E1503+E1506)</f>
        <v>34410.230000000003</v>
      </c>
      <c r="F1507" s="186">
        <f>SUM(F1480,F1489,F1497,F1503,F1506)</f>
        <v>75556.733399999997</v>
      </c>
      <c r="G1507" s="186">
        <v>75556.733399999997</v>
      </c>
      <c r="H1507" s="187">
        <f>SUM(H1480+H1489+H1497+H1503+H1506)</f>
        <v>72397.299999999988</v>
      </c>
      <c r="I1507" s="187"/>
      <c r="J1507" s="188">
        <f t="shared" ref="J1507:Q1507" si="658">SUM(J1480+J1489+J1497+J1503+J1506)</f>
        <v>74036</v>
      </c>
      <c r="K1507" s="189">
        <f t="shared" si="658"/>
        <v>74036</v>
      </c>
      <c r="L1507" s="190">
        <f t="shared" si="658"/>
        <v>101936.68000000001</v>
      </c>
      <c r="M1507" s="190">
        <f t="shared" si="658"/>
        <v>70424.91</v>
      </c>
      <c r="N1507" s="191">
        <f t="shared" si="658"/>
        <v>68283.840000000011</v>
      </c>
      <c r="O1507" s="192">
        <f t="shared" si="658"/>
        <v>66906.73000000001</v>
      </c>
      <c r="P1507" s="191">
        <f t="shared" si="658"/>
        <v>65643.55</v>
      </c>
      <c r="Q1507" s="193">
        <f t="shared" si="658"/>
        <v>63625.729999999996</v>
      </c>
      <c r="R1507" s="1"/>
      <c r="S1507" s="1"/>
      <c r="T1507" s="1"/>
    </row>
    <row r="1508" spans="1:20" ht="13.5" customHeight="1" thickTop="1" x14ac:dyDescent="0.25">
      <c r="A1508" s="1"/>
      <c r="B1508" s="1"/>
      <c r="C1508" s="1"/>
      <c r="D1508" s="72"/>
      <c r="E1508" s="67"/>
      <c r="F1508" s="73"/>
      <c r="G1508" s="73"/>
      <c r="H1508" s="74"/>
      <c r="I1508" s="74"/>
      <c r="J1508" s="75"/>
      <c r="K1508" s="76"/>
      <c r="L1508" s="50"/>
      <c r="M1508" s="77"/>
      <c r="N1508" s="53"/>
      <c r="O1508" s="52"/>
      <c r="P1508" s="53"/>
      <c r="Q1508" s="54"/>
      <c r="R1508" s="1"/>
      <c r="S1508" s="1"/>
      <c r="T1508" s="1"/>
    </row>
    <row r="1509" spans="1:20" ht="13.5" customHeight="1" x14ac:dyDescent="0.25">
      <c r="A1509" s="1"/>
      <c r="B1509" s="1"/>
      <c r="C1509" s="41" t="s">
        <v>1368</v>
      </c>
      <c r="D1509" s="72"/>
      <c r="E1509" s="67"/>
      <c r="F1509" s="73"/>
      <c r="G1509" s="73"/>
      <c r="H1509" s="74"/>
      <c r="I1509" s="74"/>
      <c r="J1509" s="75"/>
      <c r="K1509" s="76"/>
      <c r="L1509" s="50"/>
      <c r="M1509" s="77"/>
      <c r="N1509" s="53"/>
      <c r="O1509" s="52"/>
      <c r="P1509" s="53"/>
      <c r="Q1509" s="54"/>
      <c r="R1509" s="1"/>
      <c r="S1509" s="1"/>
      <c r="T1509" s="1"/>
    </row>
    <row r="1510" spans="1:20" ht="13.5" customHeight="1" x14ac:dyDescent="0.25">
      <c r="A1510" s="1"/>
      <c r="B1510" s="1" t="s">
        <v>1369</v>
      </c>
      <c r="C1510" s="1" t="s">
        <v>275</v>
      </c>
      <c r="D1510" s="42">
        <v>660</v>
      </c>
      <c r="E1510" s="43">
        <v>315</v>
      </c>
      <c r="F1510" s="45">
        <v>660</v>
      </c>
      <c r="G1510" s="45">
        <v>660</v>
      </c>
      <c r="H1510" s="66">
        <v>100</v>
      </c>
      <c r="I1510" s="47">
        <f>H1510/J1510</f>
        <v>0.15151515151515152</v>
      </c>
      <c r="J1510" s="48">
        <v>660</v>
      </c>
      <c r="K1510" s="49">
        <v>660</v>
      </c>
      <c r="L1510" s="50">
        <v>609.71</v>
      </c>
      <c r="M1510" s="50">
        <v>836.33</v>
      </c>
      <c r="N1510" s="51">
        <v>1328.23</v>
      </c>
      <c r="O1510" s="52">
        <v>36.58</v>
      </c>
      <c r="P1510" s="53">
        <v>0.19</v>
      </c>
      <c r="Q1510" s="54">
        <v>1079.06</v>
      </c>
      <c r="R1510" s="1"/>
      <c r="S1510" s="1"/>
      <c r="T1510" s="1"/>
    </row>
    <row r="1511" spans="1:20" ht="13.5" customHeight="1" thickBot="1" x14ac:dyDescent="0.3">
      <c r="A1511" s="1"/>
      <c r="B1511" s="1"/>
      <c r="C1511" s="116" t="s">
        <v>1370</v>
      </c>
      <c r="D1511" s="267">
        <v>660</v>
      </c>
      <c r="E1511" s="173">
        <f t="shared" ref="E1511" si="659">SUM(E1510)</f>
        <v>315</v>
      </c>
      <c r="F1511" s="174">
        <f>SUM(F1509:F1510)</f>
        <v>660</v>
      </c>
      <c r="G1511" s="174">
        <v>660</v>
      </c>
      <c r="H1511" s="175">
        <f>SUM(H1510)</f>
        <v>100</v>
      </c>
      <c r="I1511" s="175"/>
      <c r="J1511" s="176">
        <f t="shared" ref="J1511:Q1511" si="660">SUM(J1510)</f>
        <v>660</v>
      </c>
      <c r="K1511" s="177">
        <f t="shared" si="660"/>
        <v>660</v>
      </c>
      <c r="L1511" s="178">
        <f t="shared" si="660"/>
        <v>609.71</v>
      </c>
      <c r="M1511" s="178">
        <f t="shared" si="660"/>
        <v>836.33</v>
      </c>
      <c r="N1511" s="179">
        <f t="shared" si="660"/>
        <v>1328.23</v>
      </c>
      <c r="O1511" s="180">
        <f t="shared" si="660"/>
        <v>36.58</v>
      </c>
      <c r="P1511" s="179">
        <f t="shared" si="660"/>
        <v>0.19</v>
      </c>
      <c r="Q1511" s="181">
        <f t="shared" si="660"/>
        <v>1079.06</v>
      </c>
      <c r="R1511" s="1"/>
      <c r="S1511" s="1"/>
      <c r="T1511" s="1"/>
    </row>
    <row r="1512" spans="1:20" ht="13.5" customHeight="1" thickTop="1" x14ac:dyDescent="0.25">
      <c r="A1512" s="1"/>
      <c r="B1512" s="1"/>
      <c r="C1512" s="1"/>
      <c r="D1512" s="42"/>
      <c r="E1512" s="44"/>
      <c r="F1512" s="45"/>
      <c r="G1512" s="45"/>
      <c r="H1512" s="66"/>
      <c r="I1512" s="66"/>
      <c r="J1512" s="48"/>
      <c r="K1512" s="49"/>
      <c r="L1512" s="50"/>
      <c r="M1512" s="50"/>
      <c r="N1512" s="51"/>
      <c r="O1512" s="52"/>
      <c r="P1512" s="53"/>
      <c r="Q1512" s="54"/>
      <c r="R1512" s="1"/>
      <c r="S1512" s="1"/>
      <c r="T1512" s="1"/>
    </row>
    <row r="1513" spans="1:20" ht="13.5" customHeight="1" x14ac:dyDescent="0.25">
      <c r="A1513" s="1"/>
      <c r="B1513" s="1"/>
      <c r="C1513" s="41" t="s">
        <v>1371</v>
      </c>
      <c r="D1513" s="42"/>
      <c r="E1513" s="44"/>
      <c r="F1513" s="45"/>
      <c r="G1513" s="45"/>
      <c r="H1513" s="66"/>
      <c r="I1513" s="66"/>
      <c r="J1513" s="48"/>
      <c r="K1513" s="49"/>
      <c r="L1513" s="50"/>
      <c r="M1513" s="50"/>
      <c r="N1513" s="51"/>
      <c r="O1513" s="52"/>
      <c r="P1513" s="53"/>
      <c r="Q1513" s="54"/>
      <c r="R1513" s="1"/>
      <c r="S1513" s="1"/>
      <c r="T1513" s="1"/>
    </row>
    <row r="1514" spans="1:20" ht="13.5" customHeight="1" x14ac:dyDescent="0.25">
      <c r="A1514" s="1"/>
      <c r="B1514" s="1" t="s">
        <v>1372</v>
      </c>
      <c r="C1514" s="1" t="s">
        <v>275</v>
      </c>
      <c r="D1514" s="42">
        <v>660</v>
      </c>
      <c r="E1514" s="70">
        <v>315</v>
      </c>
      <c r="F1514" s="45">
        <v>660</v>
      </c>
      <c r="G1514" s="45">
        <v>660</v>
      </c>
      <c r="H1514" s="74">
        <v>0</v>
      </c>
      <c r="I1514" s="47">
        <f>H1514/J1514</f>
        <v>0</v>
      </c>
      <c r="J1514" s="48">
        <v>660</v>
      </c>
      <c r="K1514" s="49">
        <v>660</v>
      </c>
      <c r="L1514" s="50">
        <v>1036.05</v>
      </c>
      <c r="M1514" s="50">
        <v>150</v>
      </c>
      <c r="N1514" s="51">
        <v>1354.33</v>
      </c>
      <c r="O1514" s="52">
        <v>233.88</v>
      </c>
      <c r="P1514" s="53">
        <v>0</v>
      </c>
      <c r="Q1514" s="54">
        <v>562.79</v>
      </c>
      <c r="R1514" s="1"/>
      <c r="S1514" s="1"/>
      <c r="T1514" s="1"/>
    </row>
    <row r="1515" spans="1:20" ht="12.75" customHeight="1" thickBot="1" x14ac:dyDescent="0.3">
      <c r="A1515" s="1"/>
      <c r="B1515" s="1"/>
      <c r="C1515" s="116" t="s">
        <v>1373</v>
      </c>
      <c r="D1515" s="267">
        <v>660</v>
      </c>
      <c r="E1515" s="173">
        <f t="shared" ref="E1515" si="661">SUM(E1514)</f>
        <v>315</v>
      </c>
      <c r="F1515" s="174">
        <f>SUM(F1513:F1514)</f>
        <v>660</v>
      </c>
      <c r="G1515" s="174">
        <v>660</v>
      </c>
      <c r="H1515" s="175">
        <f>SUM(H1514)</f>
        <v>0</v>
      </c>
      <c r="I1515" s="175"/>
      <c r="J1515" s="176">
        <f t="shared" ref="J1515:Q1515" si="662">SUM(J1514)</f>
        <v>660</v>
      </c>
      <c r="K1515" s="177">
        <f t="shared" si="662"/>
        <v>660</v>
      </c>
      <c r="L1515" s="178">
        <f t="shared" si="662"/>
        <v>1036.05</v>
      </c>
      <c r="M1515" s="178">
        <f t="shared" si="662"/>
        <v>150</v>
      </c>
      <c r="N1515" s="179">
        <f t="shared" si="662"/>
        <v>1354.33</v>
      </c>
      <c r="O1515" s="180">
        <f t="shared" si="662"/>
        <v>233.88</v>
      </c>
      <c r="P1515" s="179">
        <f t="shared" si="662"/>
        <v>0</v>
      </c>
      <c r="Q1515" s="181">
        <f t="shared" si="662"/>
        <v>562.79</v>
      </c>
      <c r="R1515" s="1"/>
      <c r="S1515" s="1"/>
      <c r="T1515" s="1"/>
    </row>
    <row r="1516" spans="1:20" ht="13.5" customHeight="1" thickTop="1" x14ac:dyDescent="0.25">
      <c r="A1516" s="1"/>
      <c r="B1516" s="1"/>
      <c r="C1516" s="1"/>
      <c r="D1516" s="42"/>
      <c r="E1516" s="67"/>
      <c r="F1516" s="45"/>
      <c r="G1516" s="45"/>
      <c r="H1516" s="74"/>
      <c r="I1516" s="66"/>
      <c r="J1516" s="48"/>
      <c r="K1516" s="49"/>
      <c r="L1516" s="50"/>
      <c r="M1516" s="50"/>
      <c r="N1516" s="51"/>
      <c r="O1516" s="52"/>
      <c r="P1516" s="53"/>
      <c r="Q1516" s="54"/>
      <c r="R1516" s="1"/>
      <c r="S1516" s="1"/>
      <c r="T1516" s="1"/>
    </row>
    <row r="1517" spans="1:20" ht="13.5" customHeight="1" x14ac:dyDescent="0.25">
      <c r="A1517" s="1"/>
      <c r="B1517" s="1"/>
      <c r="C1517" s="41" t="s">
        <v>1374</v>
      </c>
      <c r="D1517" s="42"/>
      <c r="E1517" s="67"/>
      <c r="F1517" s="45"/>
      <c r="G1517" s="45"/>
      <c r="H1517" s="74"/>
      <c r="I1517" s="66"/>
      <c r="J1517" s="48"/>
      <c r="K1517" s="49"/>
      <c r="L1517" s="50"/>
      <c r="M1517" s="50"/>
      <c r="N1517" s="51"/>
      <c r="O1517" s="52"/>
      <c r="P1517" s="53"/>
      <c r="Q1517" s="54"/>
      <c r="R1517" s="1"/>
      <c r="S1517" s="1"/>
      <c r="T1517" s="1"/>
    </row>
    <row r="1518" spans="1:20" ht="13.5" customHeight="1" x14ac:dyDescent="0.25">
      <c r="A1518" s="1"/>
      <c r="B1518" s="1" t="s">
        <v>1375</v>
      </c>
      <c r="C1518" s="1" t="s">
        <v>275</v>
      </c>
      <c r="D1518" s="42">
        <v>660</v>
      </c>
      <c r="E1518" s="70">
        <v>315</v>
      </c>
      <c r="F1518" s="45">
        <v>660</v>
      </c>
      <c r="G1518" s="45">
        <v>660</v>
      </c>
      <c r="H1518" s="68">
        <v>25</v>
      </c>
      <c r="I1518" s="47">
        <f>H1518/J1518</f>
        <v>3.787878787878788E-2</v>
      </c>
      <c r="J1518" s="48">
        <v>660</v>
      </c>
      <c r="K1518" s="49">
        <v>660</v>
      </c>
      <c r="L1518" s="50">
        <v>1033.8</v>
      </c>
      <c r="M1518" s="50">
        <v>300</v>
      </c>
      <c r="N1518" s="51">
        <v>1097.48</v>
      </c>
      <c r="O1518" s="52">
        <v>1020.46</v>
      </c>
      <c r="P1518" s="53">
        <v>0</v>
      </c>
      <c r="Q1518" s="54">
        <v>0</v>
      </c>
      <c r="R1518" s="1"/>
      <c r="S1518" s="1"/>
      <c r="T1518" s="1"/>
    </row>
    <row r="1519" spans="1:20" ht="13.5" customHeight="1" thickBot="1" x14ac:dyDescent="0.3">
      <c r="A1519" s="1"/>
      <c r="B1519" s="1"/>
      <c r="C1519" s="116" t="s">
        <v>1376</v>
      </c>
      <c r="D1519" s="267">
        <v>660</v>
      </c>
      <c r="E1519" s="173">
        <f t="shared" ref="E1519" si="663">SUM(E1518)</f>
        <v>315</v>
      </c>
      <c r="F1519" s="174">
        <f>SUM(F1517:F1518)</f>
        <v>660</v>
      </c>
      <c r="G1519" s="174">
        <v>660</v>
      </c>
      <c r="H1519" s="175">
        <f>SUM(H1518)</f>
        <v>25</v>
      </c>
      <c r="I1519" s="175"/>
      <c r="J1519" s="176">
        <f t="shared" ref="J1519:Q1519" si="664">SUM(J1518)</f>
        <v>660</v>
      </c>
      <c r="K1519" s="177">
        <f t="shared" si="664"/>
        <v>660</v>
      </c>
      <c r="L1519" s="178">
        <f t="shared" si="664"/>
        <v>1033.8</v>
      </c>
      <c r="M1519" s="178">
        <f t="shared" si="664"/>
        <v>300</v>
      </c>
      <c r="N1519" s="179">
        <f t="shared" si="664"/>
        <v>1097.48</v>
      </c>
      <c r="O1519" s="180">
        <f t="shared" si="664"/>
        <v>1020.46</v>
      </c>
      <c r="P1519" s="179">
        <f t="shared" si="664"/>
        <v>0</v>
      </c>
      <c r="Q1519" s="181">
        <f t="shared" si="664"/>
        <v>0</v>
      </c>
      <c r="R1519" s="1"/>
      <c r="S1519" s="1"/>
      <c r="T1519" s="1"/>
    </row>
    <row r="1520" spans="1:20" ht="13.5" customHeight="1" thickTop="1" x14ac:dyDescent="0.25">
      <c r="A1520" s="1"/>
      <c r="B1520" s="1"/>
      <c r="C1520" s="1"/>
      <c r="D1520" s="42"/>
      <c r="E1520" s="67"/>
      <c r="F1520" s="45"/>
      <c r="G1520" s="45"/>
      <c r="H1520" s="74"/>
      <c r="I1520" s="66"/>
      <c r="J1520" s="48"/>
      <c r="K1520" s="49"/>
      <c r="L1520" s="50"/>
      <c r="M1520" s="50"/>
      <c r="N1520" s="51"/>
      <c r="O1520" s="52"/>
      <c r="P1520" s="53"/>
      <c r="Q1520" s="54"/>
      <c r="R1520" s="1"/>
      <c r="S1520" s="1"/>
      <c r="T1520" s="1"/>
    </row>
    <row r="1521" spans="1:20" ht="13.5" customHeight="1" x14ac:dyDescent="0.25">
      <c r="A1521" s="1"/>
      <c r="B1521" s="1"/>
      <c r="C1521" s="41" t="s">
        <v>1377</v>
      </c>
      <c r="D1521" s="42"/>
      <c r="E1521" s="67"/>
      <c r="F1521" s="45"/>
      <c r="G1521" s="45"/>
      <c r="H1521" s="74"/>
      <c r="I1521" s="66"/>
      <c r="J1521" s="48"/>
      <c r="K1521" s="49"/>
      <c r="L1521" s="50"/>
      <c r="M1521" s="50"/>
      <c r="N1521" s="51"/>
      <c r="O1521" s="52"/>
      <c r="P1521" s="53"/>
      <c r="Q1521" s="54"/>
      <c r="R1521" s="1"/>
      <c r="S1521" s="1"/>
      <c r="T1521" s="1"/>
    </row>
    <row r="1522" spans="1:20" ht="13.5" customHeight="1" x14ac:dyDescent="0.25">
      <c r="A1522" s="1"/>
      <c r="B1522" s="1" t="s">
        <v>1378</v>
      </c>
      <c r="C1522" s="1" t="s">
        <v>908</v>
      </c>
      <c r="D1522" s="42">
        <v>300</v>
      </c>
      <c r="E1522" s="70">
        <v>0</v>
      </c>
      <c r="F1522" s="45">
        <v>300</v>
      </c>
      <c r="G1522" s="45">
        <v>300</v>
      </c>
      <c r="H1522" s="74">
        <v>0</v>
      </c>
      <c r="I1522" s="47">
        <f t="shared" ref="I1522:I1523" si="665">H1522/J1522</f>
        <v>0</v>
      </c>
      <c r="J1522" s="48">
        <v>300</v>
      </c>
      <c r="K1522" s="49">
        <v>300</v>
      </c>
      <c r="L1522" s="77">
        <v>0</v>
      </c>
      <c r="M1522" s="77">
        <v>0</v>
      </c>
      <c r="N1522" s="51">
        <v>260.92</v>
      </c>
      <c r="O1522" s="52">
        <v>274.89999999999998</v>
      </c>
      <c r="P1522" s="53">
        <v>297.93</v>
      </c>
      <c r="Q1522" s="54">
        <v>0</v>
      </c>
      <c r="R1522" s="1"/>
      <c r="S1522" s="1"/>
      <c r="T1522" s="1"/>
    </row>
    <row r="1523" spans="1:20" ht="13.5" customHeight="1" x14ac:dyDescent="0.25">
      <c r="A1523" s="1"/>
      <c r="B1523" s="1" t="s">
        <v>1379</v>
      </c>
      <c r="C1523" s="1" t="s">
        <v>275</v>
      </c>
      <c r="D1523" s="42">
        <v>660</v>
      </c>
      <c r="E1523" s="44">
        <f>1236.81</f>
        <v>1236.81</v>
      </c>
      <c r="F1523" s="45">
        <v>660</v>
      </c>
      <c r="G1523" s="45">
        <v>660</v>
      </c>
      <c r="H1523" s="66">
        <v>761.2</v>
      </c>
      <c r="I1523" s="47">
        <f t="shared" si="665"/>
        <v>1.1533333333333333</v>
      </c>
      <c r="J1523" s="48">
        <v>660</v>
      </c>
      <c r="K1523" s="49">
        <v>660</v>
      </c>
      <c r="L1523" s="50">
        <v>2002.51</v>
      </c>
      <c r="M1523" s="50">
        <v>1318.69</v>
      </c>
      <c r="N1523" s="53" t="s">
        <v>16</v>
      </c>
      <c r="O1523" s="52">
        <v>0</v>
      </c>
      <c r="P1523" s="53">
        <v>0</v>
      </c>
      <c r="Q1523" s="54">
        <v>0</v>
      </c>
      <c r="R1523" s="1"/>
      <c r="S1523" s="1"/>
      <c r="T1523" s="1"/>
    </row>
    <row r="1524" spans="1:20" ht="13.5" customHeight="1" thickBot="1" x14ac:dyDescent="0.3">
      <c r="A1524" s="1"/>
      <c r="B1524" s="1"/>
      <c r="C1524" s="116" t="s">
        <v>1380</v>
      </c>
      <c r="D1524" s="267">
        <v>960</v>
      </c>
      <c r="E1524" s="173">
        <f t="shared" ref="E1524" si="666">SUM(E1522:E1523)</f>
        <v>1236.81</v>
      </c>
      <c r="F1524" s="174">
        <f>SUM(F1521:F1523)</f>
        <v>960</v>
      </c>
      <c r="G1524" s="174">
        <v>960</v>
      </c>
      <c r="H1524" s="175">
        <f>SUM(H1522:H1523)</f>
        <v>761.2</v>
      </c>
      <c r="I1524" s="175"/>
      <c r="J1524" s="176">
        <f t="shared" ref="J1524:Q1524" si="667">SUM(J1522:J1523)</f>
        <v>960</v>
      </c>
      <c r="K1524" s="177">
        <f t="shared" si="667"/>
        <v>960</v>
      </c>
      <c r="L1524" s="178">
        <f t="shared" si="667"/>
        <v>2002.51</v>
      </c>
      <c r="M1524" s="178">
        <f t="shared" si="667"/>
        <v>1318.69</v>
      </c>
      <c r="N1524" s="179">
        <f t="shared" si="667"/>
        <v>260.92</v>
      </c>
      <c r="O1524" s="180">
        <f t="shared" si="667"/>
        <v>274.89999999999998</v>
      </c>
      <c r="P1524" s="179">
        <f t="shared" si="667"/>
        <v>297.93</v>
      </c>
      <c r="Q1524" s="181">
        <f t="shared" si="667"/>
        <v>0</v>
      </c>
      <c r="R1524" s="1"/>
      <c r="S1524" s="1"/>
      <c r="T1524" s="1"/>
    </row>
    <row r="1525" spans="1:20" ht="13.5" customHeight="1" thickTop="1" x14ac:dyDescent="0.25">
      <c r="A1525" s="1"/>
      <c r="B1525" s="1"/>
      <c r="C1525" s="1"/>
      <c r="D1525" s="42"/>
      <c r="E1525" s="44"/>
      <c r="F1525" s="45"/>
      <c r="G1525" s="45"/>
      <c r="H1525" s="66"/>
      <c r="I1525" s="66"/>
      <c r="J1525" s="48"/>
      <c r="K1525" s="49"/>
      <c r="L1525" s="50"/>
      <c r="M1525" s="50"/>
      <c r="N1525" s="53"/>
      <c r="O1525" s="52"/>
      <c r="P1525" s="53"/>
      <c r="Q1525" s="54"/>
      <c r="R1525" s="1"/>
      <c r="S1525" s="1"/>
      <c r="T1525" s="1"/>
    </row>
    <row r="1526" spans="1:20" ht="13.5" customHeight="1" x14ac:dyDescent="0.25">
      <c r="A1526" s="1"/>
      <c r="B1526" s="1"/>
      <c r="C1526" s="41" t="s">
        <v>1381</v>
      </c>
      <c r="D1526" s="42"/>
      <c r="E1526" s="44"/>
      <c r="F1526" s="45"/>
      <c r="G1526" s="45"/>
      <c r="H1526" s="66"/>
      <c r="I1526" s="66"/>
      <c r="J1526" s="48"/>
      <c r="K1526" s="49"/>
      <c r="L1526" s="50"/>
      <c r="M1526" s="50"/>
      <c r="N1526" s="53"/>
      <c r="O1526" s="52"/>
      <c r="P1526" s="53"/>
      <c r="Q1526" s="54"/>
      <c r="R1526" s="1"/>
      <c r="S1526" s="1"/>
      <c r="T1526" s="1"/>
    </row>
    <row r="1527" spans="1:20" ht="13.5" customHeight="1" x14ac:dyDescent="0.25">
      <c r="A1527" s="1"/>
      <c r="B1527" s="1" t="s">
        <v>1382</v>
      </c>
      <c r="C1527" s="1" t="s">
        <v>275</v>
      </c>
      <c r="D1527" s="42">
        <v>660</v>
      </c>
      <c r="E1527" s="70">
        <v>0</v>
      </c>
      <c r="F1527" s="45">
        <v>660</v>
      </c>
      <c r="G1527" s="45">
        <v>660</v>
      </c>
      <c r="H1527" s="74">
        <v>0</v>
      </c>
      <c r="I1527" s="47">
        <f>H1527/J1527</f>
        <v>0</v>
      </c>
      <c r="J1527" s="48">
        <v>660</v>
      </c>
      <c r="K1527" s="49">
        <v>660</v>
      </c>
      <c r="L1527" s="50">
        <v>600.80999999999995</v>
      </c>
      <c r="M1527" s="50">
        <v>326</v>
      </c>
      <c r="N1527" s="53" t="s">
        <v>16</v>
      </c>
      <c r="O1527" s="52">
        <v>0</v>
      </c>
      <c r="P1527" s="53">
        <v>623.73</v>
      </c>
      <c r="Q1527" s="54">
        <v>0</v>
      </c>
      <c r="R1527" s="1"/>
      <c r="S1527" s="1"/>
      <c r="T1527" s="1"/>
    </row>
    <row r="1528" spans="1:20" ht="13.5" customHeight="1" thickBot="1" x14ac:dyDescent="0.3">
      <c r="A1528" s="1"/>
      <c r="B1528" s="1"/>
      <c r="C1528" s="116" t="s">
        <v>1383</v>
      </c>
      <c r="D1528" s="267">
        <v>660</v>
      </c>
      <c r="E1528" s="173">
        <f t="shared" ref="E1528" si="668">SUM(E1527)</f>
        <v>0</v>
      </c>
      <c r="F1528" s="174">
        <f>SUM(F1526:F1527)</f>
        <v>660</v>
      </c>
      <c r="G1528" s="174">
        <v>660</v>
      </c>
      <c r="H1528" s="175">
        <f>SUM(H1527)</f>
        <v>0</v>
      </c>
      <c r="I1528" s="175"/>
      <c r="J1528" s="176">
        <f t="shared" ref="J1528:Q1528" si="669">SUM(J1527)</f>
        <v>660</v>
      </c>
      <c r="K1528" s="177">
        <f t="shared" si="669"/>
        <v>660</v>
      </c>
      <c r="L1528" s="178">
        <f t="shared" si="669"/>
        <v>600.80999999999995</v>
      </c>
      <c r="M1528" s="178">
        <f t="shared" si="669"/>
        <v>326</v>
      </c>
      <c r="N1528" s="179">
        <f t="shared" si="669"/>
        <v>0</v>
      </c>
      <c r="O1528" s="180">
        <f t="shared" si="669"/>
        <v>0</v>
      </c>
      <c r="P1528" s="179">
        <f t="shared" si="669"/>
        <v>623.73</v>
      </c>
      <c r="Q1528" s="181">
        <f t="shared" si="669"/>
        <v>0</v>
      </c>
      <c r="R1528" s="1"/>
      <c r="S1528" s="1"/>
      <c r="T1528" s="1"/>
    </row>
    <row r="1529" spans="1:20" ht="13.5" customHeight="1" thickTop="1" x14ac:dyDescent="0.25">
      <c r="A1529" s="1"/>
      <c r="B1529" s="1"/>
      <c r="C1529" s="1"/>
      <c r="D1529" s="42"/>
      <c r="E1529" s="67"/>
      <c r="F1529" s="45"/>
      <c r="G1529" s="45"/>
      <c r="H1529" s="74"/>
      <c r="I1529" s="66"/>
      <c r="J1529" s="48"/>
      <c r="K1529" s="49"/>
      <c r="L1529" s="50"/>
      <c r="M1529" s="50"/>
      <c r="N1529" s="53"/>
      <c r="O1529" s="52"/>
      <c r="P1529" s="53"/>
      <c r="Q1529" s="54"/>
      <c r="R1529" s="1"/>
      <c r="S1529" s="1"/>
      <c r="T1529" s="1"/>
    </row>
    <row r="1530" spans="1:20" ht="13.5" customHeight="1" x14ac:dyDescent="0.25">
      <c r="A1530" s="1"/>
      <c r="B1530" s="1"/>
      <c r="C1530" s="41" t="s">
        <v>1384</v>
      </c>
      <c r="D1530" s="42"/>
      <c r="E1530" s="67"/>
      <c r="F1530" s="45"/>
      <c r="G1530" s="45"/>
      <c r="H1530" s="74"/>
      <c r="I1530" s="66"/>
      <c r="J1530" s="48"/>
      <c r="K1530" s="49"/>
      <c r="L1530" s="50"/>
      <c r="M1530" s="50"/>
      <c r="N1530" s="53"/>
      <c r="O1530" s="52"/>
      <c r="P1530" s="53"/>
      <c r="Q1530" s="54"/>
      <c r="R1530" s="1"/>
      <c r="S1530" s="1"/>
      <c r="T1530" s="1"/>
    </row>
    <row r="1531" spans="1:20" ht="13.5" customHeight="1" x14ac:dyDescent="0.25">
      <c r="A1531" s="1"/>
      <c r="B1531" s="1" t="s">
        <v>1385</v>
      </c>
      <c r="C1531" s="1" t="s">
        <v>275</v>
      </c>
      <c r="D1531" s="42">
        <v>850</v>
      </c>
      <c r="E1531" s="70">
        <v>1841.35</v>
      </c>
      <c r="F1531" s="45">
        <v>850</v>
      </c>
      <c r="G1531" s="45">
        <v>850</v>
      </c>
      <c r="H1531" s="68">
        <v>1414.43</v>
      </c>
      <c r="I1531" s="47">
        <f>H1531/J1531</f>
        <v>1.6640352941176471</v>
      </c>
      <c r="J1531" s="48">
        <v>850</v>
      </c>
      <c r="K1531" s="49">
        <v>850</v>
      </c>
      <c r="L1531" s="50">
        <v>794.76</v>
      </c>
      <c r="M1531" s="50">
        <v>450</v>
      </c>
      <c r="N1531" s="51">
        <v>702.26</v>
      </c>
      <c r="O1531" s="52">
        <v>2220.2399999999998</v>
      </c>
      <c r="P1531" s="53">
        <v>1303.96</v>
      </c>
      <c r="Q1531" s="54">
        <v>1680</v>
      </c>
      <c r="R1531" s="1"/>
      <c r="S1531" s="1"/>
      <c r="T1531" s="1"/>
    </row>
    <row r="1532" spans="1:20" ht="13.5" customHeight="1" thickBot="1" x14ac:dyDescent="0.3">
      <c r="A1532" s="1"/>
      <c r="B1532" s="1"/>
      <c r="C1532" s="116" t="s">
        <v>1386</v>
      </c>
      <c r="D1532" s="267">
        <v>850</v>
      </c>
      <c r="E1532" s="173">
        <f t="shared" ref="E1532" si="670">SUM(E1531)</f>
        <v>1841.35</v>
      </c>
      <c r="F1532" s="174">
        <f>SUM(F1530:F1531)</f>
        <v>850</v>
      </c>
      <c r="G1532" s="174">
        <v>850</v>
      </c>
      <c r="H1532" s="175">
        <f>SUM(H1531)</f>
        <v>1414.43</v>
      </c>
      <c r="I1532" s="175"/>
      <c r="J1532" s="176">
        <f t="shared" ref="J1532:Q1532" si="671">SUM(J1531)</f>
        <v>850</v>
      </c>
      <c r="K1532" s="177">
        <f t="shared" si="671"/>
        <v>850</v>
      </c>
      <c r="L1532" s="178">
        <f t="shared" si="671"/>
        <v>794.76</v>
      </c>
      <c r="M1532" s="178">
        <f t="shared" si="671"/>
        <v>450</v>
      </c>
      <c r="N1532" s="179">
        <f t="shared" si="671"/>
        <v>702.26</v>
      </c>
      <c r="O1532" s="180">
        <f t="shared" si="671"/>
        <v>2220.2399999999998</v>
      </c>
      <c r="P1532" s="179">
        <f t="shared" si="671"/>
        <v>1303.96</v>
      </c>
      <c r="Q1532" s="181">
        <f t="shared" si="671"/>
        <v>1680</v>
      </c>
      <c r="R1532" s="1"/>
      <c r="S1532" s="1"/>
      <c r="T1532" s="1"/>
    </row>
    <row r="1533" spans="1:20" ht="13.5" customHeight="1" thickTop="1" x14ac:dyDescent="0.25">
      <c r="A1533" s="1"/>
      <c r="B1533" s="1"/>
      <c r="C1533" s="1"/>
      <c r="D1533" s="42"/>
      <c r="E1533" s="67"/>
      <c r="F1533" s="45"/>
      <c r="G1533" s="45"/>
      <c r="H1533" s="74"/>
      <c r="I1533" s="66"/>
      <c r="J1533" s="48"/>
      <c r="K1533" s="49"/>
      <c r="L1533" s="50"/>
      <c r="M1533" s="50"/>
      <c r="N1533" s="51"/>
      <c r="O1533" s="52"/>
      <c r="P1533" s="53"/>
      <c r="Q1533" s="54"/>
      <c r="R1533" s="1"/>
      <c r="S1533" s="1"/>
      <c r="T1533" s="1"/>
    </row>
    <row r="1534" spans="1:20" ht="13.5" customHeight="1" x14ac:dyDescent="0.25">
      <c r="A1534" s="1"/>
      <c r="B1534" s="1"/>
      <c r="C1534" s="1"/>
      <c r="D1534" s="42"/>
      <c r="E1534" s="67"/>
      <c r="F1534" s="45"/>
      <c r="G1534" s="45"/>
      <c r="H1534" s="74"/>
      <c r="I1534" s="66"/>
      <c r="J1534" s="48"/>
      <c r="K1534" s="49"/>
      <c r="L1534" s="50"/>
      <c r="M1534" s="50"/>
      <c r="N1534" s="51"/>
      <c r="O1534" s="52"/>
      <c r="P1534" s="53"/>
      <c r="Q1534" s="54"/>
      <c r="R1534" s="1"/>
      <c r="S1534" s="1"/>
      <c r="T1534" s="1"/>
    </row>
    <row r="1535" spans="1:20" ht="13.5" customHeight="1" x14ac:dyDescent="0.25">
      <c r="A1535" s="1"/>
      <c r="B1535" s="1"/>
      <c r="C1535" s="116" t="s">
        <v>1387</v>
      </c>
      <c r="D1535" s="72"/>
      <c r="E1535" s="67"/>
      <c r="F1535" s="73"/>
      <c r="G1535" s="73"/>
      <c r="H1535" s="74"/>
      <c r="I1535" s="74"/>
      <c r="J1535" s="75"/>
      <c r="K1535" s="76"/>
      <c r="L1535" s="77"/>
      <c r="M1535" s="77"/>
      <c r="N1535" s="51"/>
      <c r="O1535" s="52"/>
      <c r="P1535" s="53"/>
      <c r="Q1535" s="54"/>
      <c r="R1535" s="1"/>
      <c r="S1535" s="1"/>
      <c r="T1535" s="1"/>
    </row>
    <row r="1536" spans="1:20" ht="13.5" customHeight="1" x14ac:dyDescent="0.25">
      <c r="A1536" s="1"/>
      <c r="B1536" s="1" t="s">
        <v>1388</v>
      </c>
      <c r="C1536" s="1" t="s">
        <v>418</v>
      </c>
      <c r="D1536" s="42">
        <v>81870</v>
      </c>
      <c r="E1536" s="43">
        <v>37554.239999999998</v>
      </c>
      <c r="F1536" s="45">
        <v>79383</v>
      </c>
      <c r="G1536" s="45">
        <v>79383</v>
      </c>
      <c r="H1536" s="46">
        <v>69306.92</v>
      </c>
      <c r="I1536" s="47">
        <f t="shared" ref="I1536:I1541" si="672">H1536/J1536</f>
        <v>1.0063002918415054</v>
      </c>
      <c r="J1536" s="48">
        <v>68873</v>
      </c>
      <c r="K1536" s="49">
        <v>68873</v>
      </c>
      <c r="L1536" s="50">
        <v>67603.679999999993</v>
      </c>
      <c r="M1536" s="50">
        <v>66154.990000000005</v>
      </c>
      <c r="N1536" s="51">
        <v>65112.06</v>
      </c>
      <c r="O1536" s="52">
        <v>62842.3</v>
      </c>
      <c r="P1536" s="53">
        <v>62740.05</v>
      </c>
      <c r="Q1536" s="54">
        <v>60458.1</v>
      </c>
      <c r="R1536" s="1"/>
      <c r="S1536" s="1"/>
      <c r="T1536" s="1"/>
    </row>
    <row r="1537" spans="1:20" ht="13.5" customHeight="1" x14ac:dyDescent="0.25">
      <c r="A1537" s="1"/>
      <c r="B1537" s="1" t="s">
        <v>1389</v>
      </c>
      <c r="C1537" s="1" t="s">
        <v>420</v>
      </c>
      <c r="D1537" s="42">
        <v>3115852</v>
      </c>
      <c r="E1537" s="43">
        <v>1445508.77</v>
      </c>
      <c r="F1537" s="45">
        <v>3051853</v>
      </c>
      <c r="G1537" s="45">
        <v>3051853</v>
      </c>
      <c r="H1537" s="46">
        <v>2708730.41</v>
      </c>
      <c r="I1537" s="47">
        <f t="shared" si="672"/>
        <v>0.96162060025439866</v>
      </c>
      <c r="J1537" s="48">
        <v>2816839</v>
      </c>
      <c r="K1537" s="49">
        <v>2816839</v>
      </c>
      <c r="L1537" s="50">
        <v>2584371.41</v>
      </c>
      <c r="M1537" s="50">
        <v>2616019.7000000002</v>
      </c>
      <c r="N1537" s="51">
        <v>2454739.09</v>
      </c>
      <c r="O1537" s="52">
        <v>2391291.71</v>
      </c>
      <c r="P1537" s="53">
        <v>2330496.38</v>
      </c>
      <c r="Q1537" s="54">
        <v>2226735.89</v>
      </c>
      <c r="R1537" s="1"/>
      <c r="S1537" s="1"/>
      <c r="T1537" s="1"/>
    </row>
    <row r="1538" spans="1:20" ht="13.5" hidden="1" customHeight="1" x14ac:dyDescent="0.25">
      <c r="A1538" s="1"/>
      <c r="B1538" s="1" t="s">
        <v>1390</v>
      </c>
      <c r="C1538" s="1" t="s">
        <v>423</v>
      </c>
      <c r="D1538" s="42">
        <v>0</v>
      </c>
      <c r="E1538" s="43">
        <v>0</v>
      </c>
      <c r="F1538" s="45">
        <v>0</v>
      </c>
      <c r="G1538" s="45">
        <v>0</v>
      </c>
      <c r="H1538" s="46">
        <v>84408.05</v>
      </c>
      <c r="I1538" s="47">
        <f t="shared" si="672"/>
        <v>0.87174083675008007</v>
      </c>
      <c r="J1538" s="48">
        <v>96827</v>
      </c>
      <c r="K1538" s="49">
        <v>96827</v>
      </c>
      <c r="L1538" s="50">
        <v>90885.62</v>
      </c>
      <c r="M1538" s="50">
        <v>102588.15</v>
      </c>
      <c r="N1538" s="51">
        <v>129628.19</v>
      </c>
      <c r="O1538" s="52">
        <v>142468.09</v>
      </c>
      <c r="P1538" s="53">
        <v>135273.79999999999</v>
      </c>
      <c r="Q1538" s="54">
        <v>130135.3</v>
      </c>
      <c r="R1538" s="1"/>
      <c r="S1538" s="1"/>
      <c r="T1538" s="1"/>
    </row>
    <row r="1539" spans="1:20" ht="13.5" customHeight="1" x14ac:dyDescent="0.25">
      <c r="A1539" s="1"/>
      <c r="B1539" s="1" t="s">
        <v>1391</v>
      </c>
      <c r="C1539" s="1" t="s">
        <v>425</v>
      </c>
      <c r="D1539" s="42">
        <v>40000</v>
      </c>
      <c r="E1539" s="43">
        <v>33177.29</v>
      </c>
      <c r="F1539" s="45">
        <v>40000</v>
      </c>
      <c r="G1539" s="45">
        <v>40000</v>
      </c>
      <c r="H1539" s="46">
        <v>52767.08</v>
      </c>
      <c r="I1539" s="47">
        <f t="shared" si="672"/>
        <v>1.319177</v>
      </c>
      <c r="J1539" s="48">
        <v>40000</v>
      </c>
      <c r="K1539" s="49">
        <v>40000</v>
      </c>
      <c r="L1539" s="50">
        <v>82503.490000000005</v>
      </c>
      <c r="M1539" s="50">
        <v>37957.93</v>
      </c>
      <c r="N1539" s="51">
        <v>51369.36</v>
      </c>
      <c r="O1539" s="52">
        <v>45710.86</v>
      </c>
      <c r="P1539" s="53">
        <v>45939.37</v>
      </c>
      <c r="Q1539" s="54">
        <v>33594.71</v>
      </c>
      <c r="R1539" s="1"/>
      <c r="S1539" s="1"/>
      <c r="T1539" s="1"/>
    </row>
    <row r="1540" spans="1:20" ht="13.5" customHeight="1" x14ac:dyDescent="0.25">
      <c r="A1540" s="1"/>
      <c r="B1540" s="1" t="s">
        <v>1392</v>
      </c>
      <c r="C1540" s="1" t="s">
        <v>241</v>
      </c>
      <c r="D1540" s="42">
        <v>50000</v>
      </c>
      <c r="E1540" s="43">
        <v>42602.35</v>
      </c>
      <c r="F1540" s="45">
        <v>50000</v>
      </c>
      <c r="G1540" s="45">
        <v>50000</v>
      </c>
      <c r="H1540" s="46">
        <v>93989.85</v>
      </c>
      <c r="I1540" s="47">
        <f t="shared" si="672"/>
        <v>1.8797970000000002</v>
      </c>
      <c r="J1540" s="48">
        <v>50000</v>
      </c>
      <c r="K1540" s="49">
        <v>50000</v>
      </c>
      <c r="L1540" s="50">
        <v>76082.61</v>
      </c>
      <c r="M1540" s="50">
        <v>84992.58</v>
      </c>
      <c r="N1540" s="51">
        <v>82312.899999999994</v>
      </c>
      <c r="O1540" s="52">
        <v>45534.3</v>
      </c>
      <c r="P1540" s="53">
        <v>48607.32</v>
      </c>
      <c r="Q1540" s="54">
        <v>30862.86</v>
      </c>
      <c r="R1540" s="1"/>
      <c r="S1540" s="1"/>
      <c r="T1540" s="1"/>
    </row>
    <row r="1541" spans="1:20" ht="13.5" customHeight="1" x14ac:dyDescent="0.25">
      <c r="A1541" s="1"/>
      <c r="B1541" s="1" t="s">
        <v>1393</v>
      </c>
      <c r="C1541" s="1" t="s">
        <v>651</v>
      </c>
      <c r="D1541" s="42">
        <v>45500</v>
      </c>
      <c r="E1541" s="43">
        <v>13537.92</v>
      </c>
      <c r="F1541" s="45">
        <v>31000</v>
      </c>
      <c r="G1541" s="45">
        <v>31000</v>
      </c>
      <c r="H1541" s="46">
        <v>23902.89</v>
      </c>
      <c r="I1541" s="47">
        <f t="shared" si="672"/>
        <v>0.82423758620689658</v>
      </c>
      <c r="J1541" s="48">
        <v>29000</v>
      </c>
      <c r="K1541" s="49">
        <v>29000</v>
      </c>
      <c r="L1541" s="50">
        <v>24152.880000000001</v>
      </c>
      <c r="M1541" s="50">
        <v>23672.13</v>
      </c>
      <c r="N1541" s="51">
        <v>29518.05</v>
      </c>
      <c r="O1541" s="52">
        <v>35479.35</v>
      </c>
      <c r="P1541" s="53">
        <v>26825.85</v>
      </c>
      <c r="Q1541" s="54">
        <v>29671.89</v>
      </c>
      <c r="R1541" s="1"/>
      <c r="S1541" s="1"/>
      <c r="T1541" s="1"/>
    </row>
    <row r="1542" spans="1:20" ht="13.5" customHeight="1" x14ac:dyDescent="0.25">
      <c r="A1542" s="1"/>
      <c r="B1542" s="1"/>
      <c r="C1542" s="1"/>
      <c r="D1542" s="56">
        <v>3333222</v>
      </c>
      <c r="E1542" s="57">
        <f t="shared" ref="E1542" si="673">SUM(E1536:E1541)</f>
        <v>1572380.57</v>
      </c>
      <c r="F1542" s="58">
        <f>SUM(F1535:F1541)</f>
        <v>3252236</v>
      </c>
      <c r="G1542" s="58">
        <v>3252236</v>
      </c>
      <c r="H1542" s="59">
        <f>SUM(H1536:H1541)</f>
        <v>3033105.2</v>
      </c>
      <c r="I1542" s="59"/>
      <c r="J1542" s="60">
        <f t="shared" ref="J1542:Q1542" si="674">SUM(J1536:J1541)</f>
        <v>3101539</v>
      </c>
      <c r="K1542" s="61">
        <f t="shared" si="674"/>
        <v>3101539</v>
      </c>
      <c r="L1542" s="62">
        <f t="shared" si="674"/>
        <v>2925599.6900000004</v>
      </c>
      <c r="M1542" s="62">
        <f t="shared" si="674"/>
        <v>2931385.4800000004</v>
      </c>
      <c r="N1542" s="63">
        <f t="shared" si="674"/>
        <v>2812679.6499999994</v>
      </c>
      <c r="O1542" s="64">
        <f t="shared" si="674"/>
        <v>2723326.6099999994</v>
      </c>
      <c r="P1542" s="63">
        <f t="shared" si="674"/>
        <v>2649882.7699999996</v>
      </c>
      <c r="Q1542" s="65">
        <f t="shared" si="674"/>
        <v>2511458.75</v>
      </c>
      <c r="R1542" s="1"/>
      <c r="S1542" s="1"/>
      <c r="T1542" s="1"/>
    </row>
    <row r="1543" spans="1:20" ht="13.5" customHeight="1" x14ac:dyDescent="0.25">
      <c r="A1543" s="1"/>
      <c r="B1543" s="1"/>
      <c r="C1543" s="1"/>
      <c r="D1543" s="42"/>
      <c r="E1543" s="44"/>
      <c r="F1543" s="45"/>
      <c r="G1543" s="45"/>
      <c r="H1543" s="66"/>
      <c r="I1543" s="66"/>
      <c r="J1543" s="48"/>
      <c r="K1543" s="49"/>
      <c r="L1543" s="50"/>
      <c r="M1543" s="50"/>
      <c r="N1543" s="51"/>
      <c r="O1543" s="52"/>
      <c r="P1543" s="53"/>
      <c r="Q1543" s="54"/>
      <c r="R1543" s="1"/>
      <c r="S1543" s="1"/>
      <c r="T1543" s="1"/>
    </row>
    <row r="1544" spans="1:20" ht="13.5" customHeight="1" x14ac:dyDescent="0.25">
      <c r="A1544" s="1"/>
      <c r="B1544" s="1" t="s">
        <v>1394</v>
      </c>
      <c r="C1544" s="1" t="s">
        <v>247</v>
      </c>
      <c r="D1544" s="42">
        <v>259902.783</v>
      </c>
      <c r="E1544" s="43">
        <v>115863.88</v>
      </c>
      <c r="F1544" s="45">
        <v>253707.35400000002</v>
      </c>
      <c r="G1544" s="45">
        <v>253707.35400000002</v>
      </c>
      <c r="H1544" s="46">
        <v>225894.55</v>
      </c>
      <c r="I1544" s="47">
        <f t="shared" ref="I1544:I1550" si="675">H1544/J1544</f>
        <v>0.96349609516619528</v>
      </c>
      <c r="J1544" s="48">
        <v>234453</v>
      </c>
      <c r="K1544" s="49">
        <v>234453</v>
      </c>
      <c r="L1544" s="50">
        <v>211842.55</v>
      </c>
      <c r="M1544" s="50">
        <v>212670.51</v>
      </c>
      <c r="N1544" s="51">
        <v>204622.56</v>
      </c>
      <c r="O1544" s="52">
        <v>200381.42</v>
      </c>
      <c r="P1544" s="53">
        <v>195175.24</v>
      </c>
      <c r="Q1544" s="54">
        <v>185029.23</v>
      </c>
      <c r="R1544" s="1"/>
      <c r="S1544" s="1"/>
      <c r="T1544" s="1"/>
    </row>
    <row r="1545" spans="1:20" ht="13.5" customHeight="1" x14ac:dyDescent="0.25">
      <c r="A1545" s="1"/>
      <c r="B1545" s="1" t="s">
        <v>1395</v>
      </c>
      <c r="C1545" s="1" t="s">
        <v>249</v>
      </c>
      <c r="D1545" s="42">
        <v>732440.43599999929</v>
      </c>
      <c r="E1545" s="43">
        <v>341708.09</v>
      </c>
      <c r="F1545" s="45">
        <v>721965.87839999923</v>
      </c>
      <c r="G1545" s="45">
        <v>721965.87839999923</v>
      </c>
      <c r="H1545" s="46">
        <v>655539.53</v>
      </c>
      <c r="I1545" s="47">
        <f t="shared" si="675"/>
        <v>0.92858017250293579</v>
      </c>
      <c r="J1545" s="48">
        <v>705959</v>
      </c>
      <c r="K1545" s="49">
        <v>705959</v>
      </c>
      <c r="L1545" s="50">
        <v>598270.65</v>
      </c>
      <c r="M1545" s="50">
        <v>598227.34</v>
      </c>
      <c r="N1545" s="51">
        <v>597249.46</v>
      </c>
      <c r="O1545" s="52">
        <v>637810.07999999996</v>
      </c>
      <c r="P1545" s="53">
        <v>619452.80000000005</v>
      </c>
      <c r="Q1545" s="54">
        <v>578641.31999999995</v>
      </c>
      <c r="R1545" s="1"/>
      <c r="S1545" s="1"/>
      <c r="T1545" s="1"/>
    </row>
    <row r="1546" spans="1:20" ht="13.5" customHeight="1" x14ac:dyDescent="0.25">
      <c r="A1546" s="1"/>
      <c r="B1546" s="1" t="s">
        <v>1396</v>
      </c>
      <c r="C1546" s="1" t="s">
        <v>251</v>
      </c>
      <c r="D1546" s="42">
        <v>510292.78439999995</v>
      </c>
      <c r="E1546" s="43">
        <v>241618.29</v>
      </c>
      <c r="F1546" s="45">
        <v>498128.68720000004</v>
      </c>
      <c r="G1546" s="45">
        <v>498128.68720000004</v>
      </c>
      <c r="H1546" s="46">
        <v>459801.91</v>
      </c>
      <c r="I1546" s="47">
        <f t="shared" si="675"/>
        <v>1.0002956712047442</v>
      </c>
      <c r="J1546" s="48">
        <v>459666</v>
      </c>
      <c r="K1546" s="49">
        <v>459666</v>
      </c>
      <c r="L1546" s="50">
        <v>427498.14</v>
      </c>
      <c r="M1546" s="50">
        <v>407806.41</v>
      </c>
      <c r="N1546" s="51">
        <v>387198.36</v>
      </c>
      <c r="O1546" s="52">
        <v>373023.74</v>
      </c>
      <c r="P1546" s="53">
        <v>361897.11</v>
      </c>
      <c r="Q1546" s="54">
        <v>321552.64000000001</v>
      </c>
      <c r="R1546" s="1"/>
      <c r="S1546" s="1"/>
      <c r="T1546" s="1"/>
    </row>
    <row r="1547" spans="1:20" ht="13.5" customHeight="1" x14ac:dyDescent="0.25">
      <c r="A1547" s="1"/>
      <c r="B1547" s="1" t="s">
        <v>1397</v>
      </c>
      <c r="C1547" s="1" t="s">
        <v>253</v>
      </c>
      <c r="D1547" s="42">
        <v>5435.8752000000013</v>
      </c>
      <c r="E1547" s="43">
        <v>2573.83</v>
      </c>
      <c r="F1547" s="45">
        <v>5306.2975999999971</v>
      </c>
      <c r="G1547" s="45">
        <v>5306.2975999999971</v>
      </c>
      <c r="H1547" s="46">
        <v>5061.3999999999996</v>
      </c>
      <c r="I1547" s="47">
        <f t="shared" si="675"/>
        <v>0.99909198578760361</v>
      </c>
      <c r="J1547" s="48">
        <v>5066</v>
      </c>
      <c r="K1547" s="49">
        <v>5066</v>
      </c>
      <c r="L1547" s="50">
        <v>5409.52</v>
      </c>
      <c r="M1547" s="50">
        <v>5568.04</v>
      </c>
      <c r="N1547" s="51">
        <v>6714.95</v>
      </c>
      <c r="O1547" s="52">
        <v>7309.59</v>
      </c>
      <c r="P1547" s="53">
        <v>6581.24</v>
      </c>
      <c r="Q1547" s="54">
        <v>6040.75</v>
      </c>
      <c r="R1547" s="1"/>
      <c r="S1547" s="1"/>
      <c r="T1547" s="1"/>
    </row>
    <row r="1548" spans="1:20" ht="13.5" customHeight="1" x14ac:dyDescent="0.25">
      <c r="A1548" s="1"/>
      <c r="B1548" s="1" t="s">
        <v>1398</v>
      </c>
      <c r="C1548" s="1" t="s">
        <v>255</v>
      </c>
      <c r="D1548" s="42">
        <v>24578.399999999994</v>
      </c>
      <c r="E1548" s="43">
        <v>10956.84</v>
      </c>
      <c r="F1548" s="45">
        <v>23115</v>
      </c>
      <c r="G1548" s="45">
        <v>23115</v>
      </c>
      <c r="H1548" s="46">
        <v>20895.740000000002</v>
      </c>
      <c r="I1548" s="47">
        <f t="shared" si="675"/>
        <v>0.94048699252858048</v>
      </c>
      <c r="J1548" s="48">
        <v>22218</v>
      </c>
      <c r="K1548" s="49">
        <v>22218</v>
      </c>
      <c r="L1548" s="50">
        <v>18769.3</v>
      </c>
      <c r="M1548" s="50">
        <v>18303.28</v>
      </c>
      <c r="N1548" s="51">
        <v>19685.61</v>
      </c>
      <c r="O1548" s="52">
        <v>21130.2</v>
      </c>
      <c r="P1548" s="53">
        <v>20822.75</v>
      </c>
      <c r="Q1548" s="54">
        <v>19431.03</v>
      </c>
      <c r="R1548" s="1"/>
      <c r="S1548" s="1"/>
      <c r="T1548" s="1"/>
    </row>
    <row r="1549" spans="1:20" ht="13.5" customHeight="1" x14ac:dyDescent="0.25">
      <c r="A1549" s="1"/>
      <c r="B1549" s="1" t="s">
        <v>1399</v>
      </c>
      <c r="C1549" s="1" t="s">
        <v>1400</v>
      </c>
      <c r="D1549" s="42">
        <v>60000</v>
      </c>
      <c r="E1549" s="43">
        <v>29720.6</v>
      </c>
      <c r="F1549" s="45">
        <v>60000</v>
      </c>
      <c r="G1549" s="45">
        <v>60000</v>
      </c>
      <c r="H1549" s="46">
        <v>57364.45</v>
      </c>
      <c r="I1549" s="47">
        <f t="shared" si="675"/>
        <v>0.95607416666666667</v>
      </c>
      <c r="J1549" s="48">
        <v>60000</v>
      </c>
      <c r="K1549" s="49">
        <v>60000</v>
      </c>
      <c r="L1549" s="50">
        <v>54041.65</v>
      </c>
      <c r="M1549" s="50">
        <v>53257.1</v>
      </c>
      <c r="N1549" s="51">
        <v>52011.05</v>
      </c>
      <c r="O1549" s="52">
        <v>55518.45</v>
      </c>
      <c r="P1549" s="53">
        <v>53672.45</v>
      </c>
      <c r="Q1549" s="54">
        <v>52287.95</v>
      </c>
      <c r="R1549" s="1"/>
      <c r="S1549" s="1"/>
      <c r="T1549" s="1"/>
    </row>
    <row r="1550" spans="1:20" ht="13.5" customHeight="1" x14ac:dyDescent="0.25">
      <c r="A1550" s="1"/>
      <c r="B1550" s="1" t="s">
        <v>1401</v>
      </c>
      <c r="C1550" s="1" t="s">
        <v>1402</v>
      </c>
      <c r="D1550" s="42">
        <v>4200</v>
      </c>
      <c r="E1550" s="43">
        <v>2100.02</v>
      </c>
      <c r="F1550" s="45">
        <v>4200</v>
      </c>
      <c r="G1550" s="45">
        <v>4200</v>
      </c>
      <c r="H1550" s="46">
        <v>4200.04</v>
      </c>
      <c r="I1550" s="47">
        <f t="shared" si="675"/>
        <v>1.0000095238095239</v>
      </c>
      <c r="J1550" s="48">
        <v>4200</v>
      </c>
      <c r="K1550" s="49">
        <v>4200</v>
      </c>
      <c r="L1550" s="50">
        <v>4200.04</v>
      </c>
      <c r="M1550" s="50">
        <v>4200.04</v>
      </c>
      <c r="N1550" s="51">
        <v>4200.04</v>
      </c>
      <c r="O1550" s="52">
        <v>0</v>
      </c>
      <c r="P1550" s="53">
        <v>0</v>
      </c>
      <c r="Q1550" s="54">
        <v>0</v>
      </c>
      <c r="R1550" s="1"/>
      <c r="S1550" s="1"/>
      <c r="T1550" s="1"/>
    </row>
    <row r="1551" spans="1:20" ht="13.5" customHeight="1" x14ac:dyDescent="0.25">
      <c r="A1551" s="1"/>
      <c r="B1551" s="1"/>
      <c r="C1551" s="1"/>
      <c r="D1551" s="56">
        <v>1596850.2785999991</v>
      </c>
      <c r="E1551" s="57">
        <f t="shared" ref="E1551" si="676">SUM(E1544:E1550)</f>
        <v>744541.54999999993</v>
      </c>
      <c r="F1551" s="58">
        <f>SUM(F1543:F1550)</f>
        <v>1566423.2171999991</v>
      </c>
      <c r="G1551" s="58">
        <v>1566423.2171999991</v>
      </c>
      <c r="H1551" s="59">
        <f>SUM(H1544:H1550)</f>
        <v>1428757.6199999999</v>
      </c>
      <c r="I1551" s="59"/>
      <c r="J1551" s="60">
        <f t="shared" ref="J1551:Q1551" si="677">SUM(J1544:J1550)</f>
        <v>1491562</v>
      </c>
      <c r="K1551" s="61">
        <f t="shared" si="677"/>
        <v>1491562</v>
      </c>
      <c r="L1551" s="62">
        <f t="shared" si="677"/>
        <v>1320031.8499999999</v>
      </c>
      <c r="M1551" s="62">
        <f t="shared" si="677"/>
        <v>1300032.7200000002</v>
      </c>
      <c r="N1551" s="63">
        <f t="shared" si="677"/>
        <v>1271682.03</v>
      </c>
      <c r="O1551" s="64">
        <f t="shared" si="677"/>
        <v>1295173.48</v>
      </c>
      <c r="P1551" s="63">
        <f t="shared" si="677"/>
        <v>1257601.5899999999</v>
      </c>
      <c r="Q1551" s="65">
        <f t="shared" si="677"/>
        <v>1162982.92</v>
      </c>
      <c r="R1551" s="1"/>
      <c r="S1551" s="1"/>
      <c r="T1551" s="1"/>
    </row>
    <row r="1552" spans="1:20" ht="13.5" customHeight="1" x14ac:dyDescent="0.25">
      <c r="A1552" s="1"/>
      <c r="B1552" s="1"/>
      <c r="C1552" s="1"/>
      <c r="D1552" s="42"/>
      <c r="E1552" s="44"/>
      <c r="F1552" s="45"/>
      <c r="G1552" s="45"/>
      <c r="H1552" s="66"/>
      <c r="I1552" s="66"/>
      <c r="J1552" s="48"/>
      <c r="K1552" s="49"/>
      <c r="L1552" s="50"/>
      <c r="M1552" s="50"/>
      <c r="N1552" s="51"/>
      <c r="O1552" s="52"/>
      <c r="P1552" s="53"/>
      <c r="Q1552" s="54"/>
      <c r="R1552" s="1"/>
      <c r="S1552" s="1"/>
      <c r="T1552" s="1"/>
    </row>
    <row r="1553" spans="1:20" ht="13.5" customHeight="1" x14ac:dyDescent="0.25">
      <c r="A1553" s="1"/>
      <c r="B1553" s="1" t="s">
        <v>1403</v>
      </c>
      <c r="C1553" s="1" t="s">
        <v>259</v>
      </c>
      <c r="D1553" s="42">
        <v>21000</v>
      </c>
      <c r="E1553" s="43">
        <v>7876.72</v>
      </c>
      <c r="F1553" s="45">
        <v>21000</v>
      </c>
      <c r="G1553" s="45">
        <v>21000</v>
      </c>
      <c r="H1553" s="46">
        <v>19341.25</v>
      </c>
      <c r="I1553" s="47">
        <f t="shared" ref="I1553:I1555" si="678">H1553/J1553</f>
        <v>0.99185897435897441</v>
      </c>
      <c r="J1553" s="48">
        <v>19500</v>
      </c>
      <c r="K1553" s="49">
        <v>20000</v>
      </c>
      <c r="L1553" s="50">
        <v>22356.13</v>
      </c>
      <c r="M1553" s="50">
        <v>22707.25</v>
      </c>
      <c r="N1553" s="51">
        <v>21826.639999999999</v>
      </c>
      <c r="O1553" s="52">
        <v>19330.580000000002</v>
      </c>
      <c r="P1553" s="53">
        <v>18381.490000000002</v>
      </c>
      <c r="Q1553" s="54">
        <v>14036.6</v>
      </c>
      <c r="R1553" s="1"/>
      <c r="S1553" s="1"/>
      <c r="T1553" s="1"/>
    </row>
    <row r="1554" spans="1:20" ht="13.5" customHeight="1" x14ac:dyDescent="0.25">
      <c r="A1554" s="1"/>
      <c r="B1554" s="1" t="s">
        <v>1404</v>
      </c>
      <c r="C1554" s="1" t="s">
        <v>261</v>
      </c>
      <c r="D1554" s="42">
        <v>14500</v>
      </c>
      <c r="E1554" s="43">
        <v>3581.86</v>
      </c>
      <c r="F1554" s="45">
        <v>14500</v>
      </c>
      <c r="G1554" s="45">
        <v>14500</v>
      </c>
      <c r="H1554" s="46">
        <v>15696.43</v>
      </c>
      <c r="I1554" s="47">
        <f t="shared" si="678"/>
        <v>1.0825124137931035</v>
      </c>
      <c r="J1554" s="48">
        <v>14500</v>
      </c>
      <c r="K1554" s="49">
        <v>14500</v>
      </c>
      <c r="L1554" s="50">
        <v>13807.38</v>
      </c>
      <c r="M1554" s="50">
        <v>13974.8</v>
      </c>
      <c r="N1554" s="51">
        <v>12672.9</v>
      </c>
      <c r="O1554" s="52">
        <v>14867.08</v>
      </c>
      <c r="P1554" s="53">
        <v>15723.28</v>
      </c>
      <c r="Q1554" s="54">
        <v>15602.96</v>
      </c>
      <c r="R1554" s="1"/>
      <c r="S1554" s="1"/>
      <c r="T1554" s="1"/>
    </row>
    <row r="1555" spans="1:20" ht="13.5" customHeight="1" x14ac:dyDescent="0.25">
      <c r="A1555" s="1"/>
      <c r="B1555" s="1" t="s">
        <v>1405</v>
      </c>
      <c r="C1555" s="1" t="s">
        <v>963</v>
      </c>
      <c r="D1555" s="42">
        <v>2300</v>
      </c>
      <c r="E1555" s="43">
        <v>0</v>
      </c>
      <c r="F1555" s="45">
        <v>4800</v>
      </c>
      <c r="G1555" s="45">
        <v>4800</v>
      </c>
      <c r="H1555" s="46">
        <v>2017.51</v>
      </c>
      <c r="I1555" s="47">
        <f t="shared" si="678"/>
        <v>0.42031458333333332</v>
      </c>
      <c r="J1555" s="48">
        <v>4800</v>
      </c>
      <c r="K1555" s="49">
        <v>4800</v>
      </c>
      <c r="L1555" s="50">
        <v>32.450000000000003</v>
      </c>
      <c r="M1555" s="50">
        <v>2362.9699999999998</v>
      </c>
      <c r="N1555" s="51">
        <v>2736.82</v>
      </c>
      <c r="O1555" s="52">
        <v>1795.22</v>
      </c>
      <c r="P1555" s="53">
        <v>2035.01</v>
      </c>
      <c r="Q1555" s="54">
        <v>3239.87</v>
      </c>
      <c r="R1555" s="1"/>
      <c r="S1555" s="1"/>
      <c r="T1555" s="1"/>
    </row>
    <row r="1556" spans="1:20" ht="13.5" customHeight="1" x14ac:dyDescent="0.25">
      <c r="A1556" s="1"/>
      <c r="B1556" s="55" t="s">
        <v>1406</v>
      </c>
      <c r="C1556" s="55" t="s">
        <v>1407</v>
      </c>
      <c r="D1556" s="42">
        <v>0</v>
      </c>
      <c r="E1556" s="43">
        <v>0</v>
      </c>
      <c r="F1556" s="71">
        <v>0</v>
      </c>
      <c r="G1556" s="71">
        <v>0</v>
      </c>
      <c r="H1556" s="46">
        <v>176.61</v>
      </c>
      <c r="I1556" s="47"/>
      <c r="J1556" s="48"/>
      <c r="K1556" s="49"/>
      <c r="L1556" s="69">
        <v>0</v>
      </c>
      <c r="M1556" s="69">
        <v>0</v>
      </c>
      <c r="N1556" s="51"/>
      <c r="O1556" s="52"/>
      <c r="P1556" s="53"/>
      <c r="Q1556" s="54"/>
      <c r="R1556" s="1"/>
      <c r="S1556" s="1"/>
      <c r="T1556" s="1"/>
    </row>
    <row r="1557" spans="1:20" ht="13.5" customHeight="1" x14ac:dyDescent="0.25">
      <c r="A1557" s="1"/>
      <c r="B1557" s="1" t="s">
        <v>1408</v>
      </c>
      <c r="C1557" s="1" t="s">
        <v>471</v>
      </c>
      <c r="D1557" s="42">
        <v>200000</v>
      </c>
      <c r="E1557" s="43">
        <v>77297.05</v>
      </c>
      <c r="F1557" s="45">
        <v>200000</v>
      </c>
      <c r="G1557" s="45">
        <v>200000</v>
      </c>
      <c r="H1557" s="46">
        <v>225313</v>
      </c>
      <c r="I1557" s="47">
        <f t="shared" ref="I1557:I1560" si="679">H1557/J1557</f>
        <v>1.0729190476190476</v>
      </c>
      <c r="J1557" s="48">
        <v>210000</v>
      </c>
      <c r="K1557" s="49">
        <v>210000</v>
      </c>
      <c r="L1557" s="50">
        <v>221975.02</v>
      </c>
      <c r="M1557" s="50">
        <v>180080.1</v>
      </c>
      <c r="N1557" s="51">
        <v>157131.37</v>
      </c>
      <c r="O1557" s="52">
        <v>184834.37</v>
      </c>
      <c r="P1557" s="53">
        <v>268828.26</v>
      </c>
      <c r="Q1557" s="54">
        <v>273604.92</v>
      </c>
      <c r="R1557" s="1"/>
      <c r="S1557" s="1"/>
      <c r="T1557" s="1"/>
    </row>
    <row r="1558" spans="1:20" ht="13.5" customHeight="1" x14ac:dyDescent="0.25">
      <c r="A1558" s="1"/>
      <c r="B1558" s="1" t="s">
        <v>1409</v>
      </c>
      <c r="C1558" s="1" t="s">
        <v>1118</v>
      </c>
      <c r="D1558" s="42">
        <v>2500</v>
      </c>
      <c r="E1558" s="43">
        <v>0</v>
      </c>
      <c r="F1558" s="45">
        <v>2500</v>
      </c>
      <c r="G1558" s="45">
        <v>2500</v>
      </c>
      <c r="H1558" s="46">
        <v>2825.5</v>
      </c>
      <c r="I1558" s="47">
        <f t="shared" si="679"/>
        <v>1.1302000000000001</v>
      </c>
      <c r="J1558" s="48">
        <v>2500</v>
      </c>
      <c r="K1558" s="49">
        <v>2000</v>
      </c>
      <c r="L1558" s="50">
        <v>24955.79</v>
      </c>
      <c r="M1558" s="50">
        <v>1563.66</v>
      </c>
      <c r="N1558" s="51">
        <v>2022.74</v>
      </c>
      <c r="O1558" s="52">
        <v>1014.42</v>
      </c>
      <c r="P1558" s="53">
        <v>888.65</v>
      </c>
      <c r="Q1558" s="54">
        <v>494</v>
      </c>
      <c r="R1558" s="1"/>
      <c r="S1558" s="1"/>
      <c r="T1558" s="1"/>
    </row>
    <row r="1559" spans="1:20" ht="13.5" customHeight="1" x14ac:dyDescent="0.25">
      <c r="A1559" s="1"/>
      <c r="B1559" s="1" t="s">
        <v>1410</v>
      </c>
      <c r="C1559" s="1" t="s">
        <v>908</v>
      </c>
      <c r="D1559" s="42">
        <v>14000</v>
      </c>
      <c r="E1559" s="43">
        <v>11999.88</v>
      </c>
      <c r="F1559" s="45">
        <v>12000</v>
      </c>
      <c r="G1559" s="45">
        <v>12000</v>
      </c>
      <c r="H1559" s="46">
        <v>5282.5</v>
      </c>
      <c r="I1559" s="47">
        <f t="shared" si="679"/>
        <v>0.44020833333333331</v>
      </c>
      <c r="J1559" s="48">
        <v>12000</v>
      </c>
      <c r="K1559" s="49">
        <v>12000</v>
      </c>
      <c r="L1559" s="50">
        <v>9409.59</v>
      </c>
      <c r="M1559" s="50">
        <v>10998.67</v>
      </c>
      <c r="N1559" s="51">
        <v>12131.08</v>
      </c>
      <c r="O1559" s="52">
        <v>14670.12</v>
      </c>
      <c r="P1559" s="53">
        <v>15288.89</v>
      </c>
      <c r="Q1559" s="54">
        <v>13089.2</v>
      </c>
      <c r="R1559" s="1"/>
      <c r="S1559" s="1"/>
      <c r="T1559" s="1"/>
    </row>
    <row r="1560" spans="1:20" ht="13.5" customHeight="1" x14ac:dyDescent="0.25">
      <c r="A1560" s="1"/>
      <c r="B1560" s="1" t="s">
        <v>1411</v>
      </c>
      <c r="C1560" s="1" t="s">
        <v>473</v>
      </c>
      <c r="D1560" s="42">
        <v>25000</v>
      </c>
      <c r="E1560" s="44">
        <f>14502.4+2588</f>
        <v>17090.400000000001</v>
      </c>
      <c r="F1560" s="45">
        <v>25000</v>
      </c>
      <c r="G1560" s="45">
        <v>25000</v>
      </c>
      <c r="H1560" s="46">
        <v>25521.200000000001</v>
      </c>
      <c r="I1560" s="47">
        <f t="shared" si="679"/>
        <v>1.020848</v>
      </c>
      <c r="J1560" s="48">
        <v>25000</v>
      </c>
      <c r="K1560" s="49">
        <v>25000</v>
      </c>
      <c r="L1560" s="50">
        <v>29275.81</v>
      </c>
      <c r="M1560" s="50">
        <v>21851.040000000001</v>
      </c>
      <c r="N1560" s="51">
        <v>28880.62</v>
      </c>
      <c r="O1560" s="52">
        <v>25968.75</v>
      </c>
      <c r="P1560" s="53">
        <v>27117.78</v>
      </c>
      <c r="Q1560" s="54">
        <v>24134.53</v>
      </c>
      <c r="R1560" s="1"/>
      <c r="S1560" s="1"/>
      <c r="T1560" s="1"/>
    </row>
    <row r="1561" spans="1:20" ht="13.5" customHeight="1" x14ac:dyDescent="0.25">
      <c r="A1561" s="1"/>
      <c r="B1561" s="55" t="s">
        <v>1412</v>
      </c>
      <c r="C1561" s="55" t="s">
        <v>1413</v>
      </c>
      <c r="D1561" s="42">
        <v>0</v>
      </c>
      <c r="E1561" s="43">
        <v>0</v>
      </c>
      <c r="F1561" s="71">
        <v>0</v>
      </c>
      <c r="G1561" s="71">
        <v>0</v>
      </c>
      <c r="H1561" s="46">
        <v>152</v>
      </c>
      <c r="I1561" s="47"/>
      <c r="J1561" s="48"/>
      <c r="K1561" s="49"/>
      <c r="L1561" s="69">
        <v>0</v>
      </c>
      <c r="M1561" s="69">
        <v>0</v>
      </c>
      <c r="N1561" s="51"/>
      <c r="O1561" s="52"/>
      <c r="P1561" s="53"/>
      <c r="Q1561" s="54"/>
      <c r="R1561" s="1"/>
      <c r="S1561" s="1"/>
      <c r="T1561" s="1"/>
    </row>
    <row r="1562" spans="1:20" ht="13.5" customHeight="1" x14ac:dyDescent="0.25">
      <c r="A1562" s="1"/>
      <c r="B1562" s="1" t="s">
        <v>1414</v>
      </c>
      <c r="C1562" s="1" t="s">
        <v>435</v>
      </c>
      <c r="D1562" s="42">
        <v>4000</v>
      </c>
      <c r="E1562" s="43">
        <v>27.9</v>
      </c>
      <c r="F1562" s="45">
        <v>2500</v>
      </c>
      <c r="G1562" s="45">
        <v>2500</v>
      </c>
      <c r="H1562" s="46">
        <v>4322.87</v>
      </c>
      <c r="I1562" s="47">
        <f t="shared" ref="I1562:I1565" si="680">H1562/J1562</f>
        <v>1.7291479999999999</v>
      </c>
      <c r="J1562" s="48">
        <v>2500</v>
      </c>
      <c r="K1562" s="49">
        <v>2500</v>
      </c>
      <c r="L1562" s="50">
        <v>93.95</v>
      </c>
      <c r="M1562" s="50">
        <v>3087</v>
      </c>
      <c r="N1562" s="51">
        <v>712.45</v>
      </c>
      <c r="O1562" s="52">
        <v>2745.78</v>
      </c>
      <c r="P1562" s="53">
        <v>201.95</v>
      </c>
      <c r="Q1562" s="54">
        <v>1973.59</v>
      </c>
      <c r="R1562" s="1"/>
      <c r="S1562" s="1"/>
      <c r="T1562" s="1"/>
    </row>
    <row r="1563" spans="1:20" ht="13.5" customHeight="1" x14ac:dyDescent="0.25">
      <c r="A1563" s="1"/>
      <c r="B1563" s="1" t="s">
        <v>1415</v>
      </c>
      <c r="C1563" s="55" t="s">
        <v>265</v>
      </c>
      <c r="D1563" s="42">
        <v>20000</v>
      </c>
      <c r="E1563" s="43">
        <v>579.99</v>
      </c>
      <c r="F1563" s="45">
        <v>20000</v>
      </c>
      <c r="G1563" s="45">
        <v>20000</v>
      </c>
      <c r="H1563" s="46">
        <v>5544.98</v>
      </c>
      <c r="I1563" s="47">
        <f t="shared" si="680"/>
        <v>0.27724899999999997</v>
      </c>
      <c r="J1563" s="48">
        <v>20000</v>
      </c>
      <c r="K1563" s="49">
        <v>20000</v>
      </c>
      <c r="L1563" s="50">
        <v>14745.48</v>
      </c>
      <c r="M1563" s="50">
        <v>34453.29</v>
      </c>
      <c r="N1563" s="51">
        <v>1529.01</v>
      </c>
      <c r="O1563" s="52">
        <v>74466.83</v>
      </c>
      <c r="P1563" s="53">
        <v>42601.96</v>
      </c>
      <c r="Q1563" s="54">
        <v>0</v>
      </c>
      <c r="R1563" s="1"/>
      <c r="S1563" s="1"/>
      <c r="T1563" s="1"/>
    </row>
    <row r="1564" spans="1:20" ht="13.5" customHeight="1" x14ac:dyDescent="0.25">
      <c r="A1564" s="1"/>
      <c r="B1564" s="1" t="s">
        <v>1416</v>
      </c>
      <c r="C1564" s="1" t="s">
        <v>438</v>
      </c>
      <c r="D1564" s="42">
        <v>2000</v>
      </c>
      <c r="E1564" s="70">
        <v>0</v>
      </c>
      <c r="F1564" s="45">
        <v>2000</v>
      </c>
      <c r="G1564" s="45">
        <v>2000</v>
      </c>
      <c r="H1564" s="74">
        <v>0</v>
      </c>
      <c r="I1564" s="47">
        <f t="shared" si="680"/>
        <v>0</v>
      </c>
      <c r="J1564" s="48">
        <v>2000</v>
      </c>
      <c r="K1564" s="49">
        <v>2000</v>
      </c>
      <c r="L1564" s="50">
        <v>1131.51</v>
      </c>
      <c r="M1564" s="50">
        <v>799.95</v>
      </c>
      <c r="N1564" s="51">
        <v>1805.58</v>
      </c>
      <c r="O1564" s="52"/>
      <c r="P1564" s="53"/>
      <c r="Q1564" s="54"/>
      <c r="R1564" s="1"/>
      <c r="S1564" s="1"/>
      <c r="T1564" s="1"/>
    </row>
    <row r="1565" spans="1:20" ht="13.5" customHeight="1" x14ac:dyDescent="0.25">
      <c r="A1565" s="1"/>
      <c r="B1565" s="1" t="s">
        <v>1417</v>
      </c>
      <c r="C1565" s="1" t="s">
        <v>267</v>
      </c>
      <c r="D1565" s="42">
        <v>28000</v>
      </c>
      <c r="E1565" s="43">
        <v>2689.45</v>
      </c>
      <c r="F1565" s="45">
        <v>30000</v>
      </c>
      <c r="G1565" s="45">
        <v>30000</v>
      </c>
      <c r="H1565" s="46">
        <v>13681.8</v>
      </c>
      <c r="I1565" s="47">
        <f t="shared" si="680"/>
        <v>0.45605999999999997</v>
      </c>
      <c r="J1565" s="48">
        <v>30000</v>
      </c>
      <c r="K1565" s="49">
        <v>30000</v>
      </c>
      <c r="L1565" s="50">
        <v>25919.31</v>
      </c>
      <c r="M1565" s="50">
        <v>26301.51</v>
      </c>
      <c r="N1565" s="51">
        <v>17225.759999999998</v>
      </c>
      <c r="O1565" s="52">
        <v>23612.46</v>
      </c>
      <c r="P1565" s="53">
        <v>7188.84</v>
      </c>
      <c r="Q1565" s="54">
        <v>3539.96</v>
      </c>
      <c r="R1565" s="1"/>
      <c r="S1565" s="1"/>
      <c r="T1565" s="1"/>
    </row>
    <row r="1566" spans="1:20" ht="13.5" customHeight="1" x14ac:dyDescent="0.25">
      <c r="A1566" s="1"/>
      <c r="B1566" s="1"/>
      <c r="C1566" s="1"/>
      <c r="D1566" s="56">
        <v>333300</v>
      </c>
      <c r="E1566" s="57">
        <f t="shared" ref="E1566" si="681">SUM(E1553:E1565)</f>
        <v>121143.25</v>
      </c>
      <c r="F1566" s="58">
        <f>SUM(F1552:F1565)</f>
        <v>334300</v>
      </c>
      <c r="G1566" s="58">
        <v>334300</v>
      </c>
      <c r="H1566" s="59">
        <f>SUM(H1553:H1565)</f>
        <v>319875.64999999997</v>
      </c>
      <c r="I1566" s="59"/>
      <c r="J1566" s="60">
        <f t="shared" ref="J1566:Q1566" si="682">SUM(J1553:J1565)</f>
        <v>342800</v>
      </c>
      <c r="K1566" s="61">
        <f t="shared" si="682"/>
        <v>342800</v>
      </c>
      <c r="L1566" s="62">
        <f t="shared" si="682"/>
        <v>363702.42</v>
      </c>
      <c r="M1566" s="62">
        <f t="shared" si="682"/>
        <v>318180.24000000005</v>
      </c>
      <c r="N1566" s="63">
        <f t="shared" si="682"/>
        <v>258674.96999999997</v>
      </c>
      <c r="O1566" s="64">
        <f t="shared" si="682"/>
        <v>363305.6100000001</v>
      </c>
      <c r="P1566" s="63">
        <f t="shared" si="682"/>
        <v>398256.11000000016</v>
      </c>
      <c r="Q1566" s="65">
        <f t="shared" si="682"/>
        <v>349715.63</v>
      </c>
      <c r="R1566" s="1"/>
      <c r="S1566" s="1"/>
      <c r="T1566" s="1"/>
    </row>
    <row r="1567" spans="1:20" ht="13.5" customHeight="1" x14ac:dyDescent="0.25">
      <c r="A1567" s="1"/>
      <c r="B1567" s="1"/>
      <c r="C1567" s="1"/>
      <c r="D1567" s="42"/>
      <c r="E1567" s="44"/>
      <c r="F1567" s="45"/>
      <c r="G1567" s="45"/>
      <c r="H1567" s="66"/>
      <c r="I1567" s="66"/>
      <c r="J1567" s="48"/>
      <c r="K1567" s="49"/>
      <c r="L1567" s="50"/>
      <c r="M1567" s="50"/>
      <c r="N1567" s="51"/>
      <c r="O1567" s="52"/>
      <c r="P1567" s="53"/>
      <c r="Q1567" s="54"/>
      <c r="R1567" s="1"/>
      <c r="S1567" s="1"/>
      <c r="T1567" s="1"/>
    </row>
    <row r="1568" spans="1:20" ht="13.5" customHeight="1" x14ac:dyDescent="0.25">
      <c r="A1568" s="1"/>
      <c r="B1568" s="1" t="s">
        <v>1418</v>
      </c>
      <c r="C1568" s="55" t="s">
        <v>1419</v>
      </c>
      <c r="D1568" s="42">
        <v>6500</v>
      </c>
      <c r="E1568" s="43">
        <v>3027.45</v>
      </c>
      <c r="F1568" s="45">
        <v>6500</v>
      </c>
      <c r="G1568" s="45">
        <v>6500</v>
      </c>
      <c r="H1568" s="46">
        <v>13296.35</v>
      </c>
      <c r="I1568" s="47">
        <f t="shared" ref="I1568:I1570" si="683">H1568/J1568</f>
        <v>2.0455923076923077</v>
      </c>
      <c r="J1568" s="48">
        <v>6500</v>
      </c>
      <c r="K1568" s="49">
        <v>6500</v>
      </c>
      <c r="L1568" s="50">
        <v>10400</v>
      </c>
      <c r="M1568" s="50">
        <v>10360.48</v>
      </c>
      <c r="N1568" s="51">
        <v>6710</v>
      </c>
      <c r="O1568" s="52">
        <v>6775</v>
      </c>
      <c r="P1568" s="53">
        <v>5571</v>
      </c>
      <c r="Q1568" s="54">
        <v>3345</v>
      </c>
      <c r="R1568" s="1"/>
      <c r="S1568" s="1"/>
      <c r="T1568" s="1"/>
    </row>
    <row r="1569" spans="1:20" ht="13.5" customHeight="1" x14ac:dyDescent="0.25">
      <c r="A1569" s="1"/>
      <c r="B1569" s="1" t="s">
        <v>1420</v>
      </c>
      <c r="C1569" s="1" t="s">
        <v>886</v>
      </c>
      <c r="D1569" s="42">
        <v>500</v>
      </c>
      <c r="E1569" s="70">
        <v>0</v>
      </c>
      <c r="F1569" s="45">
        <v>500</v>
      </c>
      <c r="G1569" s="45">
        <v>500</v>
      </c>
      <c r="H1569" s="68">
        <v>0</v>
      </c>
      <c r="I1569" s="47">
        <f t="shared" si="683"/>
        <v>0</v>
      </c>
      <c r="J1569" s="48">
        <v>500</v>
      </c>
      <c r="K1569" s="49">
        <v>500</v>
      </c>
      <c r="L1569" s="77">
        <v>0</v>
      </c>
      <c r="M1569" s="77">
        <v>0</v>
      </c>
      <c r="N1569" s="53" t="s">
        <v>16</v>
      </c>
      <c r="O1569" s="52">
        <v>300</v>
      </c>
      <c r="P1569" s="53">
        <v>327</v>
      </c>
      <c r="Q1569" s="54">
        <v>0</v>
      </c>
      <c r="R1569" s="1"/>
      <c r="S1569" s="1"/>
      <c r="T1569" s="1"/>
    </row>
    <row r="1570" spans="1:20" ht="13.5" customHeight="1" x14ac:dyDescent="0.25">
      <c r="A1570" s="1"/>
      <c r="B1570" s="1" t="s">
        <v>1421</v>
      </c>
      <c r="C1570" s="1" t="s">
        <v>1422</v>
      </c>
      <c r="D1570" s="42">
        <v>3500</v>
      </c>
      <c r="E1570" s="70">
        <v>0</v>
      </c>
      <c r="F1570" s="45">
        <v>3500</v>
      </c>
      <c r="G1570" s="45">
        <v>3500</v>
      </c>
      <c r="H1570" s="74">
        <v>0</v>
      </c>
      <c r="I1570" s="47">
        <f t="shared" si="683"/>
        <v>0</v>
      </c>
      <c r="J1570" s="48">
        <v>3500</v>
      </c>
      <c r="K1570" s="49">
        <v>3500</v>
      </c>
      <c r="L1570" s="77">
        <v>0</v>
      </c>
      <c r="M1570" s="50">
        <v>1024.8499999999999</v>
      </c>
      <c r="N1570" s="53" t="s">
        <v>16</v>
      </c>
      <c r="O1570" s="52">
        <v>9194.9699999999993</v>
      </c>
      <c r="P1570" s="53">
        <v>14221.44</v>
      </c>
      <c r="Q1570" s="54">
        <v>13016.44</v>
      </c>
      <c r="R1570" s="1"/>
      <c r="S1570" s="1"/>
      <c r="T1570" s="1"/>
    </row>
    <row r="1571" spans="1:20" ht="13.5" customHeight="1" x14ac:dyDescent="0.25">
      <c r="A1571" s="1"/>
      <c r="B1571" s="1" t="s">
        <v>1423</v>
      </c>
      <c r="C1571" s="1" t="s">
        <v>1424</v>
      </c>
      <c r="D1571" s="42">
        <v>40000</v>
      </c>
      <c r="E1571" s="43">
        <v>0</v>
      </c>
      <c r="F1571" s="45">
        <v>40000</v>
      </c>
      <c r="G1571" s="45">
        <v>40000</v>
      </c>
      <c r="H1571" s="66">
        <v>0</v>
      </c>
      <c r="I1571" s="47">
        <v>0</v>
      </c>
      <c r="J1571" s="48">
        <v>0</v>
      </c>
      <c r="K1571" s="49">
        <v>0</v>
      </c>
      <c r="L1571" s="50">
        <v>0</v>
      </c>
      <c r="M1571" s="50">
        <v>0</v>
      </c>
      <c r="N1571" s="51"/>
      <c r="O1571" s="52"/>
      <c r="P1571" s="53"/>
      <c r="Q1571" s="54"/>
      <c r="R1571" s="1"/>
      <c r="S1571" s="1"/>
      <c r="T1571" s="1"/>
    </row>
    <row r="1572" spans="1:20" ht="13.5" customHeight="1" x14ac:dyDescent="0.25">
      <c r="A1572" s="1"/>
      <c r="B1572" s="1" t="s">
        <v>1425</v>
      </c>
      <c r="C1572" s="1" t="s">
        <v>271</v>
      </c>
      <c r="D1572" s="42">
        <v>10000</v>
      </c>
      <c r="E1572" s="43">
        <v>3049.31</v>
      </c>
      <c r="F1572" s="45">
        <v>10000</v>
      </c>
      <c r="G1572" s="45">
        <v>10000</v>
      </c>
      <c r="H1572" s="46">
        <v>15589.4</v>
      </c>
      <c r="I1572" s="47">
        <f t="shared" ref="I1572:I1582" si="684">H1572/J1572</f>
        <v>1.55894</v>
      </c>
      <c r="J1572" s="48">
        <v>10000</v>
      </c>
      <c r="K1572" s="49">
        <v>10000</v>
      </c>
      <c r="L1572" s="50">
        <v>11383.04</v>
      </c>
      <c r="M1572" s="50">
        <v>19043</v>
      </c>
      <c r="N1572" s="51">
        <v>1106.26</v>
      </c>
      <c r="O1572" s="52">
        <v>1823.09</v>
      </c>
      <c r="P1572" s="53">
        <v>2040.41</v>
      </c>
      <c r="Q1572" s="54">
        <v>2816.05</v>
      </c>
      <c r="R1572" s="1"/>
      <c r="S1572" s="1"/>
      <c r="T1572" s="1"/>
    </row>
    <row r="1573" spans="1:20" ht="13.5" customHeight="1" x14ac:dyDescent="0.25">
      <c r="A1573" s="1"/>
      <c r="B1573" s="1" t="s">
        <v>1426</v>
      </c>
      <c r="C1573" s="1" t="s">
        <v>318</v>
      </c>
      <c r="D1573" s="42">
        <v>2800</v>
      </c>
      <c r="E1573" s="43">
        <v>617.1</v>
      </c>
      <c r="F1573" s="45">
        <v>2800</v>
      </c>
      <c r="G1573" s="45">
        <v>2800</v>
      </c>
      <c r="H1573" s="46">
        <v>1993.87</v>
      </c>
      <c r="I1573" s="47">
        <f t="shared" si="684"/>
        <v>0.71209642857142852</v>
      </c>
      <c r="J1573" s="48">
        <v>2800</v>
      </c>
      <c r="K1573" s="49">
        <v>2800</v>
      </c>
      <c r="L1573" s="50">
        <v>2099.25</v>
      </c>
      <c r="M1573" s="50">
        <v>2059.7199999999998</v>
      </c>
      <c r="N1573" s="51">
        <v>2263.59</v>
      </c>
      <c r="O1573" s="52">
        <v>14476.11</v>
      </c>
      <c r="P1573" s="53">
        <v>9160.2000000000007</v>
      </c>
      <c r="Q1573" s="54">
        <v>6099.61</v>
      </c>
      <c r="R1573" s="1"/>
      <c r="S1573" s="1"/>
      <c r="T1573" s="1"/>
    </row>
    <row r="1574" spans="1:20" ht="13.5" customHeight="1" x14ac:dyDescent="0.25">
      <c r="A1574" s="1"/>
      <c r="B1574" s="1" t="s">
        <v>1427</v>
      </c>
      <c r="C1574" s="1" t="s">
        <v>1428</v>
      </c>
      <c r="D1574" s="42">
        <v>40000</v>
      </c>
      <c r="E1574" s="43">
        <v>1504372.14</v>
      </c>
      <c r="F1574" s="71">
        <v>1540000</v>
      </c>
      <c r="G1574" s="45">
        <v>40000</v>
      </c>
      <c r="H1574" s="46">
        <v>1512509.74</v>
      </c>
      <c r="I1574" s="47">
        <f t="shared" si="684"/>
        <v>151.25097399999999</v>
      </c>
      <c r="J1574" s="48">
        <v>10000</v>
      </c>
      <c r="K1574" s="49">
        <v>10000</v>
      </c>
      <c r="L1574" s="50">
        <v>10553.45</v>
      </c>
      <c r="M1574" s="50">
        <v>5021.3999999999996</v>
      </c>
      <c r="N1574" s="51">
        <v>8136.26</v>
      </c>
      <c r="O1574" s="52">
        <v>0</v>
      </c>
      <c r="P1574" s="53">
        <v>123.32</v>
      </c>
      <c r="Q1574" s="54">
        <v>0</v>
      </c>
      <c r="R1574" s="1"/>
      <c r="S1574" s="1"/>
      <c r="T1574" s="1"/>
    </row>
    <row r="1575" spans="1:20" ht="13.5" customHeight="1" x14ac:dyDescent="0.25">
      <c r="A1575" s="1"/>
      <c r="B1575" s="1" t="s">
        <v>1429</v>
      </c>
      <c r="C1575" s="55" t="s">
        <v>273</v>
      </c>
      <c r="D1575" s="42">
        <v>500</v>
      </c>
      <c r="E1575" s="70">
        <v>0</v>
      </c>
      <c r="F1575" s="45">
        <v>500</v>
      </c>
      <c r="G1575" s="45">
        <v>500</v>
      </c>
      <c r="H1575" s="68">
        <v>733.8</v>
      </c>
      <c r="I1575" s="47">
        <f t="shared" si="684"/>
        <v>1.4676</v>
      </c>
      <c r="J1575" s="48">
        <v>500</v>
      </c>
      <c r="K1575" s="49">
        <v>500</v>
      </c>
      <c r="L1575" s="50">
        <v>31.3</v>
      </c>
      <c r="M1575" s="50">
        <v>506.2</v>
      </c>
      <c r="N1575" s="51">
        <v>5.5</v>
      </c>
      <c r="O1575" s="52">
        <v>190.49</v>
      </c>
      <c r="P1575" s="53">
        <v>340.37</v>
      </c>
      <c r="Q1575" s="54">
        <v>8.6999999999999993</v>
      </c>
      <c r="R1575" s="1"/>
      <c r="S1575" s="1"/>
      <c r="T1575" s="1"/>
    </row>
    <row r="1576" spans="1:20" ht="13.5" customHeight="1" x14ac:dyDescent="0.25">
      <c r="A1576" s="1"/>
      <c r="B1576" s="1" t="s">
        <v>1430</v>
      </c>
      <c r="C1576" s="1" t="s">
        <v>275</v>
      </c>
      <c r="D1576" s="42">
        <v>10000</v>
      </c>
      <c r="E1576" s="44">
        <f>650+1608.89</f>
        <v>2258.8900000000003</v>
      </c>
      <c r="F1576" s="45">
        <v>10000</v>
      </c>
      <c r="G1576" s="45">
        <v>10000</v>
      </c>
      <c r="H1576" s="46">
        <v>11495.38</v>
      </c>
      <c r="I1576" s="47">
        <f t="shared" si="684"/>
        <v>1.1495379999999999</v>
      </c>
      <c r="J1576" s="48">
        <v>10000</v>
      </c>
      <c r="K1576" s="49">
        <v>10000</v>
      </c>
      <c r="L1576" s="50">
        <v>7590.49</v>
      </c>
      <c r="M1576" s="50">
        <v>11248.66</v>
      </c>
      <c r="N1576" s="51">
        <v>10988.34</v>
      </c>
      <c r="O1576" s="52">
        <v>10019.18</v>
      </c>
      <c r="P1576" s="53">
        <v>9648.77</v>
      </c>
      <c r="Q1576" s="54">
        <v>14448.17</v>
      </c>
      <c r="R1576" s="1"/>
      <c r="S1576" s="1"/>
      <c r="T1576" s="1"/>
    </row>
    <row r="1577" spans="1:20" ht="13.5" customHeight="1" x14ac:dyDescent="0.25">
      <c r="A1577" s="1"/>
      <c r="B1577" s="1" t="s">
        <v>1431</v>
      </c>
      <c r="C1577" s="1" t="s">
        <v>482</v>
      </c>
      <c r="D1577" s="42">
        <v>10000</v>
      </c>
      <c r="E1577" s="43">
        <v>3218.83</v>
      </c>
      <c r="F1577" s="45">
        <v>10000</v>
      </c>
      <c r="G1577" s="45">
        <v>10000</v>
      </c>
      <c r="H1577" s="46">
        <v>9086.25</v>
      </c>
      <c r="I1577" s="47">
        <f t="shared" si="684"/>
        <v>0.90862500000000002</v>
      </c>
      <c r="J1577" s="48">
        <v>10000</v>
      </c>
      <c r="K1577" s="49">
        <v>10000</v>
      </c>
      <c r="L1577" s="50">
        <v>9009.4500000000007</v>
      </c>
      <c r="M1577" s="50">
        <v>11632.06</v>
      </c>
      <c r="N1577" s="51">
        <v>7816.07</v>
      </c>
      <c r="O1577" s="52">
        <v>10545.38</v>
      </c>
      <c r="P1577" s="53">
        <v>7377.32</v>
      </c>
      <c r="Q1577" s="54">
        <v>8254.0499999999993</v>
      </c>
      <c r="R1577" s="1"/>
      <c r="S1577" s="1"/>
      <c r="T1577" s="1"/>
    </row>
    <row r="1578" spans="1:20" ht="13.5" customHeight="1" x14ac:dyDescent="0.25">
      <c r="A1578" s="1"/>
      <c r="B1578" s="1" t="s">
        <v>1432</v>
      </c>
      <c r="C1578" s="1" t="s">
        <v>1433</v>
      </c>
      <c r="D1578" s="42">
        <v>1493</v>
      </c>
      <c r="E1578" s="43">
        <v>1070.45</v>
      </c>
      <c r="F1578" s="45">
        <v>1493</v>
      </c>
      <c r="G1578" s="45">
        <v>1493</v>
      </c>
      <c r="H1578" s="46">
        <v>5293.91</v>
      </c>
      <c r="I1578" s="47">
        <f t="shared" si="684"/>
        <v>3.5458204956463497</v>
      </c>
      <c r="J1578" s="48">
        <v>1493</v>
      </c>
      <c r="K1578" s="49">
        <v>1493</v>
      </c>
      <c r="L1578" s="50">
        <v>5900.53</v>
      </c>
      <c r="M1578" s="50">
        <v>671.65</v>
      </c>
      <c r="N1578" s="53" t="s">
        <v>16</v>
      </c>
      <c r="O1578" s="52">
        <v>0</v>
      </c>
      <c r="P1578" s="53">
        <v>0</v>
      </c>
      <c r="Q1578" s="54">
        <v>90.62</v>
      </c>
      <c r="R1578" s="1"/>
      <c r="S1578" s="1"/>
      <c r="T1578" s="1"/>
    </row>
    <row r="1579" spans="1:20" ht="13.5" customHeight="1" x14ac:dyDescent="0.25">
      <c r="A1579" s="1"/>
      <c r="B1579" s="1" t="s">
        <v>1434</v>
      </c>
      <c r="C1579" s="1" t="s">
        <v>326</v>
      </c>
      <c r="D1579" s="42">
        <v>200</v>
      </c>
      <c r="E1579" s="70">
        <v>0</v>
      </c>
      <c r="F1579" s="45">
        <v>200</v>
      </c>
      <c r="G1579" s="45">
        <v>200</v>
      </c>
      <c r="H1579" s="68">
        <v>0</v>
      </c>
      <c r="I1579" s="47">
        <f t="shared" si="684"/>
        <v>0</v>
      </c>
      <c r="J1579" s="48">
        <v>200</v>
      </c>
      <c r="K1579" s="49">
        <v>1200</v>
      </c>
      <c r="L1579" s="77">
        <v>0</v>
      </c>
      <c r="M1579" s="77">
        <v>0</v>
      </c>
      <c r="N1579" s="51">
        <v>590.49</v>
      </c>
      <c r="O1579" s="52">
        <v>108</v>
      </c>
      <c r="P1579" s="53">
        <v>351.15</v>
      </c>
      <c r="Q1579" s="54">
        <v>0</v>
      </c>
      <c r="R1579" s="1"/>
      <c r="S1579" s="1"/>
      <c r="T1579" s="1"/>
    </row>
    <row r="1580" spans="1:20" ht="13.5" customHeight="1" x14ac:dyDescent="0.25">
      <c r="A1580" s="1"/>
      <c r="B1580" s="1" t="s">
        <v>1435</v>
      </c>
      <c r="C1580" s="1" t="s">
        <v>1436</v>
      </c>
      <c r="D1580" s="42">
        <v>2000</v>
      </c>
      <c r="E1580" s="43">
        <v>887.81</v>
      </c>
      <c r="F1580" s="45">
        <v>2000</v>
      </c>
      <c r="G1580" s="45">
        <v>2000</v>
      </c>
      <c r="H1580" s="46">
        <v>1699.29</v>
      </c>
      <c r="I1580" s="47">
        <f t="shared" si="684"/>
        <v>0.84964499999999998</v>
      </c>
      <c r="J1580" s="48">
        <v>2000</v>
      </c>
      <c r="K1580" s="49">
        <v>2000</v>
      </c>
      <c r="L1580" s="50">
        <v>1617.8</v>
      </c>
      <c r="M1580" s="50">
        <v>1590.35</v>
      </c>
      <c r="N1580" s="51">
        <v>1568.46</v>
      </c>
      <c r="O1580" s="52">
        <v>1553.66</v>
      </c>
      <c r="P1580" s="53">
        <v>0</v>
      </c>
      <c r="Q1580" s="54">
        <v>0</v>
      </c>
      <c r="R1580" s="1"/>
      <c r="S1580" s="1"/>
      <c r="T1580" s="1"/>
    </row>
    <row r="1581" spans="1:20" ht="13.5" customHeight="1" x14ac:dyDescent="0.25">
      <c r="A1581" s="1"/>
      <c r="B1581" s="1" t="s">
        <v>1437</v>
      </c>
      <c r="C1581" s="1" t="s">
        <v>1128</v>
      </c>
      <c r="D1581" s="42">
        <v>2000</v>
      </c>
      <c r="E1581" s="43">
        <v>0</v>
      </c>
      <c r="F1581" s="45">
        <v>3500</v>
      </c>
      <c r="G1581" s="45">
        <v>3500</v>
      </c>
      <c r="H1581" s="46">
        <v>1270.8499999999999</v>
      </c>
      <c r="I1581" s="47">
        <f t="shared" si="684"/>
        <v>0.36309999999999998</v>
      </c>
      <c r="J1581" s="48">
        <v>3500</v>
      </c>
      <c r="K1581" s="49">
        <v>5000</v>
      </c>
      <c r="L1581" s="50">
        <v>820.93</v>
      </c>
      <c r="M1581" s="50">
        <v>1114.32</v>
      </c>
      <c r="N1581" s="51">
        <v>2919.69</v>
      </c>
      <c r="O1581" s="52">
        <v>2517</v>
      </c>
      <c r="P1581" s="53">
        <v>99</v>
      </c>
      <c r="Q1581" s="54">
        <v>914.97</v>
      </c>
      <c r="R1581" s="1"/>
      <c r="S1581" s="1"/>
      <c r="T1581" s="1"/>
    </row>
    <row r="1582" spans="1:20" ht="13.5" customHeight="1" x14ac:dyDescent="0.25">
      <c r="A1582" s="1"/>
      <c r="B1582" s="1" t="s">
        <v>1438</v>
      </c>
      <c r="C1582" s="1" t="s">
        <v>489</v>
      </c>
      <c r="D1582" s="42">
        <v>50000</v>
      </c>
      <c r="E1582" s="43">
        <v>16392.310000000001</v>
      </c>
      <c r="F1582" s="45">
        <v>50000</v>
      </c>
      <c r="G1582" s="45">
        <v>50000</v>
      </c>
      <c r="H1582" s="46">
        <v>41263.46</v>
      </c>
      <c r="I1582" s="47">
        <f t="shared" si="684"/>
        <v>0.89096927428583761</v>
      </c>
      <c r="J1582" s="48">
        <v>46313</v>
      </c>
      <c r="K1582" s="49">
        <v>50000</v>
      </c>
      <c r="L1582" s="50">
        <v>39747.72</v>
      </c>
      <c r="M1582" s="50">
        <v>38147.69</v>
      </c>
      <c r="N1582" s="51">
        <v>40538.639999999999</v>
      </c>
      <c r="O1582" s="52">
        <v>41516.03</v>
      </c>
      <c r="P1582" s="53">
        <v>35863.15</v>
      </c>
      <c r="Q1582" s="54">
        <v>34962.339999999997</v>
      </c>
      <c r="R1582" s="1"/>
      <c r="S1582" s="1"/>
      <c r="T1582" s="1"/>
    </row>
    <row r="1583" spans="1:20" ht="13.5" customHeight="1" x14ac:dyDescent="0.25">
      <c r="A1583" s="1"/>
      <c r="B1583" s="1" t="s">
        <v>1439</v>
      </c>
      <c r="C1583" s="55" t="s">
        <v>408</v>
      </c>
      <c r="D1583" s="42">
        <v>0</v>
      </c>
      <c r="E1583" s="70">
        <v>0</v>
      </c>
      <c r="F1583" s="73">
        <v>0</v>
      </c>
      <c r="G1583" s="73">
        <v>0</v>
      </c>
      <c r="H1583" s="68">
        <v>7936.87</v>
      </c>
      <c r="I1583" s="74">
        <v>0</v>
      </c>
      <c r="J1583" s="75">
        <v>6187</v>
      </c>
      <c r="K1583" s="76">
        <v>0</v>
      </c>
      <c r="L1583" s="50">
        <v>5550</v>
      </c>
      <c r="M1583" s="50">
        <v>5550</v>
      </c>
      <c r="N1583" s="53" t="s">
        <v>16</v>
      </c>
      <c r="O1583" s="52"/>
      <c r="P1583" s="53"/>
      <c r="Q1583" s="54"/>
      <c r="R1583" s="1"/>
      <c r="S1583" s="1"/>
      <c r="T1583" s="1"/>
    </row>
    <row r="1584" spans="1:20" ht="13.5" customHeight="1" x14ac:dyDescent="0.25">
      <c r="A1584" s="1"/>
      <c r="B1584" s="1" t="s">
        <v>1440</v>
      </c>
      <c r="C1584" s="1" t="s">
        <v>814</v>
      </c>
      <c r="D1584" s="42">
        <v>7000</v>
      </c>
      <c r="E1584" s="43">
        <v>3595.88</v>
      </c>
      <c r="F1584" s="45">
        <v>7000</v>
      </c>
      <c r="G1584" s="45">
        <v>7000</v>
      </c>
      <c r="H1584" s="46">
        <v>7339.27</v>
      </c>
      <c r="I1584" s="47">
        <f t="shared" ref="I1584:I1589" si="685">H1584/J1584</f>
        <v>1.0484671428571428</v>
      </c>
      <c r="J1584" s="48">
        <v>7000</v>
      </c>
      <c r="K1584" s="49">
        <v>7000</v>
      </c>
      <c r="L1584" s="50">
        <v>6998.76</v>
      </c>
      <c r="M1584" s="50">
        <v>6855.84</v>
      </c>
      <c r="N1584" s="51">
        <v>6825.84</v>
      </c>
      <c r="O1584" s="52">
        <v>5973.77</v>
      </c>
      <c r="P1584" s="53">
        <v>4218.3900000000003</v>
      </c>
      <c r="Q1584" s="54">
        <v>0</v>
      </c>
      <c r="R1584" s="1"/>
      <c r="S1584" s="1"/>
      <c r="T1584" s="1"/>
    </row>
    <row r="1585" spans="1:20" ht="13.5" customHeight="1" x14ac:dyDescent="0.25">
      <c r="A1585" s="1"/>
      <c r="B1585" s="1" t="s">
        <v>1441</v>
      </c>
      <c r="C1585" s="1" t="s">
        <v>1442</v>
      </c>
      <c r="D1585" s="42">
        <v>2000</v>
      </c>
      <c r="E1585" s="70">
        <v>4975.8</v>
      </c>
      <c r="F1585" s="45">
        <v>2000</v>
      </c>
      <c r="G1585" s="45">
        <v>2000</v>
      </c>
      <c r="H1585" s="68">
        <v>1525.21</v>
      </c>
      <c r="I1585" s="47">
        <f t="shared" si="685"/>
        <v>0.76260499999999998</v>
      </c>
      <c r="J1585" s="48">
        <v>2000</v>
      </c>
      <c r="K1585" s="49">
        <v>2000</v>
      </c>
      <c r="L1585" s="50">
        <v>450</v>
      </c>
      <c r="M1585" s="50">
        <v>1100</v>
      </c>
      <c r="N1585" s="51">
        <v>300</v>
      </c>
      <c r="O1585" s="52">
        <v>7447.85</v>
      </c>
      <c r="P1585" s="53">
        <v>-70.17</v>
      </c>
      <c r="Q1585" s="54">
        <v>0</v>
      </c>
      <c r="R1585" s="1"/>
      <c r="S1585" s="1"/>
      <c r="T1585" s="1"/>
    </row>
    <row r="1586" spans="1:20" ht="13.5" customHeight="1" x14ac:dyDescent="0.25">
      <c r="A1586" s="1"/>
      <c r="B1586" s="1" t="s">
        <v>1443</v>
      </c>
      <c r="C1586" s="1" t="s">
        <v>279</v>
      </c>
      <c r="D1586" s="42">
        <v>1500</v>
      </c>
      <c r="E1586" s="43">
        <v>1845</v>
      </c>
      <c r="F1586" s="45">
        <v>1500</v>
      </c>
      <c r="G1586" s="45">
        <v>1500</v>
      </c>
      <c r="H1586" s="66">
        <v>1007</v>
      </c>
      <c r="I1586" s="47">
        <f t="shared" si="685"/>
        <v>0.67133333333333334</v>
      </c>
      <c r="J1586" s="48">
        <v>1500</v>
      </c>
      <c r="K1586" s="49">
        <v>1500</v>
      </c>
      <c r="L1586" s="50">
        <v>1561</v>
      </c>
      <c r="M1586" s="50">
        <v>1468.5</v>
      </c>
      <c r="N1586" s="51">
        <v>1214</v>
      </c>
      <c r="O1586" s="52">
        <v>2792</v>
      </c>
      <c r="P1586" s="53">
        <v>1277</v>
      </c>
      <c r="Q1586" s="54">
        <v>757.16</v>
      </c>
      <c r="R1586" s="1"/>
      <c r="S1586" s="1"/>
      <c r="T1586" s="1"/>
    </row>
    <row r="1587" spans="1:20" ht="13.5" customHeight="1" x14ac:dyDescent="0.25">
      <c r="A1587" s="1"/>
      <c r="B1587" s="1" t="s">
        <v>1444</v>
      </c>
      <c r="C1587" s="1" t="s">
        <v>333</v>
      </c>
      <c r="D1587" s="42">
        <v>0</v>
      </c>
      <c r="E1587" s="43">
        <v>0</v>
      </c>
      <c r="F1587" s="45">
        <v>0</v>
      </c>
      <c r="G1587" s="45">
        <v>0</v>
      </c>
      <c r="H1587" s="46">
        <v>375</v>
      </c>
      <c r="I1587" s="47">
        <f t="shared" si="685"/>
        <v>0.625</v>
      </c>
      <c r="J1587" s="48">
        <v>600</v>
      </c>
      <c r="K1587" s="49">
        <v>600</v>
      </c>
      <c r="L1587" s="50">
        <v>550</v>
      </c>
      <c r="M1587" s="50">
        <v>650</v>
      </c>
      <c r="N1587" s="51">
        <v>600</v>
      </c>
      <c r="O1587" s="52">
        <v>600</v>
      </c>
      <c r="P1587" s="53">
        <v>488</v>
      </c>
      <c r="Q1587" s="54">
        <v>420</v>
      </c>
      <c r="R1587" s="1"/>
      <c r="S1587" s="1"/>
      <c r="T1587" s="1"/>
    </row>
    <row r="1588" spans="1:20" ht="13.5" customHeight="1" x14ac:dyDescent="0.25">
      <c r="A1588" s="1"/>
      <c r="B1588" s="1" t="s">
        <v>1445</v>
      </c>
      <c r="C1588" s="1" t="s">
        <v>281</v>
      </c>
      <c r="D1588" s="42">
        <v>16000</v>
      </c>
      <c r="E1588" s="43">
        <v>6232.75</v>
      </c>
      <c r="F1588" s="45">
        <v>16000</v>
      </c>
      <c r="G1588" s="45">
        <v>16000</v>
      </c>
      <c r="H1588" s="46">
        <v>16068.02</v>
      </c>
      <c r="I1588" s="47">
        <f t="shared" si="685"/>
        <v>1.00425125</v>
      </c>
      <c r="J1588" s="48">
        <v>16000</v>
      </c>
      <c r="K1588" s="49">
        <v>16000</v>
      </c>
      <c r="L1588" s="50">
        <v>15112.54</v>
      </c>
      <c r="M1588" s="50">
        <v>15459.72</v>
      </c>
      <c r="N1588" s="51">
        <v>15337.23</v>
      </c>
      <c r="O1588" s="52">
        <v>21967.03</v>
      </c>
      <c r="P1588" s="53">
        <v>14884.41</v>
      </c>
      <c r="Q1588" s="54">
        <v>17917.330000000002</v>
      </c>
      <c r="R1588" s="1"/>
      <c r="S1588" s="1"/>
      <c r="T1588" s="1"/>
    </row>
    <row r="1589" spans="1:20" ht="13.5" customHeight="1" x14ac:dyDescent="0.25">
      <c r="A1589" s="1"/>
      <c r="B1589" s="1" t="s">
        <v>1446</v>
      </c>
      <c r="C1589" s="1" t="s">
        <v>1447</v>
      </c>
      <c r="D1589" s="42">
        <v>500</v>
      </c>
      <c r="E1589" s="70">
        <v>0</v>
      </c>
      <c r="F1589" s="45">
        <v>500</v>
      </c>
      <c r="G1589" s="45">
        <v>500</v>
      </c>
      <c r="H1589" s="68">
        <v>67.87</v>
      </c>
      <c r="I1589" s="47">
        <f t="shared" si="685"/>
        <v>0.13574</v>
      </c>
      <c r="J1589" s="48">
        <v>500</v>
      </c>
      <c r="K1589" s="49">
        <v>500</v>
      </c>
      <c r="L1589" s="77">
        <v>0</v>
      </c>
      <c r="M1589" s="77">
        <v>0</v>
      </c>
      <c r="N1589" s="53" t="s">
        <v>16</v>
      </c>
      <c r="O1589" s="52">
        <v>0</v>
      </c>
      <c r="P1589" s="53">
        <v>0</v>
      </c>
      <c r="Q1589" s="54">
        <v>0</v>
      </c>
      <c r="R1589" s="1"/>
      <c r="S1589" s="1"/>
      <c r="T1589" s="1"/>
    </row>
    <row r="1590" spans="1:20" ht="13.5" customHeight="1" x14ac:dyDescent="0.25">
      <c r="A1590" s="1"/>
      <c r="B1590" s="1"/>
      <c r="C1590" s="1"/>
      <c r="D1590" s="56">
        <v>206493</v>
      </c>
      <c r="E1590" s="57">
        <f t="shared" ref="E1590" si="686">SUM(E1568:E1589)</f>
        <v>1551543.72</v>
      </c>
      <c r="F1590" s="58">
        <f>SUM(F1567:F1589)</f>
        <v>1707993</v>
      </c>
      <c r="G1590" s="58">
        <v>207993</v>
      </c>
      <c r="H1590" s="59">
        <f>SUM(H1568:H1589)</f>
        <v>1648551.5400000003</v>
      </c>
      <c r="I1590" s="59"/>
      <c r="J1590" s="60">
        <f t="shared" ref="J1590:Q1590" si="687">SUM(J1568:J1589)</f>
        <v>141093</v>
      </c>
      <c r="K1590" s="61">
        <f t="shared" si="687"/>
        <v>141093</v>
      </c>
      <c r="L1590" s="62">
        <f t="shared" si="687"/>
        <v>129376.26000000001</v>
      </c>
      <c r="M1590" s="62">
        <f t="shared" si="687"/>
        <v>133504.44</v>
      </c>
      <c r="N1590" s="63">
        <f t="shared" si="687"/>
        <v>106920.37</v>
      </c>
      <c r="O1590" s="64">
        <f t="shared" si="687"/>
        <v>137799.56</v>
      </c>
      <c r="P1590" s="63">
        <f t="shared" si="687"/>
        <v>105920.76000000001</v>
      </c>
      <c r="Q1590" s="65">
        <f t="shared" si="687"/>
        <v>103050.44000000002</v>
      </c>
      <c r="R1590" s="1"/>
      <c r="S1590" s="1"/>
      <c r="T1590" s="1"/>
    </row>
    <row r="1591" spans="1:20" ht="13.5" customHeight="1" x14ac:dyDescent="0.25">
      <c r="A1591" s="1"/>
      <c r="B1591" s="1"/>
      <c r="C1591" s="1"/>
      <c r="D1591" s="42"/>
      <c r="E1591" s="67"/>
      <c r="F1591" s="45"/>
      <c r="G1591" s="45"/>
      <c r="H1591" s="74"/>
      <c r="I1591" s="66"/>
      <c r="J1591" s="48"/>
      <c r="K1591" s="49"/>
      <c r="L1591" s="77"/>
      <c r="M1591" s="77"/>
      <c r="N1591" s="53"/>
      <c r="O1591" s="52"/>
      <c r="P1591" s="53"/>
      <c r="Q1591" s="54"/>
      <c r="R1591" s="1"/>
      <c r="S1591" s="1"/>
      <c r="T1591" s="1"/>
    </row>
    <row r="1592" spans="1:20" ht="13.5" customHeight="1" x14ac:dyDescent="0.25">
      <c r="A1592" s="1"/>
      <c r="B1592" s="1" t="s">
        <v>1448</v>
      </c>
      <c r="C1592" s="1" t="s">
        <v>1283</v>
      </c>
      <c r="D1592" s="42">
        <v>300000</v>
      </c>
      <c r="E1592" s="44">
        <f>303466.85+32989.43</f>
        <v>336456.27999999997</v>
      </c>
      <c r="F1592" s="45">
        <v>300000</v>
      </c>
      <c r="G1592" s="45">
        <v>300000</v>
      </c>
      <c r="H1592" s="46">
        <v>491162.89</v>
      </c>
      <c r="I1592" s="47">
        <f t="shared" ref="I1592:I1593" si="688">H1592/J1592</f>
        <v>1.6936651379310346</v>
      </c>
      <c r="J1592" s="48">
        <v>290000</v>
      </c>
      <c r="K1592" s="49">
        <v>290000</v>
      </c>
      <c r="L1592" s="50">
        <v>240003.8</v>
      </c>
      <c r="M1592" s="50">
        <v>259358.2</v>
      </c>
      <c r="N1592" s="51">
        <v>119420</v>
      </c>
      <c r="O1592" s="52">
        <v>292057.51</v>
      </c>
      <c r="P1592" s="53">
        <v>253718.3</v>
      </c>
      <c r="Q1592" s="54">
        <v>443216.67</v>
      </c>
      <c r="R1592" s="1"/>
      <c r="S1592" s="1"/>
      <c r="T1592" s="1"/>
    </row>
    <row r="1593" spans="1:20" ht="13.5" customHeight="1" x14ac:dyDescent="0.25">
      <c r="A1593" s="1"/>
      <c r="B1593" s="1" t="s">
        <v>1449</v>
      </c>
      <c r="C1593" s="1" t="s">
        <v>335</v>
      </c>
      <c r="D1593" s="42">
        <v>15000</v>
      </c>
      <c r="E1593" s="70">
        <v>0</v>
      </c>
      <c r="F1593" s="45">
        <v>15000</v>
      </c>
      <c r="G1593" s="45">
        <v>15000</v>
      </c>
      <c r="H1593" s="74">
        <v>0</v>
      </c>
      <c r="I1593" s="47">
        <f t="shared" si="688"/>
        <v>0</v>
      </c>
      <c r="J1593" s="48">
        <v>15000</v>
      </c>
      <c r="K1593" s="49">
        <v>15000</v>
      </c>
      <c r="L1593" s="77">
        <v>0</v>
      </c>
      <c r="M1593" s="77">
        <v>0</v>
      </c>
      <c r="N1593" s="51">
        <v>87654.84</v>
      </c>
      <c r="O1593" s="52">
        <v>80901.61</v>
      </c>
      <c r="P1593" s="53">
        <v>64500.11</v>
      </c>
      <c r="Q1593" s="54">
        <v>107159.22</v>
      </c>
      <c r="R1593" s="1"/>
      <c r="S1593" s="1"/>
      <c r="T1593" s="1"/>
    </row>
    <row r="1594" spans="1:20" ht="13.5" customHeight="1" x14ac:dyDescent="0.25">
      <c r="A1594" s="1"/>
      <c r="B1594" s="1"/>
      <c r="C1594" s="1"/>
      <c r="D1594" s="56">
        <v>315000</v>
      </c>
      <c r="E1594" s="57">
        <f t="shared" ref="E1594" si="689">SUM(E1592:E1593)</f>
        <v>336456.27999999997</v>
      </c>
      <c r="F1594" s="58">
        <f>SUM(F1591:F1593)</f>
        <v>315000</v>
      </c>
      <c r="G1594" s="58">
        <v>315000</v>
      </c>
      <c r="H1594" s="59">
        <f>SUM(H1592:H1593)</f>
        <v>491162.89</v>
      </c>
      <c r="I1594" s="59"/>
      <c r="J1594" s="60">
        <f t="shared" ref="J1594:Q1594" si="690">SUM(J1592:J1593)</f>
        <v>305000</v>
      </c>
      <c r="K1594" s="61">
        <f t="shared" si="690"/>
        <v>305000</v>
      </c>
      <c r="L1594" s="62">
        <f t="shared" si="690"/>
        <v>240003.8</v>
      </c>
      <c r="M1594" s="62">
        <f t="shared" si="690"/>
        <v>259358.2</v>
      </c>
      <c r="N1594" s="63">
        <f t="shared" si="690"/>
        <v>207074.84</v>
      </c>
      <c r="O1594" s="64">
        <f t="shared" si="690"/>
        <v>372959.12</v>
      </c>
      <c r="P1594" s="63">
        <f t="shared" si="690"/>
        <v>318218.40999999997</v>
      </c>
      <c r="Q1594" s="65">
        <f t="shared" si="690"/>
        <v>550375.89</v>
      </c>
      <c r="R1594" s="63"/>
      <c r="S1594" s="1"/>
      <c r="T1594" s="1"/>
    </row>
    <row r="1595" spans="1:20" ht="13.5" customHeight="1" x14ac:dyDescent="0.25">
      <c r="A1595" s="1"/>
      <c r="B1595" s="1"/>
      <c r="C1595" s="1"/>
      <c r="D1595" s="42"/>
      <c r="E1595" s="67"/>
      <c r="F1595" s="45"/>
      <c r="G1595" s="45"/>
      <c r="H1595" s="74"/>
      <c r="I1595" s="66"/>
      <c r="J1595" s="48"/>
      <c r="K1595" s="49"/>
      <c r="L1595" s="77"/>
      <c r="M1595" s="77"/>
      <c r="N1595" s="51"/>
      <c r="O1595" s="52"/>
      <c r="P1595" s="53"/>
      <c r="Q1595" s="54"/>
      <c r="R1595" s="1"/>
      <c r="S1595" s="1"/>
      <c r="T1595" s="1"/>
    </row>
    <row r="1596" spans="1:20" ht="13.5" customHeight="1" x14ac:dyDescent="0.25">
      <c r="A1596" s="1"/>
      <c r="B1596" s="1" t="s">
        <v>1450</v>
      </c>
      <c r="C1596" s="1" t="s">
        <v>1451</v>
      </c>
      <c r="D1596" s="42">
        <v>1000</v>
      </c>
      <c r="E1596" s="70">
        <v>0</v>
      </c>
      <c r="F1596" s="45">
        <v>1000</v>
      </c>
      <c r="G1596" s="45">
        <v>1000</v>
      </c>
      <c r="H1596" s="74">
        <v>0</v>
      </c>
      <c r="I1596" s="47">
        <f>H1596/J1596</f>
        <v>0</v>
      </c>
      <c r="J1596" s="48">
        <v>1000</v>
      </c>
      <c r="K1596" s="49">
        <v>1000</v>
      </c>
      <c r="L1596" s="77">
        <v>0</v>
      </c>
      <c r="M1596" s="77">
        <v>0</v>
      </c>
      <c r="N1596" s="53">
        <v>0</v>
      </c>
      <c r="O1596" s="52">
        <v>0</v>
      </c>
      <c r="P1596" s="53">
        <v>1312.5</v>
      </c>
      <c r="Q1596" s="54">
        <v>185</v>
      </c>
      <c r="R1596" s="1"/>
      <c r="S1596" s="1"/>
      <c r="T1596" s="1"/>
    </row>
    <row r="1597" spans="1:20" ht="13.5" customHeight="1" x14ac:dyDescent="0.25">
      <c r="A1597" s="1"/>
      <c r="B1597" s="1"/>
      <c r="C1597" s="1"/>
      <c r="D1597" s="56">
        <v>1000</v>
      </c>
      <c r="E1597" s="57">
        <f t="shared" ref="E1597" si="691">SUM(E1596)</f>
        <v>0</v>
      </c>
      <c r="F1597" s="58">
        <f>SUM(F1595:F1596)</f>
        <v>1000</v>
      </c>
      <c r="G1597" s="58">
        <v>1000</v>
      </c>
      <c r="H1597" s="59">
        <f>SUM(H1596)</f>
        <v>0</v>
      </c>
      <c r="I1597" s="59"/>
      <c r="J1597" s="60">
        <f t="shared" ref="J1597:Q1597" si="692">SUM(J1596)</f>
        <v>1000</v>
      </c>
      <c r="K1597" s="61">
        <f t="shared" si="692"/>
        <v>1000</v>
      </c>
      <c r="L1597" s="62">
        <f t="shared" si="692"/>
        <v>0</v>
      </c>
      <c r="M1597" s="62">
        <f t="shared" si="692"/>
        <v>0</v>
      </c>
      <c r="N1597" s="63">
        <f t="shared" si="692"/>
        <v>0</v>
      </c>
      <c r="O1597" s="64">
        <f t="shared" si="692"/>
        <v>0</v>
      </c>
      <c r="P1597" s="63">
        <f t="shared" si="692"/>
        <v>1312.5</v>
      </c>
      <c r="Q1597" s="65">
        <f t="shared" si="692"/>
        <v>185</v>
      </c>
      <c r="R1597" s="1"/>
      <c r="S1597" s="1"/>
      <c r="T1597" s="1"/>
    </row>
    <row r="1598" spans="1:20" ht="13.5" customHeight="1" thickBot="1" x14ac:dyDescent="0.3">
      <c r="A1598" s="1"/>
      <c r="B1598" s="1"/>
      <c r="C1598" s="1" t="s">
        <v>1452</v>
      </c>
      <c r="D1598" s="267">
        <v>5785865.2785999989</v>
      </c>
      <c r="E1598" s="173">
        <f t="shared" ref="E1598" si="693">SUM(E1542+E1551+E1566+E1590+E1594+E1597)</f>
        <v>4326065.37</v>
      </c>
      <c r="F1598" s="174">
        <f>SUM(F1542,F1551,F1566,F1590,F1594,F1597)</f>
        <v>7176952.2171999989</v>
      </c>
      <c r="G1598" s="174">
        <v>5676952.2171999989</v>
      </c>
      <c r="H1598" s="175">
        <f>SUM(H1542+H1551+H1566+H1590+H1594+H1597)</f>
        <v>6921452.9000000004</v>
      </c>
      <c r="I1598" s="175"/>
      <c r="J1598" s="176">
        <f t="shared" ref="J1598:Q1598" si="694">SUM(J1542+J1551+J1566+J1590+J1594+J1597)</f>
        <v>5382994</v>
      </c>
      <c r="K1598" s="177">
        <f t="shared" si="694"/>
        <v>5382994</v>
      </c>
      <c r="L1598" s="178">
        <f t="shared" si="694"/>
        <v>4978714.0199999996</v>
      </c>
      <c r="M1598" s="178">
        <f t="shared" si="694"/>
        <v>4942461.0800000019</v>
      </c>
      <c r="N1598" s="179">
        <f t="shared" si="694"/>
        <v>4657031.8599999994</v>
      </c>
      <c r="O1598" s="180">
        <f t="shared" si="694"/>
        <v>4892564.379999999</v>
      </c>
      <c r="P1598" s="179">
        <f t="shared" si="694"/>
        <v>4731192.1399999997</v>
      </c>
      <c r="Q1598" s="181">
        <f t="shared" si="694"/>
        <v>4677768.63</v>
      </c>
      <c r="R1598" s="1"/>
      <c r="S1598" s="1"/>
      <c r="T1598" s="1"/>
    </row>
    <row r="1599" spans="1:20" ht="13.5" customHeight="1" thickTop="1" x14ac:dyDescent="0.25">
      <c r="A1599" s="1"/>
      <c r="B1599" s="1"/>
      <c r="C1599" s="1"/>
      <c r="D1599" s="42"/>
      <c r="E1599" s="67"/>
      <c r="F1599" s="45"/>
      <c r="G1599" s="45"/>
      <c r="H1599" s="74"/>
      <c r="I1599" s="66"/>
      <c r="J1599" s="48"/>
      <c r="K1599" s="49"/>
      <c r="L1599" s="77"/>
      <c r="M1599" s="77"/>
      <c r="N1599" s="53"/>
      <c r="O1599" s="52"/>
      <c r="P1599" s="53"/>
      <c r="Q1599" s="54"/>
      <c r="R1599" s="1"/>
      <c r="S1599" s="1"/>
      <c r="T1599" s="1"/>
    </row>
    <row r="1600" spans="1:20" ht="13.5" customHeight="1" x14ac:dyDescent="0.25">
      <c r="A1600" s="1"/>
      <c r="B1600" s="1"/>
      <c r="C1600" s="41" t="s">
        <v>1453</v>
      </c>
      <c r="D1600" s="42"/>
      <c r="E1600" s="67"/>
      <c r="F1600" s="45"/>
      <c r="G1600" s="45"/>
      <c r="H1600" s="74"/>
      <c r="I1600" s="66"/>
      <c r="J1600" s="48"/>
      <c r="K1600" s="49"/>
      <c r="L1600" s="77"/>
      <c r="M1600" s="77"/>
      <c r="N1600" s="53"/>
      <c r="O1600" s="52"/>
      <c r="P1600" s="53"/>
      <c r="Q1600" s="54"/>
      <c r="R1600" s="1"/>
      <c r="S1600" s="1"/>
      <c r="T1600" s="1"/>
    </row>
    <row r="1601" spans="1:20" ht="13.5" customHeight="1" x14ac:dyDescent="0.25">
      <c r="A1601" s="1"/>
      <c r="B1601" s="1" t="s">
        <v>1454</v>
      </c>
      <c r="C1601" s="1" t="s">
        <v>471</v>
      </c>
      <c r="D1601" s="42">
        <v>0</v>
      </c>
      <c r="E1601" s="70">
        <v>0</v>
      </c>
      <c r="F1601" s="73">
        <v>0</v>
      </c>
      <c r="G1601" s="73">
        <v>0</v>
      </c>
      <c r="H1601" s="68">
        <v>46.67</v>
      </c>
      <c r="I1601" s="183">
        <v>0</v>
      </c>
      <c r="J1601" s="75">
        <v>0</v>
      </c>
      <c r="K1601" s="76">
        <v>0</v>
      </c>
      <c r="L1601" s="50">
        <v>69.48</v>
      </c>
      <c r="M1601" s="77">
        <v>0</v>
      </c>
      <c r="N1601" s="53" t="s">
        <v>16</v>
      </c>
      <c r="O1601" s="52"/>
      <c r="P1601" s="53"/>
      <c r="Q1601" s="54"/>
      <c r="R1601" s="1"/>
      <c r="S1601" s="1"/>
      <c r="T1601" s="1"/>
    </row>
    <row r="1602" spans="1:20" ht="13.5" customHeight="1" x14ac:dyDescent="0.25">
      <c r="A1602" s="1"/>
      <c r="B1602" s="1" t="s">
        <v>1455</v>
      </c>
      <c r="C1602" s="1" t="s">
        <v>275</v>
      </c>
      <c r="D1602" s="42">
        <v>17683</v>
      </c>
      <c r="E1602" s="44">
        <f>2101.49+222</f>
        <v>2323.4899999999998</v>
      </c>
      <c r="F1602" s="45">
        <v>17683</v>
      </c>
      <c r="G1602" s="45">
        <v>17683</v>
      </c>
      <c r="H1602" s="46">
        <v>7425.93</v>
      </c>
      <c r="I1602" s="47">
        <f>H1602/J1602</f>
        <v>0.4199474071141775</v>
      </c>
      <c r="J1602" s="48">
        <v>17683</v>
      </c>
      <c r="K1602" s="49">
        <v>17683</v>
      </c>
      <c r="L1602" s="50">
        <v>6567.18</v>
      </c>
      <c r="M1602" s="50">
        <v>1575</v>
      </c>
      <c r="N1602" s="51">
        <v>2660.82</v>
      </c>
      <c r="O1602" s="52">
        <v>2227.25</v>
      </c>
      <c r="P1602" s="53">
        <v>0</v>
      </c>
      <c r="Q1602" s="54">
        <v>772.98</v>
      </c>
      <c r="R1602" s="1"/>
      <c r="S1602" s="1"/>
      <c r="T1602" s="1"/>
    </row>
    <row r="1603" spans="1:20" ht="13.5" customHeight="1" thickBot="1" x14ac:dyDescent="0.3">
      <c r="A1603" s="1"/>
      <c r="B1603" s="1"/>
      <c r="C1603" s="116" t="s">
        <v>1456</v>
      </c>
      <c r="D1603" s="267">
        <v>17683</v>
      </c>
      <c r="E1603" s="173">
        <f t="shared" ref="E1603" si="695">SUM(E1601:E1602)</f>
        <v>2323.4899999999998</v>
      </c>
      <c r="F1603" s="174">
        <f>SUM(F1600:F1602)</f>
        <v>17683</v>
      </c>
      <c r="G1603" s="174">
        <v>17683</v>
      </c>
      <c r="H1603" s="175">
        <f>SUM(H1601:H1602)</f>
        <v>7472.6</v>
      </c>
      <c r="I1603" s="175"/>
      <c r="J1603" s="176">
        <f t="shared" ref="J1603:Q1603" si="696">SUM(J1601:J1602)</f>
        <v>17683</v>
      </c>
      <c r="K1603" s="177">
        <f t="shared" si="696"/>
        <v>17683</v>
      </c>
      <c r="L1603" s="178">
        <f t="shared" si="696"/>
        <v>6636.66</v>
      </c>
      <c r="M1603" s="178">
        <f t="shared" si="696"/>
        <v>1575</v>
      </c>
      <c r="N1603" s="179">
        <f t="shared" si="696"/>
        <v>2660.82</v>
      </c>
      <c r="O1603" s="180">
        <f t="shared" si="696"/>
        <v>2227.25</v>
      </c>
      <c r="P1603" s="179">
        <f t="shared" si="696"/>
        <v>0</v>
      </c>
      <c r="Q1603" s="181">
        <f t="shared" si="696"/>
        <v>772.98</v>
      </c>
      <c r="R1603" s="1"/>
      <c r="S1603" s="1"/>
      <c r="T1603" s="1"/>
    </row>
    <row r="1604" spans="1:20" ht="13.5" customHeight="1" thickTop="1" x14ac:dyDescent="0.25">
      <c r="A1604" s="1"/>
      <c r="B1604" s="1"/>
      <c r="C1604" s="1"/>
      <c r="D1604" s="42"/>
      <c r="E1604" s="44"/>
      <c r="F1604" s="45"/>
      <c r="G1604" s="45"/>
      <c r="H1604" s="66"/>
      <c r="I1604" s="66"/>
      <c r="J1604" s="48"/>
      <c r="K1604" s="49"/>
      <c r="L1604" s="50"/>
      <c r="M1604" s="50"/>
      <c r="N1604" s="51"/>
      <c r="O1604" s="52"/>
      <c r="P1604" s="53"/>
      <c r="Q1604" s="54"/>
      <c r="R1604" s="1"/>
      <c r="S1604" s="1"/>
      <c r="T1604" s="1"/>
    </row>
    <row r="1605" spans="1:20" ht="13.5" customHeight="1" x14ac:dyDescent="0.25">
      <c r="A1605" s="1"/>
      <c r="B1605" s="1"/>
      <c r="C1605" s="1"/>
      <c r="D1605" s="42"/>
      <c r="E1605" s="44"/>
      <c r="F1605" s="45"/>
      <c r="G1605" s="45"/>
      <c r="H1605" s="66"/>
      <c r="I1605" s="66"/>
      <c r="J1605" s="48"/>
      <c r="K1605" s="49"/>
      <c r="L1605" s="50"/>
      <c r="M1605" s="50"/>
      <c r="N1605" s="51"/>
      <c r="O1605" s="52"/>
      <c r="P1605" s="53"/>
      <c r="Q1605" s="54"/>
      <c r="R1605" s="1"/>
      <c r="S1605" s="1"/>
      <c r="T1605" s="1"/>
    </row>
    <row r="1606" spans="1:20" ht="13.5" customHeight="1" x14ac:dyDescent="0.25">
      <c r="A1606" s="1"/>
      <c r="B1606" s="1"/>
      <c r="C1606" s="41" t="s">
        <v>1457</v>
      </c>
      <c r="D1606" s="42"/>
      <c r="E1606" s="44"/>
      <c r="F1606" s="45"/>
      <c r="G1606" s="45"/>
      <c r="H1606" s="66"/>
      <c r="I1606" s="66"/>
      <c r="J1606" s="48"/>
      <c r="K1606" s="49"/>
      <c r="L1606" s="50"/>
      <c r="M1606" s="50"/>
      <c r="N1606" s="51"/>
      <c r="O1606" s="52"/>
      <c r="P1606" s="53"/>
      <c r="Q1606" s="54"/>
      <c r="R1606" s="1"/>
      <c r="S1606" s="1"/>
      <c r="T1606" s="1"/>
    </row>
    <row r="1607" spans="1:20" ht="13.5" customHeight="1" x14ac:dyDescent="0.25">
      <c r="A1607" s="1"/>
      <c r="B1607" s="1" t="s">
        <v>1458</v>
      </c>
      <c r="C1607" s="1" t="s">
        <v>1118</v>
      </c>
      <c r="D1607" s="42">
        <v>0</v>
      </c>
      <c r="E1607" s="70">
        <v>0</v>
      </c>
      <c r="F1607" s="73">
        <v>0</v>
      </c>
      <c r="G1607" s="73">
        <v>0</v>
      </c>
      <c r="H1607" s="74">
        <v>0</v>
      </c>
      <c r="I1607" s="183">
        <v>0</v>
      </c>
      <c r="J1607" s="75">
        <v>0</v>
      </c>
      <c r="K1607" s="76">
        <v>0</v>
      </c>
      <c r="L1607" s="50">
        <v>10800</v>
      </c>
      <c r="M1607" s="77">
        <v>10364.870000000001</v>
      </c>
      <c r="N1607" s="53" t="s">
        <v>16</v>
      </c>
      <c r="O1607" s="52"/>
      <c r="P1607" s="53"/>
      <c r="Q1607" s="54"/>
      <c r="R1607" s="1"/>
      <c r="S1607" s="1"/>
      <c r="T1607" s="1"/>
    </row>
    <row r="1608" spans="1:20" ht="13.5" customHeight="1" x14ac:dyDescent="0.25">
      <c r="A1608" s="1"/>
      <c r="B1608" s="1" t="s">
        <v>1459</v>
      </c>
      <c r="C1608" s="55" t="s">
        <v>265</v>
      </c>
      <c r="D1608" s="42">
        <v>0</v>
      </c>
      <c r="E1608" s="70">
        <v>34490.1</v>
      </c>
      <c r="F1608" s="73"/>
      <c r="G1608" s="73"/>
      <c r="H1608" s="74"/>
      <c r="I1608" s="183"/>
      <c r="J1608" s="75"/>
      <c r="K1608" s="76"/>
      <c r="L1608" s="50"/>
      <c r="M1608" s="50"/>
      <c r="N1608" s="53"/>
      <c r="O1608" s="52"/>
      <c r="P1608" s="53"/>
      <c r="Q1608" s="54"/>
      <c r="R1608" s="1"/>
      <c r="S1608" s="1"/>
      <c r="T1608" s="1"/>
    </row>
    <row r="1609" spans="1:20" ht="13.5" customHeight="1" x14ac:dyDescent="0.25">
      <c r="A1609" s="1"/>
      <c r="B1609" s="55" t="s">
        <v>1460</v>
      </c>
      <c r="C1609" s="55" t="s">
        <v>267</v>
      </c>
      <c r="D1609" s="42">
        <v>0</v>
      </c>
      <c r="E1609" s="70">
        <v>2640</v>
      </c>
      <c r="F1609" s="73">
        <v>0</v>
      </c>
      <c r="G1609" s="73">
        <v>0</v>
      </c>
      <c r="H1609" s="74">
        <v>0</v>
      </c>
      <c r="I1609" s="183">
        <v>0</v>
      </c>
      <c r="J1609" s="75">
        <v>0</v>
      </c>
      <c r="K1609" s="76">
        <v>0</v>
      </c>
      <c r="L1609" s="50">
        <v>1499.98</v>
      </c>
      <c r="M1609" s="50">
        <v>0</v>
      </c>
      <c r="N1609" s="53" t="s">
        <v>16</v>
      </c>
      <c r="O1609" s="52"/>
      <c r="P1609" s="53"/>
      <c r="Q1609" s="54"/>
      <c r="R1609" s="1"/>
      <c r="S1609" s="1"/>
      <c r="T1609" s="1"/>
    </row>
    <row r="1610" spans="1:20" ht="13.5" customHeight="1" thickBot="1" x14ac:dyDescent="0.3">
      <c r="A1610" s="1"/>
      <c r="B1610" s="1"/>
      <c r="C1610" s="116" t="s">
        <v>1461</v>
      </c>
      <c r="D1610" s="184">
        <v>0</v>
      </c>
      <c r="E1610" s="185">
        <f t="shared" ref="E1610" si="697">SUM(E1607:E1609)</f>
        <v>37130.1</v>
      </c>
      <c r="F1610" s="186">
        <f>SUM(F1606:F1609)</f>
        <v>0</v>
      </c>
      <c r="G1610" s="186">
        <v>0</v>
      </c>
      <c r="H1610" s="187">
        <f>SUM(H1607:H1609)</f>
        <v>0</v>
      </c>
      <c r="I1610" s="187"/>
      <c r="J1610" s="188">
        <f t="shared" ref="J1610:Q1610" si="698">SUM(J1607:J1609)</f>
        <v>0</v>
      </c>
      <c r="K1610" s="189">
        <f t="shared" si="698"/>
        <v>0</v>
      </c>
      <c r="L1610" s="190">
        <f t="shared" si="698"/>
        <v>12299.98</v>
      </c>
      <c r="M1610" s="190">
        <f t="shared" si="698"/>
        <v>10364.870000000001</v>
      </c>
      <c r="N1610" s="191">
        <f t="shared" si="698"/>
        <v>0</v>
      </c>
      <c r="O1610" s="192">
        <f t="shared" si="698"/>
        <v>0</v>
      </c>
      <c r="P1610" s="191">
        <f t="shared" si="698"/>
        <v>0</v>
      </c>
      <c r="Q1610" s="193">
        <f t="shared" si="698"/>
        <v>0</v>
      </c>
      <c r="R1610" s="1"/>
      <c r="S1610" s="1"/>
      <c r="T1610" s="1"/>
    </row>
    <row r="1611" spans="1:20" ht="13.5" customHeight="1" thickTop="1" x14ac:dyDescent="0.25">
      <c r="A1611" s="1"/>
      <c r="B1611" s="1"/>
      <c r="C1611" s="1"/>
      <c r="D1611" s="72"/>
      <c r="E1611" s="67"/>
      <c r="F1611" s="73"/>
      <c r="G1611" s="73"/>
      <c r="H1611" s="74"/>
      <c r="I1611" s="74"/>
      <c r="J1611" s="75"/>
      <c r="K1611" s="76"/>
      <c r="L1611" s="50"/>
      <c r="M1611" s="50"/>
      <c r="N1611" s="53"/>
      <c r="O1611" s="52"/>
      <c r="P1611" s="53"/>
      <c r="Q1611" s="54"/>
      <c r="R1611" s="1"/>
      <c r="S1611" s="1"/>
      <c r="T1611" s="1"/>
    </row>
    <row r="1612" spans="1:20" ht="13.5" customHeight="1" x14ac:dyDescent="0.25">
      <c r="A1612" s="1"/>
      <c r="B1612" s="1"/>
      <c r="C1612" s="132" t="s">
        <v>1462</v>
      </c>
      <c r="D1612" s="72"/>
      <c r="E1612" s="67"/>
      <c r="F1612" s="73"/>
      <c r="G1612" s="73"/>
      <c r="H1612" s="74"/>
      <c r="I1612" s="74"/>
      <c r="J1612" s="75"/>
      <c r="K1612" s="76"/>
      <c r="L1612" s="50"/>
      <c r="M1612" s="50"/>
      <c r="N1612" s="53"/>
      <c r="O1612" s="52"/>
      <c r="P1612" s="53"/>
      <c r="Q1612" s="54"/>
      <c r="R1612" s="1"/>
      <c r="S1612" s="1"/>
      <c r="T1612" s="1"/>
    </row>
    <row r="1613" spans="1:20" ht="13.5" customHeight="1" x14ac:dyDescent="0.25">
      <c r="A1613" s="1"/>
      <c r="B1613" s="55" t="s">
        <v>1463</v>
      </c>
      <c r="C1613" s="55" t="s">
        <v>271</v>
      </c>
      <c r="D1613" s="42">
        <v>0</v>
      </c>
      <c r="E1613" s="70">
        <v>9309.44</v>
      </c>
      <c r="F1613" s="86">
        <v>18618.87</v>
      </c>
      <c r="G1613" s="86">
        <v>0</v>
      </c>
      <c r="H1613" s="68">
        <v>4654.72</v>
      </c>
      <c r="I1613" s="74"/>
      <c r="J1613" s="75"/>
      <c r="K1613" s="76"/>
      <c r="L1613" s="69">
        <v>0</v>
      </c>
      <c r="M1613" s="69">
        <v>0</v>
      </c>
      <c r="N1613" s="53"/>
      <c r="O1613" s="52"/>
      <c r="P1613" s="53"/>
      <c r="Q1613" s="54"/>
      <c r="R1613" s="1"/>
      <c r="S1613" s="1"/>
      <c r="T1613" s="1"/>
    </row>
    <row r="1614" spans="1:20" ht="13.5" customHeight="1" thickBot="1" x14ac:dyDescent="0.3">
      <c r="A1614" s="1"/>
      <c r="B1614" s="1"/>
      <c r="C1614" s="132" t="s">
        <v>1464</v>
      </c>
      <c r="D1614" s="184">
        <v>0</v>
      </c>
      <c r="E1614" s="185">
        <f t="shared" ref="E1614" si="699">SUM(E1612:E1613)</f>
        <v>9309.44</v>
      </c>
      <c r="F1614" s="186">
        <f>SUM(F1612:F1613)</f>
        <v>18618.87</v>
      </c>
      <c r="G1614" s="186">
        <v>0</v>
      </c>
      <c r="H1614" s="187">
        <f>SUM(H1612:H1613)</f>
        <v>4654.72</v>
      </c>
      <c r="I1614" s="187"/>
      <c r="J1614" s="188">
        <f t="shared" ref="J1614:M1614" si="700">SUM(J1612:J1613)</f>
        <v>0</v>
      </c>
      <c r="K1614" s="189">
        <f t="shared" si="700"/>
        <v>0</v>
      </c>
      <c r="L1614" s="190">
        <f t="shared" si="700"/>
        <v>0</v>
      </c>
      <c r="M1614" s="190">
        <f t="shared" si="700"/>
        <v>0</v>
      </c>
      <c r="N1614" s="53"/>
      <c r="O1614" s="52"/>
      <c r="P1614" s="53"/>
      <c r="Q1614" s="54"/>
      <c r="R1614" s="1"/>
      <c r="S1614" s="1"/>
      <c r="T1614" s="1"/>
    </row>
    <row r="1615" spans="1:20" ht="13.5" customHeight="1" thickTop="1" x14ac:dyDescent="0.25">
      <c r="A1615" s="1"/>
      <c r="B1615" s="1"/>
      <c r="C1615" s="1"/>
      <c r="D1615" s="72"/>
      <c r="E1615" s="67"/>
      <c r="F1615" s="73"/>
      <c r="G1615" s="73"/>
      <c r="H1615" s="74"/>
      <c r="I1615" s="74"/>
      <c r="J1615" s="75"/>
      <c r="K1615" s="76"/>
      <c r="L1615" s="50"/>
      <c r="M1615" s="50"/>
      <c r="N1615" s="53"/>
      <c r="O1615" s="52"/>
      <c r="P1615" s="53"/>
      <c r="Q1615" s="54"/>
      <c r="R1615" s="1"/>
      <c r="S1615" s="1"/>
      <c r="T1615" s="1"/>
    </row>
    <row r="1616" spans="1:20" ht="13.5" customHeight="1" x14ac:dyDescent="0.25">
      <c r="A1616" s="1"/>
      <c r="B1616" s="1"/>
      <c r="C1616" s="1"/>
      <c r="D1616" s="72"/>
      <c r="E1616" s="67"/>
      <c r="F1616" s="73"/>
      <c r="G1616" s="73"/>
      <c r="H1616" s="74"/>
      <c r="I1616" s="74"/>
      <c r="J1616" s="75"/>
      <c r="K1616" s="76"/>
      <c r="L1616" s="50"/>
      <c r="M1616" s="50"/>
      <c r="N1616" s="53"/>
      <c r="O1616" s="52"/>
      <c r="P1616" s="53"/>
      <c r="Q1616" s="54"/>
      <c r="R1616" s="1"/>
      <c r="S1616" s="1"/>
      <c r="T1616" s="1"/>
    </row>
    <row r="1617" spans="1:20" ht="13.5" customHeight="1" x14ac:dyDescent="0.25">
      <c r="A1617" s="1"/>
      <c r="B1617" s="1"/>
      <c r="C1617" s="41" t="s">
        <v>1465</v>
      </c>
      <c r="D1617" s="72"/>
      <c r="E1617" s="67"/>
      <c r="F1617" s="73"/>
      <c r="G1617" s="73"/>
      <c r="H1617" s="74"/>
      <c r="I1617" s="74"/>
      <c r="J1617" s="75"/>
      <c r="K1617" s="76"/>
      <c r="L1617" s="50"/>
      <c r="M1617" s="50"/>
      <c r="N1617" s="53"/>
      <c r="O1617" s="52"/>
      <c r="P1617" s="53"/>
      <c r="Q1617" s="54"/>
      <c r="R1617" s="1"/>
      <c r="S1617" s="1"/>
      <c r="T1617" s="1"/>
    </row>
    <row r="1618" spans="1:20" ht="13.5" customHeight="1" x14ac:dyDescent="0.25">
      <c r="A1618" s="1"/>
      <c r="B1618" s="1" t="s">
        <v>1466</v>
      </c>
      <c r="C1618" s="55" t="s">
        <v>420</v>
      </c>
      <c r="D1618" s="42">
        <v>3620699</v>
      </c>
      <c r="E1618" s="43">
        <v>1695115.85</v>
      </c>
      <c r="F1618" s="45">
        <v>3641421</v>
      </c>
      <c r="G1618" s="45">
        <v>3641421</v>
      </c>
      <c r="H1618" s="46">
        <v>3171900.96</v>
      </c>
      <c r="I1618" s="47">
        <f t="shared" ref="I1618:I1622" si="701">H1618/J1618</f>
        <v>0.93620473417980055</v>
      </c>
      <c r="J1618" s="48">
        <v>3388042</v>
      </c>
      <c r="K1618" s="49">
        <v>3388042</v>
      </c>
      <c r="L1618" s="50">
        <v>2941554.23</v>
      </c>
      <c r="M1618" s="50">
        <v>3084910.96</v>
      </c>
      <c r="N1618" s="51">
        <v>3052842.12</v>
      </c>
      <c r="O1618" s="52">
        <v>2784978.35</v>
      </c>
      <c r="P1618" s="53">
        <v>2646478.0499999998</v>
      </c>
      <c r="Q1618" s="54">
        <v>2513207.0099999998</v>
      </c>
      <c r="R1618" s="1"/>
      <c r="S1618" s="1"/>
      <c r="T1618" s="1"/>
    </row>
    <row r="1619" spans="1:20" ht="13.5" customHeight="1" x14ac:dyDescent="0.25">
      <c r="A1619" s="1"/>
      <c r="B1619" s="1" t="s">
        <v>1467</v>
      </c>
      <c r="C1619" s="1" t="s">
        <v>423</v>
      </c>
      <c r="D1619" s="42">
        <v>0</v>
      </c>
      <c r="E1619" s="43">
        <v>0</v>
      </c>
      <c r="F1619" s="45">
        <v>0</v>
      </c>
      <c r="G1619" s="45">
        <v>0</v>
      </c>
      <c r="H1619" s="46">
        <v>76309.279999999999</v>
      </c>
      <c r="I1619" s="47">
        <f t="shared" si="701"/>
        <v>0.84954221588884926</v>
      </c>
      <c r="J1619" s="48">
        <v>89824</v>
      </c>
      <c r="K1619" s="49">
        <v>89824</v>
      </c>
      <c r="L1619" s="50">
        <v>75019.73</v>
      </c>
      <c r="M1619" s="50">
        <v>66784.89</v>
      </c>
      <c r="N1619" s="51">
        <v>71433.72</v>
      </c>
      <c r="O1619" s="52">
        <v>70241.960000000006</v>
      </c>
      <c r="P1619" s="53">
        <v>72078.899999999994</v>
      </c>
      <c r="Q1619" s="54">
        <v>75118.399999999994</v>
      </c>
      <c r="R1619" s="1"/>
      <c r="S1619" s="1"/>
      <c r="T1619" s="1"/>
    </row>
    <row r="1620" spans="1:20" ht="13.5" customHeight="1" x14ac:dyDescent="0.25">
      <c r="A1620" s="1"/>
      <c r="B1620" s="1" t="s">
        <v>1468</v>
      </c>
      <c r="C1620" s="55" t="s">
        <v>1469</v>
      </c>
      <c r="D1620" s="42">
        <v>54000</v>
      </c>
      <c r="E1620" s="43">
        <v>32704.17</v>
      </c>
      <c r="F1620" s="45">
        <v>54000</v>
      </c>
      <c r="G1620" s="45">
        <v>54000</v>
      </c>
      <c r="H1620" s="46">
        <v>111262.18</v>
      </c>
      <c r="I1620" s="47">
        <f t="shared" si="701"/>
        <v>2.5198663767722063</v>
      </c>
      <c r="J1620" s="48">
        <v>44154</v>
      </c>
      <c r="K1620" s="49">
        <v>54000</v>
      </c>
      <c r="L1620" s="50">
        <v>134677.01</v>
      </c>
      <c r="M1620" s="50">
        <v>50513.69</v>
      </c>
      <c r="N1620" s="51">
        <v>35902.519999999997</v>
      </c>
      <c r="O1620" s="52">
        <v>57176.53</v>
      </c>
      <c r="P1620" s="53">
        <v>73211.039999999994</v>
      </c>
      <c r="Q1620" s="54">
        <v>58556.26</v>
      </c>
      <c r="R1620" s="1"/>
      <c r="S1620" s="1"/>
      <c r="T1620" s="1"/>
    </row>
    <row r="1621" spans="1:20" ht="13.5" customHeight="1" x14ac:dyDescent="0.25">
      <c r="A1621" s="1"/>
      <c r="B1621" s="1" t="s">
        <v>1470</v>
      </c>
      <c r="C1621" s="55" t="s">
        <v>1471</v>
      </c>
      <c r="D1621" s="42">
        <v>30000</v>
      </c>
      <c r="E1621" s="43">
        <v>30533.11</v>
      </c>
      <c r="F1621" s="45">
        <v>30000</v>
      </c>
      <c r="G1621" s="45">
        <v>30000</v>
      </c>
      <c r="H1621" s="46">
        <v>127611.7</v>
      </c>
      <c r="I1621" s="47">
        <f t="shared" si="701"/>
        <v>3.2026225969984439</v>
      </c>
      <c r="J1621" s="48">
        <v>39846</v>
      </c>
      <c r="K1621" s="49">
        <v>30000</v>
      </c>
      <c r="L1621" s="50">
        <v>99802.84</v>
      </c>
      <c r="M1621" s="50">
        <v>27576.98</v>
      </c>
      <c r="N1621" s="51">
        <v>14580.56</v>
      </c>
      <c r="O1621" s="52">
        <v>33460.82</v>
      </c>
      <c r="P1621" s="53">
        <v>57411.13</v>
      </c>
      <c r="Q1621" s="54">
        <v>57140.98</v>
      </c>
      <c r="R1621" s="1"/>
      <c r="S1621" s="1"/>
      <c r="T1621" s="1"/>
    </row>
    <row r="1622" spans="1:20" ht="13.5" customHeight="1" x14ac:dyDescent="0.25">
      <c r="A1622" s="1"/>
      <c r="B1622" s="1" t="s">
        <v>1472</v>
      </c>
      <c r="C1622" s="1" t="s">
        <v>651</v>
      </c>
      <c r="D1622" s="42">
        <v>8000</v>
      </c>
      <c r="E1622" s="43">
        <v>3499.86</v>
      </c>
      <c r="F1622" s="45">
        <v>5000</v>
      </c>
      <c r="G1622" s="45">
        <v>5000</v>
      </c>
      <c r="H1622" s="46">
        <v>5615.16</v>
      </c>
      <c r="I1622" s="47">
        <f t="shared" si="701"/>
        <v>1.6043314285714285</v>
      </c>
      <c r="J1622" s="48">
        <v>3500</v>
      </c>
      <c r="K1622" s="49">
        <v>3500</v>
      </c>
      <c r="L1622" s="50">
        <v>4672.8900000000003</v>
      </c>
      <c r="M1622" s="50">
        <v>4788.2700000000004</v>
      </c>
      <c r="N1622" s="51">
        <v>7615.08</v>
      </c>
      <c r="O1622" s="52">
        <v>8345.82</v>
      </c>
      <c r="P1622" s="53">
        <v>9307.32</v>
      </c>
      <c r="Q1622" s="54">
        <v>10403.43</v>
      </c>
      <c r="R1622" s="1"/>
      <c r="S1622" s="1"/>
      <c r="T1622" s="1"/>
    </row>
    <row r="1623" spans="1:20" ht="13.5" customHeight="1" x14ac:dyDescent="0.25">
      <c r="A1623" s="1"/>
      <c r="B1623" s="1"/>
      <c r="C1623" s="1"/>
      <c r="D1623" s="56">
        <v>3712699</v>
      </c>
      <c r="E1623" s="57">
        <f t="shared" ref="E1623" si="702">SUM(E1618:E1622)</f>
        <v>1761852.9900000002</v>
      </c>
      <c r="F1623" s="58">
        <f>SUM(F1617:F1622)</f>
        <v>3730421</v>
      </c>
      <c r="G1623" s="58">
        <v>3730421</v>
      </c>
      <c r="H1623" s="59">
        <f>SUM(H1618:H1622)</f>
        <v>3492699.2800000003</v>
      </c>
      <c r="I1623" s="59"/>
      <c r="J1623" s="60">
        <f t="shared" ref="J1623:Q1623" si="703">SUM(J1618:J1622)</f>
        <v>3565366</v>
      </c>
      <c r="K1623" s="61">
        <f t="shared" si="703"/>
        <v>3565366</v>
      </c>
      <c r="L1623" s="62">
        <f t="shared" si="703"/>
        <v>3255726.6999999997</v>
      </c>
      <c r="M1623" s="62">
        <f t="shared" si="703"/>
        <v>3234574.79</v>
      </c>
      <c r="N1623" s="63">
        <f t="shared" si="703"/>
        <v>3182374.0000000005</v>
      </c>
      <c r="O1623" s="64">
        <f t="shared" si="703"/>
        <v>2954203.4799999995</v>
      </c>
      <c r="P1623" s="63">
        <f t="shared" si="703"/>
        <v>2858486.4399999995</v>
      </c>
      <c r="Q1623" s="65">
        <f t="shared" si="703"/>
        <v>2714426.0799999996</v>
      </c>
      <c r="R1623" s="1"/>
      <c r="S1623" s="1"/>
      <c r="T1623" s="1"/>
    </row>
    <row r="1624" spans="1:20" ht="13.5" customHeight="1" x14ac:dyDescent="0.25">
      <c r="A1624" s="1"/>
      <c r="B1624" s="1"/>
      <c r="C1624" s="1"/>
      <c r="D1624" s="42"/>
      <c r="E1624" s="44"/>
      <c r="F1624" s="45"/>
      <c r="G1624" s="45"/>
      <c r="H1624" s="66"/>
      <c r="I1624" s="66"/>
      <c r="J1624" s="48"/>
      <c r="K1624" s="49"/>
      <c r="L1624" s="50"/>
      <c r="M1624" s="50"/>
      <c r="N1624" s="51"/>
      <c r="O1624" s="52"/>
      <c r="P1624" s="53"/>
      <c r="Q1624" s="54"/>
      <c r="R1624" s="1"/>
      <c r="S1624" s="1"/>
      <c r="T1624" s="1"/>
    </row>
    <row r="1625" spans="1:20" ht="13.5" customHeight="1" x14ac:dyDescent="0.25">
      <c r="A1625" s="1"/>
      <c r="B1625" s="1" t="s">
        <v>1473</v>
      </c>
      <c r="C1625" s="1" t="s">
        <v>247</v>
      </c>
      <c r="D1625" s="42">
        <v>285031.27350000001</v>
      </c>
      <c r="E1625" s="43">
        <v>128392.78</v>
      </c>
      <c r="F1625" s="45">
        <v>286478.80650000018</v>
      </c>
      <c r="G1625" s="45">
        <v>286478.80650000018</v>
      </c>
      <c r="H1625" s="46">
        <v>254473.91</v>
      </c>
      <c r="I1625" s="47">
        <f t="shared" ref="I1625:I1630" si="704">H1625/J1625</f>
        <v>0.96803413763851531</v>
      </c>
      <c r="J1625" s="48">
        <v>262877</v>
      </c>
      <c r="K1625" s="49">
        <v>262877</v>
      </c>
      <c r="L1625" s="50">
        <v>235997.35</v>
      </c>
      <c r="M1625" s="50">
        <v>235787.62</v>
      </c>
      <c r="N1625" s="51">
        <v>230339.7</v>
      </c>
      <c r="O1625" s="52">
        <v>217567.96</v>
      </c>
      <c r="P1625" s="53">
        <v>209906.87</v>
      </c>
      <c r="Q1625" s="54">
        <v>197938.96</v>
      </c>
      <c r="R1625" s="1"/>
      <c r="S1625" s="1"/>
      <c r="T1625" s="1"/>
    </row>
    <row r="1626" spans="1:20" ht="13.5" customHeight="1" x14ac:dyDescent="0.25">
      <c r="A1626" s="1"/>
      <c r="B1626" s="1" t="s">
        <v>1474</v>
      </c>
      <c r="C1626" s="1" t="s">
        <v>249</v>
      </c>
      <c r="D1626" s="42">
        <v>994026.30599999893</v>
      </c>
      <c r="E1626" s="43">
        <v>413097.71</v>
      </c>
      <c r="F1626" s="45">
        <v>1014937.5391999988</v>
      </c>
      <c r="G1626" s="45">
        <v>1014937.5391999988</v>
      </c>
      <c r="H1626" s="46">
        <v>736397.01</v>
      </c>
      <c r="I1626" s="47">
        <f t="shared" si="704"/>
        <v>0.74974013518590354</v>
      </c>
      <c r="J1626" s="48">
        <v>982203</v>
      </c>
      <c r="K1626" s="49">
        <v>982203</v>
      </c>
      <c r="L1626" s="50">
        <v>733496</v>
      </c>
      <c r="M1626" s="50">
        <v>834789.08</v>
      </c>
      <c r="N1626" s="51">
        <v>837847.32</v>
      </c>
      <c r="O1626" s="52">
        <v>825154.86</v>
      </c>
      <c r="P1626" s="53">
        <v>785896.98</v>
      </c>
      <c r="Q1626" s="54">
        <v>751635.36</v>
      </c>
      <c r="R1626" s="1"/>
      <c r="S1626" s="1"/>
      <c r="T1626" s="1"/>
    </row>
    <row r="1627" spans="1:20" ht="13.5" customHeight="1" x14ac:dyDescent="0.25">
      <c r="A1627" s="1"/>
      <c r="B1627" s="1" t="s">
        <v>1475</v>
      </c>
      <c r="C1627" s="1" t="s">
        <v>251</v>
      </c>
      <c r="D1627" s="42">
        <v>559630.02980000002</v>
      </c>
      <c r="E1627" s="43">
        <v>265451.32</v>
      </c>
      <c r="F1627" s="45">
        <v>562472.11419999995</v>
      </c>
      <c r="G1627" s="45">
        <v>562472.11419999995</v>
      </c>
      <c r="H1627" s="46">
        <v>509440.8</v>
      </c>
      <c r="I1627" s="47">
        <f t="shared" si="704"/>
        <v>0.98010473621633687</v>
      </c>
      <c r="J1627" s="48">
        <v>519782</v>
      </c>
      <c r="K1627" s="49">
        <v>519782</v>
      </c>
      <c r="L1627" s="50">
        <v>471714.85</v>
      </c>
      <c r="M1627" s="50">
        <v>452199.98</v>
      </c>
      <c r="N1627" s="51">
        <v>437602.29</v>
      </c>
      <c r="O1627" s="52">
        <v>404102.34</v>
      </c>
      <c r="P1627" s="53">
        <v>388789.61</v>
      </c>
      <c r="Q1627" s="54">
        <v>347329.59</v>
      </c>
      <c r="R1627" s="1"/>
      <c r="S1627" s="1"/>
      <c r="T1627" s="1"/>
    </row>
    <row r="1628" spans="1:20" ht="13.5" customHeight="1" x14ac:dyDescent="0.25">
      <c r="A1628" s="1"/>
      <c r="B1628" s="1" t="s">
        <v>1476</v>
      </c>
      <c r="C1628" s="1" t="s">
        <v>253</v>
      </c>
      <c r="D1628" s="42">
        <v>5961.4384000000009</v>
      </c>
      <c r="E1628" s="43">
        <v>2827.78</v>
      </c>
      <c r="F1628" s="45">
        <v>5991.713600000001</v>
      </c>
      <c r="G1628" s="45">
        <v>5991.713600000001</v>
      </c>
      <c r="H1628" s="46">
        <v>5607.66</v>
      </c>
      <c r="I1628" s="47">
        <f t="shared" si="704"/>
        <v>0.97899092178770952</v>
      </c>
      <c r="J1628" s="48">
        <v>5728</v>
      </c>
      <c r="K1628" s="49">
        <v>5728</v>
      </c>
      <c r="L1628" s="50">
        <v>5962.48</v>
      </c>
      <c r="M1628" s="50">
        <v>6167.55</v>
      </c>
      <c r="N1628" s="51">
        <v>7605.02</v>
      </c>
      <c r="O1628" s="52">
        <v>7929.99</v>
      </c>
      <c r="P1628" s="53">
        <v>7069.46</v>
      </c>
      <c r="Q1628" s="54">
        <v>6527.94</v>
      </c>
      <c r="R1628" s="1"/>
      <c r="S1628" s="1"/>
      <c r="T1628" s="1"/>
    </row>
    <row r="1629" spans="1:20" ht="13.5" customHeight="1" x14ac:dyDescent="0.25">
      <c r="A1629" s="1"/>
      <c r="B1629" s="1" t="s">
        <v>1477</v>
      </c>
      <c r="C1629" s="1" t="s">
        <v>255</v>
      </c>
      <c r="D1629" s="42">
        <v>33356.399999999972</v>
      </c>
      <c r="E1629" s="43">
        <v>13507.87</v>
      </c>
      <c r="F1629" s="45">
        <v>32495</v>
      </c>
      <c r="G1629" s="45">
        <v>32495</v>
      </c>
      <c r="H1629" s="46">
        <v>24003.41</v>
      </c>
      <c r="I1629" s="47">
        <f t="shared" si="704"/>
        <v>0.76850259332778381</v>
      </c>
      <c r="J1629" s="48">
        <v>31234</v>
      </c>
      <c r="K1629" s="49">
        <v>31234</v>
      </c>
      <c r="L1629" s="50">
        <v>23121.82</v>
      </c>
      <c r="M1629" s="50">
        <v>25452.19</v>
      </c>
      <c r="N1629" s="51">
        <v>27879.919999999998</v>
      </c>
      <c r="O1629" s="52">
        <v>27418.95</v>
      </c>
      <c r="P1629" s="53">
        <v>26412.76</v>
      </c>
      <c r="Q1629" s="54">
        <v>25033.26</v>
      </c>
      <c r="R1629" s="1"/>
      <c r="S1629" s="1"/>
      <c r="T1629" s="1"/>
    </row>
    <row r="1630" spans="1:20" ht="13.5" customHeight="1" x14ac:dyDescent="0.25">
      <c r="A1630" s="1"/>
      <c r="B1630" s="1" t="s">
        <v>1478</v>
      </c>
      <c r="C1630" s="1" t="s">
        <v>559</v>
      </c>
      <c r="D1630" s="42">
        <v>13200</v>
      </c>
      <c r="E1630" s="43">
        <v>6922.5</v>
      </c>
      <c r="F1630" s="45">
        <v>14400</v>
      </c>
      <c r="G1630" s="45">
        <v>14400</v>
      </c>
      <c r="H1630" s="46">
        <v>13937.3</v>
      </c>
      <c r="I1630" s="47">
        <f t="shared" si="704"/>
        <v>0.96786805555555555</v>
      </c>
      <c r="J1630" s="48">
        <v>14400</v>
      </c>
      <c r="K1630" s="49">
        <v>14400</v>
      </c>
      <c r="L1630" s="50">
        <v>12368.2</v>
      </c>
      <c r="M1630" s="50">
        <v>12453.14</v>
      </c>
      <c r="N1630" s="51">
        <v>13553.42</v>
      </c>
      <c r="O1630" s="52">
        <v>14345.44</v>
      </c>
      <c r="P1630" s="53">
        <v>12896.26</v>
      </c>
      <c r="Q1630" s="54">
        <v>13106.6</v>
      </c>
      <c r="R1630" s="1"/>
      <c r="S1630" s="1"/>
      <c r="T1630" s="1"/>
    </row>
    <row r="1631" spans="1:20" ht="13.5" customHeight="1" x14ac:dyDescent="0.25">
      <c r="A1631" s="1"/>
      <c r="B1631" s="1"/>
      <c r="C1631" s="1"/>
      <c r="D1631" s="56">
        <v>1891205.4476999992</v>
      </c>
      <c r="E1631" s="57">
        <f t="shared" ref="E1631" si="705">SUM(E1625:E1630)</f>
        <v>830199.96000000008</v>
      </c>
      <c r="F1631" s="58">
        <f>SUM(F1624:F1630)</f>
        <v>1916775.1734999989</v>
      </c>
      <c r="G1631" s="58">
        <v>1916775.1734999989</v>
      </c>
      <c r="H1631" s="59">
        <f>SUM(H1625:H1630)</f>
        <v>1543860.0899999999</v>
      </c>
      <c r="I1631" s="59"/>
      <c r="J1631" s="60">
        <f t="shared" ref="J1631:Q1631" si="706">SUM(J1625:J1630)</f>
        <v>1816224</v>
      </c>
      <c r="K1631" s="61">
        <f t="shared" si="706"/>
        <v>1816224</v>
      </c>
      <c r="L1631" s="62">
        <f t="shared" si="706"/>
        <v>1482660.7</v>
      </c>
      <c r="M1631" s="62">
        <f t="shared" si="706"/>
        <v>1566849.5599999998</v>
      </c>
      <c r="N1631" s="63">
        <f t="shared" si="706"/>
        <v>1554827.67</v>
      </c>
      <c r="O1631" s="64">
        <f t="shared" si="706"/>
        <v>1496519.5399999998</v>
      </c>
      <c r="P1631" s="63">
        <f t="shared" si="706"/>
        <v>1430971.94</v>
      </c>
      <c r="Q1631" s="65">
        <f t="shared" si="706"/>
        <v>1341571.71</v>
      </c>
      <c r="R1631" s="1"/>
      <c r="S1631" s="1"/>
      <c r="T1631" s="1"/>
    </row>
    <row r="1632" spans="1:20" ht="13.5" customHeight="1" x14ac:dyDescent="0.25">
      <c r="A1632" s="1"/>
      <c r="B1632" s="1"/>
      <c r="C1632" s="1"/>
      <c r="D1632" s="42"/>
      <c r="E1632" s="44"/>
      <c r="F1632" s="45"/>
      <c r="G1632" s="45"/>
      <c r="H1632" s="66"/>
      <c r="I1632" s="66"/>
      <c r="J1632" s="48"/>
      <c r="K1632" s="49"/>
      <c r="L1632" s="50"/>
      <c r="M1632" s="50"/>
      <c r="N1632" s="51"/>
      <c r="O1632" s="52"/>
      <c r="P1632" s="53"/>
      <c r="Q1632" s="54"/>
      <c r="R1632" s="1"/>
      <c r="S1632" s="1"/>
      <c r="T1632" s="1"/>
    </row>
    <row r="1633" spans="1:20" ht="13.5" customHeight="1" x14ac:dyDescent="0.25">
      <c r="A1633" s="1"/>
      <c r="B1633" s="1" t="s">
        <v>1479</v>
      </c>
      <c r="C1633" s="1" t="s">
        <v>259</v>
      </c>
      <c r="D1633" s="42">
        <v>19000</v>
      </c>
      <c r="E1633" s="43">
        <v>5683.85</v>
      </c>
      <c r="F1633" s="45">
        <v>19000</v>
      </c>
      <c r="G1633" s="45">
        <v>19000</v>
      </c>
      <c r="H1633" s="46">
        <v>17404.59</v>
      </c>
      <c r="I1633" s="47">
        <f t="shared" ref="I1633:I1640" si="707">H1633/J1633</f>
        <v>0.91603105263157891</v>
      </c>
      <c r="J1633" s="48">
        <v>19000</v>
      </c>
      <c r="K1633" s="49">
        <v>19000</v>
      </c>
      <c r="L1633" s="50">
        <v>19509.599999999999</v>
      </c>
      <c r="M1633" s="50">
        <v>22234.17</v>
      </c>
      <c r="N1633" s="51">
        <v>19103.47</v>
      </c>
      <c r="O1633" s="52">
        <v>18433.97</v>
      </c>
      <c r="P1633" s="53">
        <v>16471.61</v>
      </c>
      <c r="Q1633" s="54">
        <v>18062.080000000002</v>
      </c>
      <c r="R1633" s="1"/>
      <c r="S1633" s="1"/>
      <c r="T1633" s="1"/>
    </row>
    <row r="1634" spans="1:20" ht="13.5" customHeight="1" x14ac:dyDescent="0.25">
      <c r="A1634" s="1"/>
      <c r="B1634" s="1" t="s">
        <v>1480</v>
      </c>
      <c r="C1634" s="1" t="s">
        <v>963</v>
      </c>
      <c r="D1634" s="42">
        <v>2000</v>
      </c>
      <c r="E1634" s="70">
        <v>0</v>
      </c>
      <c r="F1634" s="45">
        <v>2000</v>
      </c>
      <c r="G1634" s="45">
        <v>2000</v>
      </c>
      <c r="H1634" s="74">
        <v>0</v>
      </c>
      <c r="I1634" s="47">
        <f t="shared" si="707"/>
        <v>0</v>
      </c>
      <c r="J1634" s="48">
        <v>2000</v>
      </c>
      <c r="K1634" s="49">
        <v>2000</v>
      </c>
      <c r="L1634" s="77">
        <v>0</v>
      </c>
      <c r="M1634" s="50">
        <v>275.3</v>
      </c>
      <c r="N1634" s="51">
        <v>12.32</v>
      </c>
      <c r="O1634" s="52">
        <v>0</v>
      </c>
      <c r="P1634" s="53">
        <v>1259</v>
      </c>
      <c r="Q1634" s="54">
        <v>0</v>
      </c>
      <c r="R1634" s="1"/>
      <c r="S1634" s="1"/>
      <c r="T1634" s="1"/>
    </row>
    <row r="1635" spans="1:20" ht="13.5" customHeight="1" x14ac:dyDescent="0.25">
      <c r="A1635" s="1"/>
      <c r="B1635" s="1" t="s">
        <v>1481</v>
      </c>
      <c r="C1635" s="1" t="s">
        <v>1482</v>
      </c>
      <c r="D1635" s="42">
        <v>502100</v>
      </c>
      <c r="E1635" s="43">
        <v>229478.47</v>
      </c>
      <c r="F1635" s="45">
        <v>525600</v>
      </c>
      <c r="G1635" s="45">
        <v>525600</v>
      </c>
      <c r="H1635" s="46">
        <v>516132.63</v>
      </c>
      <c r="I1635" s="47">
        <f t="shared" si="707"/>
        <v>0.98198750000000001</v>
      </c>
      <c r="J1635" s="48">
        <v>525600</v>
      </c>
      <c r="K1635" s="49">
        <v>525600</v>
      </c>
      <c r="L1635" s="50">
        <v>489980.18</v>
      </c>
      <c r="M1635" s="50">
        <v>445088.1</v>
      </c>
      <c r="N1635" s="51">
        <v>348306.25</v>
      </c>
      <c r="O1635" s="52">
        <v>346873.25</v>
      </c>
      <c r="P1635" s="53">
        <v>388324.33</v>
      </c>
      <c r="Q1635" s="54">
        <v>425764.8</v>
      </c>
      <c r="R1635" s="1"/>
      <c r="S1635" s="1"/>
      <c r="T1635" s="1"/>
    </row>
    <row r="1636" spans="1:20" ht="13.5" customHeight="1" x14ac:dyDescent="0.25">
      <c r="A1636" s="1"/>
      <c r="B1636" s="1" t="s">
        <v>1483</v>
      </c>
      <c r="C1636" s="1" t="s">
        <v>1484</v>
      </c>
      <c r="D1636" s="42">
        <v>25000</v>
      </c>
      <c r="E1636" s="43">
        <v>11435.75</v>
      </c>
      <c r="F1636" s="45">
        <v>25000</v>
      </c>
      <c r="G1636" s="45">
        <v>25000</v>
      </c>
      <c r="H1636" s="46">
        <v>22804.44</v>
      </c>
      <c r="I1636" s="47">
        <f t="shared" si="707"/>
        <v>0.91217759999999992</v>
      </c>
      <c r="J1636" s="48">
        <v>25000</v>
      </c>
      <c r="K1636" s="49">
        <v>25000</v>
      </c>
      <c r="L1636" s="50">
        <v>22365.64</v>
      </c>
      <c r="M1636" s="50">
        <v>15517.71</v>
      </c>
      <c r="N1636" s="51">
        <v>10697.38</v>
      </c>
      <c r="O1636" s="52">
        <v>27072.22</v>
      </c>
      <c r="P1636" s="53">
        <v>14359.98</v>
      </c>
      <c r="Q1636" s="54">
        <v>21421.14</v>
      </c>
      <c r="R1636" s="1"/>
      <c r="S1636" s="1"/>
      <c r="T1636" s="1"/>
    </row>
    <row r="1637" spans="1:20" ht="13.5" customHeight="1" x14ac:dyDescent="0.25">
      <c r="A1637" s="1"/>
      <c r="B1637" s="1" t="s">
        <v>1485</v>
      </c>
      <c r="C1637" s="1" t="s">
        <v>1118</v>
      </c>
      <c r="D1637" s="42">
        <v>6720</v>
      </c>
      <c r="E1637" s="43">
        <v>4087.54</v>
      </c>
      <c r="F1637" s="45">
        <v>5000</v>
      </c>
      <c r="G1637" s="45">
        <v>5000</v>
      </c>
      <c r="H1637" s="46">
        <v>4621.71</v>
      </c>
      <c r="I1637" s="47">
        <f t="shared" si="707"/>
        <v>0.924342</v>
      </c>
      <c r="J1637" s="48">
        <v>5000</v>
      </c>
      <c r="K1637" s="49">
        <v>5000</v>
      </c>
      <c r="L1637" s="50">
        <v>8191.47</v>
      </c>
      <c r="M1637" s="50">
        <v>452.14</v>
      </c>
      <c r="N1637" s="51">
        <v>7890.84</v>
      </c>
      <c r="O1637" s="52">
        <v>3186</v>
      </c>
      <c r="P1637" s="53">
        <v>3921.75</v>
      </c>
      <c r="Q1637" s="54">
        <v>4632.8</v>
      </c>
      <c r="R1637" s="1"/>
      <c r="S1637" s="1"/>
      <c r="T1637" s="1"/>
    </row>
    <row r="1638" spans="1:20" ht="13.5" customHeight="1" x14ac:dyDescent="0.25">
      <c r="A1638" s="1"/>
      <c r="B1638" s="1" t="s">
        <v>1486</v>
      </c>
      <c r="C1638" s="1" t="s">
        <v>473</v>
      </c>
      <c r="D1638" s="42">
        <v>3500</v>
      </c>
      <c r="E1638" s="70">
        <v>139</v>
      </c>
      <c r="F1638" s="45">
        <v>3500</v>
      </c>
      <c r="G1638" s="45">
        <v>3500</v>
      </c>
      <c r="H1638" s="74">
        <v>0</v>
      </c>
      <c r="I1638" s="47">
        <f t="shared" si="707"/>
        <v>0</v>
      </c>
      <c r="J1638" s="48">
        <v>3500</v>
      </c>
      <c r="K1638" s="49">
        <v>3500</v>
      </c>
      <c r="L1638" s="77">
        <v>0</v>
      </c>
      <c r="M1638" s="77">
        <v>0</v>
      </c>
      <c r="N1638" s="51">
        <v>3890.66</v>
      </c>
      <c r="O1638" s="52">
        <v>0</v>
      </c>
      <c r="P1638" s="53">
        <v>10</v>
      </c>
      <c r="Q1638" s="54">
        <v>3748.33</v>
      </c>
      <c r="R1638" s="1"/>
      <c r="S1638" s="1"/>
      <c r="T1638" s="1"/>
    </row>
    <row r="1639" spans="1:20" ht="13.5" customHeight="1" x14ac:dyDescent="0.25">
      <c r="A1639" s="1"/>
      <c r="B1639" s="1" t="s">
        <v>1487</v>
      </c>
      <c r="C1639" s="1" t="s">
        <v>435</v>
      </c>
      <c r="D1639" s="42">
        <v>1000</v>
      </c>
      <c r="E1639" s="70">
        <v>0</v>
      </c>
      <c r="F1639" s="45">
        <v>1000</v>
      </c>
      <c r="G1639" s="45">
        <v>1000</v>
      </c>
      <c r="H1639" s="74">
        <v>0</v>
      </c>
      <c r="I1639" s="47">
        <f t="shared" si="707"/>
        <v>0</v>
      </c>
      <c r="J1639" s="48">
        <v>500</v>
      </c>
      <c r="K1639" s="49">
        <v>500</v>
      </c>
      <c r="L1639" s="77">
        <v>0</v>
      </c>
      <c r="M1639" s="77">
        <v>0</v>
      </c>
      <c r="N1639" s="53" t="s">
        <v>16</v>
      </c>
      <c r="O1639" s="52">
        <v>62.01</v>
      </c>
      <c r="P1639" s="53">
        <v>0</v>
      </c>
      <c r="Q1639" s="54">
        <v>0</v>
      </c>
      <c r="R1639" s="1"/>
      <c r="S1639" s="1"/>
      <c r="T1639" s="1"/>
    </row>
    <row r="1640" spans="1:20" ht="13.5" customHeight="1" x14ac:dyDescent="0.25">
      <c r="A1640" s="1"/>
      <c r="B1640" s="1" t="s">
        <v>1488</v>
      </c>
      <c r="C1640" s="1" t="s">
        <v>267</v>
      </c>
      <c r="D1640" s="42">
        <v>7000</v>
      </c>
      <c r="E1640" s="43">
        <v>470</v>
      </c>
      <c r="F1640" s="45">
        <v>8720</v>
      </c>
      <c r="G1640" s="45">
        <v>8720</v>
      </c>
      <c r="H1640" s="46">
        <v>1995.25</v>
      </c>
      <c r="I1640" s="47">
        <f t="shared" si="707"/>
        <v>0.22881307339449541</v>
      </c>
      <c r="J1640" s="48">
        <v>8720</v>
      </c>
      <c r="K1640" s="49">
        <v>8720</v>
      </c>
      <c r="L1640" s="50">
        <v>7307.53</v>
      </c>
      <c r="M1640" s="50">
        <v>1940.9</v>
      </c>
      <c r="N1640" s="51">
        <v>6610.38</v>
      </c>
      <c r="O1640" s="52">
        <v>5656.68</v>
      </c>
      <c r="P1640" s="53">
        <v>0</v>
      </c>
      <c r="Q1640" s="54">
        <v>0</v>
      </c>
      <c r="R1640" s="1"/>
      <c r="S1640" s="1"/>
      <c r="T1640" s="1"/>
    </row>
    <row r="1641" spans="1:20" ht="13.5" customHeight="1" x14ac:dyDescent="0.25">
      <c r="A1641" s="1"/>
      <c r="B1641" s="1"/>
      <c r="C1641" s="1"/>
      <c r="D1641" s="56">
        <v>566320</v>
      </c>
      <c r="E1641" s="57">
        <f t="shared" ref="E1641" si="708">SUM(E1633:E1640)</f>
        <v>251294.61000000002</v>
      </c>
      <c r="F1641" s="58">
        <f>SUM(F1632:F1640)</f>
        <v>589820</v>
      </c>
      <c r="G1641" s="58">
        <v>589820</v>
      </c>
      <c r="H1641" s="59">
        <f>SUM(H1633:H1640)</f>
        <v>562958.61999999988</v>
      </c>
      <c r="I1641" s="59"/>
      <c r="J1641" s="60">
        <f t="shared" ref="J1641:Q1641" si="709">SUM(J1633:J1640)</f>
        <v>589320</v>
      </c>
      <c r="K1641" s="61">
        <f t="shared" si="709"/>
        <v>589320</v>
      </c>
      <c r="L1641" s="62">
        <f t="shared" si="709"/>
        <v>547354.41999999993</v>
      </c>
      <c r="M1641" s="62">
        <f t="shared" si="709"/>
        <v>485508.32</v>
      </c>
      <c r="N1641" s="63">
        <f t="shared" si="709"/>
        <v>396511.3</v>
      </c>
      <c r="O1641" s="64">
        <f t="shared" si="709"/>
        <v>401284.12999999995</v>
      </c>
      <c r="P1641" s="63">
        <f t="shared" si="709"/>
        <v>424346.67</v>
      </c>
      <c r="Q1641" s="65">
        <f t="shared" si="709"/>
        <v>473629.15</v>
      </c>
      <c r="R1641" s="1"/>
      <c r="S1641" s="1"/>
      <c r="T1641" s="1"/>
    </row>
    <row r="1642" spans="1:20" ht="13.5" customHeight="1" x14ac:dyDescent="0.25">
      <c r="A1642" s="1"/>
      <c r="B1642" s="1"/>
      <c r="C1642" s="1"/>
      <c r="D1642" s="42"/>
      <c r="E1642" s="44"/>
      <c r="F1642" s="45"/>
      <c r="G1642" s="45"/>
      <c r="H1642" s="66"/>
      <c r="I1642" s="66"/>
      <c r="J1642" s="48"/>
      <c r="K1642" s="49"/>
      <c r="L1642" s="50"/>
      <c r="M1642" s="50"/>
      <c r="N1642" s="51"/>
      <c r="O1642" s="52"/>
      <c r="P1642" s="53"/>
      <c r="Q1642" s="54"/>
      <c r="R1642" s="1"/>
      <c r="S1642" s="1"/>
      <c r="T1642" s="1"/>
    </row>
    <row r="1643" spans="1:20" ht="13.5" customHeight="1" x14ac:dyDescent="0.25">
      <c r="A1643" s="1"/>
      <c r="B1643" s="1" t="s">
        <v>1489</v>
      </c>
      <c r="C1643" s="1" t="s">
        <v>970</v>
      </c>
      <c r="D1643" s="42">
        <v>3500</v>
      </c>
      <c r="E1643" s="70">
        <v>0</v>
      </c>
      <c r="F1643" s="45">
        <v>3500</v>
      </c>
      <c r="G1643" s="45">
        <v>3500</v>
      </c>
      <c r="H1643" s="74">
        <v>0</v>
      </c>
      <c r="I1643" s="47">
        <f t="shared" ref="I1643:I1649" si="710">H1643/J1643</f>
        <v>0</v>
      </c>
      <c r="J1643" s="48">
        <v>3500</v>
      </c>
      <c r="K1643" s="49">
        <v>3500</v>
      </c>
      <c r="L1643" s="77">
        <v>0</v>
      </c>
      <c r="M1643" s="77">
        <v>0</v>
      </c>
      <c r="N1643" s="53" t="s">
        <v>16</v>
      </c>
      <c r="O1643" s="52">
        <v>0</v>
      </c>
      <c r="P1643" s="53">
        <v>0</v>
      </c>
      <c r="Q1643" s="54">
        <v>0</v>
      </c>
      <c r="R1643" s="1"/>
      <c r="S1643" s="1"/>
      <c r="T1643" s="1"/>
    </row>
    <row r="1644" spans="1:20" ht="13.5" customHeight="1" x14ac:dyDescent="0.25">
      <c r="A1644" s="1"/>
      <c r="B1644" s="1" t="s">
        <v>1490</v>
      </c>
      <c r="C1644" s="55" t="s">
        <v>273</v>
      </c>
      <c r="D1644" s="42">
        <v>500</v>
      </c>
      <c r="E1644" s="70">
        <v>0</v>
      </c>
      <c r="F1644" s="45">
        <v>500</v>
      </c>
      <c r="G1644" s="45">
        <v>500</v>
      </c>
      <c r="H1644" s="74">
        <v>0</v>
      </c>
      <c r="I1644" s="47">
        <f t="shared" si="710"/>
        <v>0</v>
      </c>
      <c r="J1644" s="48">
        <v>500</v>
      </c>
      <c r="K1644" s="49">
        <v>500</v>
      </c>
      <c r="L1644" s="77">
        <v>0</v>
      </c>
      <c r="M1644" s="50">
        <v>21.37</v>
      </c>
      <c r="N1644" s="51">
        <v>293.45999999999998</v>
      </c>
      <c r="O1644" s="52">
        <v>231.76</v>
      </c>
      <c r="P1644" s="53">
        <v>21.58</v>
      </c>
      <c r="Q1644" s="54">
        <v>672.77</v>
      </c>
      <c r="R1644" s="1"/>
      <c r="S1644" s="1"/>
      <c r="T1644" s="1"/>
    </row>
    <row r="1645" spans="1:20" ht="13.5" customHeight="1" x14ac:dyDescent="0.25">
      <c r="A1645" s="1"/>
      <c r="B1645" s="1" t="s">
        <v>1491</v>
      </c>
      <c r="C1645" s="1" t="s">
        <v>275</v>
      </c>
      <c r="D1645" s="42">
        <v>5000</v>
      </c>
      <c r="E1645" s="70">
        <v>0</v>
      </c>
      <c r="F1645" s="45">
        <v>5000</v>
      </c>
      <c r="G1645" s="45">
        <v>5000</v>
      </c>
      <c r="H1645" s="66">
        <v>62.13</v>
      </c>
      <c r="I1645" s="47">
        <f t="shared" si="710"/>
        <v>1.2426000000000001E-2</v>
      </c>
      <c r="J1645" s="48">
        <v>5000</v>
      </c>
      <c r="K1645" s="49">
        <v>5000</v>
      </c>
      <c r="L1645" s="50">
        <v>4339.0600000000004</v>
      </c>
      <c r="M1645" s="50">
        <v>4544.46</v>
      </c>
      <c r="N1645" s="51">
        <v>4343.83</v>
      </c>
      <c r="O1645" s="52">
        <v>4674.76</v>
      </c>
      <c r="P1645" s="53">
        <v>4542.17</v>
      </c>
      <c r="Q1645" s="54">
        <v>5667.15</v>
      </c>
      <c r="R1645" s="1"/>
      <c r="S1645" s="1"/>
      <c r="T1645" s="1"/>
    </row>
    <row r="1646" spans="1:20" ht="13.5" customHeight="1" x14ac:dyDescent="0.25">
      <c r="A1646" s="1"/>
      <c r="B1646" s="1" t="s">
        <v>1492</v>
      </c>
      <c r="C1646" s="1" t="s">
        <v>1493</v>
      </c>
      <c r="D1646" s="42">
        <v>500</v>
      </c>
      <c r="E1646" s="70">
        <v>0</v>
      </c>
      <c r="F1646" s="45">
        <v>500</v>
      </c>
      <c r="G1646" s="45">
        <v>500</v>
      </c>
      <c r="H1646" s="74">
        <v>0</v>
      </c>
      <c r="I1646" s="47">
        <f t="shared" si="710"/>
        <v>0</v>
      </c>
      <c r="J1646" s="48">
        <v>500</v>
      </c>
      <c r="K1646" s="49">
        <v>500</v>
      </c>
      <c r="L1646" s="50">
        <v>408</v>
      </c>
      <c r="M1646" s="77">
        <v>0</v>
      </c>
      <c r="N1646" s="53" t="s">
        <v>16</v>
      </c>
      <c r="O1646" s="52">
        <v>25</v>
      </c>
      <c r="P1646" s="53">
        <v>90</v>
      </c>
      <c r="Q1646" s="54">
        <v>30</v>
      </c>
      <c r="R1646" s="1"/>
      <c r="S1646" s="1"/>
      <c r="T1646" s="1"/>
    </row>
    <row r="1647" spans="1:20" ht="13.5" customHeight="1" x14ac:dyDescent="0.25">
      <c r="A1647" s="1"/>
      <c r="B1647" s="1" t="s">
        <v>1494</v>
      </c>
      <c r="C1647" s="1" t="s">
        <v>1433</v>
      </c>
      <c r="D1647" s="42">
        <v>7500</v>
      </c>
      <c r="E1647" s="70">
        <v>0</v>
      </c>
      <c r="F1647" s="45">
        <v>7500</v>
      </c>
      <c r="G1647" s="45">
        <v>7500</v>
      </c>
      <c r="H1647" s="66">
        <v>545.29999999999995</v>
      </c>
      <c r="I1647" s="47">
        <f t="shared" si="710"/>
        <v>7.2706666666666656E-2</v>
      </c>
      <c r="J1647" s="48">
        <v>7500</v>
      </c>
      <c r="K1647" s="49">
        <v>7500</v>
      </c>
      <c r="L1647" s="50">
        <v>1716.9</v>
      </c>
      <c r="M1647" s="50">
        <v>3355.86</v>
      </c>
      <c r="N1647" s="51">
        <v>5624.3</v>
      </c>
      <c r="O1647" s="52">
        <v>3345.14</v>
      </c>
      <c r="P1647" s="53">
        <v>3034.61</v>
      </c>
      <c r="Q1647" s="54">
        <v>4633.4399999999996</v>
      </c>
      <c r="R1647" s="1"/>
      <c r="S1647" s="1"/>
      <c r="T1647" s="1"/>
    </row>
    <row r="1648" spans="1:20" ht="13.5" customHeight="1" x14ac:dyDescent="0.25">
      <c r="A1648" s="1"/>
      <c r="B1648" s="1" t="s">
        <v>1495</v>
      </c>
      <c r="C1648" s="1" t="s">
        <v>489</v>
      </c>
      <c r="D1648" s="42">
        <v>8000</v>
      </c>
      <c r="E1648" s="43">
        <v>427.44</v>
      </c>
      <c r="F1648" s="45">
        <v>8000</v>
      </c>
      <c r="G1648" s="45">
        <v>8000</v>
      </c>
      <c r="H1648" s="46">
        <v>45</v>
      </c>
      <c r="I1648" s="47">
        <f t="shared" si="710"/>
        <v>5.6249999999999998E-3</v>
      </c>
      <c r="J1648" s="48">
        <v>8000</v>
      </c>
      <c r="K1648" s="49">
        <v>8000</v>
      </c>
      <c r="L1648" s="50">
        <v>148.43</v>
      </c>
      <c r="M1648" s="50">
        <v>241.53</v>
      </c>
      <c r="N1648" s="51">
        <v>4044.1</v>
      </c>
      <c r="O1648" s="52">
        <v>2873.64</v>
      </c>
      <c r="P1648" s="53">
        <v>471.99</v>
      </c>
      <c r="Q1648" s="54">
        <v>3930.01</v>
      </c>
      <c r="R1648" s="1"/>
      <c r="S1648" s="1"/>
      <c r="T1648" s="1"/>
    </row>
    <row r="1649" spans="1:20" ht="13.5" customHeight="1" x14ac:dyDescent="0.25">
      <c r="A1649" s="1"/>
      <c r="B1649" s="1" t="s">
        <v>1496</v>
      </c>
      <c r="C1649" s="1" t="s">
        <v>281</v>
      </c>
      <c r="D1649" s="42">
        <v>4840</v>
      </c>
      <c r="E1649" s="43">
        <v>1390.87</v>
      </c>
      <c r="F1649" s="45">
        <v>4840</v>
      </c>
      <c r="G1649" s="45">
        <v>4840</v>
      </c>
      <c r="H1649" s="46">
        <v>2955.84</v>
      </c>
      <c r="I1649" s="47">
        <f t="shared" si="710"/>
        <v>0.61071074380165291</v>
      </c>
      <c r="J1649" s="48">
        <v>4840</v>
      </c>
      <c r="K1649" s="49">
        <v>4840</v>
      </c>
      <c r="L1649" s="50">
        <v>1382.82</v>
      </c>
      <c r="M1649" s="50">
        <v>1524</v>
      </c>
      <c r="N1649" s="51">
        <v>2481.06</v>
      </c>
      <c r="O1649" s="52">
        <v>3555.24</v>
      </c>
      <c r="P1649" s="53">
        <v>3656.94</v>
      </c>
      <c r="Q1649" s="54">
        <v>2936.61</v>
      </c>
      <c r="R1649" s="1"/>
      <c r="S1649" s="1"/>
      <c r="T1649" s="1"/>
    </row>
    <row r="1650" spans="1:20" ht="13.5" customHeight="1" x14ac:dyDescent="0.25">
      <c r="A1650" s="1"/>
      <c r="B1650" s="1"/>
      <c r="C1650" s="1"/>
      <c r="D1650" s="56">
        <v>29840</v>
      </c>
      <c r="E1650" s="57">
        <f t="shared" ref="E1650" si="711">SUM(E1643:E1649)</f>
        <v>1818.31</v>
      </c>
      <c r="F1650" s="58">
        <f>SUM(F1642:F1649)</f>
        <v>29840</v>
      </c>
      <c r="G1650" s="58">
        <v>29840</v>
      </c>
      <c r="H1650" s="59">
        <f>SUM(H1643:H1649)</f>
        <v>3608.27</v>
      </c>
      <c r="I1650" s="59"/>
      <c r="J1650" s="60">
        <f t="shared" ref="J1650:Q1650" si="712">SUM(J1643:J1649)</f>
        <v>29840</v>
      </c>
      <c r="K1650" s="61">
        <f t="shared" si="712"/>
        <v>29840</v>
      </c>
      <c r="L1650" s="62">
        <f t="shared" si="712"/>
        <v>7995.2100000000009</v>
      </c>
      <c r="M1650" s="62">
        <f t="shared" si="712"/>
        <v>9687.2200000000012</v>
      </c>
      <c r="N1650" s="63">
        <f t="shared" si="712"/>
        <v>16786.75</v>
      </c>
      <c r="O1650" s="64">
        <f t="shared" si="712"/>
        <v>14705.539999999999</v>
      </c>
      <c r="P1650" s="63">
        <f t="shared" si="712"/>
        <v>11817.29</v>
      </c>
      <c r="Q1650" s="65">
        <f t="shared" si="712"/>
        <v>17869.98</v>
      </c>
      <c r="R1650" s="1"/>
      <c r="S1650" s="1"/>
      <c r="T1650" s="1"/>
    </row>
    <row r="1651" spans="1:20" ht="13.5" customHeight="1" x14ac:dyDescent="0.25">
      <c r="A1651" s="1"/>
      <c r="B1651" s="1"/>
      <c r="C1651" s="1"/>
      <c r="D1651" s="42"/>
      <c r="E1651" s="44"/>
      <c r="F1651" s="45"/>
      <c r="G1651" s="45"/>
      <c r="H1651" s="66"/>
      <c r="I1651" s="66"/>
      <c r="J1651" s="48"/>
      <c r="K1651" s="49"/>
      <c r="L1651" s="50"/>
      <c r="M1651" s="50"/>
      <c r="N1651" s="51"/>
      <c r="O1651" s="52"/>
      <c r="P1651" s="53"/>
      <c r="Q1651" s="54"/>
      <c r="R1651" s="1"/>
      <c r="S1651" s="1"/>
      <c r="T1651" s="1"/>
    </row>
    <row r="1652" spans="1:20" ht="13.5" customHeight="1" x14ac:dyDescent="0.25">
      <c r="A1652" s="1"/>
      <c r="B1652" s="1" t="s">
        <v>1497</v>
      </c>
      <c r="C1652" s="1" t="s">
        <v>1451</v>
      </c>
      <c r="D1652" s="42">
        <v>1000</v>
      </c>
      <c r="E1652" s="70">
        <v>0</v>
      </c>
      <c r="F1652" s="45">
        <v>1000</v>
      </c>
      <c r="G1652" s="45">
        <v>1000</v>
      </c>
      <c r="H1652" s="74">
        <v>0</v>
      </c>
      <c r="I1652" s="47">
        <f t="shared" ref="I1652:I1653" si="713">H1652/J1652</f>
        <v>0</v>
      </c>
      <c r="J1652" s="48">
        <v>1000</v>
      </c>
      <c r="K1652" s="49">
        <v>1000</v>
      </c>
      <c r="L1652" s="77">
        <v>0</v>
      </c>
      <c r="M1652" s="77">
        <v>0</v>
      </c>
      <c r="N1652" s="53" t="s">
        <v>16</v>
      </c>
      <c r="O1652" s="52">
        <v>0</v>
      </c>
      <c r="P1652" s="53">
        <v>0</v>
      </c>
      <c r="Q1652" s="54">
        <v>0</v>
      </c>
      <c r="R1652" s="1"/>
      <c r="S1652" s="1"/>
      <c r="T1652" s="1"/>
    </row>
    <row r="1653" spans="1:20" ht="13.5" customHeight="1" x14ac:dyDescent="0.25">
      <c r="A1653" s="1"/>
      <c r="B1653" s="1" t="s">
        <v>1498</v>
      </c>
      <c r="C1653" s="1" t="s">
        <v>1499</v>
      </c>
      <c r="D1653" s="42">
        <v>790000</v>
      </c>
      <c r="E1653" s="43">
        <v>307460.28000000003</v>
      </c>
      <c r="F1653" s="45">
        <v>702904</v>
      </c>
      <c r="G1653" s="45">
        <v>702904</v>
      </c>
      <c r="H1653" s="46">
        <v>734897.89</v>
      </c>
      <c r="I1653" s="47">
        <f t="shared" si="713"/>
        <v>1.0977931888526393</v>
      </c>
      <c r="J1653" s="48">
        <v>669432</v>
      </c>
      <c r="K1653" s="49">
        <v>669432</v>
      </c>
      <c r="L1653" s="50">
        <v>672131.25</v>
      </c>
      <c r="M1653" s="50">
        <v>603159.63</v>
      </c>
      <c r="N1653" s="51">
        <v>507566.1</v>
      </c>
      <c r="O1653" s="52">
        <v>430871.18</v>
      </c>
      <c r="P1653" s="53">
        <v>437415.65</v>
      </c>
      <c r="Q1653" s="54">
        <v>417258.86</v>
      </c>
      <c r="R1653" s="1"/>
      <c r="S1653" s="1"/>
      <c r="T1653" s="1"/>
    </row>
    <row r="1654" spans="1:20" ht="13.5" customHeight="1" x14ac:dyDescent="0.25">
      <c r="A1654" s="1"/>
      <c r="B1654" s="1"/>
      <c r="C1654" s="1"/>
      <c r="D1654" s="56">
        <v>791000</v>
      </c>
      <c r="E1654" s="57">
        <f t="shared" ref="E1654" si="714">SUM(E1652:E1653)</f>
        <v>307460.28000000003</v>
      </c>
      <c r="F1654" s="58">
        <f>SUM(F1651:F1653)</f>
        <v>703904</v>
      </c>
      <c r="G1654" s="58">
        <v>703904</v>
      </c>
      <c r="H1654" s="59">
        <f>SUM(H1652:H1653)</f>
        <v>734897.89</v>
      </c>
      <c r="I1654" s="59"/>
      <c r="J1654" s="60">
        <f t="shared" ref="J1654:Q1654" si="715">SUM(J1652:J1653)</f>
        <v>670432</v>
      </c>
      <c r="K1654" s="61">
        <f t="shared" si="715"/>
        <v>670432</v>
      </c>
      <c r="L1654" s="62">
        <f t="shared" si="715"/>
        <v>672131.25</v>
      </c>
      <c r="M1654" s="62">
        <f t="shared" si="715"/>
        <v>603159.63</v>
      </c>
      <c r="N1654" s="63">
        <f t="shared" si="715"/>
        <v>507566.1</v>
      </c>
      <c r="O1654" s="64">
        <f t="shared" si="715"/>
        <v>430871.18</v>
      </c>
      <c r="P1654" s="63">
        <f t="shared" si="715"/>
        <v>437415.65</v>
      </c>
      <c r="Q1654" s="65">
        <f t="shared" si="715"/>
        <v>417258.86</v>
      </c>
      <c r="R1654" s="1"/>
      <c r="S1654" s="1"/>
      <c r="T1654" s="1"/>
    </row>
    <row r="1655" spans="1:20" ht="13.5" customHeight="1" thickBot="1" x14ac:dyDescent="0.3">
      <c r="A1655" s="1"/>
      <c r="B1655" s="1"/>
      <c r="C1655" s="116" t="s">
        <v>1500</v>
      </c>
      <c r="D1655" s="267">
        <v>6991064.4476999994</v>
      </c>
      <c r="E1655" s="173">
        <f t="shared" ref="E1655" si="716">SUM(E1623+E1631+E1641+E1650+E1654)</f>
        <v>3152626.1500000004</v>
      </c>
      <c r="F1655" s="174">
        <f>SUM(F1623,F1631,F1641,F1650,F1654)</f>
        <v>6970760.1734999986</v>
      </c>
      <c r="G1655" s="174">
        <v>6970760.1734999986</v>
      </c>
      <c r="H1655" s="175">
        <f>SUM(H1623+H1631+H1641+H1650+H1654)</f>
        <v>6338024.1499999994</v>
      </c>
      <c r="I1655" s="175"/>
      <c r="J1655" s="176">
        <f t="shared" ref="J1655:Q1655" si="717">SUM(J1623+J1631+J1641+J1650+J1654)</f>
        <v>6671182</v>
      </c>
      <c r="K1655" s="177">
        <f t="shared" si="717"/>
        <v>6671182</v>
      </c>
      <c r="L1655" s="178">
        <f t="shared" si="717"/>
        <v>5965868.2799999993</v>
      </c>
      <c r="M1655" s="178">
        <f t="shared" si="717"/>
        <v>5899779.5199999996</v>
      </c>
      <c r="N1655" s="179">
        <f t="shared" si="717"/>
        <v>5658065.8199999994</v>
      </c>
      <c r="O1655" s="180">
        <f t="shared" si="717"/>
        <v>5297583.8699999992</v>
      </c>
      <c r="P1655" s="179">
        <f t="shared" si="717"/>
        <v>5163037.9899999993</v>
      </c>
      <c r="Q1655" s="181">
        <f t="shared" si="717"/>
        <v>4964755.78</v>
      </c>
      <c r="R1655" s="1"/>
      <c r="S1655" s="1"/>
      <c r="T1655" s="1"/>
    </row>
    <row r="1656" spans="1:20" ht="13.5" customHeight="1" thickTop="1" x14ac:dyDescent="0.25">
      <c r="A1656" s="1"/>
      <c r="B1656" s="1"/>
      <c r="C1656" s="1"/>
      <c r="D1656" s="42"/>
      <c r="E1656" s="44"/>
      <c r="F1656" s="45"/>
      <c r="G1656" s="45"/>
      <c r="H1656" s="66"/>
      <c r="I1656" s="66"/>
      <c r="J1656" s="48"/>
      <c r="K1656" s="49"/>
      <c r="L1656" s="50"/>
      <c r="M1656" s="50"/>
      <c r="N1656" s="51"/>
      <c r="O1656" s="52"/>
      <c r="P1656" s="53"/>
      <c r="Q1656" s="54"/>
      <c r="R1656" s="1"/>
      <c r="S1656" s="1"/>
      <c r="T1656" s="1"/>
    </row>
    <row r="1657" spans="1:20" ht="13.5" customHeight="1" x14ac:dyDescent="0.25">
      <c r="A1657" s="1"/>
      <c r="B1657" s="1"/>
      <c r="C1657" s="1"/>
      <c r="D1657" s="42"/>
      <c r="E1657" s="44"/>
      <c r="F1657" s="45"/>
      <c r="G1657" s="45"/>
      <c r="H1657" s="66"/>
      <c r="I1657" s="66"/>
      <c r="J1657" s="48"/>
      <c r="K1657" s="49"/>
      <c r="L1657" s="50"/>
      <c r="M1657" s="50"/>
      <c r="N1657" s="51"/>
      <c r="O1657" s="52"/>
      <c r="P1657" s="53"/>
      <c r="Q1657" s="54"/>
      <c r="R1657" s="1"/>
      <c r="S1657" s="1"/>
      <c r="T1657" s="1"/>
    </row>
    <row r="1658" spans="1:20" ht="13.5" customHeight="1" x14ac:dyDescent="0.25">
      <c r="A1658" s="1"/>
      <c r="B1658" s="1"/>
      <c r="C1658" s="41" t="s">
        <v>1501</v>
      </c>
      <c r="D1658" s="42"/>
      <c r="E1658" s="44"/>
      <c r="F1658" s="45"/>
      <c r="G1658" s="45"/>
      <c r="H1658" s="66"/>
      <c r="I1658" s="66"/>
      <c r="J1658" s="48"/>
      <c r="K1658" s="49"/>
      <c r="L1658" s="50"/>
      <c r="M1658" s="50"/>
      <c r="N1658" s="51"/>
      <c r="O1658" s="52"/>
      <c r="P1658" s="53"/>
      <c r="Q1658" s="54"/>
      <c r="R1658" s="1"/>
      <c r="S1658" s="1"/>
      <c r="T1658" s="1"/>
    </row>
    <row r="1659" spans="1:20" ht="13.5" customHeight="1" x14ac:dyDescent="0.25">
      <c r="A1659" s="1"/>
      <c r="B1659" s="1" t="s">
        <v>1502</v>
      </c>
      <c r="C1659" s="1" t="s">
        <v>420</v>
      </c>
      <c r="D1659" s="42">
        <v>91854</v>
      </c>
      <c r="E1659" s="43">
        <v>43529.77</v>
      </c>
      <c r="F1659" s="45">
        <v>91020</v>
      </c>
      <c r="G1659" s="45">
        <v>91020</v>
      </c>
      <c r="H1659" s="46">
        <v>83917.5</v>
      </c>
      <c r="I1659" s="47">
        <f>H1659/J1659</f>
        <v>0.66153342845655994</v>
      </c>
      <c r="J1659" s="48">
        <v>126853</v>
      </c>
      <c r="K1659" s="49">
        <v>126853</v>
      </c>
      <c r="L1659" s="50">
        <v>313.67</v>
      </c>
      <c r="M1659" s="77">
        <v>0</v>
      </c>
      <c r="N1659" s="53" t="s">
        <v>16</v>
      </c>
      <c r="O1659" s="52"/>
      <c r="P1659" s="53"/>
      <c r="Q1659" s="54"/>
      <c r="R1659" s="1"/>
      <c r="S1659" s="1"/>
      <c r="T1659" s="1"/>
    </row>
    <row r="1660" spans="1:20" ht="13.5" customHeight="1" x14ac:dyDescent="0.25">
      <c r="A1660" s="1"/>
      <c r="B1660" s="1" t="s">
        <v>1503</v>
      </c>
      <c r="C1660" s="1" t="s">
        <v>423</v>
      </c>
      <c r="D1660" s="42">
        <v>0</v>
      </c>
      <c r="E1660" s="43">
        <v>0</v>
      </c>
      <c r="F1660" s="73">
        <v>0</v>
      </c>
      <c r="G1660" s="73">
        <v>0</v>
      </c>
      <c r="H1660" s="46">
        <v>1421.62</v>
      </c>
      <c r="I1660" s="74">
        <v>0</v>
      </c>
      <c r="J1660" s="75">
        <v>0</v>
      </c>
      <c r="K1660" s="76">
        <v>0</v>
      </c>
      <c r="L1660" s="77">
        <v>0</v>
      </c>
      <c r="M1660" s="77">
        <v>0</v>
      </c>
      <c r="N1660" s="53" t="s">
        <v>16</v>
      </c>
      <c r="O1660" s="52"/>
      <c r="P1660" s="53"/>
      <c r="Q1660" s="54"/>
      <c r="R1660" s="1"/>
      <c r="S1660" s="1"/>
      <c r="T1660" s="1"/>
    </row>
    <row r="1661" spans="1:20" ht="13.5" customHeight="1" x14ac:dyDescent="0.25">
      <c r="A1661" s="1"/>
      <c r="B1661" s="55" t="s">
        <v>1504</v>
      </c>
      <c r="C1661" s="1" t="s">
        <v>651</v>
      </c>
      <c r="D1661" s="42">
        <v>1500</v>
      </c>
      <c r="E1661" s="43">
        <v>249.99</v>
      </c>
      <c r="F1661" s="45">
        <v>500</v>
      </c>
      <c r="G1661" s="45">
        <v>500</v>
      </c>
      <c r="H1661" s="46">
        <v>192.3</v>
      </c>
      <c r="I1661" s="47"/>
      <c r="J1661" s="48">
        <v>0</v>
      </c>
      <c r="K1661" s="49">
        <v>0</v>
      </c>
      <c r="L1661" s="50">
        <v>0</v>
      </c>
      <c r="M1661" s="50">
        <v>0</v>
      </c>
      <c r="N1661" s="51">
        <v>0</v>
      </c>
      <c r="O1661" s="52">
        <v>0</v>
      </c>
      <c r="P1661" s="53">
        <v>0</v>
      </c>
      <c r="Q1661" s="54">
        <v>0</v>
      </c>
      <c r="R1661" s="1"/>
      <c r="S1661" s="1"/>
      <c r="T1661" s="1"/>
    </row>
    <row r="1662" spans="1:20" ht="13.5" customHeight="1" x14ac:dyDescent="0.25">
      <c r="A1662" s="1"/>
      <c r="B1662" s="1"/>
      <c r="C1662" s="1"/>
      <c r="D1662" s="88">
        <v>93354</v>
      </c>
      <c r="E1662" s="89">
        <f t="shared" ref="E1662" si="718">SUM(E1659:E1661)</f>
        <v>43779.759999999995</v>
      </c>
      <c r="F1662" s="90">
        <f>SUM(F1658:F1661)</f>
        <v>91520</v>
      </c>
      <c r="G1662" s="90">
        <v>91520</v>
      </c>
      <c r="H1662" s="91">
        <f>SUM(H1659:H1661)</f>
        <v>85531.42</v>
      </c>
      <c r="I1662" s="91"/>
      <c r="J1662" s="92">
        <f t="shared" ref="J1662:Q1662" si="719">SUM(J1659:J1661)</f>
        <v>126853</v>
      </c>
      <c r="K1662" s="93">
        <f t="shared" si="719"/>
        <v>126853</v>
      </c>
      <c r="L1662" s="94">
        <f t="shared" si="719"/>
        <v>313.67</v>
      </c>
      <c r="M1662" s="94">
        <f t="shared" si="719"/>
        <v>0</v>
      </c>
      <c r="N1662" s="95">
        <f t="shared" si="719"/>
        <v>0</v>
      </c>
      <c r="O1662" s="96">
        <f t="shared" si="719"/>
        <v>0</v>
      </c>
      <c r="P1662" s="95">
        <f t="shared" si="719"/>
        <v>0</v>
      </c>
      <c r="Q1662" s="97">
        <f t="shared" si="719"/>
        <v>0</v>
      </c>
      <c r="R1662" s="1"/>
      <c r="S1662" s="1"/>
      <c r="T1662" s="1"/>
    </row>
    <row r="1663" spans="1:20" ht="13.5" customHeight="1" x14ac:dyDescent="0.25">
      <c r="A1663" s="1"/>
      <c r="B1663" s="1"/>
      <c r="C1663" s="1"/>
      <c r="D1663" s="72"/>
      <c r="E1663" s="44"/>
      <c r="F1663" s="73"/>
      <c r="G1663" s="73"/>
      <c r="H1663" s="66"/>
      <c r="I1663" s="74"/>
      <c r="J1663" s="75"/>
      <c r="K1663" s="76"/>
      <c r="L1663" s="77"/>
      <c r="M1663" s="77"/>
      <c r="N1663" s="53"/>
      <c r="O1663" s="52"/>
      <c r="P1663" s="53"/>
      <c r="Q1663" s="54"/>
      <c r="R1663" s="1"/>
      <c r="S1663" s="1"/>
      <c r="T1663" s="1"/>
    </row>
    <row r="1664" spans="1:20" ht="13.5" customHeight="1" x14ac:dyDescent="0.25">
      <c r="A1664" s="1"/>
      <c r="B1664" s="1" t="s">
        <v>1505</v>
      </c>
      <c r="C1664" s="1" t="s">
        <v>247</v>
      </c>
      <c r="D1664" s="42">
        <v>7325.1809999999996</v>
      </c>
      <c r="E1664" s="43">
        <v>3091.01</v>
      </c>
      <c r="F1664" s="45">
        <v>7184.88</v>
      </c>
      <c r="G1664" s="45">
        <v>7184.88</v>
      </c>
      <c r="H1664" s="46">
        <v>6204.58</v>
      </c>
      <c r="I1664" s="47">
        <f t="shared" ref="I1664:I1669" si="720">H1664/J1664</f>
        <v>0.62170140280561126</v>
      </c>
      <c r="J1664" s="48">
        <v>9980</v>
      </c>
      <c r="K1664" s="49">
        <v>9980</v>
      </c>
      <c r="L1664" s="50">
        <v>26.26</v>
      </c>
      <c r="M1664" s="77">
        <v>0</v>
      </c>
      <c r="N1664" s="53" t="s">
        <v>16</v>
      </c>
      <c r="O1664" s="52"/>
      <c r="P1664" s="53"/>
      <c r="Q1664" s="54"/>
      <c r="R1664" s="1"/>
      <c r="S1664" s="1"/>
      <c r="T1664" s="1"/>
    </row>
    <row r="1665" spans="1:20" ht="13.5" customHeight="1" x14ac:dyDescent="0.25">
      <c r="A1665" s="1"/>
      <c r="B1665" s="1" t="s">
        <v>1506</v>
      </c>
      <c r="C1665" s="1" t="s">
        <v>249</v>
      </c>
      <c r="D1665" s="42">
        <v>20926.869600000002</v>
      </c>
      <c r="E1665" s="43">
        <v>10719.24</v>
      </c>
      <c r="F1665" s="45">
        <v>20926.547200000001</v>
      </c>
      <c r="G1665" s="45">
        <v>20926.547200000001</v>
      </c>
      <c r="H1665" s="46">
        <v>12675.06</v>
      </c>
      <c r="I1665" s="47">
        <f t="shared" si="720"/>
        <v>0.41666863905325441</v>
      </c>
      <c r="J1665" s="48">
        <v>30420</v>
      </c>
      <c r="K1665" s="49">
        <v>30420</v>
      </c>
      <c r="L1665" s="77">
        <v>0</v>
      </c>
      <c r="M1665" s="77">
        <v>0</v>
      </c>
      <c r="N1665" s="53" t="s">
        <v>16</v>
      </c>
      <c r="O1665" s="52"/>
      <c r="P1665" s="53"/>
      <c r="Q1665" s="54"/>
      <c r="R1665" s="1"/>
      <c r="S1665" s="1"/>
      <c r="T1665" s="1"/>
    </row>
    <row r="1666" spans="1:20" ht="13.5" customHeight="1" x14ac:dyDescent="0.25">
      <c r="A1666" s="1"/>
      <c r="B1666" s="1" t="s">
        <v>1507</v>
      </c>
      <c r="C1666" s="1" t="s">
        <v>251</v>
      </c>
      <c r="D1666" s="42">
        <v>14382.250800000002</v>
      </c>
      <c r="E1666" s="43">
        <v>6744.21</v>
      </c>
      <c r="F1666" s="45">
        <v>14106.784</v>
      </c>
      <c r="G1666" s="45">
        <v>14106.784</v>
      </c>
      <c r="H1666" s="46">
        <v>12773.88</v>
      </c>
      <c r="I1666" s="47">
        <f t="shared" si="720"/>
        <v>0.67436807095343676</v>
      </c>
      <c r="J1666" s="48">
        <v>18942</v>
      </c>
      <c r="K1666" s="49">
        <v>18942</v>
      </c>
      <c r="L1666" s="50">
        <v>49.85</v>
      </c>
      <c r="M1666" s="77">
        <v>0</v>
      </c>
      <c r="N1666" s="53" t="s">
        <v>16</v>
      </c>
      <c r="O1666" s="52"/>
      <c r="P1666" s="53"/>
      <c r="Q1666" s="54"/>
      <c r="R1666" s="1"/>
      <c r="S1666" s="1"/>
      <c r="T1666" s="1"/>
    </row>
    <row r="1667" spans="1:20" ht="13.5" customHeight="1" x14ac:dyDescent="0.25">
      <c r="A1667" s="1"/>
      <c r="B1667" s="1" t="s">
        <v>1508</v>
      </c>
      <c r="C1667" s="1" t="s">
        <v>253</v>
      </c>
      <c r="D1667" s="42">
        <v>153.2064</v>
      </c>
      <c r="E1667" s="43">
        <v>71.84</v>
      </c>
      <c r="F1667" s="45">
        <v>150.27199999999999</v>
      </c>
      <c r="G1667" s="45">
        <v>150.27199999999999</v>
      </c>
      <c r="H1667" s="46">
        <v>140.63</v>
      </c>
      <c r="I1667" s="47">
        <f t="shared" si="720"/>
        <v>0.67287081339712917</v>
      </c>
      <c r="J1667" s="48">
        <v>209</v>
      </c>
      <c r="K1667" s="49">
        <v>209</v>
      </c>
      <c r="L1667" s="50">
        <v>0.55000000000000004</v>
      </c>
      <c r="M1667" s="77">
        <v>0</v>
      </c>
      <c r="N1667" s="53" t="s">
        <v>16</v>
      </c>
      <c r="O1667" s="52"/>
      <c r="P1667" s="53"/>
      <c r="Q1667" s="54"/>
      <c r="R1667" s="1"/>
      <c r="S1667" s="1"/>
      <c r="T1667" s="1"/>
    </row>
    <row r="1668" spans="1:20" ht="13.5" customHeight="1" x14ac:dyDescent="0.25">
      <c r="A1668" s="1"/>
      <c r="B1668" s="1" t="s">
        <v>1509</v>
      </c>
      <c r="C1668" s="1" t="s">
        <v>255</v>
      </c>
      <c r="D1668" s="42">
        <v>702.24</v>
      </c>
      <c r="E1668" s="43">
        <v>334.56</v>
      </c>
      <c r="F1668" s="45">
        <v>670</v>
      </c>
      <c r="G1668" s="45">
        <v>670</v>
      </c>
      <c r="H1668" s="46">
        <v>404.1</v>
      </c>
      <c r="I1668" s="47">
        <f t="shared" si="720"/>
        <v>0.41832298136645968</v>
      </c>
      <c r="J1668" s="48">
        <v>966</v>
      </c>
      <c r="K1668" s="49">
        <v>966</v>
      </c>
      <c r="L1668" s="77">
        <v>0</v>
      </c>
      <c r="M1668" s="77">
        <v>0</v>
      </c>
      <c r="N1668" s="53" t="s">
        <v>16</v>
      </c>
      <c r="O1668" s="52"/>
      <c r="P1668" s="53"/>
      <c r="Q1668" s="54"/>
      <c r="R1668" s="1"/>
      <c r="S1668" s="1"/>
      <c r="T1668" s="1"/>
    </row>
    <row r="1669" spans="1:20" ht="13.5" customHeight="1" x14ac:dyDescent="0.25">
      <c r="A1669" s="1"/>
      <c r="B1669" s="1" t="s">
        <v>1510</v>
      </c>
      <c r="C1669" s="1" t="s">
        <v>559</v>
      </c>
      <c r="D1669" s="42">
        <v>2400</v>
      </c>
      <c r="E1669" s="43">
        <v>1199.9000000000001</v>
      </c>
      <c r="F1669" s="45">
        <v>2400</v>
      </c>
      <c r="G1669" s="45">
        <v>2400</v>
      </c>
      <c r="H1669" s="46">
        <v>2307.5</v>
      </c>
      <c r="I1669" s="47">
        <f t="shared" si="720"/>
        <v>0.64097222222222228</v>
      </c>
      <c r="J1669" s="48">
        <v>3600</v>
      </c>
      <c r="K1669" s="49">
        <v>3600</v>
      </c>
      <c r="L1669" s="77">
        <v>0</v>
      </c>
      <c r="M1669" s="77">
        <v>0</v>
      </c>
      <c r="N1669" s="53" t="s">
        <v>16</v>
      </c>
      <c r="O1669" s="52"/>
      <c r="P1669" s="53"/>
      <c r="Q1669" s="54"/>
      <c r="R1669" s="1"/>
      <c r="S1669" s="1"/>
      <c r="T1669" s="1"/>
    </row>
    <row r="1670" spans="1:20" ht="13.5" customHeight="1" x14ac:dyDescent="0.25">
      <c r="A1670" s="1"/>
      <c r="B1670" s="1"/>
      <c r="C1670" s="1"/>
      <c r="D1670" s="56">
        <v>45889.747800000005</v>
      </c>
      <c r="E1670" s="57">
        <f t="shared" ref="E1670" si="721">SUM(E1664:E1669)</f>
        <v>22160.760000000002</v>
      </c>
      <c r="F1670" s="58">
        <f>SUM(F1663:F1669)</f>
        <v>45438.483200000002</v>
      </c>
      <c r="G1670" s="58">
        <v>45438.483200000002</v>
      </c>
      <c r="H1670" s="59">
        <f>SUM(H1664:H1669)</f>
        <v>34505.75</v>
      </c>
      <c r="I1670" s="59"/>
      <c r="J1670" s="60">
        <f t="shared" ref="J1670:Q1670" si="722">SUM(J1664:J1669)</f>
        <v>64117</v>
      </c>
      <c r="K1670" s="61">
        <f t="shared" si="722"/>
        <v>64117</v>
      </c>
      <c r="L1670" s="62">
        <f t="shared" si="722"/>
        <v>76.66</v>
      </c>
      <c r="M1670" s="62">
        <f t="shared" si="722"/>
        <v>0</v>
      </c>
      <c r="N1670" s="63">
        <f t="shared" si="722"/>
        <v>0</v>
      </c>
      <c r="O1670" s="64">
        <f t="shared" si="722"/>
        <v>0</v>
      </c>
      <c r="P1670" s="63">
        <f t="shared" si="722"/>
        <v>0</v>
      </c>
      <c r="Q1670" s="65">
        <f t="shared" si="722"/>
        <v>0</v>
      </c>
      <c r="R1670" s="1"/>
      <c r="S1670" s="1"/>
      <c r="T1670" s="1"/>
    </row>
    <row r="1671" spans="1:20" ht="13.5" customHeight="1" thickBot="1" x14ac:dyDescent="0.3">
      <c r="A1671" s="1"/>
      <c r="B1671" s="1"/>
      <c r="C1671" s="116" t="s">
        <v>1511</v>
      </c>
      <c r="D1671" s="267">
        <v>139243.74780000001</v>
      </c>
      <c r="E1671" s="173">
        <f t="shared" ref="E1671" si="723">SUM(E1662+E1670)</f>
        <v>65940.51999999999</v>
      </c>
      <c r="F1671" s="174">
        <f>SUM(F1662,F1670)</f>
        <v>136958.48320000002</v>
      </c>
      <c r="G1671" s="174">
        <v>136958.48320000002</v>
      </c>
      <c r="H1671" s="175">
        <f>SUM(H1662+H1670)</f>
        <v>120037.17</v>
      </c>
      <c r="I1671" s="175"/>
      <c r="J1671" s="176">
        <f t="shared" ref="J1671:Q1671" si="724">SUM(J1662+J1670)</f>
        <v>190970</v>
      </c>
      <c r="K1671" s="177">
        <f t="shared" si="724"/>
        <v>190970</v>
      </c>
      <c r="L1671" s="178">
        <f t="shared" si="724"/>
        <v>390.33000000000004</v>
      </c>
      <c r="M1671" s="178">
        <f t="shared" si="724"/>
        <v>0</v>
      </c>
      <c r="N1671" s="179">
        <f t="shared" si="724"/>
        <v>0</v>
      </c>
      <c r="O1671" s="180">
        <f t="shared" si="724"/>
        <v>0</v>
      </c>
      <c r="P1671" s="179">
        <f t="shared" si="724"/>
        <v>0</v>
      </c>
      <c r="Q1671" s="181">
        <f t="shared" si="724"/>
        <v>0</v>
      </c>
      <c r="R1671" s="1"/>
      <c r="S1671" s="1"/>
      <c r="T1671" s="1"/>
    </row>
    <row r="1672" spans="1:20" ht="13.5" customHeight="1" thickTop="1" x14ac:dyDescent="0.25">
      <c r="A1672" s="1"/>
      <c r="B1672" s="1"/>
      <c r="C1672" s="1"/>
      <c r="D1672" s="42"/>
      <c r="E1672" s="44"/>
      <c r="F1672" s="45"/>
      <c r="G1672" s="45"/>
      <c r="H1672" s="66"/>
      <c r="I1672" s="66"/>
      <c r="J1672" s="48"/>
      <c r="K1672" s="49"/>
      <c r="L1672" s="77"/>
      <c r="M1672" s="77"/>
      <c r="N1672" s="53"/>
      <c r="O1672" s="52"/>
      <c r="P1672" s="53"/>
      <c r="Q1672" s="54"/>
      <c r="R1672" s="1"/>
      <c r="S1672" s="1"/>
      <c r="T1672" s="1"/>
    </row>
    <row r="1673" spans="1:20" ht="13.5" customHeight="1" x14ac:dyDescent="0.25">
      <c r="A1673" s="1"/>
      <c r="B1673" s="1"/>
      <c r="C1673" s="41" t="s">
        <v>1512</v>
      </c>
      <c r="D1673" s="42"/>
      <c r="E1673" s="44"/>
      <c r="F1673" s="45"/>
      <c r="G1673" s="45"/>
      <c r="H1673" s="66"/>
      <c r="I1673" s="66"/>
      <c r="J1673" s="48"/>
      <c r="K1673" s="49"/>
      <c r="L1673" s="77"/>
      <c r="M1673" s="77"/>
      <c r="N1673" s="53"/>
      <c r="O1673" s="52"/>
      <c r="P1673" s="53"/>
      <c r="Q1673" s="54"/>
      <c r="R1673" s="1"/>
      <c r="S1673" s="1"/>
      <c r="T1673" s="1"/>
    </row>
    <row r="1674" spans="1:20" ht="13.5" customHeight="1" x14ac:dyDescent="0.25">
      <c r="A1674" s="1"/>
      <c r="B1674" s="1" t="s">
        <v>1513</v>
      </c>
      <c r="C1674" s="55" t="s">
        <v>420</v>
      </c>
      <c r="D1674" s="42">
        <v>143744</v>
      </c>
      <c r="E1674" s="43">
        <v>52277.64</v>
      </c>
      <c r="F1674" s="45">
        <v>144689</v>
      </c>
      <c r="G1674" s="45">
        <v>144689</v>
      </c>
      <c r="H1674" s="46">
        <v>133662.32</v>
      </c>
      <c r="I1674" s="47">
        <f t="shared" ref="I1674:I1675" si="725">H1674/J1674</f>
        <v>1.0206269041928513</v>
      </c>
      <c r="J1674" s="48">
        <v>130961</v>
      </c>
      <c r="K1674" s="49">
        <v>130961</v>
      </c>
      <c r="L1674" s="50">
        <v>125106.69</v>
      </c>
      <c r="M1674" s="50">
        <v>115195.35</v>
      </c>
      <c r="N1674" s="51">
        <v>107034.76</v>
      </c>
      <c r="O1674" s="52">
        <v>91565.79</v>
      </c>
      <c r="P1674" s="53">
        <v>96507.34</v>
      </c>
      <c r="Q1674" s="54">
        <v>84392.81</v>
      </c>
      <c r="R1674" s="1"/>
      <c r="S1674" s="1"/>
      <c r="T1674" s="1"/>
    </row>
    <row r="1675" spans="1:20" ht="13.5" customHeight="1" x14ac:dyDescent="0.25">
      <c r="A1675" s="1"/>
      <c r="B1675" s="1" t="s">
        <v>1514</v>
      </c>
      <c r="C1675" s="1" t="s">
        <v>423</v>
      </c>
      <c r="D1675" s="42">
        <v>0</v>
      </c>
      <c r="E1675" s="43">
        <v>0</v>
      </c>
      <c r="F1675" s="45">
        <v>0</v>
      </c>
      <c r="G1675" s="45">
        <v>0</v>
      </c>
      <c r="H1675" s="46">
        <v>9601.58</v>
      </c>
      <c r="I1675" s="47">
        <f t="shared" si="725"/>
        <v>0.36284407830095988</v>
      </c>
      <c r="J1675" s="48">
        <v>26462</v>
      </c>
      <c r="K1675" s="49">
        <v>26462</v>
      </c>
      <c r="L1675" s="50">
        <v>23686.37</v>
      </c>
      <c r="M1675" s="50">
        <v>23596.03</v>
      </c>
      <c r="N1675" s="51">
        <v>22625.39</v>
      </c>
      <c r="O1675" s="52">
        <v>0</v>
      </c>
      <c r="P1675" s="53">
        <v>0</v>
      </c>
      <c r="Q1675" s="54">
        <v>0</v>
      </c>
      <c r="R1675" s="1"/>
      <c r="S1675" s="1"/>
      <c r="T1675" s="1"/>
    </row>
    <row r="1676" spans="1:20" ht="13.5" hidden="1" customHeight="1" x14ac:dyDescent="0.25">
      <c r="A1676" s="1"/>
      <c r="B1676" s="1" t="s">
        <v>1515</v>
      </c>
      <c r="C1676" s="1" t="s">
        <v>931</v>
      </c>
      <c r="D1676" s="72" t="s">
        <v>16</v>
      </c>
      <c r="E1676" s="70">
        <v>0</v>
      </c>
      <c r="F1676" s="86">
        <v>0</v>
      </c>
      <c r="G1676" s="86">
        <v>0</v>
      </c>
      <c r="H1676" s="74" t="s">
        <v>16</v>
      </c>
      <c r="I1676" s="74"/>
      <c r="J1676" s="75" t="s">
        <v>16</v>
      </c>
      <c r="K1676" s="76" t="s">
        <v>16</v>
      </c>
      <c r="L1676" s="50">
        <v>63.64</v>
      </c>
      <c r="M1676" s="77" t="s">
        <v>16</v>
      </c>
      <c r="N1676" s="53" t="s">
        <v>16</v>
      </c>
      <c r="O1676" s="52">
        <v>22899.84</v>
      </c>
      <c r="P1676" s="53">
        <v>21075.31</v>
      </c>
      <c r="Q1676" s="54">
        <v>21750.79</v>
      </c>
      <c r="R1676" s="1"/>
      <c r="S1676" s="1"/>
      <c r="T1676" s="1"/>
    </row>
    <row r="1677" spans="1:20" ht="13.5" customHeight="1" x14ac:dyDescent="0.25">
      <c r="A1677" s="1"/>
      <c r="B1677" s="1"/>
      <c r="C1677" s="1"/>
      <c r="D1677" s="88">
        <v>143744</v>
      </c>
      <c r="E1677" s="89">
        <f t="shared" ref="E1677" si="726">SUM(E1674:E1676)</f>
        <v>52277.64</v>
      </c>
      <c r="F1677" s="90">
        <f>SUM(F1673:F1675)</f>
        <v>144689</v>
      </c>
      <c r="G1677" s="90">
        <v>144689</v>
      </c>
      <c r="H1677" s="91">
        <f>SUM(H1674:H1676)</f>
        <v>143263.9</v>
      </c>
      <c r="I1677" s="91"/>
      <c r="J1677" s="92">
        <f t="shared" ref="J1677:Q1677" si="727">SUM(J1674:J1676)</f>
        <v>157423</v>
      </c>
      <c r="K1677" s="93">
        <f t="shared" si="727"/>
        <v>157423</v>
      </c>
      <c r="L1677" s="94">
        <f t="shared" si="727"/>
        <v>148856.70000000001</v>
      </c>
      <c r="M1677" s="94">
        <f t="shared" si="727"/>
        <v>138791.38</v>
      </c>
      <c r="N1677" s="95">
        <f t="shared" si="727"/>
        <v>129660.15</v>
      </c>
      <c r="O1677" s="96">
        <f t="shared" si="727"/>
        <v>114465.62999999999</v>
      </c>
      <c r="P1677" s="95">
        <f t="shared" si="727"/>
        <v>117582.65</v>
      </c>
      <c r="Q1677" s="97">
        <f t="shared" si="727"/>
        <v>106143.6</v>
      </c>
      <c r="R1677" s="1"/>
      <c r="S1677" s="1"/>
      <c r="T1677" s="1"/>
    </row>
    <row r="1678" spans="1:20" ht="13.5" customHeight="1" x14ac:dyDescent="0.25">
      <c r="A1678" s="1"/>
      <c r="B1678" s="1"/>
      <c r="C1678" s="1"/>
      <c r="D1678" s="72"/>
      <c r="E1678" s="67"/>
      <c r="F1678" s="73"/>
      <c r="G1678" s="73"/>
      <c r="H1678" s="74"/>
      <c r="I1678" s="74"/>
      <c r="J1678" s="75"/>
      <c r="K1678" s="76"/>
      <c r="L1678" s="50"/>
      <c r="M1678" s="77"/>
      <c r="N1678" s="53"/>
      <c r="O1678" s="52"/>
      <c r="P1678" s="53"/>
      <c r="Q1678" s="54"/>
      <c r="R1678" s="1"/>
      <c r="S1678" s="1"/>
      <c r="T1678" s="1"/>
    </row>
    <row r="1679" spans="1:20" ht="13.5" customHeight="1" x14ac:dyDescent="0.25">
      <c r="A1679" s="1"/>
      <c r="B1679" s="1" t="s">
        <v>1516</v>
      </c>
      <c r="C1679" s="1" t="s">
        <v>247</v>
      </c>
      <c r="D1679" s="42">
        <v>10995.974999999999</v>
      </c>
      <c r="E1679" s="43">
        <v>3624.54</v>
      </c>
      <c r="F1679" s="45">
        <v>10609.2675</v>
      </c>
      <c r="G1679" s="45">
        <v>10609.2675</v>
      </c>
      <c r="H1679" s="46">
        <v>12314.79</v>
      </c>
      <c r="I1679" s="47">
        <f t="shared" ref="I1679:I1683" si="728">H1679/J1679</f>
        <v>1.0225682969359795</v>
      </c>
      <c r="J1679" s="48">
        <v>12043</v>
      </c>
      <c r="K1679" s="49">
        <v>12043</v>
      </c>
      <c r="L1679" s="50">
        <v>6077.55</v>
      </c>
      <c r="M1679" s="50">
        <v>8607.7000000000007</v>
      </c>
      <c r="N1679" s="51">
        <v>7957.01</v>
      </c>
      <c r="O1679" s="52">
        <v>7011.96</v>
      </c>
      <c r="P1679" s="53">
        <v>7350.8</v>
      </c>
      <c r="Q1679" s="54">
        <v>6573.17</v>
      </c>
      <c r="R1679" s="1"/>
      <c r="S1679" s="1"/>
      <c r="T1679" s="1"/>
    </row>
    <row r="1680" spans="1:20" ht="13.5" customHeight="1" x14ac:dyDescent="0.25">
      <c r="A1680" s="1"/>
      <c r="B1680" s="1" t="s">
        <v>1517</v>
      </c>
      <c r="C1680" s="1" t="s">
        <v>249</v>
      </c>
      <c r="D1680" s="42">
        <v>68706.043600000005</v>
      </c>
      <c r="E1680" s="43">
        <v>25132.52</v>
      </c>
      <c r="F1680" s="45">
        <v>68704.915200000003</v>
      </c>
      <c r="G1680" s="45">
        <v>68704.915200000003</v>
      </c>
      <c r="H1680" s="46">
        <v>60845.25</v>
      </c>
      <c r="I1680" s="47">
        <f t="shared" si="728"/>
        <v>0.90577223669519913</v>
      </c>
      <c r="J1680" s="48">
        <v>67175</v>
      </c>
      <c r="K1680" s="49">
        <v>67175</v>
      </c>
      <c r="L1680" s="50">
        <v>51545</v>
      </c>
      <c r="M1680" s="50">
        <v>66435</v>
      </c>
      <c r="N1680" s="51">
        <v>66621.2</v>
      </c>
      <c r="O1680" s="52">
        <v>61273.72</v>
      </c>
      <c r="P1680" s="53">
        <v>65306.6</v>
      </c>
      <c r="Q1680" s="54">
        <v>62779.6</v>
      </c>
      <c r="R1680" s="1"/>
      <c r="S1680" s="1"/>
      <c r="T1680" s="1"/>
    </row>
    <row r="1681" spans="1:20" ht="13.5" customHeight="1" x14ac:dyDescent="0.25">
      <c r="A1681" s="1"/>
      <c r="B1681" s="1" t="s">
        <v>1518</v>
      </c>
      <c r="C1681" s="1" t="s">
        <v>251</v>
      </c>
      <c r="D1681" s="42">
        <v>35782.729999999996</v>
      </c>
      <c r="E1681" s="43">
        <v>7852.06</v>
      </c>
      <c r="F1681" s="45">
        <v>35023.469000000005</v>
      </c>
      <c r="G1681" s="45">
        <v>35023.469000000005</v>
      </c>
      <c r="H1681" s="46">
        <v>36467.480000000003</v>
      </c>
      <c r="I1681" s="47">
        <f t="shared" si="728"/>
        <v>1.0083917708218118</v>
      </c>
      <c r="J1681" s="48">
        <v>36164</v>
      </c>
      <c r="K1681" s="49">
        <v>36164</v>
      </c>
      <c r="L1681" s="50">
        <v>31787.19</v>
      </c>
      <c r="M1681" s="50">
        <v>31886.59</v>
      </c>
      <c r="N1681" s="51">
        <v>30518.16</v>
      </c>
      <c r="O1681" s="52">
        <v>29476.82</v>
      </c>
      <c r="P1681" s="53">
        <v>20686.759999999998</v>
      </c>
      <c r="Q1681" s="54">
        <v>29215.360000000001</v>
      </c>
      <c r="R1681" s="1"/>
      <c r="S1681" s="1"/>
      <c r="T1681" s="1"/>
    </row>
    <row r="1682" spans="1:20" ht="13.5" customHeight="1" x14ac:dyDescent="0.25">
      <c r="A1682" s="1"/>
      <c r="B1682" s="1" t="s">
        <v>1519</v>
      </c>
      <c r="C1682" s="1" t="s">
        <v>253</v>
      </c>
      <c r="D1682" s="42">
        <v>513.83999999999992</v>
      </c>
      <c r="E1682" s="43">
        <v>142.02000000000001</v>
      </c>
      <c r="F1682" s="45">
        <v>505.75199999999995</v>
      </c>
      <c r="G1682" s="45">
        <v>505.75199999999995</v>
      </c>
      <c r="H1682" s="46">
        <v>622.1</v>
      </c>
      <c r="I1682" s="47">
        <f t="shared" si="728"/>
        <v>1.160634328358209</v>
      </c>
      <c r="J1682" s="48">
        <v>536</v>
      </c>
      <c r="K1682" s="49">
        <v>536</v>
      </c>
      <c r="L1682" s="50">
        <v>433.76</v>
      </c>
      <c r="M1682" s="50">
        <v>604.55999999999995</v>
      </c>
      <c r="N1682" s="51">
        <v>747.28</v>
      </c>
      <c r="O1682" s="52">
        <v>784.32</v>
      </c>
      <c r="P1682" s="53">
        <v>800.16</v>
      </c>
      <c r="Q1682" s="54">
        <v>663.86</v>
      </c>
      <c r="R1682" s="1"/>
      <c r="S1682" s="1"/>
      <c r="T1682" s="1"/>
    </row>
    <row r="1683" spans="1:20" ht="13.5" customHeight="1" x14ac:dyDescent="0.25">
      <c r="A1683" s="1"/>
      <c r="B1683" s="1" t="s">
        <v>1520</v>
      </c>
      <c r="C1683" s="1" t="s">
        <v>1521</v>
      </c>
      <c r="D1683" s="42">
        <v>2457.8399999999997</v>
      </c>
      <c r="E1683" s="43">
        <v>780.64</v>
      </c>
      <c r="F1683" s="45">
        <v>2345</v>
      </c>
      <c r="G1683" s="45">
        <v>2345</v>
      </c>
      <c r="H1683" s="46">
        <v>1715.06</v>
      </c>
      <c r="I1683" s="47">
        <f t="shared" si="728"/>
        <v>0.76089618456078079</v>
      </c>
      <c r="J1683" s="48">
        <v>2254</v>
      </c>
      <c r="K1683" s="49">
        <v>2254</v>
      </c>
      <c r="L1683" s="50">
        <v>2086.2600000000002</v>
      </c>
      <c r="M1683" s="50">
        <v>2114.84</v>
      </c>
      <c r="N1683" s="51">
        <v>2306.7800000000002</v>
      </c>
      <c r="O1683" s="52">
        <v>2180.1</v>
      </c>
      <c r="P1683" s="53">
        <v>2532.88</v>
      </c>
      <c r="Q1683" s="54">
        <v>2057.02</v>
      </c>
      <c r="R1683" s="1"/>
      <c r="S1683" s="1"/>
      <c r="T1683" s="1"/>
    </row>
    <row r="1684" spans="1:20" ht="13.5" customHeight="1" x14ac:dyDescent="0.25">
      <c r="A1684" s="1"/>
      <c r="B1684" s="1"/>
      <c r="C1684" s="1"/>
      <c r="D1684" s="56">
        <v>118456.4286</v>
      </c>
      <c r="E1684" s="57">
        <f t="shared" ref="E1684" si="729">SUM(E1679:E1683)</f>
        <v>37531.78</v>
      </c>
      <c r="F1684" s="58">
        <f>SUM(F1678:F1683)</f>
        <v>117188.40370000001</v>
      </c>
      <c r="G1684" s="58">
        <v>117188.40370000001</v>
      </c>
      <c r="H1684" s="59">
        <f>SUM(H1679:H1683)</f>
        <v>111964.68000000002</v>
      </c>
      <c r="I1684" s="59"/>
      <c r="J1684" s="60">
        <f t="shared" ref="J1684:N1684" si="730">SUM(J1679:J1683)</f>
        <v>118172</v>
      </c>
      <c r="K1684" s="61">
        <f t="shared" si="730"/>
        <v>118172</v>
      </c>
      <c r="L1684" s="62">
        <f t="shared" si="730"/>
        <v>91929.76</v>
      </c>
      <c r="M1684" s="62">
        <f t="shared" si="730"/>
        <v>109648.68999999999</v>
      </c>
      <c r="N1684" s="63">
        <f t="shared" si="730"/>
        <v>108150.43</v>
      </c>
      <c r="O1684" s="64">
        <f t="shared" ref="O1684:Q1684" si="731">SUM(O1679:O1681)</f>
        <v>97762.5</v>
      </c>
      <c r="P1684" s="63">
        <f t="shared" si="731"/>
        <v>93344.159999999989</v>
      </c>
      <c r="Q1684" s="65">
        <f t="shared" si="731"/>
        <v>98568.13</v>
      </c>
      <c r="R1684" s="1"/>
      <c r="S1684" s="1"/>
      <c r="T1684" s="1"/>
    </row>
    <row r="1685" spans="1:20" ht="13.5" customHeight="1" x14ac:dyDescent="0.25">
      <c r="A1685" s="1"/>
      <c r="B1685" s="1"/>
      <c r="C1685" s="1"/>
      <c r="D1685" s="42"/>
      <c r="E1685" s="44"/>
      <c r="F1685" s="45"/>
      <c r="G1685" s="45"/>
      <c r="H1685" s="66"/>
      <c r="I1685" s="66"/>
      <c r="J1685" s="48"/>
      <c r="K1685" s="49"/>
      <c r="L1685" s="50"/>
      <c r="M1685" s="50"/>
      <c r="N1685" s="51"/>
      <c r="O1685" s="52"/>
      <c r="P1685" s="53"/>
      <c r="Q1685" s="54"/>
      <c r="R1685" s="1"/>
      <c r="S1685" s="1"/>
      <c r="T1685" s="1"/>
    </row>
    <row r="1686" spans="1:20" ht="13.5" customHeight="1" x14ac:dyDescent="0.25">
      <c r="A1686" s="1"/>
      <c r="B1686" s="1" t="s">
        <v>1522</v>
      </c>
      <c r="C1686" s="1" t="s">
        <v>259</v>
      </c>
      <c r="D1686" s="42">
        <v>1500</v>
      </c>
      <c r="E1686" s="43">
        <v>250.41</v>
      </c>
      <c r="F1686" s="45">
        <v>1500</v>
      </c>
      <c r="G1686" s="45">
        <v>1500</v>
      </c>
      <c r="H1686" s="46">
        <v>1662.64</v>
      </c>
      <c r="I1686" s="47">
        <f t="shared" ref="I1686:I1687" si="732">H1686/J1686</f>
        <v>1.1474396135265701</v>
      </c>
      <c r="J1686" s="48">
        <v>1449</v>
      </c>
      <c r="K1686" s="49">
        <v>1500</v>
      </c>
      <c r="L1686" s="50">
        <v>847.96</v>
      </c>
      <c r="M1686" s="50">
        <v>936.4</v>
      </c>
      <c r="N1686" s="51">
        <v>1215.8599999999999</v>
      </c>
      <c r="O1686" s="52">
        <v>1337.42</v>
      </c>
      <c r="P1686" s="53">
        <v>1585.99</v>
      </c>
      <c r="Q1686" s="54">
        <v>1474.97</v>
      </c>
      <c r="R1686" s="1"/>
      <c r="S1686" s="1"/>
      <c r="T1686" s="1"/>
    </row>
    <row r="1687" spans="1:20" ht="13.5" customHeight="1" x14ac:dyDescent="0.25">
      <c r="A1687" s="1"/>
      <c r="B1687" s="1" t="s">
        <v>1523</v>
      </c>
      <c r="C1687" s="1" t="s">
        <v>261</v>
      </c>
      <c r="D1687" s="42">
        <v>270</v>
      </c>
      <c r="E1687" s="43">
        <v>23.4</v>
      </c>
      <c r="F1687" s="45">
        <v>270</v>
      </c>
      <c r="G1687" s="45">
        <v>270</v>
      </c>
      <c r="H1687" s="46">
        <v>136.97</v>
      </c>
      <c r="I1687" s="47">
        <f t="shared" si="732"/>
        <v>0.50729629629629625</v>
      </c>
      <c r="J1687" s="48">
        <v>270</v>
      </c>
      <c r="K1687" s="49">
        <v>270</v>
      </c>
      <c r="L1687" s="50">
        <v>87.86</v>
      </c>
      <c r="M1687" s="50">
        <v>250.16</v>
      </c>
      <c r="N1687" s="51">
        <v>131.85</v>
      </c>
      <c r="O1687" s="52">
        <v>95.32</v>
      </c>
      <c r="P1687" s="53">
        <v>150.30000000000001</v>
      </c>
      <c r="Q1687" s="54">
        <v>206.7</v>
      </c>
      <c r="R1687" s="1"/>
      <c r="S1687" s="1"/>
      <c r="T1687" s="1"/>
    </row>
    <row r="1688" spans="1:20" ht="13.5" customHeight="1" x14ac:dyDescent="0.25">
      <c r="A1688" s="1"/>
      <c r="B1688" s="55" t="s">
        <v>1524</v>
      </c>
      <c r="C1688" s="55" t="s">
        <v>1525</v>
      </c>
      <c r="D1688" s="42">
        <v>2000</v>
      </c>
      <c r="E1688" s="43">
        <v>0</v>
      </c>
      <c r="F1688" s="45"/>
      <c r="G1688" s="71">
        <v>0</v>
      </c>
      <c r="H1688" s="46">
        <v>0</v>
      </c>
      <c r="I1688" s="47"/>
      <c r="J1688" s="48"/>
      <c r="K1688" s="49"/>
      <c r="L1688" s="83">
        <v>0</v>
      </c>
      <c r="M1688" s="69">
        <v>0</v>
      </c>
      <c r="N1688" s="79">
        <v>0</v>
      </c>
      <c r="O1688" s="80">
        <v>0</v>
      </c>
      <c r="P1688" s="53"/>
      <c r="Q1688" s="54"/>
      <c r="R1688" s="1"/>
      <c r="S1688" s="1"/>
      <c r="T1688" s="1"/>
    </row>
    <row r="1689" spans="1:20" ht="13.5" customHeight="1" x14ac:dyDescent="0.25">
      <c r="A1689" s="1"/>
      <c r="B1689" s="1" t="s">
        <v>1526</v>
      </c>
      <c r="C1689" s="1" t="s">
        <v>1527</v>
      </c>
      <c r="D1689" s="42">
        <v>450</v>
      </c>
      <c r="E1689" s="43">
        <v>0</v>
      </c>
      <c r="F1689" s="45">
        <v>450</v>
      </c>
      <c r="G1689" s="45">
        <v>450</v>
      </c>
      <c r="H1689" s="46">
        <v>341.01</v>
      </c>
      <c r="I1689" s="47">
        <f t="shared" ref="I1689:I1694" si="733">H1689/J1689</f>
        <v>0.75780000000000003</v>
      </c>
      <c r="J1689" s="48">
        <v>450</v>
      </c>
      <c r="K1689" s="49">
        <v>450</v>
      </c>
      <c r="L1689" s="77" t="s">
        <v>16</v>
      </c>
      <c r="M1689" s="50">
        <v>15.57</v>
      </c>
      <c r="N1689" s="51">
        <v>416.14</v>
      </c>
      <c r="O1689" s="52">
        <v>0</v>
      </c>
      <c r="P1689" s="53">
        <v>412.46</v>
      </c>
      <c r="Q1689" s="54">
        <v>436.15</v>
      </c>
      <c r="R1689" s="1"/>
      <c r="S1689" s="1"/>
      <c r="T1689" s="1"/>
    </row>
    <row r="1690" spans="1:20" ht="13.5" customHeight="1" x14ac:dyDescent="0.25">
      <c r="A1690" s="1"/>
      <c r="B1690" s="1" t="s">
        <v>1528</v>
      </c>
      <c r="C1690" s="1" t="s">
        <v>471</v>
      </c>
      <c r="D1690" s="42">
        <v>5200</v>
      </c>
      <c r="E1690" s="43">
        <v>871.91</v>
      </c>
      <c r="F1690" s="45">
        <v>5200</v>
      </c>
      <c r="G1690" s="45">
        <v>5200</v>
      </c>
      <c r="H1690" s="46">
        <v>3887.94</v>
      </c>
      <c r="I1690" s="47">
        <f t="shared" si="733"/>
        <v>0.77758800000000006</v>
      </c>
      <c r="J1690" s="48">
        <v>5000</v>
      </c>
      <c r="K1690" s="49">
        <v>5000</v>
      </c>
      <c r="L1690" s="50">
        <v>5096.1000000000004</v>
      </c>
      <c r="M1690" s="50">
        <v>4752.84</v>
      </c>
      <c r="N1690" s="51">
        <v>2278.19</v>
      </c>
      <c r="O1690" s="52">
        <v>3122.81</v>
      </c>
      <c r="P1690" s="53">
        <v>4628.37</v>
      </c>
      <c r="Q1690" s="54">
        <v>5599.61</v>
      </c>
      <c r="R1690" s="1"/>
      <c r="S1690" s="1"/>
      <c r="T1690" s="1"/>
    </row>
    <row r="1691" spans="1:20" ht="13.5" customHeight="1" x14ac:dyDescent="0.25">
      <c r="A1691" s="1"/>
      <c r="B1691" s="1" t="s">
        <v>1529</v>
      </c>
      <c r="C1691" s="1" t="s">
        <v>1118</v>
      </c>
      <c r="D1691" s="42">
        <v>140</v>
      </c>
      <c r="E1691" s="70">
        <v>0</v>
      </c>
      <c r="F1691" s="45">
        <v>140</v>
      </c>
      <c r="G1691" s="45">
        <v>140</v>
      </c>
      <c r="H1691" s="74">
        <v>190.95</v>
      </c>
      <c r="I1691" s="47">
        <f t="shared" si="733"/>
        <v>0.99973821989528788</v>
      </c>
      <c r="J1691" s="48">
        <v>191</v>
      </c>
      <c r="K1691" s="49">
        <v>140</v>
      </c>
      <c r="L1691" s="77">
        <v>0</v>
      </c>
      <c r="M1691" s="77">
        <v>0</v>
      </c>
      <c r="N1691" s="53" t="s">
        <v>16</v>
      </c>
      <c r="O1691" s="52">
        <v>0</v>
      </c>
      <c r="P1691" s="53">
        <v>0</v>
      </c>
      <c r="Q1691" s="54">
        <v>149.94999999999999</v>
      </c>
      <c r="R1691" s="1"/>
      <c r="S1691" s="1"/>
      <c r="T1691" s="1"/>
    </row>
    <row r="1692" spans="1:20" ht="13.5" customHeight="1" x14ac:dyDescent="0.25">
      <c r="A1692" s="1"/>
      <c r="B1692" s="1" t="s">
        <v>1530</v>
      </c>
      <c r="C1692" s="1" t="s">
        <v>473</v>
      </c>
      <c r="D1692" s="42">
        <v>800</v>
      </c>
      <c r="E1692" s="70">
        <v>0</v>
      </c>
      <c r="F1692" s="45">
        <v>800</v>
      </c>
      <c r="G1692" s="45">
        <v>800</v>
      </c>
      <c r="H1692" s="74">
        <v>0</v>
      </c>
      <c r="I1692" s="47">
        <f t="shared" si="733"/>
        <v>0</v>
      </c>
      <c r="J1692" s="48">
        <v>500</v>
      </c>
      <c r="K1692" s="49">
        <v>500</v>
      </c>
      <c r="L1692" s="50">
        <v>454.96</v>
      </c>
      <c r="M1692" s="77">
        <v>0</v>
      </c>
      <c r="N1692" s="51">
        <v>156.37</v>
      </c>
      <c r="O1692" s="52">
        <v>693.86</v>
      </c>
      <c r="P1692" s="53">
        <v>334.1</v>
      </c>
      <c r="Q1692" s="54">
        <v>64</v>
      </c>
      <c r="R1692" s="1"/>
      <c r="S1692" s="1"/>
      <c r="T1692" s="1"/>
    </row>
    <row r="1693" spans="1:20" ht="13.5" customHeight="1" x14ac:dyDescent="0.25">
      <c r="A1693" s="1"/>
      <c r="B1693" s="1" t="s">
        <v>1531</v>
      </c>
      <c r="C1693" s="1" t="s">
        <v>263</v>
      </c>
      <c r="D1693" s="42">
        <v>57</v>
      </c>
      <c r="E1693" s="70">
        <v>0</v>
      </c>
      <c r="F1693" s="45">
        <v>57</v>
      </c>
      <c r="G1693" s="45">
        <v>57</v>
      </c>
      <c r="H1693" s="68">
        <v>67</v>
      </c>
      <c r="I1693" s="47">
        <f t="shared" si="733"/>
        <v>1.1754385964912282</v>
      </c>
      <c r="J1693" s="48">
        <v>57</v>
      </c>
      <c r="K1693" s="49">
        <v>57</v>
      </c>
      <c r="L1693" s="77">
        <v>0</v>
      </c>
      <c r="M1693" s="50">
        <v>64</v>
      </c>
      <c r="N1693" s="53" t="s">
        <v>16</v>
      </c>
      <c r="O1693" s="52">
        <v>57</v>
      </c>
      <c r="P1693" s="53">
        <v>0</v>
      </c>
      <c r="Q1693" s="54">
        <v>51</v>
      </c>
      <c r="R1693" s="1"/>
      <c r="S1693" s="1"/>
      <c r="T1693" s="1"/>
    </row>
    <row r="1694" spans="1:20" ht="13.5" customHeight="1" x14ac:dyDescent="0.25">
      <c r="A1694" s="1"/>
      <c r="B1694" s="1" t="s">
        <v>1532</v>
      </c>
      <c r="C1694" s="1" t="s">
        <v>438</v>
      </c>
      <c r="D1694" s="42">
        <v>250</v>
      </c>
      <c r="E1694" s="70">
        <v>0</v>
      </c>
      <c r="F1694" s="45">
        <v>250</v>
      </c>
      <c r="G1694" s="45">
        <v>250</v>
      </c>
      <c r="H1694" s="74">
        <v>0</v>
      </c>
      <c r="I1694" s="47">
        <f t="shared" si="733"/>
        <v>0</v>
      </c>
      <c r="J1694" s="48">
        <v>250</v>
      </c>
      <c r="K1694" s="49">
        <v>250</v>
      </c>
      <c r="L1694" s="77">
        <v>0</v>
      </c>
      <c r="M1694" s="77">
        <v>0</v>
      </c>
      <c r="N1694" s="51">
        <v>116.99</v>
      </c>
      <c r="O1694" s="52">
        <v>0</v>
      </c>
      <c r="P1694" s="53">
        <v>0</v>
      </c>
      <c r="Q1694" s="54">
        <v>0</v>
      </c>
      <c r="R1694" s="1"/>
      <c r="S1694" s="1"/>
      <c r="T1694" s="1"/>
    </row>
    <row r="1695" spans="1:20" ht="13.5" customHeight="1" x14ac:dyDescent="0.25">
      <c r="A1695" s="1"/>
      <c r="B1695" s="1" t="s">
        <v>1533</v>
      </c>
      <c r="C1695" s="1" t="s">
        <v>267</v>
      </c>
      <c r="D1695" s="42">
        <v>0</v>
      </c>
      <c r="E1695" s="70">
        <v>97.02</v>
      </c>
      <c r="F1695" s="73">
        <v>0</v>
      </c>
      <c r="G1695" s="73">
        <v>0</v>
      </c>
      <c r="H1695" s="68">
        <v>271.02</v>
      </c>
      <c r="I1695" s="74">
        <v>0</v>
      </c>
      <c r="J1695" s="75">
        <v>0</v>
      </c>
      <c r="K1695" s="76">
        <v>0</v>
      </c>
      <c r="L1695" s="77">
        <v>0</v>
      </c>
      <c r="M1695" s="50">
        <v>117.69</v>
      </c>
      <c r="N1695" s="53" t="s">
        <v>16</v>
      </c>
      <c r="O1695" s="52">
        <v>100.88</v>
      </c>
      <c r="P1695" s="53">
        <v>0</v>
      </c>
      <c r="Q1695" s="54">
        <v>0</v>
      </c>
      <c r="R1695" s="1"/>
      <c r="S1695" s="1"/>
      <c r="T1695" s="1"/>
    </row>
    <row r="1696" spans="1:20" ht="13.5" customHeight="1" x14ac:dyDescent="0.25">
      <c r="A1696" s="1"/>
      <c r="B1696" s="1"/>
      <c r="C1696" s="1"/>
      <c r="D1696" s="88">
        <v>10667</v>
      </c>
      <c r="E1696" s="89">
        <f t="shared" ref="E1696" si="734">SUM(E1686:E1695)</f>
        <v>1242.74</v>
      </c>
      <c r="F1696" s="90">
        <f>SUM(F1685:F1695)</f>
        <v>8667</v>
      </c>
      <c r="G1696" s="90">
        <v>8667</v>
      </c>
      <c r="H1696" s="91">
        <f>SUM(H1686:H1695)</f>
        <v>6557.5299999999988</v>
      </c>
      <c r="I1696" s="91"/>
      <c r="J1696" s="92">
        <f t="shared" ref="J1696:Q1696" si="735">SUM(J1686:J1695)</f>
        <v>8167</v>
      </c>
      <c r="K1696" s="93">
        <f t="shared" si="735"/>
        <v>8167</v>
      </c>
      <c r="L1696" s="94">
        <f t="shared" si="735"/>
        <v>6486.88</v>
      </c>
      <c r="M1696" s="94">
        <f t="shared" si="735"/>
        <v>6136.66</v>
      </c>
      <c r="N1696" s="95">
        <f t="shared" si="735"/>
        <v>4315.3999999999996</v>
      </c>
      <c r="O1696" s="96">
        <f t="shared" si="735"/>
        <v>5407.29</v>
      </c>
      <c r="P1696" s="95">
        <f t="shared" si="735"/>
        <v>7111.22</v>
      </c>
      <c r="Q1696" s="97">
        <f t="shared" si="735"/>
        <v>7982.38</v>
      </c>
      <c r="R1696" s="1"/>
      <c r="S1696" s="1"/>
      <c r="T1696" s="1"/>
    </row>
    <row r="1697" spans="1:20" ht="13.5" customHeight="1" x14ac:dyDescent="0.25">
      <c r="A1697" s="1"/>
      <c r="B1697" s="1"/>
      <c r="C1697" s="1"/>
      <c r="D1697" s="72"/>
      <c r="E1697" s="67"/>
      <c r="F1697" s="73"/>
      <c r="G1697" s="73"/>
      <c r="H1697" s="74"/>
      <c r="I1697" s="74"/>
      <c r="J1697" s="75"/>
      <c r="K1697" s="76"/>
      <c r="L1697" s="77"/>
      <c r="M1697" s="50"/>
      <c r="N1697" s="53"/>
      <c r="O1697" s="52"/>
      <c r="P1697" s="53"/>
      <c r="Q1697" s="54"/>
      <c r="R1697" s="1"/>
      <c r="S1697" s="1"/>
      <c r="T1697" s="1"/>
    </row>
    <row r="1698" spans="1:20" ht="13.5" customHeight="1" x14ac:dyDescent="0.25">
      <c r="A1698" s="1"/>
      <c r="B1698" s="1" t="s">
        <v>1534</v>
      </c>
      <c r="C1698" s="1" t="s">
        <v>1535</v>
      </c>
      <c r="D1698" s="42">
        <v>1000</v>
      </c>
      <c r="E1698" s="70">
        <v>0</v>
      </c>
      <c r="F1698" s="45">
        <v>1000</v>
      </c>
      <c r="G1698" s="45">
        <v>1000</v>
      </c>
      <c r="H1698" s="74">
        <v>0</v>
      </c>
      <c r="I1698" s="47">
        <f t="shared" ref="I1698:I1704" si="736">H1698/J1698</f>
        <v>0</v>
      </c>
      <c r="J1698" s="48">
        <v>1000</v>
      </c>
      <c r="K1698" s="49">
        <v>1000</v>
      </c>
      <c r="L1698" s="77">
        <v>0</v>
      </c>
      <c r="M1698" s="50">
        <v>480</v>
      </c>
      <c r="N1698" s="51">
        <v>2390</v>
      </c>
      <c r="O1698" s="52">
        <v>680</v>
      </c>
      <c r="P1698" s="53">
        <v>540</v>
      </c>
      <c r="Q1698" s="54">
        <v>1091</v>
      </c>
      <c r="R1698" s="1"/>
      <c r="S1698" s="1"/>
      <c r="T1698" s="1"/>
    </row>
    <row r="1699" spans="1:20" ht="13.5" customHeight="1" x14ac:dyDescent="0.25">
      <c r="A1699" s="1"/>
      <c r="B1699" s="1" t="s">
        <v>1536</v>
      </c>
      <c r="C1699" s="1" t="s">
        <v>1537</v>
      </c>
      <c r="D1699" s="42">
        <v>4425</v>
      </c>
      <c r="E1699" s="70">
        <v>4410.21</v>
      </c>
      <c r="F1699" s="45">
        <v>3900</v>
      </c>
      <c r="G1699" s="45">
        <v>3900</v>
      </c>
      <c r="H1699" s="68">
        <v>3900</v>
      </c>
      <c r="I1699" s="47">
        <f t="shared" si="736"/>
        <v>1</v>
      </c>
      <c r="J1699" s="48">
        <v>3900</v>
      </c>
      <c r="K1699" s="49">
        <v>3900</v>
      </c>
      <c r="L1699" s="50">
        <v>3360</v>
      </c>
      <c r="M1699" s="50">
        <v>3300</v>
      </c>
      <c r="N1699" s="51">
        <v>4950</v>
      </c>
      <c r="O1699" s="52">
        <v>3610.43</v>
      </c>
      <c r="P1699" s="53">
        <v>3785</v>
      </c>
      <c r="Q1699" s="54">
        <v>3400</v>
      </c>
      <c r="R1699" s="1"/>
      <c r="S1699" s="1"/>
      <c r="T1699" s="1"/>
    </row>
    <row r="1700" spans="1:20" ht="13.5" customHeight="1" x14ac:dyDescent="0.25">
      <c r="A1700" s="1"/>
      <c r="B1700" s="1" t="s">
        <v>1538</v>
      </c>
      <c r="C1700" s="55" t="s">
        <v>273</v>
      </c>
      <c r="D1700" s="42">
        <v>500</v>
      </c>
      <c r="E1700" s="43">
        <v>16.7</v>
      </c>
      <c r="F1700" s="45">
        <v>500</v>
      </c>
      <c r="G1700" s="45">
        <v>500</v>
      </c>
      <c r="H1700" s="46">
        <v>119.71</v>
      </c>
      <c r="I1700" s="47">
        <f t="shared" si="736"/>
        <v>0.23941999999999999</v>
      </c>
      <c r="J1700" s="48">
        <v>500</v>
      </c>
      <c r="K1700" s="49">
        <v>500</v>
      </c>
      <c r="L1700" s="50">
        <v>185.03</v>
      </c>
      <c r="M1700" s="50">
        <v>259.07</v>
      </c>
      <c r="N1700" s="51">
        <v>217.82</v>
      </c>
      <c r="O1700" s="52">
        <v>223.83</v>
      </c>
      <c r="P1700" s="53">
        <v>197.94</v>
      </c>
      <c r="Q1700" s="54">
        <v>545.99</v>
      </c>
      <c r="R1700" s="1"/>
      <c r="S1700" s="1"/>
      <c r="T1700" s="1"/>
    </row>
    <row r="1701" spans="1:20" ht="13.5" customHeight="1" x14ac:dyDescent="0.25">
      <c r="A1701" s="1"/>
      <c r="B1701" s="1" t="s">
        <v>1539</v>
      </c>
      <c r="C1701" s="1" t="s">
        <v>1540</v>
      </c>
      <c r="D1701" s="42">
        <v>4500</v>
      </c>
      <c r="E1701" s="43">
        <v>0</v>
      </c>
      <c r="F1701" s="45">
        <v>3000</v>
      </c>
      <c r="G1701" s="45">
        <v>3000</v>
      </c>
      <c r="H1701" s="68">
        <v>827.84</v>
      </c>
      <c r="I1701" s="47">
        <f t="shared" si="736"/>
        <v>0.27594666666666667</v>
      </c>
      <c r="J1701" s="48">
        <v>3000</v>
      </c>
      <c r="K1701" s="49">
        <v>3000</v>
      </c>
      <c r="L1701" s="50">
        <v>227.23</v>
      </c>
      <c r="M1701" s="50">
        <v>2221.34</v>
      </c>
      <c r="N1701" s="51">
        <v>1541.36</v>
      </c>
      <c r="O1701" s="52">
        <v>2126.6799999999998</v>
      </c>
      <c r="P1701" s="53">
        <v>4061.91</v>
      </c>
      <c r="Q1701" s="54">
        <v>3009.07</v>
      </c>
      <c r="R1701" s="1"/>
      <c r="S1701" s="1"/>
      <c r="T1701" s="1"/>
    </row>
    <row r="1702" spans="1:20" ht="13.5" customHeight="1" x14ac:dyDescent="0.25">
      <c r="A1702" s="1"/>
      <c r="B1702" s="1" t="s">
        <v>1541</v>
      </c>
      <c r="C1702" s="1" t="s">
        <v>489</v>
      </c>
      <c r="D1702" s="42">
        <v>1500</v>
      </c>
      <c r="E1702" s="43">
        <v>876.51</v>
      </c>
      <c r="F1702" s="45">
        <v>1300</v>
      </c>
      <c r="G1702" s="45">
        <v>1300</v>
      </c>
      <c r="H1702" s="46">
        <v>1513.14</v>
      </c>
      <c r="I1702" s="47">
        <f t="shared" si="736"/>
        <v>1.1639538461538463</v>
      </c>
      <c r="J1702" s="48">
        <v>1300</v>
      </c>
      <c r="K1702" s="49">
        <v>1300</v>
      </c>
      <c r="L1702" s="50">
        <v>970.65</v>
      </c>
      <c r="M1702" s="50">
        <v>1213.83</v>
      </c>
      <c r="N1702" s="51">
        <v>1130.05</v>
      </c>
      <c r="O1702" s="52">
        <v>526.26</v>
      </c>
      <c r="P1702" s="53">
        <v>1762.1</v>
      </c>
      <c r="Q1702" s="54">
        <v>1122.79</v>
      </c>
      <c r="R1702" s="1"/>
      <c r="S1702" s="1"/>
      <c r="T1702" s="1"/>
    </row>
    <row r="1703" spans="1:20" ht="13.5" customHeight="1" x14ac:dyDescent="0.25">
      <c r="A1703" s="1"/>
      <c r="B1703" s="1" t="s">
        <v>1542</v>
      </c>
      <c r="C1703" s="1" t="s">
        <v>279</v>
      </c>
      <c r="D1703" s="42">
        <v>370</v>
      </c>
      <c r="E1703" s="43">
        <v>300</v>
      </c>
      <c r="F1703" s="45">
        <v>370</v>
      </c>
      <c r="G1703" s="45">
        <v>370</v>
      </c>
      <c r="H1703" s="66">
        <v>300</v>
      </c>
      <c r="I1703" s="47">
        <f t="shared" si="736"/>
        <v>0.81081081081081086</v>
      </c>
      <c r="J1703" s="48">
        <v>370</v>
      </c>
      <c r="K1703" s="49">
        <v>370</v>
      </c>
      <c r="L1703" s="50">
        <v>250</v>
      </c>
      <c r="M1703" s="50">
        <v>300</v>
      </c>
      <c r="N1703" s="51">
        <v>421</v>
      </c>
      <c r="O1703" s="52">
        <v>300</v>
      </c>
      <c r="P1703" s="53">
        <v>300</v>
      </c>
      <c r="Q1703" s="54">
        <v>250</v>
      </c>
      <c r="R1703" s="1"/>
      <c r="S1703" s="1"/>
      <c r="T1703" s="1"/>
    </row>
    <row r="1704" spans="1:20" ht="13.5" customHeight="1" x14ac:dyDescent="0.25">
      <c r="A1704" s="1"/>
      <c r="B1704" s="1" t="s">
        <v>1543</v>
      </c>
      <c r="C1704" s="1" t="s">
        <v>543</v>
      </c>
      <c r="D1704" s="42">
        <v>2100</v>
      </c>
      <c r="E1704" s="43">
        <v>902.65</v>
      </c>
      <c r="F1704" s="45">
        <v>1975</v>
      </c>
      <c r="G1704" s="45">
        <v>1975</v>
      </c>
      <c r="H1704" s="46">
        <v>2045.23</v>
      </c>
      <c r="I1704" s="47">
        <f t="shared" si="736"/>
        <v>1.0355594936708861</v>
      </c>
      <c r="J1704" s="48">
        <v>1975</v>
      </c>
      <c r="K1704" s="49">
        <v>1975</v>
      </c>
      <c r="L1704" s="50">
        <v>2069.62</v>
      </c>
      <c r="M1704" s="50">
        <v>1988.86</v>
      </c>
      <c r="N1704" s="51">
        <v>1810.27</v>
      </c>
      <c r="O1704" s="52">
        <v>1978.06</v>
      </c>
      <c r="P1704" s="53">
        <v>1988.43</v>
      </c>
      <c r="Q1704" s="54">
        <v>2331.4899999999998</v>
      </c>
      <c r="R1704" s="1"/>
      <c r="S1704" s="1"/>
      <c r="T1704" s="1"/>
    </row>
    <row r="1705" spans="1:20" ht="13.5" customHeight="1" x14ac:dyDescent="0.25">
      <c r="A1705" s="1"/>
      <c r="B1705" s="1"/>
      <c r="C1705" s="1"/>
      <c r="D1705" s="56">
        <v>14395</v>
      </c>
      <c r="E1705" s="57">
        <f t="shared" ref="E1705" si="737">SUM(E1698:E1704)</f>
        <v>6506.07</v>
      </c>
      <c r="F1705" s="58">
        <f>SUM(F1697:F1704)</f>
        <v>12045</v>
      </c>
      <c r="G1705" s="58">
        <v>12045</v>
      </c>
      <c r="H1705" s="59">
        <f>SUM(H1698:H1704)</f>
        <v>8705.92</v>
      </c>
      <c r="I1705" s="59"/>
      <c r="J1705" s="60">
        <f t="shared" ref="J1705:Q1705" si="738">SUM(J1698:J1704)</f>
        <v>12045</v>
      </c>
      <c r="K1705" s="61">
        <f t="shared" si="738"/>
        <v>12045</v>
      </c>
      <c r="L1705" s="62">
        <f t="shared" si="738"/>
        <v>7062.53</v>
      </c>
      <c r="M1705" s="62">
        <f t="shared" si="738"/>
        <v>9763.1</v>
      </c>
      <c r="N1705" s="63">
        <f t="shared" si="738"/>
        <v>12460.5</v>
      </c>
      <c r="O1705" s="64">
        <f t="shared" si="738"/>
        <v>9445.26</v>
      </c>
      <c r="P1705" s="63">
        <f t="shared" si="738"/>
        <v>12635.38</v>
      </c>
      <c r="Q1705" s="65">
        <f t="shared" si="738"/>
        <v>11750.339999999998</v>
      </c>
      <c r="R1705" s="1"/>
      <c r="S1705" s="1"/>
      <c r="T1705" s="1"/>
    </row>
    <row r="1706" spans="1:20" ht="13.5" customHeight="1" x14ac:dyDescent="0.25">
      <c r="A1706" s="1"/>
      <c r="B1706" s="1"/>
      <c r="C1706" s="1"/>
      <c r="D1706" s="42"/>
      <c r="E1706" s="44"/>
      <c r="F1706" s="45"/>
      <c r="G1706" s="45"/>
      <c r="H1706" s="66"/>
      <c r="I1706" s="66"/>
      <c r="J1706" s="48"/>
      <c r="K1706" s="49"/>
      <c r="L1706" s="50"/>
      <c r="M1706" s="50"/>
      <c r="N1706" s="51"/>
      <c r="O1706" s="52"/>
      <c r="P1706" s="53"/>
      <c r="Q1706" s="54"/>
      <c r="R1706" s="1"/>
      <c r="S1706" s="1"/>
      <c r="T1706" s="1"/>
    </row>
    <row r="1707" spans="1:20" ht="13.5" customHeight="1" x14ac:dyDescent="0.25">
      <c r="A1707" s="1"/>
      <c r="B1707" s="1" t="s">
        <v>1544</v>
      </c>
      <c r="C1707" s="1" t="s">
        <v>1451</v>
      </c>
      <c r="D1707" s="42">
        <v>1800</v>
      </c>
      <c r="E1707" s="43">
        <v>201.9</v>
      </c>
      <c r="F1707" s="45">
        <v>1800</v>
      </c>
      <c r="G1707" s="45">
        <v>1800</v>
      </c>
      <c r="H1707" s="46">
        <v>523.51</v>
      </c>
      <c r="I1707" s="47">
        <f t="shared" ref="I1707:I1709" si="739">H1707/J1707</f>
        <v>0.29083888888888887</v>
      </c>
      <c r="J1707" s="48">
        <v>1800</v>
      </c>
      <c r="K1707" s="49">
        <v>1800</v>
      </c>
      <c r="L1707" s="50">
        <v>517.36</v>
      </c>
      <c r="M1707" s="50">
        <v>531.23</v>
      </c>
      <c r="N1707" s="51">
        <v>452.27</v>
      </c>
      <c r="O1707" s="52">
        <v>1393.91</v>
      </c>
      <c r="P1707" s="53">
        <v>1821.03</v>
      </c>
      <c r="Q1707" s="54">
        <v>2183.85</v>
      </c>
      <c r="R1707" s="1"/>
      <c r="S1707" s="1"/>
      <c r="T1707" s="1"/>
    </row>
    <row r="1708" spans="1:20" ht="13.5" customHeight="1" x14ac:dyDescent="0.25">
      <c r="A1708" s="1"/>
      <c r="B1708" s="1" t="s">
        <v>1545</v>
      </c>
      <c r="C1708" s="1" t="s">
        <v>1546</v>
      </c>
      <c r="D1708" s="42">
        <v>93000</v>
      </c>
      <c r="E1708" s="44">
        <f>5055+46320</f>
        <v>51375</v>
      </c>
      <c r="F1708" s="45">
        <v>95000</v>
      </c>
      <c r="G1708" s="45">
        <v>95000</v>
      </c>
      <c r="H1708" s="46">
        <v>63510</v>
      </c>
      <c r="I1708" s="47">
        <f t="shared" si="739"/>
        <v>0.70566666666666666</v>
      </c>
      <c r="J1708" s="48">
        <v>90000</v>
      </c>
      <c r="K1708" s="49">
        <v>90000</v>
      </c>
      <c r="L1708" s="50">
        <v>106545</v>
      </c>
      <c r="M1708" s="50">
        <v>91409</v>
      </c>
      <c r="N1708" s="51">
        <v>41720</v>
      </c>
      <c r="O1708" s="52">
        <v>67455</v>
      </c>
      <c r="P1708" s="53">
        <v>86490</v>
      </c>
      <c r="Q1708" s="54">
        <v>89425</v>
      </c>
      <c r="R1708" s="1"/>
      <c r="S1708" s="1"/>
      <c r="T1708" s="1"/>
    </row>
    <row r="1709" spans="1:20" ht="13.5" customHeight="1" x14ac:dyDescent="0.25">
      <c r="A1709" s="1"/>
      <c r="B1709" s="1" t="s">
        <v>1547</v>
      </c>
      <c r="C1709" s="1" t="s">
        <v>1548</v>
      </c>
      <c r="D1709" s="42">
        <v>700</v>
      </c>
      <c r="E1709" s="70">
        <v>0</v>
      </c>
      <c r="F1709" s="45">
        <v>700</v>
      </c>
      <c r="G1709" s="45">
        <v>700</v>
      </c>
      <c r="H1709" s="74">
        <v>0</v>
      </c>
      <c r="I1709" s="47">
        <f t="shared" si="739"/>
        <v>0</v>
      </c>
      <c r="J1709" s="48">
        <v>700</v>
      </c>
      <c r="K1709" s="49">
        <v>700</v>
      </c>
      <c r="L1709" s="50">
        <v>339.15</v>
      </c>
      <c r="M1709" s="50">
        <v>204.36</v>
      </c>
      <c r="N1709" s="51">
        <v>1124.67</v>
      </c>
      <c r="O1709" s="52">
        <v>299</v>
      </c>
      <c r="P1709" s="53">
        <v>156.5</v>
      </c>
      <c r="Q1709" s="54">
        <v>454.35</v>
      </c>
      <c r="R1709" s="1"/>
      <c r="S1709" s="1"/>
      <c r="T1709" s="1"/>
    </row>
    <row r="1710" spans="1:20" ht="13.5" customHeight="1" x14ac:dyDescent="0.25">
      <c r="A1710" s="1"/>
      <c r="B1710" s="1"/>
      <c r="C1710" s="1"/>
      <c r="D1710" s="56">
        <v>95500</v>
      </c>
      <c r="E1710" s="57">
        <f t="shared" ref="E1710" si="740">SUM(E1707:E1709)</f>
        <v>51576.9</v>
      </c>
      <c r="F1710" s="58">
        <f>SUM(F1706:F1709)</f>
        <v>97500</v>
      </c>
      <c r="G1710" s="58">
        <v>97500</v>
      </c>
      <c r="H1710" s="59">
        <f>SUM(H1707:H1709)</f>
        <v>64033.51</v>
      </c>
      <c r="I1710" s="59"/>
      <c r="J1710" s="60">
        <f t="shared" ref="J1710:Q1710" si="741">SUM(J1707:J1709)</f>
        <v>92500</v>
      </c>
      <c r="K1710" s="61">
        <f t="shared" si="741"/>
        <v>92500</v>
      </c>
      <c r="L1710" s="62">
        <f t="shared" si="741"/>
        <v>107401.51</v>
      </c>
      <c r="M1710" s="62">
        <f t="shared" si="741"/>
        <v>92144.59</v>
      </c>
      <c r="N1710" s="63">
        <f t="shared" si="741"/>
        <v>43296.939999999995</v>
      </c>
      <c r="O1710" s="64">
        <f t="shared" si="741"/>
        <v>69147.91</v>
      </c>
      <c r="P1710" s="63">
        <f t="shared" si="741"/>
        <v>88467.53</v>
      </c>
      <c r="Q1710" s="65">
        <f t="shared" si="741"/>
        <v>92063.200000000012</v>
      </c>
      <c r="R1710" s="1"/>
      <c r="S1710" s="1"/>
      <c r="T1710" s="1"/>
    </row>
    <row r="1711" spans="1:20" ht="13.5" customHeight="1" thickBot="1" x14ac:dyDescent="0.3">
      <c r="A1711" s="1"/>
      <c r="B1711" s="1"/>
      <c r="C1711" s="116" t="s">
        <v>1549</v>
      </c>
      <c r="D1711" s="267">
        <v>382762.42859999998</v>
      </c>
      <c r="E1711" s="173">
        <f t="shared" ref="E1711" si="742">SUM(E1677+E1684+E1696+E1705+E1710)</f>
        <v>149135.13</v>
      </c>
      <c r="F1711" s="174">
        <f>SUM(F1677,F1684,F1696,F1705,F1710)</f>
        <v>380089.40370000002</v>
      </c>
      <c r="G1711" s="174">
        <v>380089.40370000002</v>
      </c>
      <c r="H1711" s="175">
        <f>SUM(H1677+H1684+H1696+H1705+H1710)</f>
        <v>334525.54000000004</v>
      </c>
      <c r="I1711" s="175"/>
      <c r="J1711" s="176">
        <f t="shared" ref="J1711:Q1711" si="743">SUM(J1677+J1684+J1696+J1705+J1710)</f>
        <v>388307</v>
      </c>
      <c r="K1711" s="177">
        <f t="shared" si="743"/>
        <v>388307</v>
      </c>
      <c r="L1711" s="178">
        <f t="shared" si="743"/>
        <v>361737.38</v>
      </c>
      <c r="M1711" s="178">
        <f t="shared" si="743"/>
        <v>356484.42000000004</v>
      </c>
      <c r="N1711" s="179">
        <f t="shared" si="743"/>
        <v>297883.42</v>
      </c>
      <c r="O1711" s="180">
        <f t="shared" si="743"/>
        <v>296228.59000000003</v>
      </c>
      <c r="P1711" s="179">
        <f t="shared" si="743"/>
        <v>319140.94</v>
      </c>
      <c r="Q1711" s="181">
        <f t="shared" si="743"/>
        <v>316507.65000000002</v>
      </c>
      <c r="R1711" s="1"/>
      <c r="S1711" s="1"/>
      <c r="T1711" s="1"/>
    </row>
    <row r="1712" spans="1:20" ht="13.5" customHeight="1" thickTop="1" x14ac:dyDescent="0.25">
      <c r="A1712" s="1"/>
      <c r="B1712" s="1"/>
      <c r="C1712" s="1"/>
      <c r="D1712" s="42"/>
      <c r="E1712" s="67"/>
      <c r="F1712" s="45"/>
      <c r="G1712" s="45"/>
      <c r="H1712" s="74"/>
      <c r="I1712" s="66"/>
      <c r="J1712" s="48"/>
      <c r="K1712" s="49"/>
      <c r="L1712" s="50"/>
      <c r="M1712" s="50"/>
      <c r="N1712" s="51"/>
      <c r="O1712" s="52"/>
      <c r="P1712" s="53"/>
      <c r="Q1712" s="54"/>
      <c r="R1712" s="1"/>
      <c r="S1712" s="1"/>
      <c r="T1712" s="1"/>
    </row>
    <row r="1713" spans="1:20" ht="13.5" customHeight="1" x14ac:dyDescent="0.25">
      <c r="A1713" s="1"/>
      <c r="B1713" s="1"/>
      <c r="C1713" s="239" t="s">
        <v>1550</v>
      </c>
      <c r="D1713" s="42"/>
      <c r="E1713" s="67"/>
      <c r="F1713" s="45"/>
      <c r="G1713" s="45"/>
      <c r="H1713" s="74"/>
      <c r="I1713" s="66"/>
      <c r="J1713" s="48"/>
      <c r="K1713" s="49"/>
      <c r="L1713" s="50"/>
      <c r="M1713" s="50"/>
      <c r="N1713" s="51"/>
      <c r="O1713" s="52"/>
      <c r="P1713" s="53"/>
      <c r="Q1713" s="54"/>
      <c r="R1713" s="1"/>
      <c r="S1713" s="1"/>
      <c r="T1713" s="1"/>
    </row>
    <row r="1714" spans="1:20" ht="13.5" customHeight="1" x14ac:dyDescent="0.25">
      <c r="A1714" s="1"/>
      <c r="B1714" s="55" t="s">
        <v>1551</v>
      </c>
      <c r="C1714" s="1" t="s">
        <v>420</v>
      </c>
      <c r="D1714" s="42">
        <v>53585</v>
      </c>
      <c r="E1714" s="70">
        <v>0</v>
      </c>
      <c r="F1714" s="45"/>
      <c r="G1714" s="71">
        <v>0</v>
      </c>
      <c r="H1714" s="68">
        <v>0</v>
      </c>
      <c r="I1714" s="66"/>
      <c r="J1714" s="48"/>
      <c r="K1714" s="49"/>
      <c r="L1714" s="69">
        <v>0</v>
      </c>
      <c r="M1714" s="69">
        <v>0</v>
      </c>
      <c r="N1714" s="51"/>
      <c r="O1714" s="52"/>
      <c r="P1714" s="53"/>
      <c r="Q1714" s="54"/>
      <c r="R1714" s="1"/>
      <c r="S1714" s="1"/>
      <c r="T1714" s="1"/>
    </row>
    <row r="1715" spans="1:20" ht="13.5" hidden="1" customHeight="1" x14ac:dyDescent="0.25">
      <c r="A1715" s="1"/>
      <c r="B1715" s="55" t="s">
        <v>1552</v>
      </c>
      <c r="C1715" s="1" t="s">
        <v>423</v>
      </c>
      <c r="D1715" s="42">
        <v>0</v>
      </c>
      <c r="E1715" s="67"/>
      <c r="F1715" s="45"/>
      <c r="G1715" s="45"/>
      <c r="H1715" s="74"/>
      <c r="I1715" s="66"/>
      <c r="J1715" s="48"/>
      <c r="K1715" s="49"/>
      <c r="L1715" s="50"/>
      <c r="M1715" s="50"/>
      <c r="N1715" s="51"/>
      <c r="O1715" s="52"/>
      <c r="P1715" s="53"/>
      <c r="Q1715" s="54"/>
      <c r="R1715" s="1"/>
      <c r="S1715" s="1"/>
      <c r="T1715" s="1"/>
    </row>
    <row r="1716" spans="1:20" ht="13.5" customHeight="1" x14ac:dyDescent="0.25">
      <c r="A1716" s="1"/>
      <c r="B1716" s="1"/>
      <c r="C1716" s="1"/>
      <c r="D1716" s="56">
        <v>53585</v>
      </c>
      <c r="E1716" s="89">
        <f>SUM(E1714)</f>
        <v>0</v>
      </c>
      <c r="F1716" s="58"/>
      <c r="G1716" s="218">
        <v>0</v>
      </c>
      <c r="H1716" s="240">
        <v>0</v>
      </c>
      <c r="I1716" s="59"/>
      <c r="J1716" s="60"/>
      <c r="K1716" s="61"/>
      <c r="L1716" s="241">
        <v>0</v>
      </c>
      <c r="M1716" s="241">
        <v>0</v>
      </c>
      <c r="N1716" s="51"/>
      <c r="O1716" s="52"/>
      <c r="P1716" s="53"/>
      <c r="Q1716" s="54"/>
      <c r="R1716" s="1"/>
      <c r="S1716" s="1"/>
      <c r="T1716" s="1"/>
    </row>
    <row r="1717" spans="1:20" ht="13.5" customHeight="1" x14ac:dyDescent="0.25">
      <c r="A1717" s="1"/>
      <c r="B1717" s="1"/>
      <c r="C1717" s="1"/>
      <c r="D1717" s="42"/>
      <c r="E1717" s="67"/>
      <c r="F1717" s="45"/>
      <c r="G1717" s="45"/>
      <c r="H1717" s="74"/>
      <c r="I1717" s="66"/>
      <c r="J1717" s="48"/>
      <c r="K1717" s="49"/>
      <c r="L1717" s="50"/>
      <c r="M1717" s="50"/>
      <c r="N1717" s="51"/>
      <c r="O1717" s="52"/>
      <c r="P1717" s="53"/>
      <c r="Q1717" s="54"/>
      <c r="R1717" s="1"/>
      <c r="S1717" s="1"/>
      <c r="T1717" s="1"/>
    </row>
    <row r="1718" spans="1:20" ht="13.5" customHeight="1" x14ac:dyDescent="0.25">
      <c r="A1718" s="1"/>
      <c r="B1718" s="55" t="s">
        <v>1553</v>
      </c>
      <c r="C1718" s="1" t="s">
        <v>247</v>
      </c>
      <c r="D1718" s="42">
        <v>4099.25</v>
      </c>
      <c r="E1718" s="70">
        <v>0</v>
      </c>
      <c r="F1718" s="45"/>
      <c r="G1718" s="71">
        <v>0</v>
      </c>
      <c r="H1718" s="68">
        <v>0</v>
      </c>
      <c r="I1718" s="66"/>
      <c r="J1718" s="48"/>
      <c r="K1718" s="49"/>
      <c r="L1718" s="69">
        <v>0</v>
      </c>
      <c r="M1718" s="69">
        <v>0</v>
      </c>
      <c r="N1718" s="51"/>
      <c r="O1718" s="52"/>
      <c r="P1718" s="53"/>
      <c r="Q1718" s="54"/>
      <c r="R1718" s="1"/>
      <c r="S1718" s="1"/>
      <c r="T1718" s="1"/>
    </row>
    <row r="1719" spans="1:20" ht="13.5" customHeight="1" x14ac:dyDescent="0.25">
      <c r="A1719" s="1"/>
      <c r="B1719" s="55" t="s">
        <v>1554</v>
      </c>
      <c r="C1719" s="1" t="s">
        <v>249</v>
      </c>
      <c r="D1719" s="42">
        <v>10463.27</v>
      </c>
      <c r="E1719" s="70">
        <v>0</v>
      </c>
      <c r="F1719" s="45"/>
      <c r="G1719" s="71">
        <v>0</v>
      </c>
      <c r="H1719" s="68">
        <v>0</v>
      </c>
      <c r="I1719" s="66"/>
      <c r="J1719" s="48"/>
      <c r="K1719" s="49"/>
      <c r="L1719" s="69">
        <v>0</v>
      </c>
      <c r="M1719" s="69">
        <v>0</v>
      </c>
      <c r="N1719" s="51"/>
      <c r="O1719" s="52"/>
      <c r="P1719" s="53"/>
      <c r="Q1719" s="54"/>
      <c r="R1719" s="1"/>
      <c r="S1719" s="1"/>
      <c r="T1719" s="1"/>
    </row>
    <row r="1720" spans="1:20" ht="13.5" customHeight="1" x14ac:dyDescent="0.25">
      <c r="A1720" s="1"/>
      <c r="B1720" s="55" t="s">
        <v>1555</v>
      </c>
      <c r="C1720" s="1" t="s">
        <v>251</v>
      </c>
      <c r="D1720" s="42">
        <v>8048.47</v>
      </c>
      <c r="E1720" s="70">
        <v>0</v>
      </c>
      <c r="F1720" s="45"/>
      <c r="G1720" s="71">
        <v>0</v>
      </c>
      <c r="H1720" s="68">
        <v>0</v>
      </c>
      <c r="I1720" s="66"/>
      <c r="J1720" s="48"/>
      <c r="K1720" s="49"/>
      <c r="L1720" s="69">
        <v>0</v>
      </c>
      <c r="M1720" s="69">
        <v>0</v>
      </c>
      <c r="N1720" s="51"/>
      <c r="O1720" s="52"/>
      <c r="P1720" s="53"/>
      <c r="Q1720" s="54"/>
      <c r="R1720" s="1"/>
      <c r="S1720" s="1"/>
      <c r="T1720" s="1"/>
    </row>
    <row r="1721" spans="1:20" ht="13.5" customHeight="1" x14ac:dyDescent="0.25">
      <c r="A1721" s="1"/>
      <c r="B1721" s="55" t="s">
        <v>1556</v>
      </c>
      <c r="C1721" s="1" t="s">
        <v>253</v>
      </c>
      <c r="D1721" s="42">
        <v>85.74</v>
      </c>
      <c r="E1721" s="70">
        <v>0</v>
      </c>
      <c r="F1721" s="45"/>
      <c r="G1721" s="71">
        <v>0</v>
      </c>
      <c r="H1721" s="68">
        <v>0</v>
      </c>
      <c r="I1721" s="66"/>
      <c r="J1721" s="48"/>
      <c r="K1721" s="49"/>
      <c r="L1721" s="69">
        <v>0</v>
      </c>
      <c r="M1721" s="69">
        <v>0</v>
      </c>
      <c r="N1721" s="51"/>
      <c r="O1721" s="52"/>
      <c r="P1721" s="53"/>
      <c r="Q1721" s="54"/>
      <c r="R1721" s="1"/>
      <c r="S1721" s="1"/>
      <c r="T1721" s="1"/>
    </row>
    <row r="1722" spans="1:20" ht="13.5" customHeight="1" x14ac:dyDescent="0.25">
      <c r="A1722" s="1"/>
      <c r="B1722" s="55" t="s">
        <v>1557</v>
      </c>
      <c r="C1722" s="1" t="s">
        <v>255</v>
      </c>
      <c r="D1722" s="42">
        <v>335</v>
      </c>
      <c r="E1722" s="70">
        <v>0</v>
      </c>
      <c r="F1722" s="45"/>
      <c r="G1722" s="71">
        <v>0</v>
      </c>
      <c r="H1722" s="68">
        <v>0</v>
      </c>
      <c r="I1722" s="66"/>
      <c r="J1722" s="48"/>
      <c r="K1722" s="49"/>
      <c r="L1722" s="69">
        <v>0</v>
      </c>
      <c r="M1722" s="69">
        <v>0</v>
      </c>
      <c r="N1722" s="51"/>
      <c r="O1722" s="52"/>
      <c r="P1722" s="53"/>
      <c r="Q1722" s="54"/>
      <c r="R1722" s="1"/>
      <c r="S1722" s="1"/>
      <c r="T1722" s="1"/>
    </row>
    <row r="1723" spans="1:20" ht="13.5" customHeight="1" x14ac:dyDescent="0.25">
      <c r="A1723" s="1"/>
      <c r="B1723" s="1"/>
      <c r="C1723" s="1"/>
      <c r="D1723" s="56">
        <v>23031.730000000003</v>
      </c>
      <c r="E1723" s="242">
        <v>0</v>
      </c>
      <c r="F1723" s="58"/>
      <c r="G1723" s="218">
        <v>0</v>
      </c>
      <c r="H1723" s="240">
        <v>0</v>
      </c>
      <c r="I1723" s="59"/>
      <c r="J1723" s="60"/>
      <c r="K1723" s="61"/>
      <c r="L1723" s="241">
        <v>0</v>
      </c>
      <c r="M1723" s="241">
        <v>0</v>
      </c>
      <c r="N1723" s="51"/>
      <c r="O1723" s="52"/>
      <c r="P1723" s="53"/>
      <c r="Q1723" s="54"/>
      <c r="R1723" s="1"/>
      <c r="S1723" s="1"/>
      <c r="T1723" s="1"/>
    </row>
    <row r="1724" spans="1:20" ht="13.5" customHeight="1" x14ac:dyDescent="0.25">
      <c r="A1724" s="1"/>
      <c r="B1724" s="1"/>
      <c r="C1724" s="1"/>
      <c r="D1724" s="42"/>
      <c r="E1724" s="67"/>
      <c r="F1724" s="45"/>
      <c r="G1724" s="45"/>
      <c r="H1724" s="74"/>
      <c r="I1724" s="66"/>
      <c r="J1724" s="48"/>
      <c r="K1724" s="49"/>
      <c r="L1724" s="50"/>
      <c r="M1724" s="50"/>
      <c r="N1724" s="51"/>
      <c r="O1724" s="52"/>
      <c r="P1724" s="53"/>
      <c r="Q1724" s="54"/>
      <c r="R1724" s="1"/>
      <c r="S1724" s="1"/>
      <c r="T1724" s="1"/>
    </row>
    <row r="1725" spans="1:20" ht="13.5" customHeight="1" x14ac:dyDescent="0.25">
      <c r="A1725" s="1"/>
      <c r="B1725" s="55" t="s">
        <v>1558</v>
      </c>
      <c r="C1725" s="1" t="s">
        <v>259</v>
      </c>
      <c r="D1725" s="42">
        <v>600</v>
      </c>
      <c r="E1725" s="70">
        <v>0</v>
      </c>
      <c r="F1725" s="45"/>
      <c r="G1725" s="71">
        <v>0</v>
      </c>
      <c r="H1725" s="68">
        <v>0</v>
      </c>
      <c r="I1725" s="66"/>
      <c r="J1725" s="48"/>
      <c r="K1725" s="49"/>
      <c r="L1725" s="69">
        <v>0</v>
      </c>
      <c r="M1725" s="69">
        <v>0</v>
      </c>
      <c r="N1725" s="51"/>
      <c r="O1725" s="52"/>
      <c r="P1725" s="53"/>
      <c r="Q1725" s="54"/>
      <c r="R1725" s="1"/>
      <c r="S1725" s="1"/>
      <c r="T1725" s="1"/>
    </row>
    <row r="1726" spans="1:20" ht="13.5" customHeight="1" x14ac:dyDescent="0.25">
      <c r="A1726" s="1"/>
      <c r="B1726" s="55" t="s">
        <v>1559</v>
      </c>
      <c r="C1726" s="1" t="s">
        <v>471</v>
      </c>
      <c r="D1726" s="42">
        <v>1000</v>
      </c>
      <c r="E1726" s="70">
        <v>0</v>
      </c>
      <c r="F1726" s="45"/>
      <c r="G1726" s="71">
        <v>0</v>
      </c>
      <c r="H1726" s="68">
        <v>0</v>
      </c>
      <c r="I1726" s="66"/>
      <c r="J1726" s="48"/>
      <c r="K1726" s="49"/>
      <c r="L1726" s="69">
        <v>0</v>
      </c>
      <c r="M1726" s="69">
        <v>0</v>
      </c>
      <c r="N1726" s="51"/>
      <c r="O1726" s="52"/>
      <c r="P1726" s="53"/>
      <c r="Q1726" s="54"/>
      <c r="R1726" s="1"/>
      <c r="S1726" s="1"/>
      <c r="T1726" s="1"/>
    </row>
    <row r="1727" spans="1:20" ht="13.5" customHeight="1" x14ac:dyDescent="0.25">
      <c r="A1727" s="1"/>
      <c r="B1727" s="55" t="s">
        <v>1560</v>
      </c>
      <c r="C1727" s="1" t="s">
        <v>473</v>
      </c>
      <c r="D1727" s="42">
        <v>600</v>
      </c>
      <c r="E1727" s="70">
        <v>0</v>
      </c>
      <c r="F1727" s="45"/>
      <c r="G1727" s="71">
        <v>0</v>
      </c>
      <c r="H1727" s="68">
        <v>0</v>
      </c>
      <c r="I1727" s="66"/>
      <c r="J1727" s="48"/>
      <c r="K1727" s="49"/>
      <c r="L1727" s="69">
        <v>0</v>
      </c>
      <c r="M1727" s="69">
        <v>0</v>
      </c>
      <c r="N1727" s="51"/>
      <c r="O1727" s="52"/>
      <c r="P1727" s="53"/>
      <c r="Q1727" s="54"/>
      <c r="R1727" s="1"/>
      <c r="S1727" s="1"/>
      <c r="T1727" s="1"/>
    </row>
    <row r="1728" spans="1:20" ht="13.5" customHeight="1" x14ac:dyDescent="0.25">
      <c r="A1728" s="1"/>
      <c r="B1728" s="55" t="s">
        <v>1561</v>
      </c>
      <c r="C1728" s="55" t="s">
        <v>265</v>
      </c>
      <c r="D1728" s="42">
        <v>0</v>
      </c>
      <c r="E1728" s="70">
        <v>0</v>
      </c>
      <c r="F1728" s="45"/>
      <c r="G1728" s="71">
        <v>0</v>
      </c>
      <c r="H1728" s="68">
        <v>0</v>
      </c>
      <c r="I1728" s="66"/>
      <c r="J1728" s="48"/>
      <c r="K1728" s="49"/>
      <c r="L1728" s="69">
        <v>0</v>
      </c>
      <c r="M1728" s="69">
        <v>0</v>
      </c>
      <c r="N1728" s="51"/>
      <c r="O1728" s="52"/>
      <c r="P1728" s="53"/>
      <c r="Q1728" s="54"/>
      <c r="R1728" s="1"/>
      <c r="S1728" s="1"/>
      <c r="T1728" s="1"/>
    </row>
    <row r="1729" spans="1:20" ht="13.5" customHeight="1" x14ac:dyDescent="0.25">
      <c r="A1729" s="1"/>
      <c r="B1729" s="55" t="s">
        <v>1562</v>
      </c>
      <c r="C1729" s="1" t="s">
        <v>267</v>
      </c>
      <c r="D1729" s="42">
        <v>400</v>
      </c>
      <c r="E1729" s="70">
        <v>0</v>
      </c>
      <c r="F1729" s="45"/>
      <c r="G1729" s="71">
        <v>0</v>
      </c>
      <c r="H1729" s="68">
        <v>0</v>
      </c>
      <c r="I1729" s="66"/>
      <c r="J1729" s="48"/>
      <c r="K1729" s="49"/>
      <c r="L1729" s="69">
        <v>0</v>
      </c>
      <c r="M1729" s="69">
        <v>0</v>
      </c>
      <c r="N1729" s="51"/>
      <c r="O1729" s="52"/>
      <c r="P1729" s="53"/>
      <c r="Q1729" s="54"/>
      <c r="R1729" s="1"/>
      <c r="S1729" s="1"/>
      <c r="T1729" s="1"/>
    </row>
    <row r="1730" spans="1:20" ht="13.5" customHeight="1" x14ac:dyDescent="0.25">
      <c r="A1730" s="1"/>
      <c r="B1730" s="1"/>
      <c r="C1730" s="1"/>
      <c r="D1730" s="56">
        <v>2600</v>
      </c>
      <c r="E1730" s="242">
        <v>0</v>
      </c>
      <c r="F1730" s="58"/>
      <c r="G1730" s="218">
        <v>0</v>
      </c>
      <c r="H1730" s="240">
        <v>0</v>
      </c>
      <c r="I1730" s="59"/>
      <c r="J1730" s="60"/>
      <c r="K1730" s="61"/>
      <c r="L1730" s="241">
        <v>0</v>
      </c>
      <c r="M1730" s="241">
        <v>0</v>
      </c>
      <c r="N1730" s="51"/>
      <c r="O1730" s="52"/>
      <c r="P1730" s="53"/>
      <c r="Q1730" s="54"/>
      <c r="R1730" s="1"/>
      <c r="S1730" s="1"/>
      <c r="T1730" s="1"/>
    </row>
    <row r="1731" spans="1:20" ht="13.5" customHeight="1" x14ac:dyDescent="0.25">
      <c r="A1731" s="1"/>
      <c r="B1731" s="1"/>
      <c r="C1731" s="1"/>
      <c r="D1731" s="42"/>
      <c r="E1731" s="67"/>
      <c r="F1731" s="45"/>
      <c r="G1731" s="45"/>
      <c r="H1731" s="74"/>
      <c r="I1731" s="66"/>
      <c r="J1731" s="48"/>
      <c r="K1731" s="49"/>
      <c r="L1731" s="50"/>
      <c r="M1731" s="50"/>
      <c r="N1731" s="51"/>
      <c r="O1731" s="52"/>
      <c r="P1731" s="53"/>
      <c r="Q1731" s="54"/>
      <c r="R1731" s="1"/>
      <c r="S1731" s="1"/>
      <c r="T1731" s="1"/>
    </row>
    <row r="1732" spans="1:20" ht="13.5" customHeight="1" x14ac:dyDescent="0.25">
      <c r="A1732" s="1"/>
      <c r="B1732" s="55" t="s">
        <v>1563</v>
      </c>
      <c r="C1732" s="1" t="s">
        <v>1564</v>
      </c>
      <c r="D1732" s="42">
        <v>0</v>
      </c>
      <c r="E1732" s="70">
        <v>0</v>
      </c>
      <c r="F1732" s="45"/>
      <c r="G1732" s="71">
        <v>0</v>
      </c>
      <c r="H1732" s="68">
        <v>0</v>
      </c>
      <c r="I1732" s="66"/>
      <c r="J1732" s="48"/>
      <c r="K1732" s="49"/>
      <c r="L1732" s="69">
        <v>0</v>
      </c>
      <c r="M1732" s="69">
        <v>0</v>
      </c>
      <c r="N1732" s="51"/>
      <c r="O1732" s="52"/>
      <c r="P1732" s="53"/>
      <c r="Q1732" s="54"/>
      <c r="R1732" s="1"/>
      <c r="S1732" s="1"/>
      <c r="T1732" s="1"/>
    </row>
    <row r="1733" spans="1:20" ht="13.5" customHeight="1" x14ac:dyDescent="0.25">
      <c r="A1733" s="1"/>
      <c r="B1733" s="55" t="s">
        <v>1565</v>
      </c>
      <c r="C1733" s="1" t="s">
        <v>275</v>
      </c>
      <c r="D1733" s="42">
        <v>700</v>
      </c>
      <c r="E1733" s="70">
        <v>0</v>
      </c>
      <c r="F1733" s="45"/>
      <c r="G1733" s="71">
        <v>0</v>
      </c>
      <c r="H1733" s="68">
        <v>0</v>
      </c>
      <c r="I1733" s="66"/>
      <c r="J1733" s="48"/>
      <c r="K1733" s="49"/>
      <c r="L1733" s="69">
        <v>0</v>
      </c>
      <c r="M1733" s="69">
        <v>0</v>
      </c>
      <c r="N1733" s="51"/>
      <c r="O1733" s="52"/>
      <c r="P1733" s="53"/>
      <c r="Q1733" s="54"/>
      <c r="R1733" s="1"/>
      <c r="S1733" s="1"/>
      <c r="T1733" s="1"/>
    </row>
    <row r="1734" spans="1:20" ht="13.5" customHeight="1" x14ac:dyDescent="0.25">
      <c r="A1734" s="1"/>
      <c r="B1734" s="55" t="s">
        <v>1566</v>
      </c>
      <c r="C1734" s="1" t="s">
        <v>482</v>
      </c>
      <c r="D1734" s="42">
        <v>200</v>
      </c>
      <c r="E1734" s="70">
        <v>0</v>
      </c>
      <c r="F1734" s="45"/>
      <c r="G1734" s="71">
        <v>0</v>
      </c>
      <c r="H1734" s="68">
        <v>0</v>
      </c>
      <c r="I1734" s="66"/>
      <c r="J1734" s="48"/>
      <c r="K1734" s="49"/>
      <c r="L1734" s="69">
        <v>0</v>
      </c>
      <c r="M1734" s="69">
        <v>0</v>
      </c>
      <c r="N1734" s="51"/>
      <c r="O1734" s="52"/>
      <c r="P1734" s="53"/>
      <c r="Q1734" s="54"/>
      <c r="R1734" s="1"/>
      <c r="S1734" s="1"/>
      <c r="T1734" s="1"/>
    </row>
    <row r="1735" spans="1:20" ht="13.5" customHeight="1" x14ac:dyDescent="0.25">
      <c r="A1735" s="1"/>
      <c r="B1735" s="55" t="s">
        <v>1567</v>
      </c>
      <c r="C1735" s="1" t="s">
        <v>326</v>
      </c>
      <c r="D1735" s="42">
        <v>500</v>
      </c>
      <c r="E1735" s="70">
        <v>0</v>
      </c>
      <c r="F1735" s="45"/>
      <c r="G1735" s="71">
        <v>0</v>
      </c>
      <c r="H1735" s="68">
        <v>0</v>
      </c>
      <c r="I1735" s="66"/>
      <c r="J1735" s="48"/>
      <c r="K1735" s="49"/>
      <c r="L1735" s="69">
        <v>0</v>
      </c>
      <c r="M1735" s="69">
        <v>0</v>
      </c>
      <c r="N1735" s="51"/>
      <c r="O1735" s="52"/>
      <c r="P1735" s="53"/>
      <c r="Q1735" s="54"/>
      <c r="R1735" s="1"/>
      <c r="S1735" s="1"/>
      <c r="T1735" s="1"/>
    </row>
    <row r="1736" spans="1:20" ht="13.5" customHeight="1" x14ac:dyDescent="0.25">
      <c r="A1736" s="1"/>
      <c r="B1736" s="55" t="s">
        <v>1568</v>
      </c>
      <c r="C1736" s="1" t="s">
        <v>1436</v>
      </c>
      <c r="D1736" s="42">
        <v>0</v>
      </c>
      <c r="E1736" s="70">
        <v>0</v>
      </c>
      <c r="F1736" s="45"/>
      <c r="G1736" s="71">
        <v>0</v>
      </c>
      <c r="H1736" s="68">
        <v>0</v>
      </c>
      <c r="I1736" s="66"/>
      <c r="J1736" s="48"/>
      <c r="K1736" s="49"/>
      <c r="L1736" s="69">
        <v>0</v>
      </c>
      <c r="M1736" s="69">
        <v>0</v>
      </c>
      <c r="N1736" s="51"/>
      <c r="O1736" s="52"/>
      <c r="P1736" s="53"/>
      <c r="Q1736" s="54"/>
      <c r="R1736" s="1"/>
      <c r="S1736" s="1"/>
      <c r="T1736" s="1"/>
    </row>
    <row r="1737" spans="1:20" ht="13.5" customHeight="1" x14ac:dyDescent="0.25">
      <c r="A1737" s="1"/>
      <c r="B1737" s="55" t="s">
        <v>1569</v>
      </c>
      <c r="C1737" s="1" t="s">
        <v>489</v>
      </c>
      <c r="D1737" s="42">
        <v>1000</v>
      </c>
      <c r="E1737" s="70">
        <v>0</v>
      </c>
      <c r="F1737" s="45"/>
      <c r="G1737" s="71">
        <v>0</v>
      </c>
      <c r="H1737" s="68">
        <v>0</v>
      </c>
      <c r="I1737" s="66"/>
      <c r="J1737" s="48"/>
      <c r="K1737" s="49"/>
      <c r="L1737" s="69">
        <v>0</v>
      </c>
      <c r="M1737" s="69">
        <v>0</v>
      </c>
      <c r="N1737" s="51"/>
      <c r="O1737" s="52"/>
      <c r="P1737" s="53"/>
      <c r="Q1737" s="54"/>
      <c r="R1737" s="1"/>
      <c r="S1737" s="1"/>
      <c r="T1737" s="1"/>
    </row>
    <row r="1738" spans="1:20" ht="13.5" customHeight="1" x14ac:dyDescent="0.25">
      <c r="A1738" s="1"/>
      <c r="B1738" s="55" t="s">
        <v>1570</v>
      </c>
      <c r="C1738" s="1" t="s">
        <v>814</v>
      </c>
      <c r="D1738" s="42">
        <v>600</v>
      </c>
      <c r="E1738" s="70">
        <v>0</v>
      </c>
      <c r="F1738" s="45"/>
      <c r="G1738" s="71">
        <v>0</v>
      </c>
      <c r="H1738" s="68">
        <v>0</v>
      </c>
      <c r="I1738" s="66"/>
      <c r="J1738" s="48"/>
      <c r="K1738" s="49"/>
      <c r="L1738" s="69">
        <v>0</v>
      </c>
      <c r="M1738" s="69">
        <v>0</v>
      </c>
      <c r="N1738" s="51"/>
      <c r="O1738" s="52"/>
      <c r="P1738" s="53"/>
      <c r="Q1738" s="54"/>
      <c r="R1738" s="1"/>
      <c r="S1738" s="1"/>
      <c r="T1738" s="1"/>
    </row>
    <row r="1739" spans="1:20" ht="13.5" customHeight="1" x14ac:dyDescent="0.25">
      <c r="A1739" s="1"/>
      <c r="B1739" s="55" t="s">
        <v>1571</v>
      </c>
      <c r="C1739" s="1" t="s">
        <v>281</v>
      </c>
      <c r="D1739" s="42">
        <v>920</v>
      </c>
      <c r="E1739" s="70">
        <v>0</v>
      </c>
      <c r="F1739" s="45"/>
      <c r="G1739" s="71">
        <v>0</v>
      </c>
      <c r="H1739" s="68">
        <v>0</v>
      </c>
      <c r="I1739" s="66"/>
      <c r="J1739" s="48"/>
      <c r="K1739" s="49"/>
      <c r="L1739" s="69">
        <v>0</v>
      </c>
      <c r="M1739" s="69">
        <v>0</v>
      </c>
      <c r="N1739" s="51"/>
      <c r="O1739" s="52"/>
      <c r="P1739" s="53"/>
      <c r="Q1739" s="54"/>
      <c r="R1739" s="1"/>
      <c r="S1739" s="1"/>
      <c r="T1739" s="1"/>
    </row>
    <row r="1740" spans="1:20" ht="13.5" customHeight="1" x14ac:dyDescent="0.25">
      <c r="A1740" s="1"/>
      <c r="B1740" s="1"/>
      <c r="C1740" s="1"/>
      <c r="D1740" s="56">
        <v>3920</v>
      </c>
      <c r="E1740" s="242">
        <v>0</v>
      </c>
      <c r="F1740" s="58"/>
      <c r="G1740" s="218">
        <v>0</v>
      </c>
      <c r="H1740" s="240">
        <v>0</v>
      </c>
      <c r="I1740" s="59"/>
      <c r="J1740" s="60"/>
      <c r="K1740" s="61"/>
      <c r="L1740" s="241">
        <v>0</v>
      </c>
      <c r="M1740" s="241">
        <v>0</v>
      </c>
      <c r="N1740" s="51"/>
      <c r="O1740" s="52"/>
      <c r="P1740" s="53"/>
      <c r="Q1740" s="54"/>
      <c r="R1740" s="1"/>
      <c r="S1740" s="1"/>
      <c r="T1740" s="1"/>
    </row>
    <row r="1741" spans="1:20" ht="13.5" customHeight="1" thickBot="1" x14ac:dyDescent="0.3">
      <c r="A1741" s="1"/>
      <c r="B1741" s="1"/>
      <c r="C1741" s="132" t="s">
        <v>1572</v>
      </c>
      <c r="D1741" s="267">
        <v>83136.73000000001</v>
      </c>
      <c r="E1741" s="243">
        <v>0</v>
      </c>
      <c r="F1741" s="195"/>
      <c r="G1741" s="244">
        <v>0</v>
      </c>
      <c r="H1741" s="245">
        <v>0</v>
      </c>
      <c r="I1741" s="196"/>
      <c r="J1741" s="197"/>
      <c r="K1741" s="198"/>
      <c r="L1741" s="246">
        <v>0</v>
      </c>
      <c r="M1741" s="246">
        <v>0</v>
      </c>
      <c r="N1741" s="51"/>
      <c r="O1741" s="52"/>
      <c r="P1741" s="53"/>
      <c r="Q1741" s="54"/>
      <c r="R1741" s="1"/>
      <c r="S1741" s="1"/>
      <c r="T1741" s="1"/>
    </row>
    <row r="1742" spans="1:20" ht="13.5" customHeight="1" thickTop="1" x14ac:dyDescent="0.25">
      <c r="A1742" s="1"/>
      <c r="B1742" s="1"/>
      <c r="C1742" s="114"/>
      <c r="D1742" s="42"/>
      <c r="E1742" s="67"/>
      <c r="F1742" s="45"/>
      <c r="G1742" s="45"/>
      <c r="H1742" s="74"/>
      <c r="I1742" s="66"/>
      <c r="J1742" s="48"/>
      <c r="K1742" s="49"/>
      <c r="L1742" s="50"/>
      <c r="M1742" s="50"/>
      <c r="N1742" s="51"/>
      <c r="O1742" s="52"/>
      <c r="P1742" s="53"/>
      <c r="Q1742" s="54"/>
      <c r="R1742" s="1"/>
      <c r="S1742" s="1"/>
      <c r="T1742" s="1"/>
    </row>
    <row r="1743" spans="1:20" ht="13.5" customHeight="1" x14ac:dyDescent="0.25">
      <c r="A1743" s="1"/>
      <c r="B1743" s="1"/>
      <c r="C1743" s="239" t="s">
        <v>1573</v>
      </c>
      <c r="D1743" s="42"/>
      <c r="E1743" s="67"/>
      <c r="F1743" s="45"/>
      <c r="G1743" s="45"/>
      <c r="H1743" s="74"/>
      <c r="I1743" s="66"/>
      <c r="J1743" s="48"/>
      <c r="K1743" s="49"/>
      <c r="L1743" s="50"/>
      <c r="M1743" s="50"/>
      <c r="N1743" s="51"/>
      <c r="O1743" s="52"/>
      <c r="P1743" s="53"/>
      <c r="Q1743" s="54"/>
      <c r="R1743" s="1"/>
      <c r="S1743" s="1"/>
      <c r="T1743" s="1"/>
    </row>
    <row r="1744" spans="1:20" ht="13.5" customHeight="1" x14ac:dyDescent="0.25">
      <c r="A1744" s="1"/>
      <c r="B1744" s="1" t="s">
        <v>1574</v>
      </c>
      <c r="C1744" s="1" t="s">
        <v>420</v>
      </c>
      <c r="D1744" s="42">
        <v>0</v>
      </c>
      <c r="E1744" s="43">
        <v>29792.720000000001</v>
      </c>
      <c r="F1744" s="45">
        <v>52621</v>
      </c>
      <c r="G1744" s="45">
        <v>52621</v>
      </c>
      <c r="H1744" s="46">
        <v>47528.88</v>
      </c>
      <c r="I1744" s="47">
        <f t="shared" ref="I1744:I1745" si="744">H1744/J1744</f>
        <v>1.005221437333446</v>
      </c>
      <c r="J1744" s="48">
        <v>47282</v>
      </c>
      <c r="K1744" s="49">
        <v>47282</v>
      </c>
      <c r="L1744" s="50">
        <v>46410.2</v>
      </c>
      <c r="M1744" s="50">
        <v>45415.43</v>
      </c>
      <c r="N1744" s="51">
        <v>44699.54</v>
      </c>
      <c r="O1744" s="52">
        <v>42831.17</v>
      </c>
      <c r="P1744" s="53">
        <v>42802.51</v>
      </c>
      <c r="Q1744" s="54">
        <v>41168.92</v>
      </c>
      <c r="R1744" s="1"/>
      <c r="S1744" s="1"/>
      <c r="T1744" s="1"/>
    </row>
    <row r="1745" spans="1:20" ht="13.5" hidden="1" customHeight="1" x14ac:dyDescent="0.25">
      <c r="A1745" s="1"/>
      <c r="B1745" s="1" t="s">
        <v>1575</v>
      </c>
      <c r="C1745" s="1" t="s">
        <v>423</v>
      </c>
      <c r="D1745" s="42">
        <v>0</v>
      </c>
      <c r="E1745" s="43">
        <v>0</v>
      </c>
      <c r="F1745" s="45">
        <v>0</v>
      </c>
      <c r="G1745" s="45">
        <v>0</v>
      </c>
      <c r="H1745" s="46">
        <v>3600.89</v>
      </c>
      <c r="I1745" s="47">
        <f t="shared" si="744"/>
        <v>0.97558656190734216</v>
      </c>
      <c r="J1745" s="48">
        <v>3691</v>
      </c>
      <c r="K1745" s="49">
        <v>3691</v>
      </c>
      <c r="L1745" s="50">
        <v>3445.78</v>
      </c>
      <c r="M1745" s="50">
        <v>3163.02</v>
      </c>
      <c r="N1745" s="51">
        <v>2909.02</v>
      </c>
      <c r="O1745" s="52">
        <v>2653.04</v>
      </c>
      <c r="P1745" s="53">
        <v>2379.13</v>
      </c>
      <c r="Q1745" s="54">
        <v>2136.35</v>
      </c>
      <c r="R1745" s="1"/>
      <c r="S1745" s="1"/>
      <c r="T1745" s="1"/>
    </row>
    <row r="1746" spans="1:20" ht="13.5" customHeight="1" x14ac:dyDescent="0.25">
      <c r="A1746" s="1"/>
      <c r="B1746" s="1"/>
      <c r="C1746" s="1"/>
      <c r="D1746" s="56">
        <v>0</v>
      </c>
      <c r="E1746" s="57">
        <f t="shared" ref="E1746" si="745">SUM(E1744:E1745)</f>
        <v>29792.720000000001</v>
      </c>
      <c r="F1746" s="58">
        <f>SUM(F1743:F1745)</f>
        <v>52621</v>
      </c>
      <c r="G1746" s="58">
        <v>52621</v>
      </c>
      <c r="H1746" s="59">
        <f>SUM(H1744:H1745)</f>
        <v>51129.77</v>
      </c>
      <c r="I1746" s="59"/>
      <c r="J1746" s="60">
        <f t="shared" ref="J1746:Q1746" si="746">SUM(J1744:J1745)</f>
        <v>50973</v>
      </c>
      <c r="K1746" s="61">
        <f t="shared" si="746"/>
        <v>50973</v>
      </c>
      <c r="L1746" s="62">
        <f t="shared" si="746"/>
        <v>49855.979999999996</v>
      </c>
      <c r="M1746" s="62">
        <f t="shared" si="746"/>
        <v>48578.45</v>
      </c>
      <c r="N1746" s="63">
        <f t="shared" si="746"/>
        <v>47608.56</v>
      </c>
      <c r="O1746" s="64">
        <f t="shared" si="746"/>
        <v>45484.21</v>
      </c>
      <c r="P1746" s="63">
        <f t="shared" si="746"/>
        <v>45181.64</v>
      </c>
      <c r="Q1746" s="65">
        <f t="shared" si="746"/>
        <v>43305.27</v>
      </c>
      <c r="R1746" s="1"/>
      <c r="S1746" s="1"/>
      <c r="T1746" s="1"/>
    </row>
    <row r="1747" spans="1:20" ht="13.5" customHeight="1" x14ac:dyDescent="0.25">
      <c r="A1747" s="1"/>
      <c r="B1747" s="1"/>
      <c r="C1747" s="1"/>
      <c r="D1747" s="42"/>
      <c r="E1747" s="44"/>
      <c r="F1747" s="45"/>
      <c r="G1747" s="45"/>
      <c r="H1747" s="66"/>
      <c r="I1747" s="66"/>
      <c r="J1747" s="48"/>
      <c r="K1747" s="49"/>
      <c r="L1747" s="50"/>
      <c r="M1747" s="50"/>
      <c r="N1747" s="51"/>
      <c r="O1747" s="52"/>
      <c r="P1747" s="53"/>
      <c r="Q1747" s="54"/>
      <c r="R1747" s="1"/>
      <c r="S1747" s="1"/>
      <c r="T1747" s="1"/>
    </row>
    <row r="1748" spans="1:20" ht="13.5" customHeight="1" x14ac:dyDescent="0.25">
      <c r="A1748" s="1"/>
      <c r="B1748" s="1" t="s">
        <v>1576</v>
      </c>
      <c r="C1748" s="1" t="s">
        <v>247</v>
      </c>
      <c r="D1748" s="42">
        <v>2.500000000509317E-3</v>
      </c>
      <c r="E1748" s="43">
        <v>2187.48</v>
      </c>
      <c r="F1748" s="71">
        <v>4097.07</v>
      </c>
      <c r="G1748" s="45">
        <v>17597.065500000001</v>
      </c>
      <c r="H1748" s="46">
        <v>3542</v>
      </c>
      <c r="I1748" s="47">
        <f t="shared" ref="I1748:I1752" si="747">H1748/J1748</f>
        <v>0.90867111339148277</v>
      </c>
      <c r="J1748" s="81">
        <v>3898</v>
      </c>
      <c r="K1748" s="49">
        <v>3900</v>
      </c>
      <c r="L1748" s="50">
        <v>3210.87</v>
      </c>
      <c r="M1748" s="50">
        <v>3153.37</v>
      </c>
      <c r="N1748" s="51">
        <v>3077.42</v>
      </c>
      <c r="O1748" s="52">
        <v>3161.13</v>
      </c>
      <c r="P1748" s="53">
        <v>3051.15</v>
      </c>
      <c r="Q1748" s="54">
        <v>2948.04</v>
      </c>
      <c r="R1748" s="1"/>
      <c r="S1748" s="1"/>
      <c r="T1748" s="1"/>
    </row>
    <row r="1749" spans="1:20" ht="13.5" customHeight="1" x14ac:dyDescent="0.25">
      <c r="A1749" s="1"/>
      <c r="B1749" s="1" t="s">
        <v>1577</v>
      </c>
      <c r="C1749" s="1" t="s">
        <v>249</v>
      </c>
      <c r="D1749" s="42">
        <v>4.8000000006140908E-3</v>
      </c>
      <c r="E1749" s="43">
        <v>5178.18</v>
      </c>
      <c r="F1749" s="45">
        <v>10463.2736</v>
      </c>
      <c r="G1749" s="45">
        <v>10463.2736</v>
      </c>
      <c r="H1749" s="46">
        <v>10176.06</v>
      </c>
      <c r="I1749" s="47">
        <f t="shared" si="747"/>
        <v>0.99453283815480842</v>
      </c>
      <c r="J1749" s="48">
        <v>10232</v>
      </c>
      <c r="K1749" s="49">
        <v>10232</v>
      </c>
      <c r="L1749" s="50">
        <v>10140</v>
      </c>
      <c r="M1749" s="50">
        <v>10139</v>
      </c>
      <c r="N1749" s="51">
        <v>10165.6</v>
      </c>
      <c r="O1749" s="52">
        <v>10124.16</v>
      </c>
      <c r="P1749" s="53">
        <v>9977.7999999999993</v>
      </c>
      <c r="Q1749" s="54">
        <v>9616.7999999999993</v>
      </c>
      <c r="R1749" s="1"/>
      <c r="S1749" s="1"/>
      <c r="T1749" s="1"/>
    </row>
    <row r="1750" spans="1:20" ht="13.5" customHeight="1" x14ac:dyDescent="0.25">
      <c r="A1750" s="1"/>
      <c r="B1750" s="1" t="s">
        <v>1578</v>
      </c>
      <c r="C1750" s="1" t="s">
        <v>251</v>
      </c>
      <c r="D1750" s="42">
        <v>-3.0000000006111804E-3</v>
      </c>
      <c r="E1750" s="43">
        <v>4495.3900000000003</v>
      </c>
      <c r="F1750" s="71">
        <v>7950.06</v>
      </c>
      <c r="G1750" s="45">
        <v>34550.055399999997</v>
      </c>
      <c r="H1750" s="46">
        <v>7431.12</v>
      </c>
      <c r="I1750" s="47">
        <f t="shared" si="747"/>
        <v>1.003934071872467</v>
      </c>
      <c r="J1750" s="48">
        <v>7402</v>
      </c>
      <c r="K1750" s="49">
        <v>7402</v>
      </c>
      <c r="L1750" s="50">
        <v>7219.6</v>
      </c>
      <c r="M1750" s="50">
        <v>6767.33</v>
      </c>
      <c r="N1750" s="51">
        <v>6543.07</v>
      </c>
      <c r="O1750" s="52">
        <v>6371.8</v>
      </c>
      <c r="P1750" s="53">
        <v>6133.57</v>
      </c>
      <c r="Q1750" s="54">
        <v>5536.93</v>
      </c>
      <c r="R1750" s="1"/>
      <c r="S1750" s="1"/>
      <c r="T1750" s="1"/>
    </row>
    <row r="1751" spans="1:20" ht="13.5" customHeight="1" x14ac:dyDescent="0.25">
      <c r="A1751" s="1"/>
      <c r="B1751" s="1" t="s">
        <v>1579</v>
      </c>
      <c r="C1751" s="1" t="s">
        <v>253</v>
      </c>
      <c r="D1751" s="42">
        <v>-3.9999999999906777E-3</v>
      </c>
      <c r="E1751" s="43">
        <v>47.88</v>
      </c>
      <c r="F1751" s="71">
        <v>118.04</v>
      </c>
      <c r="G1751" s="45">
        <v>368.04320000000001</v>
      </c>
      <c r="H1751" s="46">
        <v>81.81</v>
      </c>
      <c r="I1751" s="47">
        <f t="shared" si="747"/>
        <v>0.99768292682926829</v>
      </c>
      <c r="J1751" s="48">
        <v>82</v>
      </c>
      <c r="K1751" s="49">
        <v>82</v>
      </c>
      <c r="L1751" s="50">
        <v>91.17</v>
      </c>
      <c r="M1751" s="50">
        <v>92.28</v>
      </c>
      <c r="N1751" s="51">
        <v>116.46</v>
      </c>
      <c r="O1751" s="52">
        <v>122.28</v>
      </c>
      <c r="P1751" s="53">
        <v>111.89</v>
      </c>
      <c r="Q1751" s="54">
        <v>103.75</v>
      </c>
      <c r="R1751" s="1"/>
      <c r="S1751" s="1"/>
      <c r="T1751" s="1"/>
    </row>
    <row r="1752" spans="1:20" ht="13.5" customHeight="1" x14ac:dyDescent="0.25">
      <c r="A1752" s="1"/>
      <c r="B1752" s="1" t="s">
        <v>1580</v>
      </c>
      <c r="C1752" s="1" t="s">
        <v>255</v>
      </c>
      <c r="D1752" s="42">
        <v>0</v>
      </c>
      <c r="E1752" s="43">
        <v>167.28</v>
      </c>
      <c r="F1752" s="45">
        <v>335</v>
      </c>
      <c r="G1752" s="45">
        <v>335</v>
      </c>
      <c r="H1752" s="46">
        <v>323.95999999999998</v>
      </c>
      <c r="I1752" s="47">
        <f t="shared" si="747"/>
        <v>0.99987654320987651</v>
      </c>
      <c r="J1752" s="81">
        <v>324</v>
      </c>
      <c r="K1752" s="49">
        <v>322</v>
      </c>
      <c r="L1752" s="50">
        <v>313.24</v>
      </c>
      <c r="M1752" s="50">
        <v>302.12</v>
      </c>
      <c r="N1752" s="51">
        <v>329.54</v>
      </c>
      <c r="O1752" s="52">
        <v>335.4</v>
      </c>
      <c r="P1752" s="53">
        <v>335.4</v>
      </c>
      <c r="Q1752" s="54">
        <v>320.3</v>
      </c>
      <c r="R1752" s="1"/>
      <c r="S1752" s="1"/>
      <c r="T1752" s="1"/>
    </row>
    <row r="1753" spans="1:20" ht="13.5" customHeight="1" x14ac:dyDescent="0.25">
      <c r="A1753" s="1"/>
      <c r="B1753" s="1"/>
      <c r="C1753" s="1"/>
      <c r="D1753" s="56">
        <v>3.0000000052154974E-4</v>
      </c>
      <c r="E1753" s="57">
        <f t="shared" ref="E1753" si="748">SUM(E1748:E1752)</f>
        <v>12076.21</v>
      </c>
      <c r="F1753" s="58">
        <f>SUM(F1747:F1751)</f>
        <v>22628.443600000002</v>
      </c>
      <c r="G1753" s="58">
        <v>63313.437699999995</v>
      </c>
      <c r="H1753" s="59">
        <f>SUM(H1748:H1752)</f>
        <v>21554.95</v>
      </c>
      <c r="I1753" s="59"/>
      <c r="J1753" s="60">
        <f t="shared" ref="J1753:Q1753" si="749">SUM(J1748:J1752)</f>
        <v>21938</v>
      </c>
      <c r="K1753" s="61">
        <f t="shared" si="749"/>
        <v>21938</v>
      </c>
      <c r="L1753" s="62">
        <f t="shared" si="749"/>
        <v>20974.880000000001</v>
      </c>
      <c r="M1753" s="62">
        <f t="shared" si="749"/>
        <v>20454.099999999995</v>
      </c>
      <c r="N1753" s="63">
        <f t="shared" si="749"/>
        <v>20232.09</v>
      </c>
      <c r="O1753" s="64">
        <f t="shared" si="749"/>
        <v>20114.77</v>
      </c>
      <c r="P1753" s="63">
        <f t="shared" si="749"/>
        <v>19609.809999999998</v>
      </c>
      <c r="Q1753" s="65">
        <f t="shared" si="749"/>
        <v>18525.82</v>
      </c>
      <c r="R1753" s="1"/>
      <c r="S1753" s="1"/>
      <c r="T1753" s="1"/>
    </row>
    <row r="1754" spans="1:20" ht="13.5" customHeight="1" x14ac:dyDescent="0.25">
      <c r="A1754" s="1"/>
      <c r="B1754" s="1"/>
      <c r="C1754" s="1"/>
      <c r="D1754" s="42"/>
      <c r="E1754" s="44"/>
      <c r="F1754" s="45"/>
      <c r="G1754" s="45"/>
      <c r="H1754" s="66"/>
      <c r="I1754" s="66"/>
      <c r="J1754" s="48"/>
      <c r="K1754" s="49"/>
      <c r="L1754" s="50"/>
      <c r="M1754" s="50"/>
      <c r="N1754" s="51"/>
      <c r="O1754" s="52"/>
      <c r="P1754" s="53"/>
      <c r="Q1754" s="54"/>
      <c r="R1754" s="1"/>
      <c r="S1754" s="1"/>
      <c r="T1754" s="1"/>
    </row>
    <row r="1755" spans="1:20" ht="13.5" customHeight="1" x14ac:dyDescent="0.25">
      <c r="A1755" s="1"/>
      <c r="B1755" s="1" t="s">
        <v>1581</v>
      </c>
      <c r="C1755" s="1" t="s">
        <v>259</v>
      </c>
      <c r="D1755" s="42">
        <v>0</v>
      </c>
      <c r="E1755" s="43">
        <v>88.58</v>
      </c>
      <c r="F1755" s="45">
        <v>600</v>
      </c>
      <c r="G1755" s="45">
        <v>600</v>
      </c>
      <c r="H1755" s="46">
        <v>80.650000000000006</v>
      </c>
      <c r="I1755" s="47">
        <f t="shared" ref="I1755:I1757" si="750">H1755/J1755</f>
        <v>8.9611111111111114E-2</v>
      </c>
      <c r="J1755" s="81">
        <v>900</v>
      </c>
      <c r="K1755" s="49">
        <v>1300</v>
      </c>
      <c r="L1755" s="50">
        <v>361.58</v>
      </c>
      <c r="M1755" s="50">
        <v>168.87</v>
      </c>
      <c r="N1755" s="51">
        <v>12.31</v>
      </c>
      <c r="O1755" s="52">
        <v>67.7</v>
      </c>
      <c r="P1755" s="53">
        <v>65</v>
      </c>
      <c r="Q1755" s="54">
        <v>557.48</v>
      </c>
      <c r="R1755" s="1"/>
      <c r="S1755" s="1"/>
      <c r="T1755" s="1"/>
    </row>
    <row r="1756" spans="1:20" ht="13.5" customHeight="1" x14ac:dyDescent="0.25">
      <c r="A1756" s="1"/>
      <c r="B1756" s="1" t="s">
        <v>1582</v>
      </c>
      <c r="C1756" s="1" t="s">
        <v>471</v>
      </c>
      <c r="D1756" s="42">
        <v>0</v>
      </c>
      <c r="E1756" s="43">
        <v>448.82</v>
      </c>
      <c r="F1756" s="45">
        <v>1000</v>
      </c>
      <c r="G1756" s="45">
        <v>1000</v>
      </c>
      <c r="H1756" s="46">
        <v>1265.76</v>
      </c>
      <c r="I1756" s="47">
        <f t="shared" si="750"/>
        <v>0.96475609756097558</v>
      </c>
      <c r="J1756" s="81">
        <v>1312</v>
      </c>
      <c r="K1756" s="49">
        <v>1000</v>
      </c>
      <c r="L1756" s="50">
        <v>791.92</v>
      </c>
      <c r="M1756" s="50">
        <v>654.97</v>
      </c>
      <c r="N1756" s="51">
        <v>570.85</v>
      </c>
      <c r="O1756" s="52">
        <v>0</v>
      </c>
      <c r="P1756" s="53">
        <v>0</v>
      </c>
      <c r="Q1756" s="54">
        <v>463.43</v>
      </c>
      <c r="R1756" s="1"/>
      <c r="S1756" s="1"/>
      <c r="T1756" s="1"/>
    </row>
    <row r="1757" spans="1:20" ht="13.5" customHeight="1" x14ac:dyDescent="0.25">
      <c r="A1757" s="1"/>
      <c r="B1757" s="1" t="s">
        <v>1583</v>
      </c>
      <c r="C1757" s="1" t="s">
        <v>473</v>
      </c>
      <c r="D1757" s="42">
        <v>0</v>
      </c>
      <c r="E1757" s="70">
        <v>0</v>
      </c>
      <c r="F1757" s="45">
        <v>600</v>
      </c>
      <c r="G1757" s="45">
        <v>600</v>
      </c>
      <c r="H1757" s="74">
        <v>0</v>
      </c>
      <c r="I1757" s="47">
        <f t="shared" si="750"/>
        <v>0</v>
      </c>
      <c r="J1757" s="48">
        <v>600</v>
      </c>
      <c r="K1757" s="49">
        <v>600</v>
      </c>
      <c r="L1757" s="50">
        <v>265.2</v>
      </c>
      <c r="M1757" s="77">
        <v>0</v>
      </c>
      <c r="N1757" s="51">
        <v>434.04</v>
      </c>
      <c r="O1757" s="52">
        <v>694.93</v>
      </c>
      <c r="P1757" s="53">
        <v>939.43</v>
      </c>
      <c r="Q1757" s="54">
        <v>739.69</v>
      </c>
      <c r="R1757" s="1"/>
      <c r="S1757" s="1"/>
      <c r="T1757" s="1"/>
    </row>
    <row r="1758" spans="1:20" ht="13.5" customHeight="1" x14ac:dyDescent="0.25">
      <c r="A1758" s="1"/>
      <c r="B1758" s="55" t="s">
        <v>1584</v>
      </c>
      <c r="C1758" s="55" t="s">
        <v>265</v>
      </c>
      <c r="D1758" s="42">
        <v>0</v>
      </c>
      <c r="E1758" s="43">
        <v>0</v>
      </c>
      <c r="F1758" s="71">
        <v>2000</v>
      </c>
      <c r="G1758" s="71">
        <v>0</v>
      </c>
      <c r="H1758" s="46">
        <v>0</v>
      </c>
      <c r="I1758" s="47"/>
      <c r="J1758" s="81">
        <v>0</v>
      </c>
      <c r="K1758" s="82">
        <v>0</v>
      </c>
      <c r="L1758" s="69">
        <v>0</v>
      </c>
      <c r="M1758" s="83">
        <v>0</v>
      </c>
      <c r="N1758" s="53"/>
      <c r="O1758" s="52"/>
      <c r="P1758" s="53"/>
      <c r="Q1758" s="54"/>
      <c r="R1758" s="1"/>
      <c r="S1758" s="1"/>
      <c r="T1758" s="1"/>
    </row>
    <row r="1759" spans="1:20" ht="13.5" customHeight="1" x14ac:dyDescent="0.25">
      <c r="A1759" s="1"/>
      <c r="B1759" s="1" t="s">
        <v>1585</v>
      </c>
      <c r="C1759" s="1" t="s">
        <v>267</v>
      </c>
      <c r="D1759" s="42">
        <v>0</v>
      </c>
      <c r="E1759" s="43">
        <v>56.19</v>
      </c>
      <c r="F1759" s="45">
        <v>400</v>
      </c>
      <c r="G1759" s="45">
        <v>400</v>
      </c>
      <c r="H1759" s="46">
        <v>287.92</v>
      </c>
      <c r="I1759" s="47">
        <f>H1759/J1759</f>
        <v>0.99972222222222229</v>
      </c>
      <c r="J1759" s="48">
        <v>288</v>
      </c>
      <c r="K1759" s="49">
        <v>200</v>
      </c>
      <c r="L1759" s="50">
        <v>57.99</v>
      </c>
      <c r="M1759" s="77">
        <v>0</v>
      </c>
      <c r="N1759" s="53" t="s">
        <v>16</v>
      </c>
      <c r="O1759" s="52">
        <v>103.23</v>
      </c>
      <c r="P1759" s="53">
        <v>1364.54</v>
      </c>
      <c r="Q1759" s="54">
        <v>0</v>
      </c>
      <c r="R1759" s="1"/>
      <c r="S1759" s="1"/>
      <c r="T1759" s="1"/>
    </row>
    <row r="1760" spans="1:20" ht="13.5" customHeight="1" x14ac:dyDescent="0.25">
      <c r="A1760" s="1"/>
      <c r="B1760" s="1"/>
      <c r="C1760" s="1"/>
      <c r="D1760" s="56">
        <v>0</v>
      </c>
      <c r="E1760" s="57">
        <f t="shared" ref="E1760" si="751">SUM(E1755:E1759)</f>
        <v>593.58999999999992</v>
      </c>
      <c r="F1760" s="58">
        <f>SUM(F1754:F1759)</f>
        <v>4600</v>
      </c>
      <c r="G1760" s="58">
        <v>2600</v>
      </c>
      <c r="H1760" s="59">
        <f>SUM(H1755:H1759)</f>
        <v>1634.3300000000002</v>
      </c>
      <c r="I1760" s="59"/>
      <c r="J1760" s="60">
        <f t="shared" ref="J1760:Q1760" si="752">SUM(J1755:J1759)</f>
        <v>3100</v>
      </c>
      <c r="K1760" s="61">
        <f t="shared" si="752"/>
        <v>3100</v>
      </c>
      <c r="L1760" s="62">
        <f t="shared" si="752"/>
        <v>1476.69</v>
      </c>
      <c r="M1760" s="62">
        <f t="shared" si="752"/>
        <v>823.84</v>
      </c>
      <c r="N1760" s="63">
        <f t="shared" si="752"/>
        <v>1017.2</v>
      </c>
      <c r="O1760" s="64">
        <f t="shared" si="752"/>
        <v>865.86</v>
      </c>
      <c r="P1760" s="63">
        <f t="shared" si="752"/>
        <v>2368.9699999999998</v>
      </c>
      <c r="Q1760" s="65">
        <f t="shared" si="752"/>
        <v>1760.6000000000001</v>
      </c>
      <c r="R1760" s="1"/>
      <c r="S1760" s="1"/>
      <c r="T1760" s="1"/>
    </row>
    <row r="1761" spans="1:20" ht="13.5" customHeight="1" x14ac:dyDescent="0.25">
      <c r="A1761" s="1"/>
      <c r="B1761" s="1"/>
      <c r="C1761" s="1"/>
      <c r="D1761" s="42"/>
      <c r="E1761" s="44"/>
      <c r="F1761" s="45"/>
      <c r="G1761" s="45"/>
      <c r="H1761" s="66"/>
      <c r="I1761" s="66"/>
      <c r="J1761" s="48"/>
      <c r="K1761" s="49"/>
      <c r="L1761" s="50"/>
      <c r="M1761" s="77"/>
      <c r="N1761" s="53"/>
      <c r="O1761" s="52"/>
      <c r="P1761" s="53"/>
      <c r="Q1761" s="54"/>
      <c r="R1761" s="1"/>
      <c r="S1761" s="1"/>
      <c r="T1761" s="1"/>
    </row>
    <row r="1762" spans="1:20" ht="13.5" customHeight="1" x14ac:dyDescent="0.25">
      <c r="A1762" s="1"/>
      <c r="B1762" s="1" t="s">
        <v>1586</v>
      </c>
      <c r="C1762" s="1" t="s">
        <v>1564</v>
      </c>
      <c r="D1762" s="42">
        <v>15000</v>
      </c>
      <c r="E1762" s="43">
        <v>0</v>
      </c>
      <c r="F1762" s="45">
        <v>30000</v>
      </c>
      <c r="G1762" s="45">
        <v>30000</v>
      </c>
      <c r="H1762" s="68">
        <v>2290.9499999999998</v>
      </c>
      <c r="I1762" s="47">
        <f t="shared" ref="I1762:I1769" si="753">H1762/J1762</f>
        <v>0.99997817546922729</v>
      </c>
      <c r="J1762" s="81">
        <v>2291</v>
      </c>
      <c r="K1762" s="49">
        <v>2000</v>
      </c>
      <c r="L1762" s="83">
        <v>0</v>
      </c>
      <c r="M1762" s="50">
        <v>3394.22</v>
      </c>
      <c r="N1762" s="53" t="s">
        <v>16</v>
      </c>
      <c r="O1762" s="52">
        <v>0</v>
      </c>
      <c r="P1762" s="53">
        <v>1114.5</v>
      </c>
      <c r="Q1762" s="54">
        <v>4102.75</v>
      </c>
      <c r="R1762" s="1"/>
      <c r="S1762" s="1"/>
      <c r="T1762" s="1"/>
    </row>
    <row r="1763" spans="1:20" ht="13.5" customHeight="1" x14ac:dyDescent="0.25">
      <c r="A1763" s="1"/>
      <c r="B1763" s="1" t="s">
        <v>1587</v>
      </c>
      <c r="C1763" s="1" t="s">
        <v>275</v>
      </c>
      <c r="D1763" s="42">
        <v>800</v>
      </c>
      <c r="E1763" s="43">
        <v>0</v>
      </c>
      <c r="F1763" s="45">
        <v>1500</v>
      </c>
      <c r="G1763" s="45">
        <v>1500</v>
      </c>
      <c r="H1763" s="46">
        <v>604.58000000000004</v>
      </c>
      <c r="I1763" s="47">
        <f t="shared" si="753"/>
        <v>0.46399079048349967</v>
      </c>
      <c r="J1763" s="81">
        <v>1303</v>
      </c>
      <c r="K1763" s="49">
        <v>1500</v>
      </c>
      <c r="L1763" s="50">
        <v>248.27</v>
      </c>
      <c r="M1763" s="50">
        <v>117.9</v>
      </c>
      <c r="N1763" s="51">
        <v>336.56</v>
      </c>
      <c r="O1763" s="52">
        <v>183.67</v>
      </c>
      <c r="P1763" s="53">
        <v>827.69</v>
      </c>
      <c r="Q1763" s="54">
        <v>1184.42</v>
      </c>
      <c r="R1763" s="1"/>
      <c r="S1763" s="1"/>
      <c r="T1763" s="1"/>
    </row>
    <row r="1764" spans="1:20" ht="13.5" customHeight="1" x14ac:dyDescent="0.25">
      <c r="A1764" s="1"/>
      <c r="B1764" s="1" t="s">
        <v>1588</v>
      </c>
      <c r="C1764" s="1" t="s">
        <v>482</v>
      </c>
      <c r="D1764" s="42">
        <v>0</v>
      </c>
      <c r="E1764" s="70">
        <v>201.6</v>
      </c>
      <c r="F1764" s="45">
        <v>200</v>
      </c>
      <c r="G1764" s="45">
        <v>200</v>
      </c>
      <c r="H1764" s="68">
        <v>179.88</v>
      </c>
      <c r="I1764" s="47">
        <f t="shared" si="753"/>
        <v>0.9993333333333333</v>
      </c>
      <c r="J1764" s="81">
        <v>180</v>
      </c>
      <c r="K1764" s="49">
        <v>100</v>
      </c>
      <c r="L1764" s="50">
        <v>179.88</v>
      </c>
      <c r="M1764" s="50">
        <v>179.88</v>
      </c>
      <c r="N1764" s="51">
        <v>155.88</v>
      </c>
      <c r="O1764" s="52">
        <v>155.88</v>
      </c>
      <c r="P1764" s="53">
        <v>98</v>
      </c>
      <c r="Q1764" s="54">
        <v>98</v>
      </c>
      <c r="R1764" s="1"/>
      <c r="S1764" s="1"/>
      <c r="T1764" s="1"/>
    </row>
    <row r="1765" spans="1:20" ht="13.5" customHeight="1" x14ac:dyDescent="0.25">
      <c r="A1765" s="1"/>
      <c r="B1765" s="1" t="s">
        <v>1589</v>
      </c>
      <c r="C1765" s="1" t="s">
        <v>326</v>
      </c>
      <c r="D1765" s="42">
        <v>1500</v>
      </c>
      <c r="E1765" s="43">
        <v>193.5</v>
      </c>
      <c r="F1765" s="45">
        <v>2000</v>
      </c>
      <c r="G1765" s="45">
        <v>2000</v>
      </c>
      <c r="H1765" s="46">
        <v>1767.5</v>
      </c>
      <c r="I1765" s="47">
        <f t="shared" si="753"/>
        <v>0.88375000000000004</v>
      </c>
      <c r="J1765" s="48">
        <v>2000</v>
      </c>
      <c r="K1765" s="49">
        <v>2000</v>
      </c>
      <c r="L1765" s="50">
        <v>1674.95</v>
      </c>
      <c r="M1765" s="50">
        <v>561.85</v>
      </c>
      <c r="N1765" s="51">
        <v>883.85</v>
      </c>
      <c r="O1765" s="52">
        <v>1604.6</v>
      </c>
      <c r="P1765" s="53">
        <v>1304.5999999999999</v>
      </c>
      <c r="Q1765" s="54">
        <v>1219.3800000000001</v>
      </c>
      <c r="R1765" s="1"/>
      <c r="S1765" s="1"/>
      <c r="T1765" s="1"/>
    </row>
    <row r="1766" spans="1:20" ht="13.5" customHeight="1" x14ac:dyDescent="0.25">
      <c r="A1766" s="1"/>
      <c r="B1766" s="1" t="s">
        <v>1590</v>
      </c>
      <c r="C1766" s="1" t="s">
        <v>1436</v>
      </c>
      <c r="D1766" s="42">
        <v>0</v>
      </c>
      <c r="E1766" s="43">
        <v>0</v>
      </c>
      <c r="F1766" s="45">
        <v>0</v>
      </c>
      <c r="G1766" s="45">
        <v>0</v>
      </c>
      <c r="H1766" s="46">
        <v>477.12</v>
      </c>
      <c r="I1766" s="47">
        <f t="shared" si="753"/>
        <v>0.95423999999999998</v>
      </c>
      <c r="J1766" s="48">
        <v>500</v>
      </c>
      <c r="K1766" s="49">
        <v>500</v>
      </c>
      <c r="L1766" s="50">
        <v>671.07</v>
      </c>
      <c r="M1766" s="50">
        <v>609.22</v>
      </c>
      <c r="N1766" s="51">
        <v>560.82000000000005</v>
      </c>
      <c r="O1766" s="52">
        <v>520.76</v>
      </c>
      <c r="P1766" s="53">
        <v>0</v>
      </c>
      <c r="Q1766" s="54">
        <v>0</v>
      </c>
      <c r="R1766" s="1"/>
      <c r="S1766" s="1"/>
      <c r="T1766" s="1"/>
    </row>
    <row r="1767" spans="1:20" ht="13.5" customHeight="1" x14ac:dyDescent="0.25">
      <c r="A1767" s="1"/>
      <c r="B1767" s="1" t="s">
        <v>1591</v>
      </c>
      <c r="C1767" s="1" t="s">
        <v>489</v>
      </c>
      <c r="D1767" s="42">
        <v>0</v>
      </c>
      <c r="E1767" s="43">
        <v>42.49</v>
      </c>
      <c r="F1767" s="45">
        <v>1000</v>
      </c>
      <c r="G1767" s="45">
        <v>1000</v>
      </c>
      <c r="H1767" s="46">
        <v>721.41</v>
      </c>
      <c r="I1767" s="47">
        <f t="shared" si="753"/>
        <v>0.72141</v>
      </c>
      <c r="J1767" s="48">
        <v>1000</v>
      </c>
      <c r="K1767" s="49">
        <v>1000</v>
      </c>
      <c r="L1767" s="50">
        <v>1303.67</v>
      </c>
      <c r="M1767" s="50">
        <v>891.34</v>
      </c>
      <c r="N1767" s="51">
        <v>369.97</v>
      </c>
      <c r="O1767" s="52">
        <v>1045.8399999999999</v>
      </c>
      <c r="P1767" s="53">
        <v>167.78</v>
      </c>
      <c r="Q1767" s="54">
        <v>407.01</v>
      </c>
      <c r="R1767" s="1"/>
      <c r="S1767" s="1"/>
      <c r="T1767" s="1"/>
    </row>
    <row r="1768" spans="1:20" ht="13.5" customHeight="1" x14ac:dyDescent="0.25">
      <c r="A1768" s="1"/>
      <c r="B1768" s="1" t="s">
        <v>1592</v>
      </c>
      <c r="C1768" s="1" t="s">
        <v>814</v>
      </c>
      <c r="D1768" s="42">
        <v>0</v>
      </c>
      <c r="E1768" s="43">
        <v>0</v>
      </c>
      <c r="F1768" s="45">
        <v>600</v>
      </c>
      <c r="G1768" s="45">
        <v>600</v>
      </c>
      <c r="H1768" s="74">
        <v>0</v>
      </c>
      <c r="I1768" s="47">
        <f t="shared" si="753"/>
        <v>0</v>
      </c>
      <c r="J1768" s="48">
        <v>326</v>
      </c>
      <c r="K1768" s="49">
        <v>500</v>
      </c>
      <c r="L1768" s="77">
        <v>0</v>
      </c>
      <c r="M1768" s="77">
        <v>0</v>
      </c>
      <c r="N1768" s="53">
        <v>0</v>
      </c>
      <c r="O1768" s="52">
        <v>0</v>
      </c>
      <c r="P1768" s="53">
        <v>466.25</v>
      </c>
      <c r="Q1768" s="54">
        <v>0</v>
      </c>
      <c r="R1768" s="1"/>
      <c r="S1768" s="1"/>
      <c r="T1768" s="1"/>
    </row>
    <row r="1769" spans="1:20" ht="13.5" customHeight="1" x14ac:dyDescent="0.25">
      <c r="A1769" s="1"/>
      <c r="B1769" s="1" t="s">
        <v>1593</v>
      </c>
      <c r="C1769" s="1" t="s">
        <v>281</v>
      </c>
      <c r="D1769" s="42">
        <v>0</v>
      </c>
      <c r="E1769" s="43">
        <v>416.94</v>
      </c>
      <c r="F1769" s="45">
        <v>920</v>
      </c>
      <c r="G1769" s="45">
        <v>920</v>
      </c>
      <c r="H1769" s="46">
        <v>833.88</v>
      </c>
      <c r="I1769" s="47">
        <f t="shared" si="753"/>
        <v>0.90639130434782611</v>
      </c>
      <c r="J1769" s="48">
        <v>920</v>
      </c>
      <c r="K1769" s="49">
        <v>920</v>
      </c>
      <c r="L1769" s="50">
        <v>833.88</v>
      </c>
      <c r="M1769" s="50">
        <v>833.88</v>
      </c>
      <c r="N1769" s="51">
        <v>862.83</v>
      </c>
      <c r="O1769" s="52">
        <v>898.37</v>
      </c>
      <c r="P1769" s="53">
        <v>638.02</v>
      </c>
      <c r="Q1769" s="54">
        <v>1051.23</v>
      </c>
      <c r="R1769" s="1"/>
      <c r="S1769" s="1"/>
      <c r="T1769" s="1"/>
    </row>
    <row r="1770" spans="1:20" ht="13.5" customHeight="1" x14ac:dyDescent="0.25">
      <c r="A1770" s="1"/>
      <c r="B1770" s="1"/>
      <c r="C1770" s="1"/>
      <c r="D1770" s="56">
        <v>17300</v>
      </c>
      <c r="E1770" s="57">
        <f t="shared" ref="E1770" si="754">SUM(E1762:E1769)</f>
        <v>854.53</v>
      </c>
      <c r="F1770" s="58">
        <f>SUM(F1761:F1769)</f>
        <v>36220</v>
      </c>
      <c r="G1770" s="58">
        <v>36220</v>
      </c>
      <c r="H1770" s="59">
        <f>SUM(H1762:H1769)</f>
        <v>6875.32</v>
      </c>
      <c r="I1770" s="59"/>
      <c r="J1770" s="60">
        <f t="shared" ref="J1770:Q1770" si="755">SUM(J1762:J1769)</f>
        <v>8520</v>
      </c>
      <c r="K1770" s="61">
        <f t="shared" si="755"/>
        <v>8520</v>
      </c>
      <c r="L1770" s="62">
        <f t="shared" si="755"/>
        <v>4911.72</v>
      </c>
      <c r="M1770" s="62">
        <f t="shared" si="755"/>
        <v>6588.2900000000009</v>
      </c>
      <c r="N1770" s="63">
        <f t="shared" si="755"/>
        <v>3169.91</v>
      </c>
      <c r="O1770" s="64">
        <f t="shared" si="755"/>
        <v>4409.12</v>
      </c>
      <c r="P1770" s="63">
        <f t="shared" si="755"/>
        <v>4616.84</v>
      </c>
      <c r="Q1770" s="65">
        <f t="shared" si="755"/>
        <v>8062.7900000000009</v>
      </c>
      <c r="R1770" s="1"/>
      <c r="S1770" s="1"/>
      <c r="T1770" s="1"/>
    </row>
    <row r="1771" spans="1:20" ht="13.5" customHeight="1" thickBot="1" x14ac:dyDescent="0.3">
      <c r="A1771" s="1"/>
      <c r="B1771" s="1"/>
      <c r="C1771" s="116" t="s">
        <v>1594</v>
      </c>
      <c r="D1771" s="267">
        <v>17300.0003</v>
      </c>
      <c r="E1771" s="173">
        <f t="shared" ref="E1771" si="756">SUM(E1746+E1753+E1760+E1770)</f>
        <v>43317.049999999996</v>
      </c>
      <c r="F1771" s="174">
        <f>SUM(F1746,F1753,F1760,F1770)</f>
        <v>116069.4436</v>
      </c>
      <c r="G1771" s="174">
        <v>154754.43770000001</v>
      </c>
      <c r="H1771" s="175">
        <f>SUM(H1746+H1753+H1760+H1770)</f>
        <v>81194.37</v>
      </c>
      <c r="I1771" s="175"/>
      <c r="J1771" s="176">
        <f t="shared" ref="J1771:Q1771" si="757">SUM(J1746+J1753+J1760+J1770)</f>
        <v>84531</v>
      </c>
      <c r="K1771" s="177">
        <f t="shared" si="757"/>
        <v>84531</v>
      </c>
      <c r="L1771" s="178">
        <f t="shared" si="757"/>
        <v>77219.27</v>
      </c>
      <c r="M1771" s="178">
        <f t="shared" si="757"/>
        <v>76444.679999999993</v>
      </c>
      <c r="N1771" s="179">
        <f t="shared" si="757"/>
        <v>72027.759999999995</v>
      </c>
      <c r="O1771" s="180">
        <f t="shared" si="757"/>
        <v>70873.959999999992</v>
      </c>
      <c r="P1771" s="179">
        <f t="shared" si="757"/>
        <v>71777.259999999995</v>
      </c>
      <c r="Q1771" s="181">
        <f t="shared" si="757"/>
        <v>71654.48</v>
      </c>
      <c r="R1771" s="1"/>
      <c r="S1771" s="1"/>
      <c r="T1771" s="1"/>
    </row>
    <row r="1772" spans="1:20" ht="13.5" customHeight="1" thickTop="1" x14ac:dyDescent="0.25">
      <c r="A1772" s="1"/>
      <c r="B1772" s="1"/>
      <c r="C1772" s="1"/>
      <c r="D1772" s="42"/>
      <c r="E1772" s="44"/>
      <c r="F1772" s="45"/>
      <c r="G1772" s="45"/>
      <c r="H1772" s="66"/>
      <c r="I1772" s="66"/>
      <c r="J1772" s="48"/>
      <c r="K1772" s="49"/>
      <c r="L1772" s="50"/>
      <c r="M1772" s="50"/>
      <c r="N1772" s="51"/>
      <c r="O1772" s="52"/>
      <c r="P1772" s="53"/>
      <c r="Q1772" s="54"/>
      <c r="R1772" s="1"/>
      <c r="S1772" s="1"/>
      <c r="T1772" s="1"/>
    </row>
    <row r="1773" spans="1:20" ht="13.5" customHeight="1" x14ac:dyDescent="0.25">
      <c r="A1773" s="1"/>
      <c r="B1773" s="1"/>
      <c r="C1773" s="247" t="s">
        <v>1595</v>
      </c>
      <c r="D1773" s="42"/>
      <c r="E1773" s="44"/>
      <c r="F1773" s="45"/>
      <c r="G1773" s="45"/>
      <c r="H1773" s="66"/>
      <c r="I1773" s="66"/>
      <c r="J1773" s="48"/>
      <c r="K1773" s="49"/>
      <c r="L1773" s="50"/>
      <c r="M1773" s="50"/>
      <c r="N1773" s="51"/>
      <c r="O1773" s="52"/>
      <c r="P1773" s="53"/>
      <c r="Q1773" s="54"/>
      <c r="R1773" s="1"/>
      <c r="S1773" s="1"/>
      <c r="T1773" s="1"/>
    </row>
    <row r="1774" spans="1:20" ht="13.5" customHeight="1" x14ac:dyDescent="0.25">
      <c r="A1774" s="1"/>
      <c r="B1774" s="1" t="s">
        <v>1596</v>
      </c>
      <c r="C1774" s="1" t="s">
        <v>420</v>
      </c>
      <c r="D1774" s="42">
        <v>223640</v>
      </c>
      <c r="E1774" s="43">
        <v>106562.68</v>
      </c>
      <c r="F1774" s="45">
        <v>221015</v>
      </c>
      <c r="G1774" s="45">
        <v>221015</v>
      </c>
      <c r="H1774" s="46">
        <v>195992.62</v>
      </c>
      <c r="I1774" s="47">
        <f t="shared" ref="I1774:I1776" si="758">H1774/J1774</f>
        <v>0.97522836628170229</v>
      </c>
      <c r="J1774" s="48">
        <v>200971</v>
      </c>
      <c r="K1774" s="49">
        <v>200971</v>
      </c>
      <c r="L1774" s="50">
        <v>150587.60999999999</v>
      </c>
      <c r="M1774" s="50">
        <v>121010.7</v>
      </c>
      <c r="N1774" s="51">
        <v>125163.09</v>
      </c>
      <c r="O1774" s="52">
        <v>125996.08</v>
      </c>
      <c r="P1774" s="53">
        <v>139646.01999999999</v>
      </c>
      <c r="Q1774" s="54">
        <v>143216.99</v>
      </c>
      <c r="R1774" s="1"/>
      <c r="S1774" s="1"/>
      <c r="T1774" s="1"/>
    </row>
    <row r="1775" spans="1:20" ht="13.5" customHeight="1" x14ac:dyDescent="0.25">
      <c r="A1775" s="1"/>
      <c r="B1775" s="1" t="s">
        <v>1597</v>
      </c>
      <c r="C1775" s="1" t="s">
        <v>1598</v>
      </c>
      <c r="D1775" s="42">
        <v>21000</v>
      </c>
      <c r="E1775" s="43">
        <v>7724.32</v>
      </c>
      <c r="F1775" s="45">
        <v>21000</v>
      </c>
      <c r="G1775" s="45">
        <v>21000</v>
      </c>
      <c r="H1775" s="46">
        <v>19230.150000000001</v>
      </c>
      <c r="I1775" s="47">
        <f t="shared" si="758"/>
        <v>0.91572142857142869</v>
      </c>
      <c r="J1775" s="48">
        <v>21000</v>
      </c>
      <c r="K1775" s="49">
        <v>21000</v>
      </c>
      <c r="L1775" s="50">
        <v>17544.73</v>
      </c>
      <c r="M1775" s="50">
        <v>18221</v>
      </c>
      <c r="N1775" s="51">
        <v>18392.5</v>
      </c>
      <c r="O1775" s="52">
        <v>4690</v>
      </c>
      <c r="P1775" s="53">
        <v>0</v>
      </c>
      <c r="Q1775" s="54">
        <v>0</v>
      </c>
      <c r="R1775" s="1"/>
      <c r="S1775" s="1"/>
      <c r="T1775" s="1"/>
    </row>
    <row r="1776" spans="1:20" ht="13.5" hidden="1" customHeight="1" x14ac:dyDescent="0.25">
      <c r="A1776" s="1"/>
      <c r="B1776" s="1" t="s">
        <v>1599</v>
      </c>
      <c r="C1776" s="1" t="s">
        <v>423</v>
      </c>
      <c r="D1776" s="42">
        <v>0</v>
      </c>
      <c r="E1776" s="43">
        <v>0</v>
      </c>
      <c r="F1776" s="45">
        <v>0</v>
      </c>
      <c r="G1776" s="45">
        <v>0</v>
      </c>
      <c r="H1776" s="46">
        <v>5545.51</v>
      </c>
      <c r="I1776" s="47">
        <f t="shared" si="758"/>
        <v>0.97632218309859153</v>
      </c>
      <c r="J1776" s="48">
        <v>5680</v>
      </c>
      <c r="K1776" s="49">
        <v>5680</v>
      </c>
      <c r="L1776" s="50">
        <v>5763.91</v>
      </c>
      <c r="M1776" s="50">
        <v>5830</v>
      </c>
      <c r="N1776" s="51">
        <v>5320.89</v>
      </c>
      <c r="O1776" s="52">
        <v>5190.91</v>
      </c>
      <c r="P1776" s="53">
        <v>5668.33</v>
      </c>
      <c r="Q1776" s="54">
        <v>4340.7</v>
      </c>
      <c r="R1776" s="1"/>
      <c r="S1776" s="1"/>
      <c r="T1776" s="1"/>
    </row>
    <row r="1777" spans="1:20" ht="13.5" hidden="1" customHeight="1" x14ac:dyDescent="0.25">
      <c r="A1777" s="1"/>
      <c r="B1777" s="1" t="s">
        <v>1600</v>
      </c>
      <c r="C1777" s="1" t="s">
        <v>1022</v>
      </c>
      <c r="D1777" s="42">
        <v>0</v>
      </c>
      <c r="E1777" s="43">
        <v>0</v>
      </c>
      <c r="F1777" s="73">
        <v>0</v>
      </c>
      <c r="G1777" s="73">
        <v>0</v>
      </c>
      <c r="H1777" s="74">
        <v>0</v>
      </c>
      <c r="I1777" s="74">
        <v>0</v>
      </c>
      <c r="J1777" s="75">
        <v>0</v>
      </c>
      <c r="K1777" s="76">
        <v>0</v>
      </c>
      <c r="L1777" s="77">
        <v>0</v>
      </c>
      <c r="M1777" s="50"/>
      <c r="N1777" s="51"/>
      <c r="O1777" s="52"/>
      <c r="P1777" s="53">
        <v>149.44</v>
      </c>
      <c r="Q1777" s="54">
        <v>0</v>
      </c>
      <c r="R1777" s="1"/>
      <c r="S1777" s="1"/>
      <c r="T1777" s="1"/>
    </row>
    <row r="1778" spans="1:20" ht="13.5" customHeight="1" x14ac:dyDescent="0.25">
      <c r="A1778" s="1"/>
      <c r="B1778" s="1" t="s">
        <v>1601</v>
      </c>
      <c r="C1778" s="1" t="s">
        <v>1042</v>
      </c>
      <c r="D1778" s="42">
        <v>2000</v>
      </c>
      <c r="E1778" s="43">
        <v>0</v>
      </c>
      <c r="F1778" s="45">
        <v>2000</v>
      </c>
      <c r="G1778" s="45">
        <v>2000</v>
      </c>
      <c r="H1778" s="74">
        <v>0</v>
      </c>
      <c r="I1778" s="47">
        <f>H1778/J1778</f>
        <v>0</v>
      </c>
      <c r="J1778" s="48">
        <v>2000</v>
      </c>
      <c r="K1778" s="49">
        <v>2000</v>
      </c>
      <c r="L1778" s="50">
        <v>50.26</v>
      </c>
      <c r="M1778" s="50">
        <f>249.48+2077.1</f>
        <v>2326.58</v>
      </c>
      <c r="N1778" s="51">
        <f>151.13+1814.85</f>
        <v>1965.98</v>
      </c>
      <c r="O1778" s="52">
        <f>388.59+935.28</f>
        <v>1323.87</v>
      </c>
      <c r="P1778" s="53">
        <v>476.34</v>
      </c>
      <c r="Q1778" s="54">
        <v>787.79</v>
      </c>
      <c r="R1778" s="1"/>
      <c r="S1778" s="1"/>
      <c r="T1778" s="1"/>
    </row>
    <row r="1779" spans="1:20" ht="13.5" customHeight="1" x14ac:dyDescent="0.25">
      <c r="A1779" s="1"/>
      <c r="B1779" s="1"/>
      <c r="C1779" s="1"/>
      <c r="D1779" s="56">
        <v>246640</v>
      </c>
      <c r="E1779" s="57">
        <f t="shared" ref="E1779" si="759">SUM(E1774:E1778)</f>
        <v>114287</v>
      </c>
      <c r="F1779" s="58">
        <f>SUM(F1773:F1778)</f>
        <v>244015</v>
      </c>
      <c r="G1779" s="58">
        <v>244015</v>
      </c>
      <c r="H1779" s="59">
        <f>SUM(H1774:H1778)</f>
        <v>220768.28</v>
      </c>
      <c r="I1779" s="59"/>
      <c r="J1779" s="60">
        <f t="shared" ref="J1779:Q1779" si="760">SUM(J1774:J1778)</f>
        <v>229651</v>
      </c>
      <c r="K1779" s="61">
        <f t="shared" si="760"/>
        <v>229651</v>
      </c>
      <c r="L1779" s="62">
        <f t="shared" si="760"/>
        <v>173946.51</v>
      </c>
      <c r="M1779" s="62">
        <f t="shared" si="760"/>
        <v>147388.28</v>
      </c>
      <c r="N1779" s="63">
        <f t="shared" si="760"/>
        <v>150842.46000000002</v>
      </c>
      <c r="O1779" s="64">
        <f t="shared" si="760"/>
        <v>137200.85999999999</v>
      </c>
      <c r="P1779" s="63">
        <f t="shared" si="760"/>
        <v>145940.12999999998</v>
      </c>
      <c r="Q1779" s="65">
        <f t="shared" si="760"/>
        <v>148345.48000000001</v>
      </c>
      <c r="R1779" s="1"/>
      <c r="S1779" s="1"/>
      <c r="T1779" s="1"/>
    </row>
    <row r="1780" spans="1:20" ht="13.5" customHeight="1" x14ac:dyDescent="0.25">
      <c r="A1780" s="1"/>
      <c r="B1780" s="1"/>
      <c r="C1780" s="1"/>
      <c r="D1780" s="42"/>
      <c r="E1780" s="67"/>
      <c r="F1780" s="45"/>
      <c r="G1780" s="45"/>
      <c r="H1780" s="74"/>
      <c r="I1780" s="66"/>
      <c r="J1780" s="48"/>
      <c r="K1780" s="49"/>
      <c r="L1780" s="50"/>
      <c r="M1780" s="50"/>
      <c r="N1780" s="51"/>
      <c r="O1780" s="52"/>
      <c r="P1780" s="53"/>
      <c r="Q1780" s="54"/>
      <c r="R1780" s="1"/>
      <c r="S1780" s="1"/>
      <c r="T1780" s="1"/>
    </row>
    <row r="1781" spans="1:20" ht="13.5" customHeight="1" x14ac:dyDescent="0.25">
      <c r="A1781" s="1"/>
      <c r="B1781" s="1" t="s">
        <v>1602</v>
      </c>
      <c r="C1781" s="1" t="s">
        <v>247</v>
      </c>
      <c r="D1781" s="42">
        <v>19326.96</v>
      </c>
      <c r="E1781" s="43">
        <v>8659.42</v>
      </c>
      <c r="F1781" s="45">
        <v>19126.147499999999</v>
      </c>
      <c r="G1781" s="45">
        <v>19126.147499999999</v>
      </c>
      <c r="H1781" s="46">
        <v>16568.78</v>
      </c>
      <c r="I1781" s="47">
        <f t="shared" ref="I1781:I1786" si="761">H1781/J1781</f>
        <v>0.91905813179498552</v>
      </c>
      <c r="J1781" s="48">
        <v>18028</v>
      </c>
      <c r="K1781" s="49">
        <v>18028</v>
      </c>
      <c r="L1781" s="50">
        <v>13142.6</v>
      </c>
      <c r="M1781" s="50">
        <v>10840.67</v>
      </c>
      <c r="N1781" s="51">
        <v>11389.48</v>
      </c>
      <c r="O1781" s="52">
        <v>10530.43</v>
      </c>
      <c r="P1781" s="53">
        <v>11140.77</v>
      </c>
      <c r="Q1781" s="54">
        <v>11461</v>
      </c>
      <c r="R1781" s="1"/>
      <c r="S1781" s="1"/>
      <c r="T1781" s="1"/>
    </row>
    <row r="1782" spans="1:20" ht="13.5" customHeight="1" x14ac:dyDescent="0.25">
      <c r="A1782" s="1"/>
      <c r="B1782" s="1" t="s">
        <v>1603</v>
      </c>
      <c r="C1782" s="1" t="s">
        <v>249</v>
      </c>
      <c r="D1782" s="42">
        <v>52317.174000000006</v>
      </c>
      <c r="E1782" s="43">
        <v>23527.42</v>
      </c>
      <c r="F1782" s="45">
        <v>52316.368000000002</v>
      </c>
      <c r="G1782" s="45">
        <v>52316.368000000002</v>
      </c>
      <c r="H1782" s="46">
        <v>46014.34</v>
      </c>
      <c r="I1782" s="47">
        <f t="shared" si="761"/>
        <v>0.8982965016398563</v>
      </c>
      <c r="J1782" s="48">
        <v>51224</v>
      </c>
      <c r="K1782" s="49">
        <v>51224</v>
      </c>
      <c r="L1782" s="50">
        <v>30420</v>
      </c>
      <c r="M1782" s="50">
        <v>27037.4</v>
      </c>
      <c r="N1782" s="51">
        <v>30496.799999999999</v>
      </c>
      <c r="O1782" s="52">
        <v>32058.28</v>
      </c>
      <c r="P1782" s="53">
        <v>39911.199999999997</v>
      </c>
      <c r="Q1782" s="54">
        <v>35285.22</v>
      </c>
      <c r="R1782" s="1"/>
      <c r="S1782" s="1"/>
      <c r="T1782" s="1"/>
    </row>
    <row r="1783" spans="1:20" ht="13.5" customHeight="1" x14ac:dyDescent="0.25">
      <c r="A1783" s="1"/>
      <c r="B1783" s="1" t="s">
        <v>1604</v>
      </c>
      <c r="C1783" s="1" t="s">
        <v>251</v>
      </c>
      <c r="D1783" s="42">
        <v>37946.527999999998</v>
      </c>
      <c r="E1783" s="43">
        <v>186.15</v>
      </c>
      <c r="F1783" s="45">
        <v>37552.252999999997</v>
      </c>
      <c r="G1783" s="45">
        <v>37552.252999999997</v>
      </c>
      <c r="H1783" s="46">
        <v>32911.65</v>
      </c>
      <c r="I1783" s="47">
        <f t="shared" si="761"/>
        <v>0.96185083438057106</v>
      </c>
      <c r="J1783" s="48">
        <v>34217</v>
      </c>
      <c r="K1783" s="49">
        <v>34217</v>
      </c>
      <c r="L1783" s="50">
        <v>25441.57</v>
      </c>
      <c r="M1783" s="50">
        <v>20365.599999999999</v>
      </c>
      <c r="N1783" s="51">
        <v>20563.62</v>
      </c>
      <c r="O1783" s="52">
        <v>18378.38</v>
      </c>
      <c r="P1783" s="53">
        <v>19640.39</v>
      </c>
      <c r="Q1783" s="54">
        <v>19063.349999999999</v>
      </c>
      <c r="R1783" s="1"/>
      <c r="S1783" s="1"/>
      <c r="T1783" s="1"/>
    </row>
    <row r="1784" spans="1:20" ht="13.5" customHeight="1" x14ac:dyDescent="0.25">
      <c r="A1784" s="1"/>
      <c r="B1784" s="1" t="s">
        <v>1605</v>
      </c>
      <c r="C1784" s="1" t="s">
        <v>253</v>
      </c>
      <c r="D1784" s="42">
        <v>404.22400000000005</v>
      </c>
      <c r="E1784" s="43">
        <v>724.88</v>
      </c>
      <c r="F1784" s="45">
        <v>400.02400000000006</v>
      </c>
      <c r="G1784" s="45">
        <v>400.02400000000006</v>
      </c>
      <c r="H1784" s="46">
        <v>362.35</v>
      </c>
      <c r="I1784" s="47">
        <f t="shared" si="761"/>
        <v>0.95859788359788367</v>
      </c>
      <c r="J1784" s="48">
        <v>378</v>
      </c>
      <c r="K1784" s="49">
        <v>378</v>
      </c>
      <c r="L1784" s="50">
        <v>320.2</v>
      </c>
      <c r="M1784" s="50">
        <v>278.62</v>
      </c>
      <c r="N1784" s="51">
        <v>356.22</v>
      </c>
      <c r="O1784" s="52">
        <v>360.53</v>
      </c>
      <c r="P1784" s="53">
        <v>359.4</v>
      </c>
      <c r="Q1784" s="54">
        <v>359.86</v>
      </c>
      <c r="R1784" s="1"/>
      <c r="S1784" s="1"/>
      <c r="T1784" s="1"/>
    </row>
    <row r="1785" spans="1:20" ht="13.5" customHeight="1" x14ac:dyDescent="0.25">
      <c r="A1785" s="1"/>
      <c r="B1785" s="1" t="s">
        <v>1606</v>
      </c>
      <c r="C1785" s="1" t="s">
        <v>255</v>
      </c>
      <c r="D1785" s="42">
        <v>1755.6</v>
      </c>
      <c r="E1785" s="43">
        <v>2861.3</v>
      </c>
      <c r="F1785" s="45">
        <v>1675</v>
      </c>
      <c r="G1785" s="45">
        <v>1675</v>
      </c>
      <c r="H1785" s="46">
        <v>1464.87</v>
      </c>
      <c r="I1785" s="47">
        <f t="shared" si="761"/>
        <v>0.90985714285714281</v>
      </c>
      <c r="J1785" s="48">
        <v>1610</v>
      </c>
      <c r="K1785" s="49">
        <v>1610</v>
      </c>
      <c r="L1785" s="50">
        <v>939.72</v>
      </c>
      <c r="M1785" s="50">
        <v>806.28</v>
      </c>
      <c r="N1785" s="51">
        <v>988.62</v>
      </c>
      <c r="O1785" s="52">
        <v>1041.0999999999999</v>
      </c>
      <c r="P1785" s="53">
        <v>1291.2</v>
      </c>
      <c r="Q1785" s="54">
        <v>1193.48</v>
      </c>
      <c r="R1785" s="1"/>
      <c r="S1785" s="1"/>
      <c r="T1785" s="1"/>
    </row>
    <row r="1786" spans="1:20" ht="13.5" customHeight="1" x14ac:dyDescent="0.25">
      <c r="A1786" s="1"/>
      <c r="B1786" s="1" t="s">
        <v>1607</v>
      </c>
      <c r="C1786" s="1" t="s">
        <v>559</v>
      </c>
      <c r="D1786" s="42">
        <v>6000</v>
      </c>
      <c r="E1786" s="43">
        <v>1707.55</v>
      </c>
      <c r="F1786" s="45">
        <v>6000</v>
      </c>
      <c r="G1786" s="45">
        <v>6000</v>
      </c>
      <c r="H1786" s="46">
        <v>5722.6</v>
      </c>
      <c r="I1786" s="47">
        <f t="shared" si="761"/>
        <v>0.95376666666666676</v>
      </c>
      <c r="J1786" s="48">
        <v>6000</v>
      </c>
      <c r="K1786" s="49">
        <v>6000</v>
      </c>
      <c r="L1786" s="50">
        <v>3784.3</v>
      </c>
      <c r="M1786" s="50">
        <v>2353.65</v>
      </c>
      <c r="N1786" s="51">
        <v>2399.8000000000002</v>
      </c>
      <c r="O1786" s="52">
        <v>2492.1</v>
      </c>
      <c r="P1786" s="53">
        <v>2399.8000000000002</v>
      </c>
      <c r="Q1786" s="54">
        <v>2815.15</v>
      </c>
      <c r="R1786" s="1"/>
      <c r="S1786" s="1"/>
      <c r="T1786" s="1"/>
    </row>
    <row r="1787" spans="1:20" ht="13.5" customHeight="1" x14ac:dyDescent="0.25">
      <c r="A1787" s="1"/>
      <c r="B1787" s="1"/>
      <c r="C1787" s="1"/>
      <c r="D1787" s="56">
        <v>117750.48600000002</v>
      </c>
      <c r="E1787" s="57">
        <f t="shared" ref="E1787" si="762">SUM(E1781:E1786)</f>
        <v>37666.720000000001</v>
      </c>
      <c r="F1787" s="58">
        <f>SUM(F1780:F1786)</f>
        <v>117069.79250000001</v>
      </c>
      <c r="G1787" s="58">
        <v>117069.79250000001</v>
      </c>
      <c r="H1787" s="59">
        <f>SUM(H1781:H1786)</f>
        <v>103044.59</v>
      </c>
      <c r="I1787" s="59"/>
      <c r="J1787" s="60">
        <f t="shared" ref="J1787:Q1787" si="763">SUM(J1781:J1786)</f>
        <v>111457</v>
      </c>
      <c r="K1787" s="61">
        <f t="shared" si="763"/>
        <v>111457</v>
      </c>
      <c r="L1787" s="62">
        <f t="shared" si="763"/>
        <v>74048.39</v>
      </c>
      <c r="M1787" s="62">
        <f t="shared" si="763"/>
        <v>61682.22</v>
      </c>
      <c r="N1787" s="63">
        <f t="shared" si="763"/>
        <v>66194.539999999994</v>
      </c>
      <c r="O1787" s="64">
        <f t="shared" si="763"/>
        <v>64860.819999999992</v>
      </c>
      <c r="P1787" s="63">
        <f t="shared" si="763"/>
        <v>74742.759999999995</v>
      </c>
      <c r="Q1787" s="65">
        <f t="shared" si="763"/>
        <v>70178.06</v>
      </c>
      <c r="R1787" s="1"/>
      <c r="S1787" s="1"/>
      <c r="T1787" s="1"/>
    </row>
    <row r="1788" spans="1:20" ht="13.5" customHeight="1" x14ac:dyDescent="0.25">
      <c r="A1788" s="1"/>
      <c r="B1788" s="1"/>
      <c r="C1788" s="1"/>
      <c r="D1788" s="42"/>
      <c r="E1788" s="44"/>
      <c r="F1788" s="45"/>
      <c r="G1788" s="45"/>
      <c r="H1788" s="66"/>
      <c r="I1788" s="66"/>
      <c r="J1788" s="48"/>
      <c r="K1788" s="49"/>
      <c r="L1788" s="50"/>
      <c r="M1788" s="50"/>
      <c r="N1788" s="51"/>
      <c r="O1788" s="52"/>
      <c r="P1788" s="53"/>
      <c r="Q1788" s="54"/>
      <c r="R1788" s="1"/>
      <c r="S1788" s="1"/>
      <c r="T1788" s="1"/>
    </row>
    <row r="1789" spans="1:20" ht="13.5" customHeight="1" x14ac:dyDescent="0.25">
      <c r="A1789" s="1"/>
      <c r="B1789" s="1" t="s">
        <v>1608</v>
      </c>
      <c r="C1789" s="1" t="s">
        <v>259</v>
      </c>
      <c r="D1789" s="42">
        <v>2840</v>
      </c>
      <c r="E1789" s="43">
        <v>1087.8599999999999</v>
      </c>
      <c r="F1789" s="45">
        <v>2840</v>
      </c>
      <c r="G1789" s="45">
        <v>2840</v>
      </c>
      <c r="H1789" s="46">
        <v>2244.89</v>
      </c>
      <c r="I1789" s="47">
        <f t="shared" ref="I1789:I1790" si="764">H1789/J1789</f>
        <v>0.79045422535211263</v>
      </c>
      <c r="J1789" s="48">
        <v>2840</v>
      </c>
      <c r="K1789" s="49">
        <v>2840</v>
      </c>
      <c r="L1789" s="50">
        <v>2198.39</v>
      </c>
      <c r="M1789" s="50">
        <v>968.64</v>
      </c>
      <c r="N1789" s="51">
        <v>2708.4</v>
      </c>
      <c r="O1789" s="52">
        <v>1211.3499999999999</v>
      </c>
      <c r="P1789" s="53">
        <v>2236.71</v>
      </c>
      <c r="Q1789" s="54">
        <v>2447.5300000000002</v>
      </c>
      <c r="R1789" s="1"/>
      <c r="S1789" s="1"/>
      <c r="T1789" s="1"/>
    </row>
    <row r="1790" spans="1:20" ht="13.5" customHeight="1" x14ac:dyDescent="0.25">
      <c r="A1790" s="1"/>
      <c r="B1790" s="1" t="s">
        <v>1609</v>
      </c>
      <c r="C1790" s="1" t="s">
        <v>261</v>
      </c>
      <c r="D1790" s="42">
        <v>1400</v>
      </c>
      <c r="E1790" s="43">
        <v>505</v>
      </c>
      <c r="F1790" s="45">
        <v>1400</v>
      </c>
      <c r="G1790" s="45">
        <v>1400</v>
      </c>
      <c r="H1790" s="46">
        <v>1014.5</v>
      </c>
      <c r="I1790" s="47">
        <f t="shared" si="764"/>
        <v>0.72464285714285714</v>
      </c>
      <c r="J1790" s="48">
        <v>1400</v>
      </c>
      <c r="K1790" s="49">
        <v>1400</v>
      </c>
      <c r="L1790" s="50">
        <v>1335.25</v>
      </c>
      <c r="M1790" s="50">
        <v>2092.4699999999998</v>
      </c>
      <c r="N1790" s="51">
        <v>1445.85</v>
      </c>
      <c r="O1790" s="52">
        <v>635.45000000000005</v>
      </c>
      <c r="P1790" s="53">
        <v>4873.34</v>
      </c>
      <c r="Q1790" s="54">
        <v>2148.85</v>
      </c>
      <c r="R1790" s="1"/>
      <c r="S1790" s="1"/>
      <c r="T1790" s="1"/>
    </row>
    <row r="1791" spans="1:20" ht="13.5" customHeight="1" x14ac:dyDescent="0.25">
      <c r="A1791" s="1"/>
      <c r="B1791" s="1" t="s">
        <v>1610</v>
      </c>
      <c r="C1791" s="1" t="s">
        <v>963</v>
      </c>
      <c r="D1791" s="42">
        <v>0</v>
      </c>
      <c r="E1791" s="43">
        <v>0</v>
      </c>
      <c r="F1791" s="73" t="s">
        <v>16</v>
      </c>
      <c r="G1791" s="73" t="s">
        <v>16</v>
      </c>
      <c r="H1791" s="74" t="s">
        <v>16</v>
      </c>
      <c r="I1791" s="74"/>
      <c r="J1791" s="75" t="s">
        <v>16</v>
      </c>
      <c r="K1791" s="76" t="s">
        <v>16</v>
      </c>
      <c r="L1791" s="77" t="s">
        <v>16</v>
      </c>
      <c r="M1791" s="50">
        <v>49.83</v>
      </c>
      <c r="N1791" s="53" t="s">
        <v>16</v>
      </c>
      <c r="O1791" s="52">
        <v>7537.8</v>
      </c>
      <c r="P1791" s="53">
        <v>13193.32</v>
      </c>
      <c r="Q1791" s="54">
        <v>11716.67</v>
      </c>
      <c r="R1791" s="1"/>
      <c r="S1791" s="1"/>
      <c r="T1791" s="1"/>
    </row>
    <row r="1792" spans="1:20" ht="13.5" customHeight="1" x14ac:dyDescent="0.25">
      <c r="A1792" s="1"/>
      <c r="B1792" s="1" t="s">
        <v>1611</v>
      </c>
      <c r="C1792" s="1" t="s">
        <v>471</v>
      </c>
      <c r="D1792" s="42">
        <v>15000</v>
      </c>
      <c r="E1792" s="43">
        <v>3323.56</v>
      </c>
      <c r="F1792" s="45">
        <v>15000</v>
      </c>
      <c r="G1792" s="45">
        <v>15000</v>
      </c>
      <c r="H1792" s="46">
        <v>11990.69</v>
      </c>
      <c r="I1792" s="47">
        <f t="shared" ref="I1792:I1795" si="765">H1792/J1792</f>
        <v>0.79937933333333333</v>
      </c>
      <c r="J1792" s="48">
        <v>15000</v>
      </c>
      <c r="K1792" s="49">
        <v>15000</v>
      </c>
      <c r="L1792" s="50">
        <v>10189.48</v>
      </c>
      <c r="M1792" s="50">
        <v>8274.75</v>
      </c>
      <c r="N1792" s="51">
        <v>7063.12</v>
      </c>
      <c r="O1792" s="52">
        <v>0</v>
      </c>
      <c r="P1792" s="53">
        <v>267.89999999999998</v>
      </c>
      <c r="Q1792" s="54">
        <v>0</v>
      </c>
      <c r="R1792" s="1"/>
      <c r="S1792" s="1"/>
      <c r="T1792" s="1"/>
    </row>
    <row r="1793" spans="1:20" ht="13.5" customHeight="1" x14ac:dyDescent="0.25">
      <c r="A1793" s="1"/>
      <c r="B1793" s="1" t="s">
        <v>1612</v>
      </c>
      <c r="C1793" s="1" t="s">
        <v>908</v>
      </c>
      <c r="D1793" s="42">
        <v>100</v>
      </c>
      <c r="E1793" s="70">
        <v>0</v>
      </c>
      <c r="F1793" s="45">
        <v>100</v>
      </c>
      <c r="G1793" s="45">
        <v>100</v>
      </c>
      <c r="H1793" s="68">
        <v>0</v>
      </c>
      <c r="I1793" s="47">
        <f t="shared" si="765"/>
        <v>0</v>
      </c>
      <c r="J1793" s="48">
        <v>100</v>
      </c>
      <c r="K1793" s="49">
        <v>100</v>
      </c>
      <c r="L1793" s="77">
        <v>0</v>
      </c>
      <c r="M1793" s="77">
        <v>0</v>
      </c>
      <c r="N1793" s="53" t="s">
        <v>16</v>
      </c>
      <c r="O1793" s="52">
        <v>0</v>
      </c>
      <c r="P1793" s="53">
        <v>0</v>
      </c>
      <c r="Q1793" s="54">
        <v>0</v>
      </c>
      <c r="R1793" s="1"/>
      <c r="S1793" s="1"/>
      <c r="T1793" s="1"/>
    </row>
    <row r="1794" spans="1:20" ht="13.5" customHeight="1" x14ac:dyDescent="0.25">
      <c r="A1794" s="1"/>
      <c r="B1794" s="1" t="s">
        <v>1613</v>
      </c>
      <c r="C1794" s="1" t="s">
        <v>473</v>
      </c>
      <c r="D1794" s="42">
        <v>1600</v>
      </c>
      <c r="E1794" s="43">
        <v>354</v>
      </c>
      <c r="F1794" s="45">
        <v>1600</v>
      </c>
      <c r="G1794" s="45">
        <v>1600</v>
      </c>
      <c r="H1794" s="46">
        <v>1664.8</v>
      </c>
      <c r="I1794" s="47">
        <f t="shared" si="765"/>
        <v>1.1098666666666666</v>
      </c>
      <c r="J1794" s="48">
        <v>1500</v>
      </c>
      <c r="K1794" s="49">
        <v>1500</v>
      </c>
      <c r="L1794" s="50">
        <v>639.12</v>
      </c>
      <c r="M1794" s="50">
        <v>2129.64</v>
      </c>
      <c r="N1794" s="51">
        <v>726.74</v>
      </c>
      <c r="O1794" s="52">
        <v>570.16</v>
      </c>
      <c r="P1794" s="53">
        <v>1054.68</v>
      </c>
      <c r="Q1794" s="54">
        <v>15</v>
      </c>
      <c r="R1794" s="1"/>
      <c r="S1794" s="1"/>
      <c r="T1794" s="1"/>
    </row>
    <row r="1795" spans="1:20" ht="13.5" customHeight="1" x14ac:dyDescent="0.25">
      <c r="A1795" s="1"/>
      <c r="B1795" s="1" t="s">
        <v>1614</v>
      </c>
      <c r="C1795" s="1" t="s">
        <v>435</v>
      </c>
      <c r="D1795" s="42">
        <v>300</v>
      </c>
      <c r="E1795" s="43">
        <v>185.81</v>
      </c>
      <c r="F1795" s="45">
        <v>300</v>
      </c>
      <c r="G1795" s="45">
        <v>300</v>
      </c>
      <c r="H1795" s="46">
        <v>362.06</v>
      </c>
      <c r="I1795" s="47">
        <f t="shared" si="765"/>
        <v>1.2068666666666668</v>
      </c>
      <c r="J1795" s="48">
        <v>300</v>
      </c>
      <c r="K1795" s="49">
        <v>300</v>
      </c>
      <c r="L1795" s="77">
        <v>0</v>
      </c>
      <c r="M1795" s="50">
        <v>319.91000000000003</v>
      </c>
      <c r="N1795" s="51">
        <v>325.8</v>
      </c>
      <c r="O1795" s="52">
        <v>0</v>
      </c>
      <c r="P1795" s="53">
        <v>0</v>
      </c>
      <c r="Q1795" s="54">
        <v>0</v>
      </c>
      <c r="R1795" s="1"/>
      <c r="S1795" s="1"/>
      <c r="T1795" s="1"/>
    </row>
    <row r="1796" spans="1:20" ht="13.5" customHeight="1" x14ac:dyDescent="0.25">
      <c r="A1796" s="1"/>
      <c r="B1796" s="1" t="s">
        <v>1615</v>
      </c>
      <c r="C1796" s="55" t="s">
        <v>265</v>
      </c>
      <c r="D1796" s="42">
        <v>0</v>
      </c>
      <c r="E1796" s="70">
        <v>0</v>
      </c>
      <c r="F1796" s="86">
        <v>0</v>
      </c>
      <c r="G1796" s="86">
        <v>0</v>
      </c>
      <c r="H1796" s="68">
        <v>661.4</v>
      </c>
      <c r="I1796" s="74"/>
      <c r="J1796" s="75" t="s">
        <v>16</v>
      </c>
      <c r="K1796" s="76" t="s">
        <v>16</v>
      </c>
      <c r="L1796" s="83">
        <v>0</v>
      </c>
      <c r="M1796" s="69">
        <v>0</v>
      </c>
      <c r="N1796" s="51">
        <v>2265.66</v>
      </c>
      <c r="O1796" s="52">
        <v>3778.38</v>
      </c>
      <c r="P1796" s="53">
        <v>0</v>
      </c>
      <c r="Q1796" s="54">
        <v>0</v>
      </c>
      <c r="R1796" s="1"/>
      <c r="S1796" s="1"/>
      <c r="T1796" s="1"/>
    </row>
    <row r="1797" spans="1:20" ht="13.5" customHeight="1" x14ac:dyDescent="0.25">
      <c r="A1797" s="1"/>
      <c r="B1797" s="1" t="s">
        <v>1616</v>
      </c>
      <c r="C1797" s="1" t="s">
        <v>267</v>
      </c>
      <c r="D1797" s="42">
        <v>3000</v>
      </c>
      <c r="E1797" s="43">
        <v>563.92999999999995</v>
      </c>
      <c r="F1797" s="45">
        <v>3000</v>
      </c>
      <c r="G1797" s="45">
        <v>3000</v>
      </c>
      <c r="H1797" s="46">
        <v>1969.33</v>
      </c>
      <c r="I1797" s="47">
        <f>H1797/J1797</f>
        <v>0.65644333333333327</v>
      </c>
      <c r="J1797" s="48">
        <v>3000</v>
      </c>
      <c r="K1797" s="49">
        <v>3000</v>
      </c>
      <c r="L1797" s="50">
        <v>4622.43</v>
      </c>
      <c r="M1797" s="50">
        <v>1690.08</v>
      </c>
      <c r="N1797" s="51">
        <v>3339.11</v>
      </c>
      <c r="O1797" s="52">
        <v>2946.4</v>
      </c>
      <c r="P1797" s="53">
        <v>803.41</v>
      </c>
      <c r="Q1797" s="54">
        <v>2661.39</v>
      </c>
      <c r="R1797" s="1"/>
      <c r="S1797" s="1"/>
      <c r="T1797" s="1"/>
    </row>
    <row r="1798" spans="1:20" ht="13.5" customHeight="1" x14ac:dyDescent="0.25">
      <c r="A1798" s="1"/>
      <c r="B1798" s="1"/>
      <c r="C1798" s="1"/>
      <c r="D1798" s="56">
        <v>24240</v>
      </c>
      <c r="E1798" s="57">
        <f t="shared" ref="E1798" si="766">SUM(E1789:E1797)</f>
        <v>6020.1600000000008</v>
      </c>
      <c r="F1798" s="58">
        <f>SUM(F1788:F1797)</f>
        <v>24240</v>
      </c>
      <c r="G1798" s="58">
        <v>24240</v>
      </c>
      <c r="H1798" s="59">
        <f>SUM(H1789:H1797)</f>
        <v>19907.670000000006</v>
      </c>
      <c r="I1798" s="59"/>
      <c r="J1798" s="60">
        <f t="shared" ref="J1798:Q1798" si="767">SUM(J1789:J1797)</f>
        <v>24140</v>
      </c>
      <c r="K1798" s="61">
        <f t="shared" si="767"/>
        <v>24140</v>
      </c>
      <c r="L1798" s="62">
        <f t="shared" si="767"/>
        <v>18984.669999999998</v>
      </c>
      <c r="M1798" s="62">
        <f t="shared" si="767"/>
        <v>15525.319999999998</v>
      </c>
      <c r="N1798" s="63">
        <f t="shared" si="767"/>
        <v>17874.679999999997</v>
      </c>
      <c r="O1798" s="64">
        <f t="shared" si="767"/>
        <v>16679.54</v>
      </c>
      <c r="P1798" s="63">
        <f t="shared" si="767"/>
        <v>22429.360000000001</v>
      </c>
      <c r="Q1798" s="65">
        <f t="shared" si="767"/>
        <v>18989.439999999999</v>
      </c>
      <c r="R1798" s="1"/>
      <c r="S1798" s="1"/>
      <c r="T1798" s="1"/>
    </row>
    <row r="1799" spans="1:20" ht="13.5" customHeight="1" x14ac:dyDescent="0.25">
      <c r="A1799" s="1"/>
      <c r="B1799" s="1"/>
      <c r="C1799" s="1"/>
      <c r="D1799" s="42"/>
      <c r="E1799" s="44"/>
      <c r="F1799" s="45"/>
      <c r="G1799" s="45"/>
      <c r="H1799" s="66"/>
      <c r="I1799" s="66"/>
      <c r="J1799" s="48"/>
      <c r="K1799" s="49"/>
      <c r="L1799" s="50"/>
      <c r="M1799" s="50"/>
      <c r="N1799" s="51"/>
      <c r="O1799" s="52"/>
      <c r="P1799" s="53"/>
      <c r="Q1799" s="54"/>
      <c r="R1799" s="1"/>
      <c r="S1799" s="1"/>
      <c r="T1799" s="1"/>
    </row>
    <row r="1800" spans="1:20" ht="13.5" customHeight="1" x14ac:dyDescent="0.25">
      <c r="A1800" s="1"/>
      <c r="B1800" s="1" t="s">
        <v>1617</v>
      </c>
      <c r="C1800" s="1" t="s">
        <v>1096</v>
      </c>
      <c r="D1800" s="42">
        <v>1000</v>
      </c>
      <c r="E1800" s="70">
        <v>0</v>
      </c>
      <c r="F1800" s="45">
        <v>1000</v>
      </c>
      <c r="G1800" s="45">
        <v>1000</v>
      </c>
      <c r="H1800" s="68">
        <v>200</v>
      </c>
      <c r="I1800" s="47">
        <f>H1800/J1800</f>
        <v>6.6666666666666666E-2</v>
      </c>
      <c r="J1800" s="48">
        <v>3000</v>
      </c>
      <c r="K1800" s="49">
        <v>3000</v>
      </c>
      <c r="L1800" s="77">
        <v>0</v>
      </c>
      <c r="M1800" s="77">
        <v>0</v>
      </c>
      <c r="N1800" s="51">
        <v>145</v>
      </c>
      <c r="O1800" s="52">
        <v>0</v>
      </c>
      <c r="P1800" s="53">
        <v>0</v>
      </c>
      <c r="Q1800" s="54">
        <v>389</v>
      </c>
      <c r="R1800" s="1"/>
      <c r="S1800" s="1"/>
      <c r="T1800" s="1"/>
    </row>
    <row r="1801" spans="1:20" ht="13.5" customHeight="1" x14ac:dyDescent="0.25">
      <c r="A1801" s="1"/>
      <c r="B1801" s="248" t="s">
        <v>1618</v>
      </c>
      <c r="C1801" s="249" t="s">
        <v>1564</v>
      </c>
      <c r="D1801" s="42">
        <v>0</v>
      </c>
      <c r="E1801" s="43">
        <v>0</v>
      </c>
      <c r="F1801" s="71">
        <v>0</v>
      </c>
      <c r="G1801" s="71">
        <v>0</v>
      </c>
      <c r="H1801" s="46">
        <v>0</v>
      </c>
      <c r="I1801" s="47"/>
      <c r="J1801" s="48"/>
      <c r="K1801" s="49"/>
      <c r="L1801" s="83">
        <v>0</v>
      </c>
      <c r="M1801" s="69">
        <v>0</v>
      </c>
      <c r="N1801" s="79">
        <v>0</v>
      </c>
      <c r="O1801" s="80">
        <v>0</v>
      </c>
      <c r="P1801" s="53"/>
      <c r="Q1801" s="54"/>
      <c r="R1801" s="1"/>
      <c r="S1801" s="1"/>
      <c r="T1801" s="1"/>
    </row>
    <row r="1802" spans="1:20" ht="13.5" customHeight="1" x14ac:dyDescent="0.25">
      <c r="A1802" s="1"/>
      <c r="B1802" s="1" t="s">
        <v>1619</v>
      </c>
      <c r="C1802" s="1" t="s">
        <v>275</v>
      </c>
      <c r="D1802" s="42">
        <v>500</v>
      </c>
      <c r="E1802" s="43">
        <v>0</v>
      </c>
      <c r="F1802" s="45">
        <v>500</v>
      </c>
      <c r="G1802" s="45">
        <v>500</v>
      </c>
      <c r="H1802" s="66">
        <v>192.5</v>
      </c>
      <c r="I1802" s="47">
        <f t="shared" ref="I1802:I1803" si="768">H1802/J1802</f>
        <v>0.38500000000000001</v>
      </c>
      <c r="J1802" s="48">
        <v>500</v>
      </c>
      <c r="K1802" s="49">
        <v>500</v>
      </c>
      <c r="L1802" s="77">
        <v>0</v>
      </c>
      <c r="M1802" s="50">
        <v>350.08</v>
      </c>
      <c r="N1802" s="51">
        <v>85</v>
      </c>
      <c r="O1802" s="52">
        <v>475</v>
      </c>
      <c r="P1802" s="53">
        <v>0</v>
      </c>
      <c r="Q1802" s="54">
        <v>96.86</v>
      </c>
      <c r="R1802" s="1"/>
      <c r="S1802" s="1"/>
      <c r="T1802" s="1"/>
    </row>
    <row r="1803" spans="1:20" ht="13.5" customHeight="1" x14ac:dyDescent="0.25">
      <c r="A1803" s="1"/>
      <c r="B1803" s="1" t="s">
        <v>1620</v>
      </c>
      <c r="C1803" s="1" t="s">
        <v>482</v>
      </c>
      <c r="D1803" s="42">
        <v>750</v>
      </c>
      <c r="E1803" s="43">
        <v>706</v>
      </c>
      <c r="F1803" s="45">
        <v>750</v>
      </c>
      <c r="G1803" s="45">
        <v>750</v>
      </c>
      <c r="H1803" s="46">
        <v>856.38</v>
      </c>
      <c r="I1803" s="47">
        <f t="shared" si="768"/>
        <v>1.14184</v>
      </c>
      <c r="J1803" s="48">
        <v>750</v>
      </c>
      <c r="K1803" s="49">
        <v>750</v>
      </c>
      <c r="L1803" s="50">
        <v>1113.1300000000001</v>
      </c>
      <c r="M1803" s="50">
        <v>815.13</v>
      </c>
      <c r="N1803" s="51">
        <v>1031.32</v>
      </c>
      <c r="O1803" s="52">
        <v>807.33</v>
      </c>
      <c r="P1803" s="53">
        <v>1632.62</v>
      </c>
      <c r="Q1803" s="54">
        <v>1447.61</v>
      </c>
      <c r="R1803" s="1"/>
      <c r="S1803" s="1"/>
      <c r="T1803" s="1"/>
    </row>
    <row r="1804" spans="1:20" ht="13.5" customHeight="1" x14ac:dyDescent="0.25">
      <c r="A1804" s="1"/>
      <c r="B1804" s="55" t="s">
        <v>1621</v>
      </c>
      <c r="C1804" s="1" t="s">
        <v>326</v>
      </c>
      <c r="D1804" s="42">
        <v>0</v>
      </c>
      <c r="E1804" s="43">
        <v>0</v>
      </c>
      <c r="F1804" s="71">
        <v>0</v>
      </c>
      <c r="G1804" s="71">
        <v>0</v>
      </c>
      <c r="H1804" s="46">
        <v>0</v>
      </c>
      <c r="I1804" s="47"/>
      <c r="J1804" s="48"/>
      <c r="K1804" s="49"/>
      <c r="L1804" s="69">
        <v>0</v>
      </c>
      <c r="M1804" s="69">
        <v>0</v>
      </c>
      <c r="N1804" s="79">
        <v>0</v>
      </c>
      <c r="O1804" s="80">
        <v>0</v>
      </c>
      <c r="P1804" s="53"/>
      <c r="Q1804" s="54"/>
      <c r="R1804" s="1"/>
      <c r="S1804" s="1"/>
      <c r="T1804" s="1"/>
    </row>
    <row r="1805" spans="1:20" ht="13.5" customHeight="1" x14ac:dyDescent="0.25">
      <c r="A1805" s="1"/>
      <c r="B1805" s="1" t="s">
        <v>1622</v>
      </c>
      <c r="C1805" s="1" t="s">
        <v>489</v>
      </c>
      <c r="D1805" s="42">
        <v>3000</v>
      </c>
      <c r="E1805" s="43">
        <v>2246.7199999999998</v>
      </c>
      <c r="F1805" s="45">
        <v>3000</v>
      </c>
      <c r="G1805" s="45">
        <v>3000</v>
      </c>
      <c r="H1805" s="46">
        <v>2015.23</v>
      </c>
      <c r="I1805" s="47">
        <f t="shared" ref="I1805:I1808" si="769">H1805/J1805</f>
        <v>0.67174333333333336</v>
      </c>
      <c r="J1805" s="48">
        <v>3000</v>
      </c>
      <c r="K1805" s="49">
        <v>3000</v>
      </c>
      <c r="L1805" s="50">
        <v>1361.47</v>
      </c>
      <c r="M1805" s="50">
        <v>2258.23</v>
      </c>
      <c r="N1805" s="51">
        <v>860.82</v>
      </c>
      <c r="O1805" s="52">
        <v>2342.5</v>
      </c>
      <c r="P1805" s="53">
        <v>1640.93</v>
      </c>
      <c r="Q1805" s="54">
        <v>1835.67</v>
      </c>
      <c r="R1805" s="1"/>
      <c r="S1805" s="1"/>
      <c r="T1805" s="1"/>
    </row>
    <row r="1806" spans="1:20" ht="13.5" customHeight="1" x14ac:dyDescent="0.25">
      <c r="A1806" s="1"/>
      <c r="B1806" s="1" t="s">
        <v>1623</v>
      </c>
      <c r="C1806" s="1" t="s">
        <v>814</v>
      </c>
      <c r="D1806" s="42">
        <v>1800</v>
      </c>
      <c r="E1806" s="43">
        <v>1102.1500000000001</v>
      </c>
      <c r="F1806" s="45">
        <v>1800</v>
      </c>
      <c r="G1806" s="45">
        <v>1800</v>
      </c>
      <c r="H1806" s="46">
        <v>1367.64</v>
      </c>
      <c r="I1806" s="47">
        <f t="shared" si="769"/>
        <v>0.75980000000000003</v>
      </c>
      <c r="J1806" s="48">
        <v>1800</v>
      </c>
      <c r="K1806" s="49">
        <v>1800</v>
      </c>
      <c r="L1806" s="50">
        <v>1367.64</v>
      </c>
      <c r="M1806" s="50">
        <v>1367.72</v>
      </c>
      <c r="N1806" s="51">
        <v>1367.7</v>
      </c>
      <c r="O1806" s="52">
        <v>387.51</v>
      </c>
      <c r="P1806" s="53">
        <v>0</v>
      </c>
      <c r="Q1806" s="54">
        <v>0</v>
      </c>
      <c r="R1806" s="1"/>
      <c r="S1806" s="1"/>
      <c r="T1806" s="1"/>
    </row>
    <row r="1807" spans="1:20" ht="13.5" customHeight="1" x14ac:dyDescent="0.25">
      <c r="A1807" s="1"/>
      <c r="B1807" s="1" t="s">
        <v>1624</v>
      </c>
      <c r="C1807" s="1" t="s">
        <v>1625</v>
      </c>
      <c r="D1807" s="42">
        <v>150</v>
      </c>
      <c r="E1807" s="70">
        <v>163.5</v>
      </c>
      <c r="F1807" s="45">
        <v>150</v>
      </c>
      <c r="G1807" s="45">
        <v>150</v>
      </c>
      <c r="H1807" s="68">
        <v>0</v>
      </c>
      <c r="I1807" s="47">
        <f t="shared" si="769"/>
        <v>0</v>
      </c>
      <c r="J1807" s="48">
        <v>150</v>
      </c>
      <c r="K1807" s="49">
        <v>150</v>
      </c>
      <c r="L1807" s="50">
        <v>163.5</v>
      </c>
      <c r="M1807" s="77">
        <v>0</v>
      </c>
      <c r="N1807" s="51">
        <v>163.5</v>
      </c>
      <c r="O1807" s="52">
        <v>0</v>
      </c>
      <c r="P1807" s="53">
        <v>163.5</v>
      </c>
      <c r="Q1807" s="54">
        <v>0</v>
      </c>
      <c r="R1807" s="1"/>
      <c r="S1807" s="1"/>
      <c r="T1807" s="1"/>
    </row>
    <row r="1808" spans="1:20" ht="13.5" customHeight="1" x14ac:dyDescent="0.25">
      <c r="A1808" s="1"/>
      <c r="B1808" s="1" t="s">
        <v>1626</v>
      </c>
      <c r="C1808" s="1" t="s">
        <v>281</v>
      </c>
      <c r="D1808" s="42">
        <v>2160</v>
      </c>
      <c r="E1808" s="43">
        <v>962.42</v>
      </c>
      <c r="F1808" s="45">
        <v>2160</v>
      </c>
      <c r="G1808" s="45">
        <v>2160</v>
      </c>
      <c r="H1808" s="46">
        <v>2582.62</v>
      </c>
      <c r="I1808" s="47">
        <f t="shared" si="769"/>
        <v>1.1956574074074073</v>
      </c>
      <c r="J1808" s="48">
        <v>2160</v>
      </c>
      <c r="K1808" s="49">
        <v>2160</v>
      </c>
      <c r="L1808" s="50">
        <v>2177.7800000000002</v>
      </c>
      <c r="M1808" s="50">
        <v>1825.16</v>
      </c>
      <c r="N1808" s="51">
        <v>1882.04</v>
      </c>
      <c r="O1808" s="52">
        <v>1751.33</v>
      </c>
      <c r="P1808" s="53">
        <v>1226.47</v>
      </c>
      <c r="Q1808" s="54">
        <v>1328.48</v>
      </c>
      <c r="R1808" s="1"/>
      <c r="S1808" s="1"/>
      <c r="T1808" s="1"/>
    </row>
    <row r="1809" spans="1:20" ht="13.5" customHeight="1" x14ac:dyDescent="0.25">
      <c r="A1809" s="1"/>
      <c r="B1809" s="1"/>
      <c r="C1809" s="1"/>
      <c r="D1809" s="56">
        <v>9360</v>
      </c>
      <c r="E1809" s="57">
        <f t="shared" ref="E1809" si="770">SUM(E1800:E1808)</f>
        <v>5180.79</v>
      </c>
      <c r="F1809" s="58">
        <f>SUM(F1799:F1808)</f>
        <v>9360</v>
      </c>
      <c r="G1809" s="58">
        <v>9360</v>
      </c>
      <c r="H1809" s="59">
        <f>SUM(H1800:H1808)</f>
        <v>7214.37</v>
      </c>
      <c r="I1809" s="59"/>
      <c r="J1809" s="60">
        <f t="shared" ref="J1809:Q1809" si="771">SUM(J1800:J1808)</f>
        <v>11360</v>
      </c>
      <c r="K1809" s="61">
        <f t="shared" si="771"/>
        <v>11360</v>
      </c>
      <c r="L1809" s="62">
        <f t="shared" si="771"/>
        <v>6183.52</v>
      </c>
      <c r="M1809" s="62">
        <f t="shared" si="771"/>
        <v>6616.32</v>
      </c>
      <c r="N1809" s="63">
        <f t="shared" si="771"/>
        <v>5535.38</v>
      </c>
      <c r="O1809" s="64">
        <f t="shared" si="771"/>
        <v>5763.67</v>
      </c>
      <c r="P1809" s="63">
        <f t="shared" si="771"/>
        <v>4663.5200000000004</v>
      </c>
      <c r="Q1809" s="65">
        <f t="shared" si="771"/>
        <v>5097.62</v>
      </c>
      <c r="R1809" s="1"/>
      <c r="S1809" s="1"/>
      <c r="T1809" s="1"/>
    </row>
    <row r="1810" spans="1:20" ht="13.5" customHeight="1" x14ac:dyDescent="0.25">
      <c r="A1810" s="1"/>
      <c r="B1810" s="1"/>
      <c r="C1810" s="1"/>
      <c r="D1810" s="42"/>
      <c r="E1810" s="44"/>
      <c r="F1810" s="45"/>
      <c r="G1810" s="45"/>
      <c r="H1810" s="66"/>
      <c r="I1810" s="66"/>
      <c r="J1810" s="48"/>
      <c r="K1810" s="49"/>
      <c r="L1810" s="50"/>
      <c r="M1810" s="50"/>
      <c r="N1810" s="51"/>
      <c r="O1810" s="52"/>
      <c r="P1810" s="53"/>
      <c r="Q1810" s="54"/>
      <c r="R1810" s="1"/>
      <c r="S1810" s="1"/>
      <c r="T1810" s="1"/>
    </row>
    <row r="1811" spans="1:20" ht="13.5" customHeight="1" x14ac:dyDescent="0.25">
      <c r="A1811" s="1"/>
      <c r="B1811" s="1" t="s">
        <v>1627</v>
      </c>
      <c r="C1811" s="1" t="s">
        <v>1283</v>
      </c>
      <c r="D1811" s="42">
        <v>0</v>
      </c>
      <c r="E1811" s="44">
        <v>0</v>
      </c>
      <c r="F1811" s="45">
        <v>0</v>
      </c>
      <c r="G1811" s="45">
        <v>0</v>
      </c>
      <c r="H1811" s="68">
        <v>37863.5</v>
      </c>
      <c r="I1811" s="74">
        <v>0</v>
      </c>
      <c r="J1811" s="75">
        <v>0</v>
      </c>
      <c r="K1811" s="76">
        <v>0</v>
      </c>
      <c r="L1811" s="50">
        <v>24920</v>
      </c>
      <c r="M1811" s="77">
        <v>0</v>
      </c>
      <c r="N1811" s="53" t="s">
        <v>16</v>
      </c>
      <c r="O1811" s="52">
        <v>30584.57</v>
      </c>
      <c r="P1811" s="53">
        <v>59376.71</v>
      </c>
      <c r="Q1811" s="54">
        <v>0</v>
      </c>
      <c r="R1811" s="1"/>
      <c r="S1811" s="1"/>
      <c r="T1811" s="1"/>
    </row>
    <row r="1812" spans="1:20" ht="13.5" customHeight="1" x14ac:dyDescent="0.25">
      <c r="A1812" s="1"/>
      <c r="B1812" s="1"/>
      <c r="C1812" s="1"/>
      <c r="D1812" s="207">
        <v>0</v>
      </c>
      <c r="E1812" s="208">
        <v>0</v>
      </c>
      <c r="F1812" s="209">
        <f>SUM(F1810:F1811)</f>
        <v>0</v>
      </c>
      <c r="G1812" s="209">
        <v>0</v>
      </c>
      <c r="H1812" s="59">
        <f>SUM(H1811)</f>
        <v>37863.5</v>
      </c>
      <c r="I1812" s="59"/>
      <c r="J1812" s="60">
        <f t="shared" ref="J1812:Q1812" si="772">SUM(J1811)</f>
        <v>0</v>
      </c>
      <c r="K1812" s="61">
        <f t="shared" si="772"/>
        <v>0</v>
      </c>
      <c r="L1812" s="62">
        <f t="shared" si="772"/>
        <v>24920</v>
      </c>
      <c r="M1812" s="62">
        <f t="shared" si="772"/>
        <v>0</v>
      </c>
      <c r="N1812" s="63">
        <f t="shared" si="772"/>
        <v>0</v>
      </c>
      <c r="O1812" s="64">
        <f t="shared" si="772"/>
        <v>30584.57</v>
      </c>
      <c r="P1812" s="63">
        <f t="shared" si="772"/>
        <v>59376.71</v>
      </c>
      <c r="Q1812" s="65">
        <f t="shared" si="772"/>
        <v>0</v>
      </c>
      <c r="R1812" s="1"/>
      <c r="S1812" s="1"/>
      <c r="T1812" s="1"/>
    </row>
    <row r="1813" spans="1:20" ht="13.5" customHeight="1" thickBot="1" x14ac:dyDescent="0.3">
      <c r="A1813" s="1"/>
      <c r="B1813" s="1"/>
      <c r="C1813" s="132" t="s">
        <v>1628</v>
      </c>
      <c r="D1813" s="267">
        <v>397990.48600000003</v>
      </c>
      <c r="E1813" s="173">
        <f t="shared" ref="E1813" si="773">SUM(E1779+E1787+E1798+E1809+E1812)</f>
        <v>163154.67000000001</v>
      </c>
      <c r="F1813" s="174">
        <f>SUM(F1779+F1787+F1798+F1809+F1812)</f>
        <v>394684.79249999998</v>
      </c>
      <c r="G1813" s="174">
        <v>394684.79249999998</v>
      </c>
      <c r="H1813" s="175">
        <f>SUM(H1779+H1787+H1798+H1809+H1812)</f>
        <v>388798.41</v>
      </c>
      <c r="I1813" s="175"/>
      <c r="J1813" s="176">
        <f t="shared" ref="J1813:Q1813" si="774">SUM(J1779+J1787+J1798+J1809+J1812)</f>
        <v>376608</v>
      </c>
      <c r="K1813" s="177">
        <f t="shared" si="774"/>
        <v>376608</v>
      </c>
      <c r="L1813" s="178">
        <f t="shared" si="774"/>
        <v>298083.09000000003</v>
      </c>
      <c r="M1813" s="178">
        <f t="shared" si="774"/>
        <v>231212.14</v>
      </c>
      <c r="N1813" s="179">
        <f t="shared" si="774"/>
        <v>240447.06</v>
      </c>
      <c r="O1813" s="180">
        <f t="shared" si="774"/>
        <v>255089.46000000002</v>
      </c>
      <c r="P1813" s="179">
        <f t="shared" si="774"/>
        <v>307152.47999999992</v>
      </c>
      <c r="Q1813" s="181">
        <f t="shared" si="774"/>
        <v>242610.6</v>
      </c>
      <c r="R1813" s="1"/>
      <c r="S1813" s="1"/>
      <c r="T1813" s="1"/>
    </row>
    <row r="1814" spans="1:20" ht="13.5" customHeight="1" thickTop="1" x14ac:dyDescent="0.25">
      <c r="A1814" s="1"/>
      <c r="B1814" s="1"/>
      <c r="C1814" s="1"/>
      <c r="D1814" s="42"/>
      <c r="E1814" s="67"/>
      <c r="F1814" s="45"/>
      <c r="G1814" s="45"/>
      <c r="H1814" s="74"/>
      <c r="I1814" s="74"/>
      <c r="J1814" s="75"/>
      <c r="K1814" s="76"/>
      <c r="L1814" s="50"/>
      <c r="M1814" s="77"/>
      <c r="N1814" s="53"/>
      <c r="O1814" s="52"/>
      <c r="P1814" s="53"/>
      <c r="Q1814" s="54"/>
      <c r="R1814" s="1"/>
      <c r="S1814" s="1"/>
      <c r="T1814" s="1"/>
    </row>
    <row r="1815" spans="1:20" ht="13.5" customHeight="1" x14ac:dyDescent="0.25">
      <c r="A1815" s="1"/>
      <c r="B1815" s="1"/>
      <c r="C1815" s="41" t="s">
        <v>1629</v>
      </c>
      <c r="D1815" s="42"/>
      <c r="E1815" s="67"/>
      <c r="F1815" s="45"/>
      <c r="G1815" s="45"/>
      <c r="H1815" s="74"/>
      <c r="I1815" s="74"/>
      <c r="J1815" s="75"/>
      <c r="K1815" s="76"/>
      <c r="L1815" s="50"/>
      <c r="M1815" s="77"/>
      <c r="N1815" s="53"/>
      <c r="O1815" s="52"/>
      <c r="P1815" s="53"/>
      <c r="Q1815" s="54"/>
      <c r="R1815" s="1"/>
      <c r="S1815" s="1"/>
      <c r="T1815" s="1"/>
    </row>
    <row r="1816" spans="1:20" ht="13.5" customHeight="1" x14ac:dyDescent="0.25">
      <c r="A1816" s="1"/>
      <c r="B1816" s="1" t="s">
        <v>1630</v>
      </c>
      <c r="C1816" s="1" t="s">
        <v>420</v>
      </c>
      <c r="D1816" s="42">
        <v>71371</v>
      </c>
      <c r="E1816" s="43">
        <v>26359.599999999999</v>
      </c>
      <c r="F1816" s="45">
        <v>71941</v>
      </c>
      <c r="G1816" s="45">
        <v>71941</v>
      </c>
      <c r="H1816" s="46">
        <v>68068.789999999994</v>
      </c>
      <c r="I1816" s="47">
        <f t="shared" ref="I1816:I1817" si="775">H1816/J1816</f>
        <v>1.0151490611904015</v>
      </c>
      <c r="J1816" s="48">
        <v>67053</v>
      </c>
      <c r="K1816" s="49">
        <v>67053</v>
      </c>
      <c r="L1816" s="50">
        <v>66558.94</v>
      </c>
      <c r="M1816" s="50">
        <v>41549.81</v>
      </c>
      <c r="N1816" s="51">
        <v>30598.77</v>
      </c>
      <c r="O1816" s="52">
        <v>33160.519999999997</v>
      </c>
      <c r="P1816" s="53">
        <v>33135.839999999997</v>
      </c>
      <c r="Q1816" s="54">
        <v>31870.560000000001</v>
      </c>
      <c r="R1816" s="1"/>
      <c r="S1816" s="1"/>
      <c r="T1816" s="1"/>
    </row>
    <row r="1817" spans="1:20" ht="13.5" customHeight="1" x14ac:dyDescent="0.25">
      <c r="A1817" s="1"/>
      <c r="B1817" s="1" t="s">
        <v>1631</v>
      </c>
      <c r="C1817" s="1" t="s">
        <v>423</v>
      </c>
      <c r="D1817" s="42">
        <v>0</v>
      </c>
      <c r="E1817" s="43">
        <v>0</v>
      </c>
      <c r="F1817" s="45">
        <v>0</v>
      </c>
      <c r="G1817" s="45">
        <v>0</v>
      </c>
      <c r="H1817" s="46">
        <v>2716.86</v>
      </c>
      <c r="I1817" s="47">
        <f t="shared" si="775"/>
        <v>0.97763943864699532</v>
      </c>
      <c r="J1817" s="48">
        <v>2779</v>
      </c>
      <c r="K1817" s="49">
        <v>2779</v>
      </c>
      <c r="L1817" s="50">
        <v>2537.71</v>
      </c>
      <c r="M1817" s="50">
        <v>2259.15</v>
      </c>
      <c r="N1817" s="51">
        <v>1860.21</v>
      </c>
      <c r="O1817" s="52">
        <v>1736.51</v>
      </c>
      <c r="P1817" s="53">
        <v>1470.05</v>
      </c>
      <c r="Q1817" s="54">
        <v>1208.3699999999999</v>
      </c>
      <c r="R1817" s="1"/>
      <c r="S1817" s="1"/>
      <c r="T1817" s="1"/>
    </row>
    <row r="1818" spans="1:20" ht="13.5" customHeight="1" x14ac:dyDescent="0.25">
      <c r="A1818" s="1"/>
      <c r="B1818" s="1"/>
      <c r="C1818" s="1"/>
      <c r="D1818" s="56">
        <v>71371</v>
      </c>
      <c r="E1818" s="57">
        <f t="shared" ref="E1818" si="776">SUM(E1816:E1817)</f>
        <v>26359.599999999999</v>
      </c>
      <c r="F1818" s="58">
        <f>SUM(F1815:F1817)</f>
        <v>71941</v>
      </c>
      <c r="G1818" s="58">
        <v>71941</v>
      </c>
      <c r="H1818" s="59">
        <f>SUM(H1816:H1817)</f>
        <v>70785.649999999994</v>
      </c>
      <c r="I1818" s="59"/>
      <c r="J1818" s="60">
        <f t="shared" ref="J1818:Q1818" si="777">SUM(J1816:J1817)</f>
        <v>69832</v>
      </c>
      <c r="K1818" s="61">
        <f t="shared" si="777"/>
        <v>69832</v>
      </c>
      <c r="L1818" s="62">
        <f t="shared" si="777"/>
        <v>69096.650000000009</v>
      </c>
      <c r="M1818" s="62">
        <f t="shared" si="777"/>
        <v>43808.959999999999</v>
      </c>
      <c r="N1818" s="63">
        <f t="shared" si="777"/>
        <v>32458.98</v>
      </c>
      <c r="O1818" s="64">
        <f t="shared" si="777"/>
        <v>34897.03</v>
      </c>
      <c r="P1818" s="63">
        <f t="shared" si="777"/>
        <v>34605.89</v>
      </c>
      <c r="Q1818" s="65">
        <f t="shared" si="777"/>
        <v>33078.93</v>
      </c>
      <c r="R1818" s="1"/>
      <c r="S1818" s="1"/>
      <c r="T1818" s="1"/>
    </row>
    <row r="1819" spans="1:20" ht="13.5" customHeight="1" x14ac:dyDescent="0.25">
      <c r="A1819" s="1"/>
      <c r="B1819" s="1"/>
      <c r="C1819" s="1"/>
      <c r="D1819" s="42"/>
      <c r="E1819" s="44"/>
      <c r="F1819" s="45"/>
      <c r="G1819" s="45"/>
      <c r="H1819" s="66"/>
      <c r="I1819" s="66"/>
      <c r="J1819" s="48"/>
      <c r="K1819" s="49"/>
      <c r="L1819" s="50"/>
      <c r="M1819" s="50"/>
      <c r="N1819" s="51"/>
      <c r="O1819" s="52"/>
      <c r="P1819" s="53"/>
      <c r="Q1819" s="54"/>
      <c r="R1819" s="1"/>
      <c r="S1819" s="1"/>
      <c r="T1819" s="1"/>
    </row>
    <row r="1820" spans="1:20" ht="13.5" customHeight="1" x14ac:dyDescent="0.25">
      <c r="A1820" s="1"/>
      <c r="B1820" s="1" t="s">
        <v>1632</v>
      </c>
      <c r="C1820" s="1" t="s">
        <v>247</v>
      </c>
      <c r="D1820" s="42">
        <v>5459.8815000000004</v>
      </c>
      <c r="E1820" s="43">
        <v>1931.17</v>
      </c>
      <c r="F1820" s="45">
        <v>5503.4865</v>
      </c>
      <c r="G1820" s="45">
        <v>5503.4865</v>
      </c>
      <c r="H1820" s="46">
        <v>5233.99</v>
      </c>
      <c r="I1820" s="47">
        <f t="shared" ref="I1820:I1824" si="778">H1820/J1820</f>
        <v>0.97959760434212984</v>
      </c>
      <c r="J1820" s="48">
        <v>5343</v>
      </c>
      <c r="K1820" s="49">
        <v>5343</v>
      </c>
      <c r="L1820" s="50">
        <v>5108.68</v>
      </c>
      <c r="M1820" s="50">
        <v>3195.59</v>
      </c>
      <c r="N1820" s="51">
        <v>2817.34</v>
      </c>
      <c r="O1820" s="52">
        <v>3134.05</v>
      </c>
      <c r="P1820" s="53">
        <v>2171.58</v>
      </c>
      <c r="Q1820" s="54">
        <v>2461.36</v>
      </c>
      <c r="R1820" s="1"/>
      <c r="S1820" s="1"/>
      <c r="T1820" s="1"/>
    </row>
    <row r="1821" spans="1:20" ht="13.5" customHeight="1" x14ac:dyDescent="0.25">
      <c r="A1821" s="1"/>
      <c r="B1821" s="1" t="s">
        <v>1633</v>
      </c>
      <c r="C1821" s="1" t="s">
        <v>249</v>
      </c>
      <c r="D1821" s="42">
        <v>20926.869600000002</v>
      </c>
      <c r="E1821" s="43">
        <v>5182.9399999999996</v>
      </c>
      <c r="F1821" s="45">
        <v>20926.547200000001</v>
      </c>
      <c r="G1821" s="45">
        <v>20926.547200000001</v>
      </c>
      <c r="H1821" s="46">
        <v>10190.34</v>
      </c>
      <c r="I1821" s="47">
        <f t="shared" si="778"/>
        <v>0.4973323572474378</v>
      </c>
      <c r="J1821" s="48">
        <v>20490</v>
      </c>
      <c r="K1821" s="49">
        <v>20490</v>
      </c>
      <c r="L1821" s="50">
        <v>10151.56</v>
      </c>
      <c r="M1821" s="50">
        <v>10139</v>
      </c>
      <c r="N1821" s="51">
        <v>10165.6</v>
      </c>
      <c r="O1821" s="52">
        <v>10124.16</v>
      </c>
      <c r="P1821" s="53">
        <v>9977.7999999999993</v>
      </c>
      <c r="Q1821" s="54">
        <v>9616.7999999999993</v>
      </c>
      <c r="R1821" s="1"/>
      <c r="S1821" s="1"/>
      <c r="T1821" s="1"/>
    </row>
    <row r="1822" spans="1:20" ht="13.5" customHeight="1" x14ac:dyDescent="0.25">
      <c r="A1822" s="1"/>
      <c r="B1822" s="1" t="s">
        <v>1634</v>
      </c>
      <c r="C1822" s="1" t="s">
        <v>251</v>
      </c>
      <c r="D1822" s="42">
        <v>10719.924200000001</v>
      </c>
      <c r="E1822" s="43">
        <v>3959.22</v>
      </c>
      <c r="F1822" s="45">
        <v>10805.538199999999</v>
      </c>
      <c r="G1822" s="45">
        <v>10805.538199999999</v>
      </c>
      <c r="H1822" s="46">
        <v>10287.75</v>
      </c>
      <c r="I1822" s="47">
        <f t="shared" si="778"/>
        <v>1.0145710059171598</v>
      </c>
      <c r="J1822" s="48">
        <v>10140</v>
      </c>
      <c r="K1822" s="49">
        <v>10140</v>
      </c>
      <c r="L1822" s="50">
        <v>10005.85</v>
      </c>
      <c r="M1822" s="50">
        <v>6105.56</v>
      </c>
      <c r="N1822" s="51">
        <v>5532.38</v>
      </c>
      <c r="O1822" s="52">
        <v>6358.1</v>
      </c>
      <c r="P1822" s="53">
        <v>4697.83</v>
      </c>
      <c r="Q1822" s="54">
        <v>4781.3</v>
      </c>
      <c r="R1822" s="1"/>
      <c r="S1822" s="1"/>
      <c r="T1822" s="1"/>
    </row>
    <row r="1823" spans="1:20" ht="13.5" customHeight="1" x14ac:dyDescent="0.25">
      <c r="A1823" s="1"/>
      <c r="B1823" s="1" t="s">
        <v>1635</v>
      </c>
      <c r="C1823" s="1" t="s">
        <v>253</v>
      </c>
      <c r="D1823" s="42">
        <v>114.1936</v>
      </c>
      <c r="E1823" s="43">
        <v>42.18</v>
      </c>
      <c r="F1823" s="45">
        <v>115.10560000000001</v>
      </c>
      <c r="G1823" s="45">
        <v>115.10560000000001</v>
      </c>
      <c r="H1823" s="46">
        <v>113.26</v>
      </c>
      <c r="I1823" s="47">
        <f t="shared" si="778"/>
        <v>1.01125</v>
      </c>
      <c r="J1823" s="48">
        <v>112</v>
      </c>
      <c r="K1823" s="49">
        <v>112</v>
      </c>
      <c r="L1823" s="50">
        <v>126.31</v>
      </c>
      <c r="M1823" s="50">
        <v>82.13</v>
      </c>
      <c r="N1823" s="51">
        <v>96.82</v>
      </c>
      <c r="O1823" s="52">
        <v>123.36</v>
      </c>
      <c r="P1823" s="53">
        <v>85.68</v>
      </c>
      <c r="Q1823" s="54">
        <v>89.97</v>
      </c>
      <c r="R1823" s="1"/>
      <c r="S1823" s="1"/>
      <c r="T1823" s="1"/>
    </row>
    <row r="1824" spans="1:20" ht="13.5" customHeight="1" x14ac:dyDescent="0.25">
      <c r="A1824" s="1"/>
      <c r="B1824" s="1" t="s">
        <v>1636</v>
      </c>
      <c r="C1824" s="1" t="s">
        <v>255</v>
      </c>
      <c r="D1824" s="42">
        <v>702.24</v>
      </c>
      <c r="E1824" s="43">
        <v>167.28</v>
      </c>
      <c r="F1824" s="45">
        <v>670</v>
      </c>
      <c r="G1824" s="45">
        <v>670</v>
      </c>
      <c r="H1824" s="46">
        <v>323.95999999999998</v>
      </c>
      <c r="I1824" s="47">
        <f t="shared" si="778"/>
        <v>0.50304347826086948</v>
      </c>
      <c r="J1824" s="48">
        <v>644</v>
      </c>
      <c r="K1824" s="49">
        <v>644</v>
      </c>
      <c r="L1824" s="50">
        <v>313.24</v>
      </c>
      <c r="M1824" s="50">
        <v>302.12</v>
      </c>
      <c r="N1824" s="51">
        <v>329.54</v>
      </c>
      <c r="O1824" s="52">
        <v>335.4</v>
      </c>
      <c r="P1824" s="53">
        <v>335.4</v>
      </c>
      <c r="Q1824" s="54">
        <v>320.3</v>
      </c>
      <c r="R1824" s="1"/>
      <c r="S1824" s="1"/>
      <c r="T1824" s="1"/>
    </row>
    <row r="1825" spans="1:20" ht="13.5" customHeight="1" x14ac:dyDescent="0.25">
      <c r="A1825" s="1"/>
      <c r="B1825" s="1"/>
      <c r="C1825" s="1"/>
      <c r="D1825" s="56">
        <v>37923.108899999999</v>
      </c>
      <c r="E1825" s="57">
        <f t="shared" ref="E1825" si="779">SUM(E1820:E1824)</f>
        <v>11282.79</v>
      </c>
      <c r="F1825" s="58">
        <f>SUM(F1819:F1824)</f>
        <v>38020.677499999998</v>
      </c>
      <c r="G1825" s="58">
        <v>38020.677499999998</v>
      </c>
      <c r="H1825" s="59">
        <f>SUM(H1820:H1824)</f>
        <v>26149.3</v>
      </c>
      <c r="I1825" s="59"/>
      <c r="J1825" s="60">
        <f t="shared" ref="J1825:Q1825" si="780">SUM(J1820:J1824)</f>
        <v>36729</v>
      </c>
      <c r="K1825" s="61">
        <f t="shared" si="780"/>
        <v>36729</v>
      </c>
      <c r="L1825" s="62">
        <f t="shared" si="780"/>
        <v>25705.640000000003</v>
      </c>
      <c r="M1825" s="62">
        <f t="shared" si="780"/>
        <v>19824.400000000001</v>
      </c>
      <c r="N1825" s="63">
        <f t="shared" si="780"/>
        <v>18941.68</v>
      </c>
      <c r="O1825" s="64">
        <f t="shared" si="780"/>
        <v>20075.07</v>
      </c>
      <c r="P1825" s="63">
        <f t="shared" si="780"/>
        <v>17268.29</v>
      </c>
      <c r="Q1825" s="65">
        <f t="shared" si="780"/>
        <v>17269.73</v>
      </c>
      <c r="R1825" s="1"/>
      <c r="S1825" s="1"/>
      <c r="T1825" s="1"/>
    </row>
    <row r="1826" spans="1:20" ht="13.5" customHeight="1" x14ac:dyDescent="0.25">
      <c r="A1826" s="1"/>
      <c r="B1826" s="1"/>
      <c r="C1826" s="1"/>
      <c r="D1826" s="42"/>
      <c r="E1826" s="44"/>
      <c r="F1826" s="45"/>
      <c r="G1826" s="45"/>
      <c r="H1826" s="66"/>
      <c r="I1826" s="66"/>
      <c r="J1826" s="48"/>
      <c r="K1826" s="49"/>
      <c r="L1826" s="50"/>
      <c r="M1826" s="50"/>
      <c r="N1826" s="51"/>
      <c r="O1826" s="52"/>
      <c r="P1826" s="53"/>
      <c r="Q1826" s="54"/>
      <c r="R1826" s="1"/>
      <c r="S1826" s="1"/>
      <c r="T1826" s="1"/>
    </row>
    <row r="1827" spans="1:20" ht="13.5" customHeight="1" x14ac:dyDescent="0.25">
      <c r="A1827" s="1"/>
      <c r="B1827" s="1" t="s">
        <v>1637</v>
      </c>
      <c r="C1827" s="1" t="s">
        <v>259</v>
      </c>
      <c r="D1827" s="42">
        <v>1074</v>
      </c>
      <c r="E1827" s="43">
        <v>80.89</v>
      </c>
      <c r="F1827" s="45">
        <v>1074</v>
      </c>
      <c r="G1827" s="45">
        <v>1074</v>
      </c>
      <c r="H1827" s="46">
        <v>986.02</v>
      </c>
      <c r="I1827" s="47">
        <f t="shared" ref="I1827:I1828" si="781">H1827/J1827</f>
        <v>0.91808193668528859</v>
      </c>
      <c r="J1827" s="48">
        <v>1074</v>
      </c>
      <c r="K1827" s="49">
        <v>1074</v>
      </c>
      <c r="L1827" s="50">
        <v>1192.83</v>
      </c>
      <c r="M1827" s="50">
        <v>1234.7</v>
      </c>
      <c r="N1827" s="51">
        <v>1447.93</v>
      </c>
      <c r="O1827" s="52">
        <v>413.36</v>
      </c>
      <c r="P1827" s="53">
        <v>388.43</v>
      </c>
      <c r="Q1827" s="54">
        <v>1892.53</v>
      </c>
      <c r="R1827" s="1"/>
      <c r="S1827" s="1"/>
      <c r="T1827" s="1"/>
    </row>
    <row r="1828" spans="1:20" ht="13.5" customHeight="1" x14ac:dyDescent="0.25">
      <c r="A1828" s="1"/>
      <c r="B1828" s="1" t="s">
        <v>1638</v>
      </c>
      <c r="C1828" s="1" t="s">
        <v>963</v>
      </c>
      <c r="D1828" s="42">
        <v>750</v>
      </c>
      <c r="E1828" s="70">
        <v>0</v>
      </c>
      <c r="F1828" s="45">
        <v>750</v>
      </c>
      <c r="G1828" s="45">
        <v>750</v>
      </c>
      <c r="H1828" s="68">
        <v>625.5</v>
      </c>
      <c r="I1828" s="47">
        <f t="shared" si="781"/>
        <v>0.83399999999999996</v>
      </c>
      <c r="J1828" s="48">
        <v>750</v>
      </c>
      <c r="K1828" s="49">
        <v>750</v>
      </c>
      <c r="L1828" s="77">
        <v>0</v>
      </c>
      <c r="M1828" s="77">
        <v>0</v>
      </c>
      <c r="N1828" s="51">
        <v>256.95</v>
      </c>
      <c r="O1828" s="52">
        <v>0</v>
      </c>
      <c r="P1828" s="53">
        <v>24.03</v>
      </c>
      <c r="Q1828" s="54">
        <v>0</v>
      </c>
      <c r="R1828" s="1"/>
      <c r="S1828" s="1"/>
      <c r="T1828" s="1"/>
    </row>
    <row r="1829" spans="1:20" ht="13.5" customHeight="1" x14ac:dyDescent="0.25">
      <c r="A1829" s="1"/>
      <c r="B1829" s="1" t="s">
        <v>1639</v>
      </c>
      <c r="C1829" s="1" t="s">
        <v>1640</v>
      </c>
      <c r="D1829" s="42">
        <v>0</v>
      </c>
      <c r="E1829" s="70">
        <v>0</v>
      </c>
      <c r="F1829" s="86">
        <v>0</v>
      </c>
      <c r="G1829" s="86">
        <v>0</v>
      </c>
      <c r="H1829" s="68">
        <v>47</v>
      </c>
      <c r="I1829" s="74"/>
      <c r="J1829" s="75" t="s">
        <v>16</v>
      </c>
      <c r="K1829" s="76" t="s">
        <v>16</v>
      </c>
      <c r="L1829" s="83">
        <v>0</v>
      </c>
      <c r="M1829" s="50">
        <v>163.31</v>
      </c>
      <c r="N1829" s="53" t="s">
        <v>16</v>
      </c>
      <c r="O1829" s="52">
        <v>338.74</v>
      </c>
      <c r="P1829" s="53">
        <v>329.98</v>
      </c>
      <c r="Q1829" s="54">
        <v>211.48</v>
      </c>
      <c r="R1829" s="1"/>
      <c r="S1829" s="1"/>
      <c r="T1829" s="1"/>
    </row>
    <row r="1830" spans="1:20" ht="13.5" customHeight="1" x14ac:dyDescent="0.25">
      <c r="A1830" s="1"/>
      <c r="B1830" s="1" t="s">
        <v>1641</v>
      </c>
      <c r="C1830" s="55" t="s">
        <v>265</v>
      </c>
      <c r="D1830" s="42">
        <v>0</v>
      </c>
      <c r="E1830" s="70">
        <v>0</v>
      </c>
      <c r="F1830" s="86">
        <v>0</v>
      </c>
      <c r="G1830" s="86">
        <v>0</v>
      </c>
      <c r="H1830" s="68">
        <v>2835</v>
      </c>
      <c r="I1830" s="74"/>
      <c r="J1830" s="75" t="s">
        <v>16</v>
      </c>
      <c r="K1830" s="76" t="s">
        <v>16</v>
      </c>
      <c r="L1830" s="83">
        <v>0</v>
      </c>
      <c r="M1830" s="50">
        <v>1914.5</v>
      </c>
      <c r="N1830" s="53" t="s">
        <v>16</v>
      </c>
      <c r="O1830" s="52">
        <v>0</v>
      </c>
      <c r="P1830" s="53">
        <v>0</v>
      </c>
      <c r="Q1830" s="54">
        <v>158</v>
      </c>
      <c r="R1830" s="1"/>
      <c r="S1830" s="1"/>
      <c r="T1830" s="1"/>
    </row>
    <row r="1831" spans="1:20" ht="13.5" customHeight="1" x14ac:dyDescent="0.25">
      <c r="A1831" s="1"/>
      <c r="B1831" s="1" t="s">
        <v>1642</v>
      </c>
      <c r="C1831" s="1" t="s">
        <v>438</v>
      </c>
      <c r="D1831" s="42">
        <v>0</v>
      </c>
      <c r="E1831" s="70">
        <v>0</v>
      </c>
      <c r="F1831" s="86">
        <v>0</v>
      </c>
      <c r="G1831" s="86">
        <v>0</v>
      </c>
      <c r="H1831" s="68">
        <v>579.98</v>
      </c>
      <c r="I1831" s="74"/>
      <c r="J1831" s="75" t="s">
        <v>16</v>
      </c>
      <c r="K1831" s="76" t="s">
        <v>16</v>
      </c>
      <c r="L1831" s="50">
        <v>1127.76</v>
      </c>
      <c r="M1831" s="83">
        <v>0</v>
      </c>
      <c r="N1831" s="53" t="s">
        <v>16</v>
      </c>
      <c r="O1831" s="52">
        <v>2145.92</v>
      </c>
      <c r="P1831" s="53">
        <v>636.94000000000005</v>
      </c>
      <c r="Q1831" s="54">
        <v>1058.93</v>
      </c>
      <c r="R1831" s="1"/>
      <c r="S1831" s="1"/>
      <c r="T1831" s="1"/>
    </row>
    <row r="1832" spans="1:20" ht="13.5" customHeight="1" x14ac:dyDescent="0.25">
      <c r="A1832" s="1"/>
      <c r="B1832" s="1" t="s">
        <v>1643</v>
      </c>
      <c r="C1832" s="1" t="s">
        <v>267</v>
      </c>
      <c r="D1832" s="42">
        <v>1000</v>
      </c>
      <c r="E1832" s="43">
        <v>0</v>
      </c>
      <c r="F1832" s="45">
        <v>1000</v>
      </c>
      <c r="G1832" s="45">
        <v>1000</v>
      </c>
      <c r="H1832" s="46">
        <v>5206.99</v>
      </c>
      <c r="I1832" s="47">
        <f>H1832/J1832</f>
        <v>5.2069899999999993</v>
      </c>
      <c r="J1832" s="48">
        <v>1000</v>
      </c>
      <c r="K1832" s="49">
        <v>1000</v>
      </c>
      <c r="L1832" s="50">
        <v>7188.76</v>
      </c>
      <c r="M1832" s="50">
        <v>6160.64</v>
      </c>
      <c r="N1832" s="51">
        <v>5187.5</v>
      </c>
      <c r="O1832" s="52">
        <v>0</v>
      </c>
      <c r="P1832" s="53">
        <v>621.25</v>
      </c>
      <c r="Q1832" s="54">
        <v>9585</v>
      </c>
      <c r="R1832" s="1"/>
      <c r="S1832" s="1"/>
      <c r="T1832" s="1"/>
    </row>
    <row r="1833" spans="1:20" ht="13.5" customHeight="1" x14ac:dyDescent="0.25">
      <c r="A1833" s="1"/>
      <c r="B1833" s="1"/>
      <c r="C1833" s="1"/>
      <c r="D1833" s="56">
        <v>2824</v>
      </c>
      <c r="E1833" s="57">
        <f t="shared" ref="E1833" si="782">SUM(E1827:E1832)</f>
        <v>80.89</v>
      </c>
      <c r="F1833" s="58">
        <f>SUM(F1826:F1832)</f>
        <v>2824</v>
      </c>
      <c r="G1833" s="58">
        <v>2824</v>
      </c>
      <c r="H1833" s="59">
        <f>SUM(H1827:H1832)</f>
        <v>10280.49</v>
      </c>
      <c r="I1833" s="59"/>
      <c r="J1833" s="60">
        <f t="shared" ref="J1833:Q1833" si="783">SUM(J1827:J1832)</f>
        <v>2824</v>
      </c>
      <c r="K1833" s="61">
        <f t="shared" si="783"/>
        <v>2824</v>
      </c>
      <c r="L1833" s="62">
        <f t="shared" si="783"/>
        <v>9509.35</v>
      </c>
      <c r="M1833" s="62">
        <f t="shared" si="783"/>
        <v>9473.1500000000015</v>
      </c>
      <c r="N1833" s="63">
        <f t="shared" si="783"/>
        <v>6892.38</v>
      </c>
      <c r="O1833" s="64">
        <f t="shared" si="783"/>
        <v>2898.02</v>
      </c>
      <c r="P1833" s="63">
        <f t="shared" si="783"/>
        <v>2000.63</v>
      </c>
      <c r="Q1833" s="65">
        <f t="shared" si="783"/>
        <v>12905.939999999999</v>
      </c>
      <c r="R1833" s="1"/>
      <c r="S1833" s="1"/>
      <c r="T1833" s="1"/>
    </row>
    <row r="1834" spans="1:20" ht="13.5" customHeight="1" x14ac:dyDescent="0.25">
      <c r="A1834" s="1"/>
      <c r="B1834" s="1"/>
      <c r="C1834" s="1"/>
      <c r="D1834" s="42"/>
      <c r="E1834" s="44"/>
      <c r="F1834" s="45"/>
      <c r="G1834" s="45"/>
      <c r="H1834" s="66"/>
      <c r="I1834" s="66"/>
      <c r="J1834" s="48"/>
      <c r="K1834" s="49"/>
      <c r="L1834" s="50"/>
      <c r="M1834" s="50"/>
      <c r="N1834" s="51"/>
      <c r="O1834" s="52"/>
      <c r="P1834" s="53"/>
      <c r="Q1834" s="54"/>
      <c r="R1834" s="1"/>
      <c r="S1834" s="1"/>
      <c r="T1834" s="1"/>
    </row>
    <row r="1835" spans="1:20" ht="13.5" customHeight="1" x14ac:dyDescent="0.25">
      <c r="A1835" s="1"/>
      <c r="B1835" s="1" t="s">
        <v>1644</v>
      </c>
      <c r="C1835" s="1" t="s">
        <v>279</v>
      </c>
      <c r="D1835" s="42">
        <v>0</v>
      </c>
      <c r="E1835" s="70">
        <v>71</v>
      </c>
      <c r="F1835" s="73">
        <v>0</v>
      </c>
      <c r="G1835" s="73">
        <v>0</v>
      </c>
      <c r="H1835" s="74">
        <v>0</v>
      </c>
      <c r="I1835" s="183">
        <v>0</v>
      </c>
      <c r="J1835" s="75">
        <v>0</v>
      </c>
      <c r="K1835" s="76">
        <v>0</v>
      </c>
      <c r="L1835" s="50">
        <v>71</v>
      </c>
      <c r="M1835" s="77">
        <v>0</v>
      </c>
      <c r="N1835" s="53" t="s">
        <v>16</v>
      </c>
      <c r="O1835" s="52">
        <v>0</v>
      </c>
      <c r="P1835" s="53">
        <v>0</v>
      </c>
      <c r="Q1835" s="54">
        <v>0</v>
      </c>
      <c r="R1835" s="1"/>
      <c r="S1835" s="1"/>
      <c r="T1835" s="1"/>
    </row>
    <row r="1836" spans="1:20" ht="13.5" customHeight="1" x14ac:dyDescent="0.25">
      <c r="A1836" s="1"/>
      <c r="B1836" s="1"/>
      <c r="C1836" s="1"/>
      <c r="D1836" s="88">
        <v>0</v>
      </c>
      <c r="E1836" s="89">
        <f t="shared" ref="E1836" si="784">SUM(E1835)</f>
        <v>71</v>
      </c>
      <c r="F1836" s="90">
        <f>SUM(F1834:F1835)</f>
        <v>0</v>
      </c>
      <c r="G1836" s="90">
        <v>0</v>
      </c>
      <c r="H1836" s="91">
        <f>SUM(H1835)</f>
        <v>0</v>
      </c>
      <c r="I1836" s="91"/>
      <c r="J1836" s="92">
        <f t="shared" ref="J1836:Q1836" si="785">SUM(J1835)</f>
        <v>0</v>
      </c>
      <c r="K1836" s="93">
        <f t="shared" si="785"/>
        <v>0</v>
      </c>
      <c r="L1836" s="94">
        <f t="shared" si="785"/>
        <v>71</v>
      </c>
      <c r="M1836" s="94">
        <f t="shared" si="785"/>
        <v>0</v>
      </c>
      <c r="N1836" s="95">
        <f t="shared" si="785"/>
        <v>0</v>
      </c>
      <c r="O1836" s="96">
        <f t="shared" si="785"/>
        <v>0</v>
      </c>
      <c r="P1836" s="95">
        <f t="shared" si="785"/>
        <v>0</v>
      </c>
      <c r="Q1836" s="97">
        <f t="shared" si="785"/>
        <v>0</v>
      </c>
      <c r="R1836" s="1"/>
      <c r="S1836" s="1"/>
      <c r="T1836" s="1"/>
    </row>
    <row r="1837" spans="1:20" ht="13.5" customHeight="1" thickBot="1" x14ac:dyDescent="0.3">
      <c r="A1837" s="1"/>
      <c r="B1837" s="1"/>
      <c r="C1837" s="116" t="s">
        <v>1645</v>
      </c>
      <c r="D1837" s="184">
        <v>112118.10889999999</v>
      </c>
      <c r="E1837" s="185">
        <f t="shared" ref="E1837" si="786">SUM(E1818+E1825+E1833+E1836)</f>
        <v>37794.28</v>
      </c>
      <c r="F1837" s="186">
        <f>SUM(F1818,F1825,F1833,F1836)</f>
        <v>112785.67749999999</v>
      </c>
      <c r="G1837" s="186">
        <v>112785.67749999999</v>
      </c>
      <c r="H1837" s="187">
        <f>SUM(H1818+H1825+H1833+H1836)</f>
        <v>107215.44</v>
      </c>
      <c r="I1837" s="187"/>
      <c r="J1837" s="188">
        <f t="shared" ref="J1837:Q1837" si="787">SUM(J1818+J1825+J1833+J1836)</f>
        <v>109385</v>
      </c>
      <c r="K1837" s="189">
        <f t="shared" si="787"/>
        <v>109385</v>
      </c>
      <c r="L1837" s="190">
        <f t="shared" si="787"/>
        <v>104382.64000000001</v>
      </c>
      <c r="M1837" s="190">
        <f t="shared" si="787"/>
        <v>73106.510000000009</v>
      </c>
      <c r="N1837" s="191">
        <f t="shared" si="787"/>
        <v>58293.04</v>
      </c>
      <c r="O1837" s="192">
        <f t="shared" si="787"/>
        <v>57870.119999999995</v>
      </c>
      <c r="P1837" s="191">
        <f t="shared" si="787"/>
        <v>53874.81</v>
      </c>
      <c r="Q1837" s="193">
        <f t="shared" si="787"/>
        <v>63254.600000000006</v>
      </c>
      <c r="R1837" s="1"/>
      <c r="S1837" s="1"/>
      <c r="T1837" s="1"/>
    </row>
    <row r="1838" spans="1:20" ht="13.5" customHeight="1" thickTop="1" x14ac:dyDescent="0.25">
      <c r="A1838" s="1"/>
      <c r="B1838" s="1"/>
      <c r="C1838" s="1"/>
      <c r="D1838" s="72"/>
      <c r="E1838" s="67"/>
      <c r="F1838" s="73"/>
      <c r="G1838" s="73"/>
      <c r="H1838" s="74"/>
      <c r="I1838" s="74"/>
      <c r="J1838" s="75"/>
      <c r="K1838" s="76"/>
      <c r="L1838" s="50"/>
      <c r="M1838" s="77"/>
      <c r="N1838" s="53"/>
      <c r="O1838" s="52"/>
      <c r="P1838" s="53"/>
      <c r="Q1838" s="54"/>
      <c r="R1838" s="1"/>
      <c r="S1838" s="1"/>
      <c r="T1838" s="1"/>
    </row>
    <row r="1839" spans="1:20" ht="13.5" customHeight="1" x14ac:dyDescent="0.25">
      <c r="A1839" s="1"/>
      <c r="B1839" s="1"/>
      <c r="C1839" s="250" t="s">
        <v>1646</v>
      </c>
      <c r="D1839" s="72"/>
      <c r="E1839" s="67"/>
      <c r="F1839" s="73"/>
      <c r="G1839" s="73"/>
      <c r="H1839" s="74"/>
      <c r="I1839" s="74"/>
      <c r="J1839" s="75"/>
      <c r="K1839" s="76"/>
      <c r="L1839" s="50"/>
      <c r="M1839" s="77"/>
      <c r="N1839" s="53"/>
      <c r="O1839" s="52"/>
      <c r="P1839" s="53"/>
      <c r="Q1839" s="54"/>
      <c r="R1839" s="1"/>
      <c r="S1839" s="1"/>
      <c r="T1839" s="1"/>
    </row>
    <row r="1840" spans="1:20" ht="13.5" customHeight="1" x14ac:dyDescent="0.25">
      <c r="A1840" s="1"/>
      <c r="B1840" s="1" t="s">
        <v>1647</v>
      </c>
      <c r="C1840" s="78" t="s">
        <v>420</v>
      </c>
      <c r="D1840" s="42">
        <v>0</v>
      </c>
      <c r="E1840" s="44">
        <v>0</v>
      </c>
      <c r="F1840" s="45">
        <v>0</v>
      </c>
      <c r="G1840" s="45">
        <v>0</v>
      </c>
      <c r="H1840" s="66">
        <v>303.56</v>
      </c>
      <c r="I1840" s="47">
        <f t="shared" ref="I1840:I1841" si="788">H1840/J1840</f>
        <v>8.787887560431926E-3</v>
      </c>
      <c r="J1840" s="48">
        <v>34543</v>
      </c>
      <c r="K1840" s="49">
        <v>36848</v>
      </c>
      <c r="L1840" s="50">
        <v>35803.58</v>
      </c>
      <c r="M1840" s="50">
        <v>36714.5</v>
      </c>
      <c r="N1840" s="51">
        <v>33137.769999999997</v>
      </c>
      <c r="O1840" s="52">
        <v>31413.53</v>
      </c>
      <c r="P1840" s="53">
        <v>31555.09</v>
      </c>
      <c r="Q1840" s="54">
        <v>30270.400000000001</v>
      </c>
      <c r="R1840" s="1"/>
      <c r="S1840" s="1"/>
      <c r="T1840" s="1"/>
    </row>
    <row r="1841" spans="1:20" ht="13.5" customHeight="1" x14ac:dyDescent="0.25">
      <c r="A1841" s="1"/>
      <c r="B1841" s="1" t="s">
        <v>1648</v>
      </c>
      <c r="C1841" s="78" t="s">
        <v>423</v>
      </c>
      <c r="D1841" s="42">
        <v>0</v>
      </c>
      <c r="E1841" s="44">
        <v>0</v>
      </c>
      <c r="F1841" s="45">
        <v>0</v>
      </c>
      <c r="G1841" s="45">
        <v>0</v>
      </c>
      <c r="H1841" s="74">
        <v>0</v>
      </c>
      <c r="I1841" s="47">
        <f t="shared" si="788"/>
        <v>0</v>
      </c>
      <c r="J1841" s="48">
        <v>5000</v>
      </c>
      <c r="K1841" s="49">
        <v>5000</v>
      </c>
      <c r="L1841" s="50">
        <v>4896.13</v>
      </c>
      <c r="M1841" s="50">
        <v>5086.18</v>
      </c>
      <c r="N1841" s="51">
        <v>5019.3</v>
      </c>
      <c r="O1841" s="52">
        <v>5019.29</v>
      </c>
      <c r="P1841" s="53">
        <v>5019.29</v>
      </c>
      <c r="Q1841" s="54">
        <v>5038.5200000000004</v>
      </c>
      <c r="R1841" s="1"/>
      <c r="S1841" s="1"/>
      <c r="T1841" s="1"/>
    </row>
    <row r="1842" spans="1:20" ht="13.5" customHeight="1" x14ac:dyDescent="0.25">
      <c r="A1842" s="1"/>
      <c r="B1842" s="1"/>
      <c r="C1842" s="78"/>
      <c r="D1842" s="56">
        <v>0</v>
      </c>
      <c r="E1842" s="57">
        <v>0</v>
      </c>
      <c r="F1842" s="58">
        <f>SUM(F1839:F1841)</f>
        <v>0</v>
      </c>
      <c r="G1842" s="58">
        <v>0</v>
      </c>
      <c r="H1842" s="59">
        <f>SUM(H1840:H1841)</f>
        <v>303.56</v>
      </c>
      <c r="I1842" s="59"/>
      <c r="J1842" s="60">
        <f t="shared" ref="J1842:Q1842" si="789">SUM(J1840:J1841)</f>
        <v>39543</v>
      </c>
      <c r="K1842" s="61">
        <f t="shared" si="789"/>
        <v>41848</v>
      </c>
      <c r="L1842" s="62">
        <f t="shared" si="789"/>
        <v>40699.71</v>
      </c>
      <c r="M1842" s="62">
        <f t="shared" si="789"/>
        <v>41800.68</v>
      </c>
      <c r="N1842" s="63">
        <f t="shared" si="789"/>
        <v>38157.07</v>
      </c>
      <c r="O1842" s="64">
        <f t="shared" si="789"/>
        <v>36432.82</v>
      </c>
      <c r="P1842" s="63">
        <f t="shared" si="789"/>
        <v>36574.379999999997</v>
      </c>
      <c r="Q1842" s="65">
        <f t="shared" si="789"/>
        <v>35308.92</v>
      </c>
      <c r="R1842" s="1"/>
      <c r="S1842" s="1"/>
      <c r="T1842" s="1"/>
    </row>
    <row r="1843" spans="1:20" ht="13.5" customHeight="1" x14ac:dyDescent="0.25">
      <c r="A1843" s="1"/>
      <c r="B1843" s="1"/>
      <c r="C1843" s="78"/>
      <c r="D1843" s="42"/>
      <c r="E1843" s="44"/>
      <c r="F1843" s="45"/>
      <c r="G1843" s="45"/>
      <c r="H1843" s="74"/>
      <c r="I1843" s="66"/>
      <c r="J1843" s="48"/>
      <c r="K1843" s="49"/>
      <c r="L1843" s="50"/>
      <c r="M1843" s="50"/>
      <c r="N1843" s="51"/>
      <c r="O1843" s="52"/>
      <c r="P1843" s="53"/>
      <c r="Q1843" s="54"/>
      <c r="R1843" s="1"/>
      <c r="S1843" s="1"/>
      <c r="T1843" s="1"/>
    </row>
    <row r="1844" spans="1:20" ht="13.5" customHeight="1" x14ac:dyDescent="0.25">
      <c r="A1844" s="1"/>
      <c r="B1844" s="1" t="s">
        <v>1649</v>
      </c>
      <c r="C1844" s="78" t="s">
        <v>247</v>
      </c>
      <c r="D1844" s="42">
        <v>0</v>
      </c>
      <c r="E1844" s="44">
        <v>0</v>
      </c>
      <c r="F1844" s="45">
        <v>0</v>
      </c>
      <c r="G1844" s="45">
        <v>0</v>
      </c>
      <c r="H1844" s="66">
        <v>21.15</v>
      </c>
      <c r="I1844" s="47">
        <f t="shared" ref="I1844:I1848" si="790">H1844/J1844</f>
        <v>7.605177993527508E-3</v>
      </c>
      <c r="J1844" s="48">
        <v>2781</v>
      </c>
      <c r="K1844" s="49">
        <v>2958</v>
      </c>
      <c r="L1844" s="50">
        <v>2850.36</v>
      </c>
      <c r="M1844" s="50">
        <v>2979.68</v>
      </c>
      <c r="N1844" s="51">
        <v>2842.26</v>
      </c>
      <c r="O1844" s="52">
        <v>2540.58</v>
      </c>
      <c r="P1844" s="53">
        <v>2660.21</v>
      </c>
      <c r="Q1844" s="54">
        <v>3201.74</v>
      </c>
      <c r="R1844" s="1"/>
      <c r="S1844" s="1"/>
      <c r="T1844" s="1"/>
    </row>
    <row r="1845" spans="1:20" ht="13.5" customHeight="1" x14ac:dyDescent="0.25">
      <c r="A1845" s="1"/>
      <c r="B1845" s="1" t="s">
        <v>1650</v>
      </c>
      <c r="C1845" s="78" t="s">
        <v>249</v>
      </c>
      <c r="D1845" s="42">
        <v>0</v>
      </c>
      <c r="E1845" s="44">
        <v>0</v>
      </c>
      <c r="F1845" s="45">
        <v>0</v>
      </c>
      <c r="G1845" s="45">
        <v>0</v>
      </c>
      <c r="H1845" s="66">
        <v>489.96</v>
      </c>
      <c r="I1845" s="47">
        <f t="shared" si="790"/>
        <v>4.7885066458170443E-2</v>
      </c>
      <c r="J1845" s="48">
        <v>10232</v>
      </c>
      <c r="K1845" s="49">
        <v>10232</v>
      </c>
      <c r="L1845" s="50">
        <v>10140</v>
      </c>
      <c r="M1845" s="50">
        <v>10139</v>
      </c>
      <c r="N1845" s="51">
        <v>10165.6</v>
      </c>
      <c r="O1845" s="52">
        <v>10124.16</v>
      </c>
      <c r="P1845" s="53">
        <v>9977.7999999999993</v>
      </c>
      <c r="Q1845" s="54">
        <v>9616.7999999999993</v>
      </c>
      <c r="R1845" s="1"/>
      <c r="S1845" s="1"/>
      <c r="T1845" s="1"/>
    </row>
    <row r="1846" spans="1:20" ht="13.5" customHeight="1" x14ac:dyDescent="0.25">
      <c r="A1846" s="1"/>
      <c r="B1846" s="1" t="s">
        <v>1651</v>
      </c>
      <c r="C1846" s="78" t="s">
        <v>251</v>
      </c>
      <c r="D1846" s="42">
        <v>0</v>
      </c>
      <c r="E1846" s="44">
        <v>0</v>
      </c>
      <c r="F1846" s="45">
        <v>0</v>
      </c>
      <c r="G1846" s="45">
        <v>0</v>
      </c>
      <c r="H1846" s="66">
        <v>44.08</v>
      </c>
      <c r="I1846" s="47">
        <f t="shared" si="790"/>
        <v>7.6767676767676768E-3</v>
      </c>
      <c r="J1846" s="48">
        <v>5742</v>
      </c>
      <c r="K1846" s="49">
        <v>6077</v>
      </c>
      <c r="L1846" s="50">
        <v>5893.38</v>
      </c>
      <c r="M1846" s="50">
        <v>5823.03</v>
      </c>
      <c r="N1846" s="51">
        <v>5244.23</v>
      </c>
      <c r="O1846" s="52">
        <v>4995.7</v>
      </c>
      <c r="P1846" s="53">
        <v>5322.39</v>
      </c>
      <c r="Q1846" s="54">
        <v>5806.24</v>
      </c>
      <c r="R1846" s="1"/>
      <c r="S1846" s="1"/>
      <c r="T1846" s="1"/>
    </row>
    <row r="1847" spans="1:20" ht="13.5" customHeight="1" x14ac:dyDescent="0.25">
      <c r="A1847" s="1"/>
      <c r="B1847" s="1" t="s">
        <v>1652</v>
      </c>
      <c r="C1847" s="78" t="s">
        <v>253</v>
      </c>
      <c r="D1847" s="42">
        <v>0</v>
      </c>
      <c r="E1847" s="44">
        <v>0</v>
      </c>
      <c r="F1847" s="45">
        <v>0</v>
      </c>
      <c r="G1847" s="45">
        <v>0</v>
      </c>
      <c r="H1847" s="66">
        <v>0.49</v>
      </c>
      <c r="I1847" s="47">
        <f t="shared" si="790"/>
        <v>7.7777777777777776E-3</v>
      </c>
      <c r="J1847" s="48">
        <v>63</v>
      </c>
      <c r="K1847" s="49">
        <v>67</v>
      </c>
      <c r="L1847" s="50">
        <v>74.459999999999994</v>
      </c>
      <c r="M1847" s="50">
        <v>79.47</v>
      </c>
      <c r="N1847" s="51">
        <v>91.26</v>
      </c>
      <c r="O1847" s="52">
        <v>98.28</v>
      </c>
      <c r="P1847" s="53">
        <v>97.13</v>
      </c>
      <c r="Q1847" s="54">
        <v>109.96</v>
      </c>
      <c r="R1847" s="1"/>
      <c r="S1847" s="1"/>
      <c r="T1847" s="1"/>
    </row>
    <row r="1848" spans="1:20" ht="13.5" customHeight="1" x14ac:dyDescent="0.25">
      <c r="A1848" s="1"/>
      <c r="B1848" s="1" t="s">
        <v>1653</v>
      </c>
      <c r="C1848" s="78" t="s">
        <v>255</v>
      </c>
      <c r="D1848" s="42">
        <v>0</v>
      </c>
      <c r="E1848" s="44">
        <v>0</v>
      </c>
      <c r="F1848" s="45">
        <v>0</v>
      </c>
      <c r="G1848" s="45">
        <v>0</v>
      </c>
      <c r="H1848" s="66">
        <v>15.55</v>
      </c>
      <c r="I1848" s="47">
        <f t="shared" si="790"/>
        <v>4.8291925465838513E-2</v>
      </c>
      <c r="J1848" s="48">
        <v>322</v>
      </c>
      <c r="K1848" s="49">
        <v>322</v>
      </c>
      <c r="L1848" s="50">
        <v>313.24</v>
      </c>
      <c r="M1848" s="50">
        <v>302.12</v>
      </c>
      <c r="N1848" s="51">
        <v>329.54</v>
      </c>
      <c r="O1848" s="52">
        <v>335.4</v>
      </c>
      <c r="P1848" s="53">
        <v>382.9</v>
      </c>
      <c r="Q1848" s="54">
        <v>50.4</v>
      </c>
      <c r="R1848" s="1"/>
      <c r="S1848" s="1"/>
      <c r="T1848" s="1"/>
    </row>
    <row r="1849" spans="1:20" ht="13.5" customHeight="1" x14ac:dyDescent="0.25">
      <c r="A1849" s="1"/>
      <c r="B1849" s="1"/>
      <c r="C1849" s="1"/>
      <c r="D1849" s="56">
        <v>0</v>
      </c>
      <c r="E1849" s="57">
        <v>0</v>
      </c>
      <c r="F1849" s="58">
        <f>SUM(F1843:F1848)</f>
        <v>0</v>
      </c>
      <c r="G1849" s="58">
        <v>0</v>
      </c>
      <c r="H1849" s="59">
        <f>SUM(H1844:H1848)</f>
        <v>571.2299999999999</v>
      </c>
      <c r="I1849" s="59"/>
      <c r="J1849" s="60">
        <f t="shared" ref="J1849:Q1849" si="791">SUM(J1844:J1848)</f>
        <v>19140</v>
      </c>
      <c r="K1849" s="61">
        <f t="shared" si="791"/>
        <v>19656</v>
      </c>
      <c r="L1849" s="62">
        <f t="shared" si="791"/>
        <v>19271.440000000002</v>
      </c>
      <c r="M1849" s="62">
        <f t="shared" si="791"/>
        <v>19323.3</v>
      </c>
      <c r="N1849" s="63">
        <f t="shared" si="791"/>
        <v>18672.89</v>
      </c>
      <c r="O1849" s="64">
        <f t="shared" si="791"/>
        <v>18094.12</v>
      </c>
      <c r="P1849" s="63">
        <f t="shared" si="791"/>
        <v>18440.43</v>
      </c>
      <c r="Q1849" s="65">
        <f t="shared" si="791"/>
        <v>18785.14</v>
      </c>
      <c r="R1849" s="1"/>
      <c r="S1849" s="1"/>
      <c r="T1849" s="1"/>
    </row>
    <row r="1850" spans="1:20" ht="13.5" customHeight="1" x14ac:dyDescent="0.25">
      <c r="A1850" s="1"/>
      <c r="B1850" s="1"/>
      <c r="C1850" s="1"/>
      <c r="D1850" s="42"/>
      <c r="E1850" s="44"/>
      <c r="F1850" s="45"/>
      <c r="G1850" s="45"/>
      <c r="H1850" s="66"/>
      <c r="I1850" s="66"/>
      <c r="J1850" s="48"/>
      <c r="K1850" s="49"/>
      <c r="L1850" s="50"/>
      <c r="M1850" s="50"/>
      <c r="N1850" s="51"/>
      <c r="O1850" s="52"/>
      <c r="P1850" s="53"/>
      <c r="Q1850" s="54"/>
      <c r="R1850" s="1"/>
      <c r="S1850" s="1"/>
      <c r="T1850" s="1"/>
    </row>
    <row r="1851" spans="1:20" ht="13.5" customHeight="1" x14ac:dyDescent="0.25">
      <c r="A1851" s="1"/>
      <c r="B1851" s="1" t="s">
        <v>1654</v>
      </c>
      <c r="C1851" s="1" t="s">
        <v>259</v>
      </c>
      <c r="D1851" s="42">
        <v>500</v>
      </c>
      <c r="E1851" s="43">
        <v>447.68</v>
      </c>
      <c r="F1851" s="45">
        <v>500</v>
      </c>
      <c r="G1851" s="45">
        <v>500</v>
      </c>
      <c r="H1851" s="46">
        <v>561.94000000000005</v>
      </c>
      <c r="I1851" s="47">
        <f t="shared" ref="I1851:I1853" si="792">H1851/J1851</f>
        <v>1.2058798283261805</v>
      </c>
      <c r="J1851" s="48">
        <v>466</v>
      </c>
      <c r="K1851" s="49">
        <v>500</v>
      </c>
      <c r="L1851" s="50">
        <v>615.77</v>
      </c>
      <c r="M1851" s="50">
        <v>576.83000000000004</v>
      </c>
      <c r="N1851" s="51">
        <v>324.99</v>
      </c>
      <c r="O1851" s="52">
        <v>165.08</v>
      </c>
      <c r="P1851" s="53">
        <v>410.99</v>
      </c>
      <c r="Q1851" s="54">
        <v>333.21</v>
      </c>
      <c r="R1851" s="1"/>
      <c r="S1851" s="1"/>
      <c r="T1851" s="1"/>
    </row>
    <row r="1852" spans="1:20" ht="13.5" customHeight="1" x14ac:dyDescent="0.25">
      <c r="A1852" s="1"/>
      <c r="B1852" s="1" t="s">
        <v>1655</v>
      </c>
      <c r="C1852" s="1" t="s">
        <v>261</v>
      </c>
      <c r="D1852" s="42">
        <v>600</v>
      </c>
      <c r="E1852" s="43">
        <v>74.25</v>
      </c>
      <c r="F1852" s="45">
        <v>600</v>
      </c>
      <c r="G1852" s="45">
        <v>600</v>
      </c>
      <c r="H1852" s="46">
        <v>508.28</v>
      </c>
      <c r="I1852" s="47">
        <f t="shared" si="792"/>
        <v>1.0206425702811244</v>
      </c>
      <c r="J1852" s="48">
        <v>498</v>
      </c>
      <c r="K1852" s="49">
        <v>600</v>
      </c>
      <c r="L1852" s="50">
        <v>608.54</v>
      </c>
      <c r="M1852" s="50">
        <v>441.74</v>
      </c>
      <c r="N1852" s="51">
        <v>261.64999999999998</v>
      </c>
      <c r="O1852" s="52">
        <v>388.3</v>
      </c>
      <c r="P1852" s="53">
        <v>423.85</v>
      </c>
      <c r="Q1852" s="54">
        <v>835.16</v>
      </c>
      <c r="R1852" s="1"/>
      <c r="S1852" s="1"/>
      <c r="T1852" s="1"/>
    </row>
    <row r="1853" spans="1:20" ht="13.5" customHeight="1" x14ac:dyDescent="0.25">
      <c r="A1853" s="1"/>
      <c r="B1853" s="1" t="s">
        <v>1656</v>
      </c>
      <c r="C1853" s="1" t="s">
        <v>438</v>
      </c>
      <c r="D1853" s="42">
        <v>0</v>
      </c>
      <c r="E1853" s="43">
        <v>0</v>
      </c>
      <c r="F1853" s="73">
        <v>0</v>
      </c>
      <c r="G1853" s="73">
        <v>0</v>
      </c>
      <c r="H1853" s="46">
        <v>236.41</v>
      </c>
      <c r="I1853" s="47">
        <f t="shared" si="792"/>
        <v>2.7812941176470587</v>
      </c>
      <c r="J1853" s="48">
        <v>85</v>
      </c>
      <c r="K1853" s="76">
        <v>0</v>
      </c>
      <c r="L1853" s="77">
        <v>0</v>
      </c>
      <c r="M1853" s="77">
        <v>0</v>
      </c>
      <c r="N1853" s="53" t="s">
        <v>16</v>
      </c>
      <c r="O1853" s="52">
        <v>0</v>
      </c>
      <c r="P1853" s="53">
        <v>233.99</v>
      </c>
      <c r="Q1853" s="54">
        <v>0</v>
      </c>
      <c r="R1853" s="1"/>
      <c r="S1853" s="1"/>
      <c r="T1853" s="1"/>
    </row>
    <row r="1854" spans="1:20" ht="13.5" customHeight="1" x14ac:dyDescent="0.25">
      <c r="A1854" s="1"/>
      <c r="B1854" s="1" t="s">
        <v>1657</v>
      </c>
      <c r="C1854" s="55" t="s">
        <v>267</v>
      </c>
      <c r="D1854" s="42">
        <v>0</v>
      </c>
      <c r="E1854" s="43">
        <v>0</v>
      </c>
      <c r="F1854" s="73">
        <v>0</v>
      </c>
      <c r="G1854" s="73">
        <v>0</v>
      </c>
      <c r="H1854" s="74">
        <v>0</v>
      </c>
      <c r="I1854" s="74"/>
      <c r="J1854" s="75">
        <v>0</v>
      </c>
      <c r="K1854" s="76">
        <v>0</v>
      </c>
      <c r="L1854" s="77">
        <v>0</v>
      </c>
      <c r="M1854" s="50">
        <v>183.99</v>
      </c>
      <c r="N1854" s="53" t="s">
        <v>16</v>
      </c>
      <c r="O1854" s="52">
        <v>750.23</v>
      </c>
      <c r="P1854" s="53">
        <v>675.95</v>
      </c>
      <c r="Q1854" s="54">
        <v>839.92</v>
      </c>
      <c r="R1854" s="1"/>
      <c r="S1854" s="1"/>
      <c r="T1854" s="1"/>
    </row>
    <row r="1855" spans="1:20" ht="13.5" customHeight="1" x14ac:dyDescent="0.25">
      <c r="A1855" s="1"/>
      <c r="B1855" s="1"/>
      <c r="C1855" s="1"/>
      <c r="D1855" s="88">
        <v>1100</v>
      </c>
      <c r="E1855" s="89">
        <f t="shared" ref="E1855" si="793">SUM(E1851:E1854)</f>
        <v>521.93000000000006</v>
      </c>
      <c r="F1855" s="90">
        <f>SUM(F1850:F1854)</f>
        <v>1100</v>
      </c>
      <c r="G1855" s="90">
        <v>1100</v>
      </c>
      <c r="H1855" s="91">
        <f>SUM(H1851:H1854)</f>
        <v>1306.6300000000001</v>
      </c>
      <c r="I1855" s="91"/>
      <c r="J1855" s="92">
        <f t="shared" ref="J1855:Q1855" si="794">SUM(J1851:J1854)</f>
        <v>1049</v>
      </c>
      <c r="K1855" s="93">
        <f t="shared" si="794"/>
        <v>1100</v>
      </c>
      <c r="L1855" s="94">
        <f t="shared" si="794"/>
        <v>1224.31</v>
      </c>
      <c r="M1855" s="94">
        <f t="shared" si="794"/>
        <v>1202.56</v>
      </c>
      <c r="N1855" s="95">
        <f t="shared" si="794"/>
        <v>586.64</v>
      </c>
      <c r="O1855" s="96">
        <f t="shared" si="794"/>
        <v>1303.6100000000001</v>
      </c>
      <c r="P1855" s="95">
        <f t="shared" si="794"/>
        <v>1744.78</v>
      </c>
      <c r="Q1855" s="97">
        <f t="shared" si="794"/>
        <v>2008.29</v>
      </c>
      <c r="R1855" s="1"/>
      <c r="S1855" s="1"/>
      <c r="T1855" s="1"/>
    </row>
    <row r="1856" spans="1:20" ht="13.5" customHeight="1" x14ac:dyDescent="0.25">
      <c r="A1856" s="1"/>
      <c r="B1856" s="1"/>
      <c r="C1856" s="1"/>
      <c r="D1856" s="72"/>
      <c r="E1856" s="67"/>
      <c r="F1856" s="73"/>
      <c r="G1856" s="73"/>
      <c r="H1856" s="74"/>
      <c r="I1856" s="74"/>
      <c r="J1856" s="75"/>
      <c r="K1856" s="76"/>
      <c r="L1856" s="77"/>
      <c r="M1856" s="50"/>
      <c r="N1856" s="53"/>
      <c r="O1856" s="52"/>
      <c r="P1856" s="53"/>
      <c r="Q1856" s="54"/>
      <c r="R1856" s="1"/>
      <c r="S1856" s="1"/>
      <c r="T1856" s="1"/>
    </row>
    <row r="1857" spans="1:20" ht="13.5" customHeight="1" x14ac:dyDescent="0.25">
      <c r="A1857" s="1"/>
      <c r="B1857" s="1" t="s">
        <v>1658</v>
      </c>
      <c r="C1857" s="1" t="s">
        <v>275</v>
      </c>
      <c r="D1857" s="42">
        <v>1240</v>
      </c>
      <c r="E1857" s="43">
        <v>615.63</v>
      </c>
      <c r="F1857" s="45">
        <v>1240</v>
      </c>
      <c r="G1857" s="45">
        <v>1240</v>
      </c>
      <c r="H1857" s="46">
        <v>1017.16</v>
      </c>
      <c r="I1857" s="47">
        <f t="shared" ref="I1857:I1860" si="795">H1857/J1857</f>
        <v>1.1301777777777777</v>
      </c>
      <c r="J1857" s="48">
        <v>900</v>
      </c>
      <c r="K1857" s="49">
        <v>900</v>
      </c>
      <c r="L1857" s="50">
        <v>845.16</v>
      </c>
      <c r="M1857" s="50">
        <v>1496.71</v>
      </c>
      <c r="N1857" s="51">
        <v>1785.7</v>
      </c>
      <c r="O1857" s="52">
        <v>200</v>
      </c>
      <c r="P1857" s="53">
        <v>380</v>
      </c>
      <c r="Q1857" s="54">
        <v>374</v>
      </c>
      <c r="R1857" s="1"/>
      <c r="S1857" s="1"/>
      <c r="T1857" s="1"/>
    </row>
    <row r="1858" spans="1:20" ht="13.5" customHeight="1" x14ac:dyDescent="0.25">
      <c r="A1858" s="1"/>
      <c r="B1858" s="1" t="s">
        <v>1659</v>
      </c>
      <c r="C1858" s="1" t="s">
        <v>482</v>
      </c>
      <c r="D1858" s="42">
        <v>800</v>
      </c>
      <c r="E1858" s="43">
        <v>200</v>
      </c>
      <c r="F1858" s="45">
        <v>800</v>
      </c>
      <c r="G1858" s="45">
        <v>800</v>
      </c>
      <c r="H1858" s="66">
        <v>200</v>
      </c>
      <c r="I1858" s="47">
        <f t="shared" si="795"/>
        <v>0.25</v>
      </c>
      <c r="J1858" s="48">
        <v>800</v>
      </c>
      <c r="K1858" s="49">
        <v>800</v>
      </c>
      <c r="L1858" s="50">
        <v>228</v>
      </c>
      <c r="M1858" s="50">
        <v>200</v>
      </c>
      <c r="N1858" s="51">
        <v>200</v>
      </c>
      <c r="O1858" s="52">
        <v>0</v>
      </c>
      <c r="P1858" s="53">
        <v>0</v>
      </c>
      <c r="Q1858" s="54">
        <v>0</v>
      </c>
      <c r="R1858" s="1"/>
      <c r="S1858" s="1"/>
      <c r="T1858" s="1"/>
    </row>
    <row r="1859" spans="1:20" ht="13.5" customHeight="1" x14ac:dyDescent="0.25">
      <c r="A1859" s="1"/>
      <c r="B1859" s="1" t="s">
        <v>1660</v>
      </c>
      <c r="C1859" s="1" t="s">
        <v>408</v>
      </c>
      <c r="D1859" s="42">
        <v>11600</v>
      </c>
      <c r="E1859" s="43">
        <v>6833</v>
      </c>
      <c r="F1859" s="45">
        <v>11600</v>
      </c>
      <c r="G1859" s="45">
        <v>11600</v>
      </c>
      <c r="H1859" s="46">
        <v>12689.5</v>
      </c>
      <c r="I1859" s="47">
        <f t="shared" si="795"/>
        <v>1.0939224137931034</v>
      </c>
      <c r="J1859" s="48">
        <v>11600</v>
      </c>
      <c r="K1859" s="49">
        <v>11600</v>
      </c>
      <c r="L1859" s="50">
        <v>10755</v>
      </c>
      <c r="M1859" s="50">
        <v>11640.5</v>
      </c>
      <c r="N1859" s="51">
        <v>11580</v>
      </c>
      <c r="O1859" s="52">
        <v>6796</v>
      </c>
      <c r="P1859" s="53">
        <v>5600</v>
      </c>
      <c r="Q1859" s="54">
        <v>1750</v>
      </c>
      <c r="R1859" s="1"/>
      <c r="S1859" s="1"/>
      <c r="T1859" s="1"/>
    </row>
    <row r="1860" spans="1:20" ht="13.5" customHeight="1" x14ac:dyDescent="0.25">
      <c r="A1860" s="1"/>
      <c r="B1860" s="1" t="s">
        <v>1661</v>
      </c>
      <c r="C1860" s="1" t="s">
        <v>281</v>
      </c>
      <c r="D1860" s="42">
        <v>700</v>
      </c>
      <c r="E1860" s="43">
        <v>804.28</v>
      </c>
      <c r="F1860" s="71">
        <v>0</v>
      </c>
      <c r="G1860" s="45">
        <v>700</v>
      </c>
      <c r="H1860" s="46">
        <v>417.12</v>
      </c>
      <c r="I1860" s="47">
        <f t="shared" si="795"/>
        <v>0.59588571428571424</v>
      </c>
      <c r="J1860" s="48">
        <v>700</v>
      </c>
      <c r="K1860" s="49">
        <v>700</v>
      </c>
      <c r="L1860" s="50">
        <v>417.12</v>
      </c>
      <c r="M1860" s="50">
        <v>417.12</v>
      </c>
      <c r="N1860" s="51">
        <v>551.29999999999995</v>
      </c>
      <c r="O1860" s="52">
        <v>726.18</v>
      </c>
      <c r="P1860" s="53">
        <v>569.65</v>
      </c>
      <c r="Q1860" s="54">
        <v>767.75</v>
      </c>
      <c r="R1860" s="1"/>
      <c r="S1860" s="1"/>
      <c r="T1860" s="1"/>
    </row>
    <row r="1861" spans="1:20" ht="13.5" customHeight="1" x14ac:dyDescent="0.25">
      <c r="A1861" s="1"/>
      <c r="B1861" s="1"/>
      <c r="C1861" s="1"/>
      <c r="D1861" s="56">
        <v>14340</v>
      </c>
      <c r="E1861" s="57">
        <f t="shared" ref="E1861" si="796">SUM(E1857:E1860)</f>
        <v>8452.91</v>
      </c>
      <c r="F1861" s="58">
        <f>SUM(F1856:F1860)</f>
        <v>13640</v>
      </c>
      <c r="G1861" s="58">
        <v>14340</v>
      </c>
      <c r="H1861" s="59">
        <f>SUM(H1857:H1860)</f>
        <v>14323.78</v>
      </c>
      <c r="I1861" s="251"/>
      <c r="J1861" s="60">
        <f t="shared" ref="J1861:Q1861" si="797">SUM(J1857:J1860)</f>
        <v>14000</v>
      </c>
      <c r="K1861" s="61">
        <f t="shared" si="797"/>
        <v>14000</v>
      </c>
      <c r="L1861" s="62">
        <f t="shared" si="797"/>
        <v>12245.28</v>
      </c>
      <c r="M1861" s="62">
        <f t="shared" si="797"/>
        <v>13754.33</v>
      </c>
      <c r="N1861" s="63">
        <f t="shared" si="797"/>
        <v>14117</v>
      </c>
      <c r="O1861" s="64">
        <f t="shared" si="797"/>
        <v>7722.18</v>
      </c>
      <c r="P1861" s="63">
        <f t="shared" si="797"/>
        <v>6549.65</v>
      </c>
      <c r="Q1861" s="65">
        <f t="shared" si="797"/>
        <v>2891.75</v>
      </c>
      <c r="R1861" s="1"/>
      <c r="S1861" s="1"/>
      <c r="T1861" s="1"/>
    </row>
    <row r="1862" spans="1:20" ht="13.5" customHeight="1" thickBot="1" x14ac:dyDescent="0.3">
      <c r="A1862" s="1"/>
      <c r="B1862" s="1"/>
      <c r="C1862" s="1" t="s">
        <v>1662</v>
      </c>
      <c r="D1862" s="267">
        <v>15440</v>
      </c>
      <c r="E1862" s="173">
        <f t="shared" ref="E1862" si="798">SUM(E1842+E1849+E1855+E1861)</f>
        <v>8974.84</v>
      </c>
      <c r="F1862" s="174">
        <f>SUM(F1842,F1849,F1855,F1861)</f>
        <v>14740</v>
      </c>
      <c r="G1862" s="174">
        <v>15440</v>
      </c>
      <c r="H1862" s="175">
        <f>SUM(H1842+H1849+H1855+H1861)</f>
        <v>16505.2</v>
      </c>
      <c r="I1862" s="175"/>
      <c r="J1862" s="176">
        <f t="shared" ref="J1862:Q1862" si="799">SUM(J1842+J1849+J1855+J1861)</f>
        <v>73732</v>
      </c>
      <c r="K1862" s="177">
        <f t="shared" si="799"/>
        <v>76604</v>
      </c>
      <c r="L1862" s="178">
        <f t="shared" si="799"/>
        <v>73440.740000000005</v>
      </c>
      <c r="M1862" s="178">
        <f t="shared" si="799"/>
        <v>76080.87</v>
      </c>
      <c r="N1862" s="179">
        <f t="shared" si="799"/>
        <v>71533.600000000006</v>
      </c>
      <c r="O1862" s="180">
        <f t="shared" si="799"/>
        <v>63552.73</v>
      </c>
      <c r="P1862" s="179">
        <f t="shared" si="799"/>
        <v>63309.24</v>
      </c>
      <c r="Q1862" s="181">
        <f t="shared" si="799"/>
        <v>58994.1</v>
      </c>
      <c r="R1862" s="1"/>
      <c r="S1862" s="1"/>
      <c r="T1862" s="1"/>
    </row>
    <row r="1863" spans="1:20" ht="13.5" customHeight="1" thickTop="1" x14ac:dyDescent="0.25">
      <c r="A1863" s="1"/>
      <c r="B1863" s="1"/>
      <c r="C1863" s="1"/>
      <c r="D1863" s="42"/>
      <c r="E1863" s="44"/>
      <c r="F1863" s="45"/>
      <c r="G1863" s="45"/>
      <c r="H1863" s="66"/>
      <c r="I1863" s="66"/>
      <c r="J1863" s="48"/>
      <c r="K1863" s="49"/>
      <c r="L1863" s="50"/>
      <c r="M1863" s="50"/>
      <c r="N1863" s="51"/>
      <c r="O1863" s="52"/>
      <c r="P1863" s="53"/>
      <c r="Q1863" s="54"/>
      <c r="R1863" s="1"/>
      <c r="S1863" s="1"/>
      <c r="T1863" s="1"/>
    </row>
    <row r="1864" spans="1:20" ht="13.5" customHeight="1" x14ac:dyDescent="0.25">
      <c r="A1864" s="1"/>
      <c r="B1864" s="1"/>
      <c r="C1864" s="116" t="s">
        <v>1663</v>
      </c>
      <c r="D1864" s="42"/>
      <c r="E1864" s="44"/>
      <c r="F1864" s="45"/>
      <c r="G1864" s="45"/>
      <c r="H1864" s="66"/>
      <c r="I1864" s="66"/>
      <c r="J1864" s="48"/>
      <c r="K1864" s="49"/>
      <c r="L1864" s="50"/>
      <c r="M1864" s="50"/>
      <c r="N1864" s="51"/>
      <c r="O1864" s="52"/>
      <c r="P1864" s="53"/>
      <c r="Q1864" s="54"/>
      <c r="R1864" s="1"/>
      <c r="S1864" s="1"/>
      <c r="T1864" s="1"/>
    </row>
    <row r="1865" spans="1:20" ht="13.5" customHeight="1" x14ac:dyDescent="0.25">
      <c r="A1865" s="1"/>
      <c r="B1865" s="1" t="s">
        <v>1664</v>
      </c>
      <c r="C1865" s="1" t="s">
        <v>420</v>
      </c>
      <c r="D1865" s="42">
        <v>108923</v>
      </c>
      <c r="E1865" s="43">
        <v>51268.37</v>
      </c>
      <c r="F1865" s="45">
        <v>108370</v>
      </c>
      <c r="G1865" s="45">
        <v>108370</v>
      </c>
      <c r="H1865" s="46">
        <v>104795.63</v>
      </c>
      <c r="I1865" s="47">
        <f t="shared" ref="I1865:I1867" si="800">H1865/J1865</f>
        <v>1.0031937929582049</v>
      </c>
      <c r="J1865" s="48">
        <v>104462</v>
      </c>
      <c r="K1865" s="49">
        <v>104462</v>
      </c>
      <c r="L1865" s="50">
        <v>100355.44</v>
      </c>
      <c r="M1865" s="50">
        <v>98302.26</v>
      </c>
      <c r="N1865" s="51">
        <v>68615.47</v>
      </c>
      <c r="O1865" s="52">
        <v>65184.05</v>
      </c>
      <c r="P1865" s="53">
        <v>59764.56</v>
      </c>
      <c r="Q1865" s="54">
        <v>57111.17</v>
      </c>
      <c r="R1865" s="1"/>
      <c r="S1865" s="1"/>
      <c r="T1865" s="1"/>
    </row>
    <row r="1866" spans="1:20" ht="13.5" customHeight="1" x14ac:dyDescent="0.25">
      <c r="A1866" s="1"/>
      <c r="B1866" s="1" t="s">
        <v>1665</v>
      </c>
      <c r="C1866" s="1" t="s">
        <v>237</v>
      </c>
      <c r="D1866" s="42">
        <v>49920</v>
      </c>
      <c r="E1866" s="43">
        <v>20981.89</v>
      </c>
      <c r="F1866" s="45">
        <v>49920</v>
      </c>
      <c r="G1866" s="45">
        <v>49920</v>
      </c>
      <c r="H1866" s="46">
        <v>45537.97</v>
      </c>
      <c r="I1866" s="47">
        <f t="shared" si="800"/>
        <v>0.9586941052631579</v>
      </c>
      <c r="J1866" s="48">
        <v>47500</v>
      </c>
      <c r="K1866" s="49">
        <v>45000</v>
      </c>
      <c r="L1866" s="50">
        <v>44257.04</v>
      </c>
      <c r="M1866" s="50">
        <v>29060.35</v>
      </c>
      <c r="N1866" s="51">
        <v>35060.019999999997</v>
      </c>
      <c r="O1866" s="52">
        <v>27761.439999999999</v>
      </c>
      <c r="P1866" s="53">
        <v>24941.4</v>
      </c>
      <c r="Q1866" s="54">
        <v>18757.39</v>
      </c>
      <c r="R1866" s="1"/>
      <c r="S1866" s="1"/>
      <c r="T1866" s="1"/>
    </row>
    <row r="1867" spans="1:20" ht="13.5" customHeight="1" x14ac:dyDescent="0.25">
      <c r="A1867" s="1"/>
      <c r="B1867" s="1" t="s">
        <v>1666</v>
      </c>
      <c r="C1867" s="1" t="s">
        <v>423</v>
      </c>
      <c r="D1867" s="42">
        <v>0</v>
      </c>
      <c r="E1867" s="43">
        <v>0</v>
      </c>
      <c r="F1867" s="45">
        <v>0</v>
      </c>
      <c r="G1867" s="45">
        <v>0</v>
      </c>
      <c r="H1867" s="74">
        <v>0</v>
      </c>
      <c r="I1867" s="47">
        <f t="shared" si="800"/>
        <v>0</v>
      </c>
      <c r="J1867" s="48">
        <v>1629</v>
      </c>
      <c r="K1867" s="49">
        <v>4129</v>
      </c>
      <c r="L1867" s="50">
        <v>2360.8000000000002</v>
      </c>
      <c r="M1867" s="50">
        <v>2370.85</v>
      </c>
      <c r="N1867" s="51">
        <v>2012.52</v>
      </c>
      <c r="O1867" s="52">
        <v>1746.67</v>
      </c>
      <c r="P1867" s="53">
        <v>1480.2</v>
      </c>
      <c r="Q1867" s="54">
        <v>2711.2</v>
      </c>
      <c r="R1867" s="1"/>
      <c r="S1867" s="1"/>
      <c r="T1867" s="1"/>
    </row>
    <row r="1868" spans="1:20" ht="13.5" hidden="1" customHeight="1" x14ac:dyDescent="0.25">
      <c r="A1868" s="1"/>
      <c r="B1868" s="1" t="s">
        <v>1667</v>
      </c>
      <c r="C1868" s="1" t="s">
        <v>931</v>
      </c>
      <c r="D1868" s="42">
        <v>0</v>
      </c>
      <c r="E1868" s="43">
        <v>0</v>
      </c>
      <c r="F1868" s="73" t="s">
        <v>16</v>
      </c>
      <c r="G1868" s="73" t="s">
        <v>16</v>
      </c>
      <c r="H1868" s="74" t="s">
        <v>16</v>
      </c>
      <c r="I1868" s="74"/>
      <c r="J1868" s="75" t="s">
        <v>16</v>
      </c>
      <c r="K1868" s="76" t="s">
        <v>16</v>
      </c>
      <c r="L1868" s="50">
        <v>20.52</v>
      </c>
      <c r="M1868" s="77" t="s">
        <v>16</v>
      </c>
      <c r="N1868" s="53" t="s">
        <v>16</v>
      </c>
      <c r="O1868" s="52">
        <v>0</v>
      </c>
      <c r="P1868" s="53">
        <v>0</v>
      </c>
      <c r="Q1868" s="54">
        <v>741.18</v>
      </c>
      <c r="R1868" s="1"/>
      <c r="S1868" s="1"/>
      <c r="T1868" s="1"/>
    </row>
    <row r="1869" spans="1:20" ht="13.5" customHeight="1" x14ac:dyDescent="0.25">
      <c r="A1869" s="1"/>
      <c r="B1869" s="1" t="s">
        <v>1668</v>
      </c>
      <c r="C1869" s="55" t="s">
        <v>1471</v>
      </c>
      <c r="D1869" s="42">
        <v>745</v>
      </c>
      <c r="E1869" s="43">
        <v>0</v>
      </c>
      <c r="F1869" s="45">
        <v>745</v>
      </c>
      <c r="G1869" s="45">
        <v>745</v>
      </c>
      <c r="H1869" s="74">
        <v>0</v>
      </c>
      <c r="I1869" s="47">
        <f>H1869/J1869</f>
        <v>0</v>
      </c>
      <c r="J1869" s="48">
        <v>745</v>
      </c>
      <c r="K1869" s="49">
        <v>745</v>
      </c>
      <c r="L1869" s="77">
        <v>0</v>
      </c>
      <c r="M1869" s="77">
        <v>0</v>
      </c>
      <c r="N1869" s="53" t="s">
        <v>16</v>
      </c>
      <c r="O1869" s="52">
        <v>6351.72</v>
      </c>
      <c r="P1869" s="53">
        <v>5816.7</v>
      </c>
      <c r="Q1869" s="54">
        <v>5569.45</v>
      </c>
      <c r="R1869" s="1"/>
      <c r="S1869" s="1"/>
      <c r="T1869" s="1"/>
    </row>
    <row r="1870" spans="1:20" ht="13.5" customHeight="1" x14ac:dyDescent="0.25">
      <c r="A1870" s="1"/>
      <c r="B1870" s="1"/>
      <c r="C1870" s="1"/>
      <c r="D1870" s="56">
        <v>159588</v>
      </c>
      <c r="E1870" s="57">
        <f t="shared" ref="E1870" si="801">SUM(E1865:E1869)</f>
        <v>72250.260000000009</v>
      </c>
      <c r="F1870" s="58">
        <f>SUM(F1864:F1869)</f>
        <v>159035</v>
      </c>
      <c r="G1870" s="58">
        <v>159035</v>
      </c>
      <c r="H1870" s="59">
        <f>SUM(H1865:H1869)</f>
        <v>150333.6</v>
      </c>
      <c r="I1870" s="59"/>
      <c r="J1870" s="60">
        <f t="shared" ref="J1870:Q1870" si="802">SUM(J1865:J1869)</f>
        <v>154336</v>
      </c>
      <c r="K1870" s="61">
        <f t="shared" si="802"/>
        <v>154336</v>
      </c>
      <c r="L1870" s="62">
        <f t="shared" si="802"/>
        <v>146993.79999999999</v>
      </c>
      <c r="M1870" s="62">
        <f t="shared" si="802"/>
        <v>129733.45999999999</v>
      </c>
      <c r="N1870" s="63">
        <f t="shared" si="802"/>
        <v>105688.01</v>
      </c>
      <c r="O1870" s="64">
        <f t="shared" si="802"/>
        <v>101043.88</v>
      </c>
      <c r="P1870" s="63">
        <f t="shared" si="802"/>
        <v>92002.859999999986</v>
      </c>
      <c r="Q1870" s="65">
        <f t="shared" si="802"/>
        <v>84890.389999999985</v>
      </c>
      <c r="R1870" s="1"/>
      <c r="S1870" s="1"/>
      <c r="T1870" s="1"/>
    </row>
    <row r="1871" spans="1:20" ht="13.5" customHeight="1" x14ac:dyDescent="0.25">
      <c r="A1871" s="1"/>
      <c r="B1871" s="1"/>
      <c r="C1871" s="1"/>
      <c r="D1871" s="42"/>
      <c r="E1871" s="67"/>
      <c r="F1871" s="45"/>
      <c r="G1871" s="45"/>
      <c r="H1871" s="74"/>
      <c r="I1871" s="66"/>
      <c r="J1871" s="48"/>
      <c r="K1871" s="49"/>
      <c r="L1871" s="77"/>
      <c r="M1871" s="77"/>
      <c r="N1871" s="53"/>
      <c r="O1871" s="52"/>
      <c r="P1871" s="53"/>
      <c r="Q1871" s="54"/>
      <c r="R1871" s="1"/>
      <c r="S1871" s="1"/>
      <c r="T1871" s="1"/>
    </row>
    <row r="1872" spans="1:20" ht="13.5" customHeight="1" x14ac:dyDescent="0.25">
      <c r="A1872" s="1"/>
      <c r="B1872" s="1" t="s">
        <v>1669</v>
      </c>
      <c r="C1872" s="1" t="s">
        <v>247</v>
      </c>
      <c r="D1872" s="42">
        <v>12208.481999999998</v>
      </c>
      <c r="E1872" s="43">
        <v>5097.3999999999996</v>
      </c>
      <c r="F1872" s="45">
        <v>12166.177499999998</v>
      </c>
      <c r="G1872" s="45">
        <v>12166.177499999998</v>
      </c>
      <c r="H1872" s="46">
        <v>10697.73</v>
      </c>
      <c r="I1872" s="47">
        <f t="shared" ref="I1872:I1876" si="803">H1872/J1872</f>
        <v>1.0534446085672082</v>
      </c>
      <c r="J1872" s="48">
        <v>10155</v>
      </c>
      <c r="K1872" s="49">
        <v>10155</v>
      </c>
      <c r="L1872" s="50">
        <v>10484.48</v>
      </c>
      <c r="M1872" s="50">
        <v>8935.7900000000009</v>
      </c>
      <c r="N1872" s="51">
        <v>7110.88</v>
      </c>
      <c r="O1872" s="52">
        <v>20248.32</v>
      </c>
      <c r="P1872" s="53">
        <v>17468</v>
      </c>
      <c r="Q1872" s="54">
        <v>17575.2</v>
      </c>
      <c r="R1872" s="1"/>
      <c r="S1872" s="1"/>
      <c r="T1872" s="1"/>
    </row>
    <row r="1873" spans="1:20" ht="13.5" customHeight="1" x14ac:dyDescent="0.25">
      <c r="A1873" s="1"/>
      <c r="B1873" s="1" t="s">
        <v>1670</v>
      </c>
      <c r="C1873" s="1" t="s">
        <v>249</v>
      </c>
      <c r="D1873" s="42">
        <v>31390.304400000001</v>
      </c>
      <c r="E1873" s="43">
        <v>15534.54</v>
      </c>
      <c r="F1873" s="45">
        <v>31389.820800000001</v>
      </c>
      <c r="G1873" s="45">
        <v>31389.820800000001</v>
      </c>
      <c r="H1873" s="46">
        <v>29683.18</v>
      </c>
      <c r="I1873" s="47">
        <f t="shared" si="803"/>
        <v>0.96706783084641945</v>
      </c>
      <c r="J1873" s="48">
        <v>30694</v>
      </c>
      <c r="K1873" s="49">
        <v>30694</v>
      </c>
      <c r="L1873" s="50">
        <v>26178.82</v>
      </c>
      <c r="M1873" s="50">
        <v>30415.94</v>
      </c>
      <c r="N1873" s="51">
        <v>20331.2</v>
      </c>
      <c r="O1873" s="52">
        <v>12614.59</v>
      </c>
      <c r="P1873" s="53">
        <v>11888.71</v>
      </c>
      <c r="Q1873" s="54">
        <v>9996.0400000000009</v>
      </c>
      <c r="R1873" s="1"/>
      <c r="S1873" s="1"/>
      <c r="T1873" s="1"/>
    </row>
    <row r="1874" spans="1:20" ht="13.5" customHeight="1" x14ac:dyDescent="0.25">
      <c r="A1874" s="1"/>
      <c r="B1874" s="1" t="s">
        <v>1671</v>
      </c>
      <c r="C1874" s="1" t="s">
        <v>251</v>
      </c>
      <c r="D1874" s="42">
        <v>23970.117600000001</v>
      </c>
      <c r="E1874" s="43">
        <v>10851.99</v>
      </c>
      <c r="F1874" s="45">
        <v>23887.057000000001</v>
      </c>
      <c r="G1874" s="45">
        <v>23887.057000000001</v>
      </c>
      <c r="H1874" s="46">
        <v>21848.1</v>
      </c>
      <c r="I1874" s="47">
        <f t="shared" si="803"/>
        <v>0.97492637215528777</v>
      </c>
      <c r="J1874" s="48">
        <v>22410</v>
      </c>
      <c r="K1874" s="49">
        <v>22410</v>
      </c>
      <c r="L1874" s="50">
        <v>21286.09</v>
      </c>
      <c r="M1874" s="50">
        <v>18073.82</v>
      </c>
      <c r="N1874" s="51">
        <v>13462.61</v>
      </c>
      <c r="O1874" s="52">
        <v>248.41</v>
      </c>
      <c r="P1874" s="53">
        <v>213.12</v>
      </c>
      <c r="Q1874" s="54">
        <v>189.09</v>
      </c>
      <c r="R1874" s="1"/>
      <c r="S1874" s="1"/>
      <c r="T1874" s="1"/>
    </row>
    <row r="1875" spans="1:20" ht="13.5" customHeight="1" x14ac:dyDescent="0.25">
      <c r="A1875" s="1"/>
      <c r="B1875" s="1" t="s">
        <v>1672</v>
      </c>
      <c r="C1875" s="1" t="s">
        <v>253</v>
      </c>
      <c r="D1875" s="42">
        <v>255.3408</v>
      </c>
      <c r="E1875" s="43">
        <v>115.6</v>
      </c>
      <c r="F1875" s="45">
        <v>254.45600000000002</v>
      </c>
      <c r="G1875" s="45">
        <v>254.45600000000002</v>
      </c>
      <c r="H1875" s="46">
        <v>240.53</v>
      </c>
      <c r="I1875" s="47">
        <f t="shared" si="803"/>
        <v>0.97380566801619428</v>
      </c>
      <c r="J1875" s="48">
        <v>247</v>
      </c>
      <c r="K1875" s="49">
        <v>247</v>
      </c>
      <c r="L1875" s="50">
        <v>268.58999999999997</v>
      </c>
      <c r="M1875" s="50">
        <v>246.08</v>
      </c>
      <c r="N1875" s="51">
        <v>233.28</v>
      </c>
      <c r="O1875" s="52">
        <v>670.8</v>
      </c>
      <c r="P1875" s="53">
        <v>586.95000000000005</v>
      </c>
      <c r="Q1875" s="54">
        <v>584.70000000000005</v>
      </c>
      <c r="R1875" s="1"/>
      <c r="S1875" s="1"/>
      <c r="T1875" s="1"/>
    </row>
    <row r="1876" spans="1:20" ht="13.5" customHeight="1" x14ac:dyDescent="0.25">
      <c r="A1876" s="1"/>
      <c r="B1876" s="1" t="s">
        <v>1673</v>
      </c>
      <c r="C1876" s="1" t="s">
        <v>255</v>
      </c>
      <c r="D1876" s="42">
        <v>1053.3600000000001</v>
      </c>
      <c r="E1876" s="43">
        <v>501.84</v>
      </c>
      <c r="F1876" s="45">
        <v>1005</v>
      </c>
      <c r="G1876" s="45">
        <v>1005</v>
      </c>
      <c r="H1876" s="46">
        <v>945.06</v>
      </c>
      <c r="I1876" s="47">
        <f t="shared" si="803"/>
        <v>0.97832298136645957</v>
      </c>
      <c r="J1876" s="48">
        <v>966</v>
      </c>
      <c r="K1876" s="49">
        <v>966</v>
      </c>
      <c r="L1876" s="50">
        <v>808.2</v>
      </c>
      <c r="M1876" s="50">
        <v>906.36</v>
      </c>
      <c r="N1876" s="51">
        <v>659.08</v>
      </c>
      <c r="O1876" s="52">
        <v>399.95</v>
      </c>
      <c r="P1876" s="53">
        <v>39.78</v>
      </c>
      <c r="Q1876" s="54">
        <v>397.91</v>
      </c>
      <c r="R1876" s="1"/>
      <c r="S1876" s="1"/>
      <c r="T1876" s="1"/>
    </row>
    <row r="1877" spans="1:20" ht="13.5" customHeight="1" x14ac:dyDescent="0.25">
      <c r="A1877" s="1"/>
      <c r="B1877" s="1"/>
      <c r="C1877" s="1"/>
      <c r="D1877" s="56">
        <v>68877.604800000001</v>
      </c>
      <c r="E1877" s="57">
        <f t="shared" ref="E1877" si="804">SUM(E1872:E1876)</f>
        <v>32101.37</v>
      </c>
      <c r="F1877" s="58">
        <f>SUM(F1871:F1876)</f>
        <v>68702.511300000013</v>
      </c>
      <c r="G1877" s="58">
        <v>68702.511300000013</v>
      </c>
      <c r="H1877" s="59">
        <f>SUM(H1872:H1876)</f>
        <v>63414.6</v>
      </c>
      <c r="I1877" s="59"/>
      <c r="J1877" s="60">
        <f t="shared" ref="J1877:Q1877" si="805">SUM(J1872:J1876)</f>
        <v>64472</v>
      </c>
      <c r="K1877" s="61">
        <f t="shared" si="805"/>
        <v>64472</v>
      </c>
      <c r="L1877" s="62">
        <f t="shared" si="805"/>
        <v>59026.179999999993</v>
      </c>
      <c r="M1877" s="62">
        <f t="shared" si="805"/>
        <v>58577.99</v>
      </c>
      <c r="N1877" s="63">
        <f t="shared" si="805"/>
        <v>41797.050000000003</v>
      </c>
      <c r="O1877" s="64">
        <f t="shared" si="805"/>
        <v>34182.070000000007</v>
      </c>
      <c r="P1877" s="63">
        <f t="shared" si="805"/>
        <v>30196.559999999998</v>
      </c>
      <c r="Q1877" s="65">
        <f t="shared" si="805"/>
        <v>28742.940000000002</v>
      </c>
      <c r="R1877" s="1"/>
      <c r="S1877" s="1"/>
      <c r="T1877" s="1"/>
    </row>
    <row r="1878" spans="1:20" ht="13.5" customHeight="1" x14ac:dyDescent="0.25">
      <c r="A1878" s="1"/>
      <c r="B1878" s="1"/>
      <c r="C1878" s="1"/>
      <c r="D1878" s="42"/>
      <c r="E1878" s="44"/>
      <c r="F1878" s="45"/>
      <c r="G1878" s="45"/>
      <c r="H1878" s="66"/>
      <c r="I1878" s="66"/>
      <c r="J1878" s="48"/>
      <c r="K1878" s="49"/>
      <c r="L1878" s="50"/>
      <c r="M1878" s="50"/>
      <c r="N1878" s="51"/>
      <c r="O1878" s="52"/>
      <c r="P1878" s="53"/>
      <c r="Q1878" s="54"/>
      <c r="R1878" s="1"/>
      <c r="S1878" s="1"/>
      <c r="T1878" s="1"/>
    </row>
    <row r="1879" spans="1:20" ht="13.5" customHeight="1" x14ac:dyDescent="0.25">
      <c r="A1879" s="1"/>
      <c r="B1879" s="1" t="s">
        <v>1674</v>
      </c>
      <c r="C1879" s="1" t="s">
        <v>259</v>
      </c>
      <c r="D1879" s="42">
        <v>0</v>
      </c>
      <c r="E1879" s="43">
        <v>104.38</v>
      </c>
      <c r="F1879" s="73">
        <v>0</v>
      </c>
      <c r="G1879" s="73">
        <v>0</v>
      </c>
      <c r="H1879" s="46">
        <v>164.85</v>
      </c>
      <c r="I1879" s="183">
        <v>0</v>
      </c>
      <c r="J1879" s="75">
        <f>30+38</f>
        <v>68</v>
      </c>
      <c r="K1879" s="76">
        <v>0</v>
      </c>
      <c r="L1879" s="50">
        <v>345.06</v>
      </c>
      <c r="M1879" s="77">
        <v>0</v>
      </c>
      <c r="N1879" s="51">
        <v>11.8</v>
      </c>
      <c r="O1879" s="52">
        <v>98.21</v>
      </c>
      <c r="P1879" s="53">
        <v>101.34</v>
      </c>
      <c r="Q1879" s="54">
        <v>156.36000000000001</v>
      </c>
      <c r="R1879" s="1"/>
      <c r="S1879" s="1"/>
      <c r="T1879" s="1"/>
    </row>
    <row r="1880" spans="1:20" ht="13.5" customHeight="1" x14ac:dyDescent="0.25">
      <c r="A1880" s="1"/>
      <c r="B1880" s="1" t="s">
        <v>1675</v>
      </c>
      <c r="C1880" s="1" t="s">
        <v>261</v>
      </c>
      <c r="D1880" s="42">
        <v>600</v>
      </c>
      <c r="E1880" s="43">
        <v>132.63999999999999</v>
      </c>
      <c r="F1880" s="45">
        <v>600</v>
      </c>
      <c r="G1880" s="45">
        <v>600</v>
      </c>
      <c r="H1880" s="46">
        <v>365.25</v>
      </c>
      <c r="I1880" s="47">
        <f t="shared" ref="I1880:I1881" si="806">H1880/J1880</f>
        <v>0.91312499999999996</v>
      </c>
      <c r="J1880" s="48">
        <v>400</v>
      </c>
      <c r="K1880" s="49">
        <v>400</v>
      </c>
      <c r="L1880" s="50">
        <v>563.04999999999995</v>
      </c>
      <c r="M1880" s="50">
        <v>565.57000000000005</v>
      </c>
      <c r="N1880" s="51">
        <v>238.19</v>
      </c>
      <c r="O1880" s="52">
        <v>0</v>
      </c>
      <c r="P1880" s="53">
        <v>0</v>
      </c>
      <c r="Q1880" s="54">
        <v>0</v>
      </c>
      <c r="R1880" s="1"/>
      <c r="S1880" s="1"/>
      <c r="T1880" s="1"/>
    </row>
    <row r="1881" spans="1:20" ht="13.5" customHeight="1" x14ac:dyDescent="0.25">
      <c r="A1881" s="1"/>
      <c r="B1881" s="1" t="s">
        <v>1676</v>
      </c>
      <c r="C1881" s="1" t="s">
        <v>1677</v>
      </c>
      <c r="D1881" s="42">
        <v>2500</v>
      </c>
      <c r="E1881" s="70">
        <v>1663.05</v>
      </c>
      <c r="F1881" s="45">
        <v>2500</v>
      </c>
      <c r="G1881" s="45">
        <v>2500</v>
      </c>
      <c r="H1881" s="68">
        <v>2483.04</v>
      </c>
      <c r="I1881" s="47">
        <f t="shared" si="806"/>
        <v>1.0209868421052632</v>
      </c>
      <c r="J1881" s="48">
        <v>2432</v>
      </c>
      <c r="K1881" s="49">
        <v>2500</v>
      </c>
      <c r="L1881" s="50">
        <v>2492.8000000000002</v>
      </c>
      <c r="M1881" s="50">
        <v>2272.04</v>
      </c>
      <c r="N1881" s="53" t="s">
        <v>16</v>
      </c>
      <c r="O1881" s="52"/>
      <c r="P1881" s="53"/>
      <c r="Q1881" s="54"/>
      <c r="R1881" s="1"/>
      <c r="S1881" s="1"/>
      <c r="T1881" s="1"/>
    </row>
    <row r="1882" spans="1:20" ht="13.5" customHeight="1" x14ac:dyDescent="0.25">
      <c r="A1882" s="1"/>
      <c r="B1882" s="1"/>
      <c r="C1882" s="1"/>
      <c r="D1882" s="56">
        <v>3100</v>
      </c>
      <c r="E1882" s="57">
        <f t="shared" ref="E1882" si="807">SUM(E1879:E1881)</f>
        <v>1900.07</v>
      </c>
      <c r="F1882" s="58">
        <f>SUM(F1878:F1881)</f>
        <v>3100</v>
      </c>
      <c r="G1882" s="58">
        <v>3100</v>
      </c>
      <c r="H1882" s="59">
        <f>SUM(H1879:H1881)</f>
        <v>3013.14</v>
      </c>
      <c r="I1882" s="59"/>
      <c r="J1882" s="60">
        <f t="shared" ref="J1882:Q1882" si="808">SUM(J1879:J1881)</f>
        <v>2900</v>
      </c>
      <c r="K1882" s="61">
        <f t="shared" si="808"/>
        <v>2900</v>
      </c>
      <c r="L1882" s="62">
        <f t="shared" si="808"/>
        <v>3400.91</v>
      </c>
      <c r="M1882" s="62">
        <f t="shared" si="808"/>
        <v>2837.61</v>
      </c>
      <c r="N1882" s="63">
        <f t="shared" si="808"/>
        <v>249.99</v>
      </c>
      <c r="O1882" s="64">
        <f t="shared" si="808"/>
        <v>98.21</v>
      </c>
      <c r="P1882" s="63">
        <f t="shared" si="808"/>
        <v>101.34</v>
      </c>
      <c r="Q1882" s="65">
        <f t="shared" si="808"/>
        <v>156.36000000000001</v>
      </c>
      <c r="R1882" s="1"/>
      <c r="S1882" s="1"/>
      <c r="T1882" s="1"/>
    </row>
    <row r="1883" spans="1:20" ht="13.5" customHeight="1" x14ac:dyDescent="0.25">
      <c r="A1883" s="1"/>
      <c r="B1883" s="1"/>
      <c r="C1883" s="1"/>
      <c r="D1883" s="42"/>
      <c r="E1883" s="67"/>
      <c r="F1883" s="45"/>
      <c r="G1883" s="45"/>
      <c r="H1883" s="74"/>
      <c r="I1883" s="66"/>
      <c r="J1883" s="48"/>
      <c r="K1883" s="49"/>
      <c r="L1883" s="50"/>
      <c r="M1883" s="50"/>
      <c r="N1883" s="53"/>
      <c r="O1883" s="52"/>
      <c r="P1883" s="53"/>
      <c r="Q1883" s="54"/>
      <c r="R1883" s="1"/>
      <c r="S1883" s="1"/>
      <c r="T1883" s="1"/>
    </row>
    <row r="1884" spans="1:20" ht="13.5" customHeight="1" x14ac:dyDescent="0.25">
      <c r="A1884" s="1"/>
      <c r="B1884" s="1" t="s">
        <v>1678</v>
      </c>
      <c r="C1884" s="1" t="s">
        <v>275</v>
      </c>
      <c r="D1884" s="42">
        <v>2000</v>
      </c>
      <c r="E1884" s="43">
        <v>0</v>
      </c>
      <c r="F1884" s="45">
        <v>2000</v>
      </c>
      <c r="G1884" s="45">
        <v>2000</v>
      </c>
      <c r="H1884" s="66">
        <v>1457</v>
      </c>
      <c r="I1884" s="47">
        <f t="shared" ref="I1884:I1885" si="809">H1884/J1884</f>
        <v>0.97133333333333338</v>
      </c>
      <c r="J1884" s="48">
        <v>1500</v>
      </c>
      <c r="K1884" s="49">
        <v>1500</v>
      </c>
      <c r="L1884" s="50">
        <v>1515.28</v>
      </c>
      <c r="M1884" s="50">
        <v>1412.6</v>
      </c>
      <c r="N1884" s="51">
        <v>731.96</v>
      </c>
      <c r="O1884" s="52">
        <v>867.1</v>
      </c>
      <c r="P1884" s="53">
        <v>792.4</v>
      </c>
      <c r="Q1884" s="54">
        <v>0</v>
      </c>
      <c r="R1884" s="1"/>
      <c r="S1884" s="1"/>
      <c r="T1884" s="1"/>
    </row>
    <row r="1885" spans="1:20" ht="13.5" customHeight="1" x14ac:dyDescent="0.25">
      <c r="A1885" s="1"/>
      <c r="B1885" s="1" t="s">
        <v>1679</v>
      </c>
      <c r="C1885" s="1" t="s">
        <v>408</v>
      </c>
      <c r="D1885" s="42">
        <v>2000</v>
      </c>
      <c r="E1885" s="70">
        <v>1590</v>
      </c>
      <c r="F1885" s="45">
        <v>2000</v>
      </c>
      <c r="G1885" s="45">
        <v>2000</v>
      </c>
      <c r="H1885" s="68">
        <v>1590</v>
      </c>
      <c r="I1885" s="47">
        <f t="shared" si="809"/>
        <v>0.79500000000000004</v>
      </c>
      <c r="J1885" s="48">
        <v>2000</v>
      </c>
      <c r="K1885" s="49">
        <v>2000</v>
      </c>
      <c r="L1885" s="50">
        <v>1590</v>
      </c>
      <c r="M1885" s="50">
        <v>1590</v>
      </c>
      <c r="N1885" s="51">
        <v>2000</v>
      </c>
      <c r="O1885" s="52">
        <v>0</v>
      </c>
      <c r="P1885" s="53">
        <v>0</v>
      </c>
      <c r="Q1885" s="54">
        <v>0</v>
      </c>
      <c r="R1885" s="1"/>
      <c r="S1885" s="1"/>
      <c r="T1885" s="1"/>
    </row>
    <row r="1886" spans="1:20" ht="13.5" customHeight="1" x14ac:dyDescent="0.25">
      <c r="A1886" s="1"/>
      <c r="B1886" s="1"/>
      <c r="C1886" s="1"/>
      <c r="D1886" s="56">
        <v>4000</v>
      </c>
      <c r="E1886" s="57">
        <f t="shared" ref="E1886" si="810">SUM(E1884:E1885)</f>
        <v>1590</v>
      </c>
      <c r="F1886" s="58">
        <f>SUM(F1883:F1885)</f>
        <v>4000</v>
      </c>
      <c r="G1886" s="58">
        <v>4000</v>
      </c>
      <c r="H1886" s="59">
        <f>SUM(H1884:H1885)</f>
        <v>3047</v>
      </c>
      <c r="I1886" s="59"/>
      <c r="J1886" s="60">
        <f t="shared" ref="J1886:Q1886" si="811">SUM(J1884:J1885)</f>
        <v>3500</v>
      </c>
      <c r="K1886" s="61">
        <f t="shared" si="811"/>
        <v>3500</v>
      </c>
      <c r="L1886" s="62">
        <f t="shared" si="811"/>
        <v>3105.2799999999997</v>
      </c>
      <c r="M1886" s="62">
        <f t="shared" si="811"/>
        <v>3002.6</v>
      </c>
      <c r="N1886" s="63">
        <f t="shared" si="811"/>
        <v>2731.96</v>
      </c>
      <c r="O1886" s="64">
        <f t="shared" si="811"/>
        <v>867.1</v>
      </c>
      <c r="P1886" s="63">
        <f t="shared" si="811"/>
        <v>792.4</v>
      </c>
      <c r="Q1886" s="65">
        <f t="shared" si="811"/>
        <v>0</v>
      </c>
      <c r="R1886" s="1"/>
      <c r="S1886" s="1"/>
      <c r="T1886" s="1"/>
    </row>
    <row r="1887" spans="1:20" ht="13.5" customHeight="1" thickBot="1" x14ac:dyDescent="0.3">
      <c r="A1887" s="1"/>
      <c r="B1887" s="1"/>
      <c r="C1887" s="116" t="s">
        <v>1680</v>
      </c>
      <c r="D1887" s="267">
        <v>235565.6048</v>
      </c>
      <c r="E1887" s="173">
        <f t="shared" ref="E1887" si="812">SUM(E1870+E1877+E1882+E1886)</f>
        <v>107841.70000000001</v>
      </c>
      <c r="F1887" s="174">
        <f>SUM(F1870,F1877,F1882,F1886)</f>
        <v>234837.51130000001</v>
      </c>
      <c r="G1887" s="174">
        <v>234837.51130000001</v>
      </c>
      <c r="H1887" s="175">
        <f>SUM(H1870+H1877+H1882+H1886)</f>
        <v>219808.34000000003</v>
      </c>
      <c r="I1887" s="175"/>
      <c r="J1887" s="176">
        <f t="shared" ref="J1887:Q1887" si="813">SUM(J1870+J1877+J1882+J1886)</f>
        <v>225208</v>
      </c>
      <c r="K1887" s="177">
        <f t="shared" si="813"/>
        <v>225208</v>
      </c>
      <c r="L1887" s="178">
        <f t="shared" si="813"/>
        <v>212526.16999999998</v>
      </c>
      <c r="M1887" s="178">
        <f t="shared" si="813"/>
        <v>194151.65999999997</v>
      </c>
      <c r="N1887" s="179">
        <f t="shared" si="813"/>
        <v>150467.00999999998</v>
      </c>
      <c r="O1887" s="180">
        <f t="shared" si="813"/>
        <v>136191.26</v>
      </c>
      <c r="P1887" s="179">
        <f t="shared" si="813"/>
        <v>123093.15999999997</v>
      </c>
      <c r="Q1887" s="181">
        <f t="shared" si="813"/>
        <v>113789.68999999999</v>
      </c>
      <c r="R1887" s="1"/>
      <c r="S1887" s="1"/>
      <c r="T1887" s="1"/>
    </row>
    <row r="1888" spans="1:20" ht="13.5" customHeight="1" thickTop="1" x14ac:dyDescent="0.25">
      <c r="A1888" s="1"/>
      <c r="B1888" s="1"/>
      <c r="C1888" s="1"/>
      <c r="D1888" s="42"/>
      <c r="E1888" s="67"/>
      <c r="F1888" s="45"/>
      <c r="G1888" s="45"/>
      <c r="H1888" s="74"/>
      <c r="I1888" s="66"/>
      <c r="J1888" s="48"/>
      <c r="K1888" s="49"/>
      <c r="L1888" s="50"/>
      <c r="M1888" s="50"/>
      <c r="N1888" s="51"/>
      <c r="O1888" s="52"/>
      <c r="P1888" s="53"/>
      <c r="Q1888" s="54"/>
      <c r="R1888" s="1"/>
      <c r="S1888" s="1"/>
      <c r="T1888" s="1"/>
    </row>
    <row r="1889" spans="1:20" ht="13.5" customHeight="1" x14ac:dyDescent="0.25">
      <c r="A1889" s="1"/>
      <c r="B1889" s="1"/>
      <c r="C1889" s="41" t="s">
        <v>1681</v>
      </c>
      <c r="D1889" s="42"/>
      <c r="E1889" s="67"/>
      <c r="F1889" s="45"/>
      <c r="G1889" s="45"/>
      <c r="H1889" s="74"/>
      <c r="I1889" s="66"/>
      <c r="J1889" s="48"/>
      <c r="K1889" s="49"/>
      <c r="L1889" s="50"/>
      <c r="M1889" s="50"/>
      <c r="N1889" s="51"/>
      <c r="O1889" s="52"/>
      <c r="P1889" s="53"/>
      <c r="Q1889" s="54"/>
      <c r="R1889" s="1"/>
      <c r="S1889" s="1"/>
      <c r="T1889" s="1"/>
    </row>
    <row r="1890" spans="1:20" ht="13.5" customHeight="1" x14ac:dyDescent="0.25">
      <c r="A1890" s="1"/>
      <c r="B1890" s="1" t="s">
        <v>1682</v>
      </c>
      <c r="C1890" s="1" t="s">
        <v>435</v>
      </c>
      <c r="D1890" s="42">
        <v>2500</v>
      </c>
      <c r="E1890" s="70">
        <v>0</v>
      </c>
      <c r="F1890" s="45">
        <v>2500</v>
      </c>
      <c r="G1890" s="45">
        <v>2500</v>
      </c>
      <c r="H1890" s="74">
        <v>0</v>
      </c>
      <c r="I1890" s="47">
        <f>H1890/J1890</f>
        <v>0</v>
      </c>
      <c r="J1890" s="48">
        <v>2500</v>
      </c>
      <c r="K1890" s="49">
        <v>2500</v>
      </c>
      <c r="L1890" s="77">
        <v>0</v>
      </c>
      <c r="M1890" s="77">
        <v>0</v>
      </c>
      <c r="N1890" s="51">
        <v>3505.14</v>
      </c>
      <c r="O1890" s="52">
        <v>2463.89</v>
      </c>
      <c r="P1890" s="53">
        <v>2988.03</v>
      </c>
      <c r="Q1890" s="54">
        <v>2385.9899999999998</v>
      </c>
      <c r="R1890" s="1"/>
      <c r="S1890" s="1"/>
      <c r="T1890" s="1"/>
    </row>
    <row r="1891" spans="1:20" ht="13.5" customHeight="1" thickBot="1" x14ac:dyDescent="0.3">
      <c r="A1891" s="1"/>
      <c r="B1891" s="1"/>
      <c r="C1891" s="116" t="s">
        <v>1683</v>
      </c>
      <c r="D1891" s="267">
        <v>2500</v>
      </c>
      <c r="E1891" s="173">
        <f t="shared" ref="E1891" si="814">SUM(E1890)</f>
        <v>0</v>
      </c>
      <c r="F1891" s="174">
        <f>SUM(F1889:F1890)</f>
        <v>2500</v>
      </c>
      <c r="G1891" s="174">
        <v>2500</v>
      </c>
      <c r="H1891" s="175">
        <f>SUM(H1890)</f>
        <v>0</v>
      </c>
      <c r="I1891" s="175"/>
      <c r="J1891" s="176">
        <f t="shared" ref="J1891:Q1891" si="815">SUM(J1890)</f>
        <v>2500</v>
      </c>
      <c r="K1891" s="177">
        <f t="shared" si="815"/>
        <v>2500</v>
      </c>
      <c r="L1891" s="178">
        <f t="shared" si="815"/>
        <v>0</v>
      </c>
      <c r="M1891" s="178">
        <f t="shared" si="815"/>
        <v>0</v>
      </c>
      <c r="N1891" s="179">
        <f t="shared" si="815"/>
        <v>3505.14</v>
      </c>
      <c r="O1891" s="180">
        <f t="shared" si="815"/>
        <v>2463.89</v>
      </c>
      <c r="P1891" s="179">
        <f t="shared" si="815"/>
        <v>2988.03</v>
      </c>
      <c r="Q1891" s="181">
        <f t="shared" si="815"/>
        <v>2385.9899999999998</v>
      </c>
      <c r="R1891" s="1"/>
      <c r="S1891" s="1"/>
      <c r="T1891" s="1"/>
    </row>
    <row r="1892" spans="1:20" ht="13.5" customHeight="1" thickTop="1" x14ac:dyDescent="0.25">
      <c r="A1892" s="1"/>
      <c r="B1892" s="1"/>
      <c r="C1892" s="1"/>
      <c r="D1892" s="42"/>
      <c r="E1892" s="67"/>
      <c r="F1892" s="45"/>
      <c r="G1892" s="45"/>
      <c r="H1892" s="74"/>
      <c r="I1892" s="66"/>
      <c r="J1892" s="48"/>
      <c r="K1892" s="49"/>
      <c r="L1892" s="77"/>
      <c r="M1892" s="77"/>
      <c r="N1892" s="51"/>
      <c r="O1892" s="52"/>
      <c r="P1892" s="53"/>
      <c r="Q1892" s="54"/>
      <c r="R1892" s="1"/>
      <c r="S1892" s="1"/>
      <c r="T1892" s="1"/>
    </row>
    <row r="1893" spans="1:20" ht="13.5" customHeight="1" x14ac:dyDescent="0.25">
      <c r="A1893" s="1"/>
      <c r="B1893" s="1"/>
      <c r="C1893" s="41" t="s">
        <v>1684</v>
      </c>
      <c r="D1893" s="42"/>
      <c r="E1893" s="67"/>
      <c r="F1893" s="45"/>
      <c r="G1893" s="45"/>
      <c r="H1893" s="74"/>
      <c r="I1893" s="66"/>
      <c r="J1893" s="48"/>
      <c r="K1893" s="49"/>
      <c r="L1893" s="77"/>
      <c r="M1893" s="77"/>
      <c r="N1893" s="51"/>
      <c r="O1893" s="52"/>
      <c r="P1893" s="53"/>
      <c r="Q1893" s="54"/>
      <c r="R1893" s="1"/>
      <c r="S1893" s="1"/>
      <c r="T1893" s="1"/>
    </row>
    <row r="1894" spans="1:20" ht="13.5" customHeight="1" x14ac:dyDescent="0.25">
      <c r="A1894" s="1"/>
      <c r="B1894" s="1" t="s">
        <v>1685</v>
      </c>
      <c r="C1894" s="55" t="s">
        <v>237</v>
      </c>
      <c r="D1894" s="42">
        <v>12460.24</v>
      </c>
      <c r="E1894" s="43">
        <v>5166</v>
      </c>
      <c r="F1894" s="45">
        <v>12460.24</v>
      </c>
      <c r="G1894" s="45">
        <v>12460.24</v>
      </c>
      <c r="H1894" s="46">
        <v>10943.98</v>
      </c>
      <c r="I1894" s="47">
        <f>H1894/J1894</f>
        <v>0.87825856672819191</v>
      </c>
      <c r="J1894" s="48">
        <v>12461</v>
      </c>
      <c r="K1894" s="49">
        <v>12461</v>
      </c>
      <c r="L1894" s="50">
        <v>10378.52</v>
      </c>
      <c r="M1894" s="50">
        <v>10788.5</v>
      </c>
      <c r="N1894" s="51">
        <v>10962</v>
      </c>
      <c r="O1894" s="52">
        <v>11088</v>
      </c>
      <c r="P1894" s="53">
        <v>10836</v>
      </c>
      <c r="Q1894" s="54">
        <v>11004</v>
      </c>
      <c r="R1894" s="1"/>
      <c r="S1894" s="1"/>
      <c r="T1894" s="1"/>
    </row>
    <row r="1895" spans="1:20" ht="13.5" customHeight="1" x14ac:dyDescent="0.25">
      <c r="A1895" s="1"/>
      <c r="B1895" s="1"/>
      <c r="C1895" s="1"/>
      <c r="D1895" s="56">
        <v>12460.24</v>
      </c>
      <c r="E1895" s="57">
        <f t="shared" ref="E1895" si="816">SUM(E1894)</f>
        <v>5166</v>
      </c>
      <c r="F1895" s="58">
        <f>SUM(F1893:F1894)</f>
        <v>12460.24</v>
      </c>
      <c r="G1895" s="58">
        <v>12460.24</v>
      </c>
      <c r="H1895" s="59">
        <f>SUM(H1894)</f>
        <v>10943.98</v>
      </c>
      <c r="I1895" s="59"/>
      <c r="J1895" s="60">
        <f t="shared" ref="J1895:Q1895" si="817">SUM(J1894)</f>
        <v>12461</v>
      </c>
      <c r="K1895" s="61">
        <f t="shared" si="817"/>
        <v>12461</v>
      </c>
      <c r="L1895" s="62">
        <f t="shared" si="817"/>
        <v>10378.52</v>
      </c>
      <c r="M1895" s="62">
        <f t="shared" si="817"/>
        <v>10788.5</v>
      </c>
      <c r="N1895" s="63">
        <f t="shared" si="817"/>
        <v>10962</v>
      </c>
      <c r="O1895" s="64">
        <f t="shared" si="817"/>
        <v>11088</v>
      </c>
      <c r="P1895" s="63">
        <f t="shared" si="817"/>
        <v>10836</v>
      </c>
      <c r="Q1895" s="65">
        <f t="shared" si="817"/>
        <v>11004</v>
      </c>
      <c r="R1895" s="1"/>
      <c r="S1895" s="1"/>
      <c r="T1895" s="1"/>
    </row>
    <row r="1896" spans="1:20" ht="13.5" customHeight="1" x14ac:dyDescent="0.25">
      <c r="A1896" s="1"/>
      <c r="B1896" s="1"/>
      <c r="C1896" s="1"/>
      <c r="D1896" s="42"/>
      <c r="E1896" s="44"/>
      <c r="F1896" s="45"/>
      <c r="G1896" s="45"/>
      <c r="H1896" s="66"/>
      <c r="I1896" s="66"/>
      <c r="J1896" s="48"/>
      <c r="K1896" s="49"/>
      <c r="L1896" s="50"/>
      <c r="M1896" s="50"/>
      <c r="N1896" s="51"/>
      <c r="O1896" s="52"/>
      <c r="P1896" s="53"/>
      <c r="Q1896" s="54"/>
      <c r="R1896" s="1"/>
      <c r="S1896" s="1"/>
      <c r="T1896" s="1"/>
    </row>
    <row r="1897" spans="1:20" ht="13.5" customHeight="1" x14ac:dyDescent="0.25">
      <c r="A1897" s="1"/>
      <c r="B1897" s="1" t="s">
        <v>1686</v>
      </c>
      <c r="C1897" s="1" t="s">
        <v>247</v>
      </c>
      <c r="D1897" s="42">
        <v>953.20835999999997</v>
      </c>
      <c r="E1897" s="43">
        <v>395.2</v>
      </c>
      <c r="F1897" s="45">
        <v>953.20835999999997</v>
      </c>
      <c r="G1897" s="45">
        <v>953.20835999999997</v>
      </c>
      <c r="H1897" s="46">
        <v>837.21</v>
      </c>
      <c r="I1897" s="47">
        <f t="shared" ref="I1897:I1899" si="818">H1897/J1897</f>
        <v>0.87757861635220125</v>
      </c>
      <c r="J1897" s="48">
        <v>954</v>
      </c>
      <c r="K1897" s="49">
        <v>954</v>
      </c>
      <c r="L1897" s="50">
        <v>793.96</v>
      </c>
      <c r="M1897" s="50">
        <v>825.32</v>
      </c>
      <c r="N1897" s="51">
        <v>838.6</v>
      </c>
      <c r="O1897" s="52">
        <v>838.59</v>
      </c>
      <c r="P1897" s="53">
        <v>838.59</v>
      </c>
      <c r="Q1897" s="54">
        <v>838.6</v>
      </c>
      <c r="R1897" s="1"/>
      <c r="S1897" s="1"/>
      <c r="T1897" s="1"/>
    </row>
    <row r="1898" spans="1:20" ht="13.5" customHeight="1" x14ac:dyDescent="0.25">
      <c r="A1898" s="1"/>
      <c r="B1898" s="1" t="s">
        <v>1687</v>
      </c>
      <c r="C1898" s="1" t="s">
        <v>251</v>
      </c>
      <c r="D1898" s="42">
        <v>1871.5280479999999</v>
      </c>
      <c r="E1898" s="43">
        <v>775.93</v>
      </c>
      <c r="F1898" s="45">
        <v>1871.5280479999999</v>
      </c>
      <c r="G1898" s="45">
        <v>1871.5280479999999</v>
      </c>
      <c r="H1898" s="46">
        <v>1590.54</v>
      </c>
      <c r="I1898" s="47">
        <f t="shared" si="818"/>
        <v>0.87875138121546958</v>
      </c>
      <c r="J1898" s="48">
        <v>1810</v>
      </c>
      <c r="K1898" s="49">
        <v>1810</v>
      </c>
      <c r="L1898" s="50">
        <v>1503</v>
      </c>
      <c r="M1898" s="50">
        <v>1502.84</v>
      </c>
      <c r="N1898" s="51">
        <v>1506.61</v>
      </c>
      <c r="O1898" s="52">
        <v>1499.8</v>
      </c>
      <c r="P1898" s="53">
        <v>1556.44</v>
      </c>
      <c r="Q1898" s="54">
        <v>1333.39</v>
      </c>
      <c r="R1898" s="1"/>
      <c r="S1898" s="1"/>
      <c r="T1898" s="1"/>
    </row>
    <row r="1899" spans="1:20" ht="13.5" customHeight="1" x14ac:dyDescent="0.25">
      <c r="A1899" s="1"/>
      <c r="B1899" s="1" t="s">
        <v>1688</v>
      </c>
      <c r="C1899" s="1" t="s">
        <v>253</v>
      </c>
      <c r="D1899" s="42">
        <v>19.936384</v>
      </c>
      <c r="E1899" s="43">
        <v>8.27</v>
      </c>
      <c r="F1899" s="45">
        <v>19.936384</v>
      </c>
      <c r="G1899" s="45">
        <v>19.936384</v>
      </c>
      <c r="H1899" s="46">
        <v>17.510000000000002</v>
      </c>
      <c r="I1899" s="47">
        <f t="shared" si="818"/>
        <v>0.87550000000000006</v>
      </c>
      <c r="J1899" s="48">
        <v>20</v>
      </c>
      <c r="K1899" s="49">
        <v>20</v>
      </c>
      <c r="L1899" s="50">
        <v>19.100000000000001</v>
      </c>
      <c r="M1899" s="50">
        <v>20.55</v>
      </c>
      <c r="N1899" s="51">
        <v>26.26</v>
      </c>
      <c r="O1899" s="52">
        <v>29.43</v>
      </c>
      <c r="P1899" s="53">
        <v>27.18</v>
      </c>
      <c r="Q1899" s="54">
        <v>26.25</v>
      </c>
      <c r="R1899" s="1"/>
      <c r="S1899" s="1"/>
      <c r="T1899" s="1"/>
    </row>
    <row r="1900" spans="1:20" ht="13.5" customHeight="1" x14ac:dyDescent="0.25">
      <c r="A1900" s="1"/>
      <c r="B1900" s="1"/>
      <c r="C1900" s="1"/>
      <c r="D1900" s="56">
        <v>2844.6727919999998</v>
      </c>
      <c r="E1900" s="57">
        <f t="shared" ref="E1900" si="819">SUM(E1897:E1899)</f>
        <v>1179.3999999999999</v>
      </c>
      <c r="F1900" s="58">
        <f>SUM(F1896:F1899)</f>
        <v>2844.6727919999998</v>
      </c>
      <c r="G1900" s="58">
        <v>2844.6727919999998</v>
      </c>
      <c r="H1900" s="59">
        <f>SUM(H1897:H1899)</f>
        <v>2445.2600000000002</v>
      </c>
      <c r="I1900" s="59"/>
      <c r="J1900" s="60">
        <f t="shared" ref="J1900:Q1900" si="820">SUM(J1897:J1899)</f>
        <v>2784</v>
      </c>
      <c r="K1900" s="61">
        <f t="shared" si="820"/>
        <v>2784</v>
      </c>
      <c r="L1900" s="62">
        <f t="shared" si="820"/>
        <v>2316.06</v>
      </c>
      <c r="M1900" s="62">
        <f t="shared" si="820"/>
        <v>2348.71</v>
      </c>
      <c r="N1900" s="63">
        <f t="shared" si="820"/>
        <v>2371.4700000000003</v>
      </c>
      <c r="O1900" s="64">
        <f t="shared" si="820"/>
        <v>2367.8199999999997</v>
      </c>
      <c r="P1900" s="63">
        <f t="shared" si="820"/>
        <v>2422.21</v>
      </c>
      <c r="Q1900" s="65">
        <f t="shared" si="820"/>
        <v>2198.2400000000002</v>
      </c>
      <c r="R1900" s="1"/>
      <c r="S1900" s="1"/>
      <c r="T1900" s="1"/>
    </row>
    <row r="1901" spans="1:20" ht="13.5" customHeight="1" x14ac:dyDescent="0.25">
      <c r="A1901" s="1"/>
      <c r="B1901" s="1"/>
      <c r="C1901" s="1"/>
      <c r="D1901" s="42"/>
      <c r="E1901" s="44"/>
      <c r="F1901" s="45"/>
      <c r="G1901" s="45"/>
      <c r="H1901" s="66"/>
      <c r="I1901" s="66"/>
      <c r="J1901" s="48"/>
      <c r="K1901" s="49"/>
      <c r="L1901" s="50"/>
      <c r="M1901" s="50"/>
      <c r="N1901" s="51"/>
      <c r="O1901" s="52"/>
      <c r="P1901" s="53"/>
      <c r="Q1901" s="54"/>
      <c r="R1901" s="1"/>
      <c r="S1901" s="1"/>
      <c r="T1901" s="1"/>
    </row>
    <row r="1902" spans="1:20" ht="13.5" customHeight="1" x14ac:dyDescent="0.25">
      <c r="A1902" s="1"/>
      <c r="B1902" s="1" t="s">
        <v>1689</v>
      </c>
      <c r="C1902" s="1" t="s">
        <v>259</v>
      </c>
      <c r="D1902" s="42">
        <v>695</v>
      </c>
      <c r="E1902" s="43">
        <v>53.71</v>
      </c>
      <c r="F1902" s="45">
        <v>695</v>
      </c>
      <c r="G1902" s="45">
        <v>695</v>
      </c>
      <c r="H1902" s="46">
        <v>809.99</v>
      </c>
      <c r="I1902" s="47">
        <f t="shared" ref="I1902:I1904" si="821">H1902/J1902</f>
        <v>1.1654532374100719</v>
      </c>
      <c r="J1902" s="48">
        <v>695</v>
      </c>
      <c r="K1902" s="49">
        <v>695</v>
      </c>
      <c r="L1902" s="50">
        <v>598.01</v>
      </c>
      <c r="M1902" s="50">
        <v>468.85</v>
      </c>
      <c r="N1902" s="51">
        <v>665.01</v>
      </c>
      <c r="O1902" s="52">
        <v>523.76</v>
      </c>
      <c r="P1902" s="53">
        <v>454.37</v>
      </c>
      <c r="Q1902" s="54">
        <v>657.03</v>
      </c>
      <c r="R1902" s="1"/>
      <c r="S1902" s="1"/>
      <c r="T1902" s="1"/>
    </row>
    <row r="1903" spans="1:20" ht="13.5" customHeight="1" x14ac:dyDescent="0.25">
      <c r="A1903" s="1"/>
      <c r="B1903" s="1" t="s">
        <v>1690</v>
      </c>
      <c r="C1903" s="1" t="s">
        <v>261</v>
      </c>
      <c r="D1903" s="42">
        <v>175</v>
      </c>
      <c r="E1903" s="43">
        <v>119.65</v>
      </c>
      <c r="F1903" s="45">
        <v>175</v>
      </c>
      <c r="G1903" s="45">
        <v>175</v>
      </c>
      <c r="H1903" s="46">
        <v>163</v>
      </c>
      <c r="I1903" s="47">
        <f t="shared" si="821"/>
        <v>0.93142857142857138</v>
      </c>
      <c r="J1903" s="48">
        <v>175</v>
      </c>
      <c r="K1903" s="49">
        <v>175</v>
      </c>
      <c r="L1903" s="50">
        <v>65.66</v>
      </c>
      <c r="M1903" s="50">
        <v>186.12</v>
      </c>
      <c r="N1903" s="51">
        <v>194.59</v>
      </c>
      <c r="O1903" s="52">
        <v>163.63</v>
      </c>
      <c r="P1903" s="53">
        <v>192.88</v>
      </c>
      <c r="Q1903" s="54">
        <v>172.22</v>
      </c>
      <c r="R1903" s="1"/>
      <c r="S1903" s="1"/>
      <c r="T1903" s="1"/>
    </row>
    <row r="1904" spans="1:20" ht="13.5" customHeight="1" x14ac:dyDescent="0.25">
      <c r="A1904" s="1"/>
      <c r="B1904" s="1" t="s">
        <v>1691</v>
      </c>
      <c r="C1904" s="1" t="s">
        <v>435</v>
      </c>
      <c r="D1904" s="42">
        <v>1500</v>
      </c>
      <c r="E1904" s="43">
        <v>0</v>
      </c>
      <c r="F1904" s="45">
        <v>1500</v>
      </c>
      <c r="G1904" s="45">
        <v>1500</v>
      </c>
      <c r="H1904" s="68">
        <v>1445.05</v>
      </c>
      <c r="I1904" s="47">
        <f t="shared" si="821"/>
        <v>0.96336666666666659</v>
      </c>
      <c r="J1904" s="48">
        <v>1500</v>
      </c>
      <c r="K1904" s="49">
        <v>1500</v>
      </c>
      <c r="L1904" s="50">
        <v>1332</v>
      </c>
      <c r="M1904" s="50">
        <v>1504.8</v>
      </c>
      <c r="N1904" s="51">
        <v>1394</v>
      </c>
      <c r="O1904" s="52">
        <v>582.5</v>
      </c>
      <c r="P1904" s="53">
        <v>0</v>
      </c>
      <c r="Q1904" s="54">
        <v>0</v>
      </c>
      <c r="R1904" s="1"/>
      <c r="S1904" s="1"/>
      <c r="T1904" s="1"/>
    </row>
    <row r="1905" spans="1:20" ht="13.5" customHeight="1" x14ac:dyDescent="0.25">
      <c r="A1905" s="1"/>
      <c r="B1905" s="1" t="s">
        <v>1692</v>
      </c>
      <c r="C1905" s="55" t="s">
        <v>438</v>
      </c>
      <c r="D1905" s="42">
        <v>0</v>
      </c>
      <c r="E1905" s="43">
        <v>0</v>
      </c>
      <c r="F1905" s="73">
        <v>0</v>
      </c>
      <c r="G1905" s="73">
        <v>0</v>
      </c>
      <c r="H1905" s="74">
        <v>0</v>
      </c>
      <c r="I1905" s="183">
        <v>0</v>
      </c>
      <c r="J1905" s="75">
        <v>0</v>
      </c>
      <c r="K1905" s="76">
        <v>0</v>
      </c>
      <c r="L1905" s="77">
        <v>0</v>
      </c>
      <c r="M1905" s="50">
        <v>199.98</v>
      </c>
      <c r="N1905" s="53" t="s">
        <v>16</v>
      </c>
      <c r="O1905" s="52">
        <v>0</v>
      </c>
      <c r="P1905" s="53">
        <v>133.63999999999999</v>
      </c>
      <c r="Q1905" s="54">
        <v>0</v>
      </c>
      <c r="R1905" s="1"/>
      <c r="S1905" s="1"/>
      <c r="T1905" s="1"/>
    </row>
    <row r="1906" spans="1:20" ht="13.5" customHeight="1" x14ac:dyDescent="0.25">
      <c r="A1906" s="1"/>
      <c r="B1906" s="1" t="s">
        <v>1693</v>
      </c>
      <c r="C1906" s="55" t="s">
        <v>267</v>
      </c>
      <c r="D1906" s="42">
        <v>0</v>
      </c>
      <c r="E1906" s="43">
        <v>39.76</v>
      </c>
      <c r="F1906" s="73">
        <v>0</v>
      </c>
      <c r="G1906" s="73">
        <v>0</v>
      </c>
      <c r="H1906" s="68">
        <v>25.99</v>
      </c>
      <c r="I1906" s="183">
        <v>0</v>
      </c>
      <c r="J1906" s="75">
        <v>0</v>
      </c>
      <c r="K1906" s="76">
        <v>0</v>
      </c>
      <c r="L1906" s="50">
        <v>256.08999999999997</v>
      </c>
      <c r="M1906" s="77">
        <v>0</v>
      </c>
      <c r="N1906" s="53" t="s">
        <v>16</v>
      </c>
      <c r="O1906" s="52">
        <v>1269.8900000000001</v>
      </c>
      <c r="P1906" s="53">
        <v>780.89</v>
      </c>
      <c r="Q1906" s="54">
        <v>829.25</v>
      </c>
      <c r="R1906" s="1"/>
      <c r="S1906" s="1"/>
      <c r="T1906" s="1"/>
    </row>
    <row r="1907" spans="1:20" ht="13.5" customHeight="1" x14ac:dyDescent="0.25">
      <c r="A1907" s="1"/>
      <c r="B1907" s="1"/>
      <c r="C1907" s="1"/>
      <c r="D1907" s="88">
        <v>2370</v>
      </c>
      <c r="E1907" s="89">
        <f t="shared" ref="E1907" si="822">SUM(E1902:E1906)</f>
        <v>213.12</v>
      </c>
      <c r="F1907" s="90">
        <f>SUM(F1901:F1906)</f>
        <v>2370</v>
      </c>
      <c r="G1907" s="90">
        <v>2370</v>
      </c>
      <c r="H1907" s="91">
        <f>SUM(H1902:H1906)</f>
        <v>2444.0299999999997</v>
      </c>
      <c r="I1907" s="91"/>
      <c r="J1907" s="92">
        <f t="shared" ref="J1907:Q1907" si="823">SUM(J1902:J1906)</f>
        <v>2370</v>
      </c>
      <c r="K1907" s="93">
        <f t="shared" si="823"/>
        <v>2370</v>
      </c>
      <c r="L1907" s="94">
        <f t="shared" si="823"/>
        <v>2251.7600000000002</v>
      </c>
      <c r="M1907" s="94">
        <f t="shared" si="823"/>
        <v>2359.75</v>
      </c>
      <c r="N1907" s="95">
        <f t="shared" si="823"/>
        <v>2253.6</v>
      </c>
      <c r="O1907" s="96">
        <f t="shared" si="823"/>
        <v>2539.7799999999997</v>
      </c>
      <c r="P1907" s="95">
        <f t="shared" si="823"/>
        <v>1561.78</v>
      </c>
      <c r="Q1907" s="97">
        <f t="shared" si="823"/>
        <v>1658.5</v>
      </c>
      <c r="R1907" s="1"/>
      <c r="S1907" s="1"/>
      <c r="T1907" s="1"/>
    </row>
    <row r="1908" spans="1:20" ht="13.5" customHeight="1" x14ac:dyDescent="0.25">
      <c r="A1908" s="1"/>
      <c r="B1908" s="1"/>
      <c r="C1908" s="1"/>
      <c r="D1908" s="72"/>
      <c r="E1908" s="67"/>
      <c r="F1908" s="73"/>
      <c r="G1908" s="73"/>
      <c r="H1908" s="74"/>
      <c r="I1908" s="74"/>
      <c r="J1908" s="75"/>
      <c r="K1908" s="76"/>
      <c r="L1908" s="50"/>
      <c r="M1908" s="77"/>
      <c r="N1908" s="53"/>
      <c r="O1908" s="52"/>
      <c r="P1908" s="53"/>
      <c r="Q1908" s="54"/>
      <c r="R1908" s="1"/>
      <c r="S1908" s="1"/>
      <c r="T1908" s="1"/>
    </row>
    <row r="1909" spans="1:20" ht="13.5" customHeight="1" x14ac:dyDescent="0.25">
      <c r="A1909" s="1"/>
      <c r="B1909" s="1" t="s">
        <v>1694</v>
      </c>
      <c r="C1909" s="1" t="s">
        <v>273</v>
      </c>
      <c r="D1909" s="42">
        <v>200</v>
      </c>
      <c r="E1909" s="70">
        <v>217.58</v>
      </c>
      <c r="F1909" s="45">
        <v>200</v>
      </c>
      <c r="G1909" s="45">
        <v>200</v>
      </c>
      <c r="H1909" s="74">
        <v>0</v>
      </c>
      <c r="I1909" s="47">
        <f t="shared" ref="I1909:I1910" si="824">H1909/J1909</f>
        <v>0</v>
      </c>
      <c r="J1909" s="48">
        <v>172</v>
      </c>
      <c r="K1909" s="49">
        <v>200</v>
      </c>
      <c r="L1909" s="50">
        <v>46.65</v>
      </c>
      <c r="M1909" s="77">
        <v>0</v>
      </c>
      <c r="N1909" s="53" t="s">
        <v>16</v>
      </c>
      <c r="O1909" s="52"/>
      <c r="P1909" s="53"/>
      <c r="Q1909" s="54"/>
      <c r="R1909" s="1"/>
      <c r="S1909" s="1"/>
      <c r="T1909" s="1"/>
    </row>
    <row r="1910" spans="1:20" ht="13.5" customHeight="1" x14ac:dyDescent="0.25">
      <c r="A1910" s="1"/>
      <c r="B1910" s="1" t="s">
        <v>1695</v>
      </c>
      <c r="C1910" s="1" t="s">
        <v>277</v>
      </c>
      <c r="D1910" s="42">
        <v>0</v>
      </c>
      <c r="E1910" s="43">
        <v>0</v>
      </c>
      <c r="F1910" s="73">
        <v>0</v>
      </c>
      <c r="G1910" s="73">
        <v>0</v>
      </c>
      <c r="H1910" s="66">
        <v>28</v>
      </c>
      <c r="I1910" s="47">
        <f t="shared" si="824"/>
        <v>1</v>
      </c>
      <c r="J1910" s="48">
        <v>28</v>
      </c>
      <c r="K1910" s="76">
        <v>0</v>
      </c>
      <c r="L1910" s="50">
        <v>35</v>
      </c>
      <c r="M1910" s="77">
        <v>0</v>
      </c>
      <c r="N1910" s="53" t="s">
        <v>16</v>
      </c>
      <c r="O1910" s="52">
        <v>167</v>
      </c>
      <c r="P1910" s="53">
        <v>303</v>
      </c>
      <c r="Q1910" s="54">
        <v>684.02</v>
      </c>
      <c r="R1910" s="1"/>
      <c r="S1910" s="1"/>
      <c r="T1910" s="1"/>
    </row>
    <row r="1911" spans="1:20" ht="13.5" customHeight="1" x14ac:dyDescent="0.25">
      <c r="A1911" s="1"/>
      <c r="B1911" s="1" t="s">
        <v>1696</v>
      </c>
      <c r="C1911" s="1" t="s">
        <v>1697</v>
      </c>
      <c r="D1911" s="42">
        <v>0</v>
      </c>
      <c r="E1911" s="43">
        <v>100</v>
      </c>
      <c r="F1911" s="73">
        <v>0</v>
      </c>
      <c r="G1911" s="73">
        <v>0</v>
      </c>
      <c r="H1911" s="66">
        <v>3750</v>
      </c>
      <c r="I1911" s="74">
        <v>0</v>
      </c>
      <c r="J1911" s="75">
        <v>0</v>
      </c>
      <c r="K1911" s="76">
        <v>0</v>
      </c>
      <c r="L1911" s="50">
        <v>100</v>
      </c>
      <c r="M1911" s="77">
        <v>0</v>
      </c>
      <c r="N1911" s="53" t="s">
        <v>16</v>
      </c>
      <c r="O1911" s="52">
        <v>100</v>
      </c>
      <c r="P1911" s="53">
        <v>1800</v>
      </c>
      <c r="Q1911" s="54">
        <v>1900</v>
      </c>
      <c r="R1911" s="1"/>
      <c r="S1911" s="1"/>
      <c r="T1911" s="1"/>
    </row>
    <row r="1912" spans="1:20" ht="13.5" customHeight="1" x14ac:dyDescent="0.25">
      <c r="A1912" s="1"/>
      <c r="B1912" s="1" t="s">
        <v>1698</v>
      </c>
      <c r="C1912" s="1" t="s">
        <v>281</v>
      </c>
      <c r="D1912" s="42">
        <v>1200</v>
      </c>
      <c r="E1912" s="43">
        <v>584.39</v>
      </c>
      <c r="F1912" s="45">
        <v>1200</v>
      </c>
      <c r="G1912" s="45">
        <v>1200</v>
      </c>
      <c r="H1912" s="46">
        <v>1530.46</v>
      </c>
      <c r="I1912" s="47">
        <f>H1912/J1912</f>
        <v>1.2753833333333333</v>
      </c>
      <c r="J1912" s="48">
        <v>1200</v>
      </c>
      <c r="K1912" s="49">
        <v>1200</v>
      </c>
      <c r="L1912" s="50">
        <v>1284.0899999999999</v>
      </c>
      <c r="M1912" s="50">
        <v>1190.6099999999999</v>
      </c>
      <c r="N1912" s="51">
        <v>1094.1099999999999</v>
      </c>
      <c r="O1912" s="52">
        <v>1188.49</v>
      </c>
      <c r="P1912" s="53">
        <v>1190.29</v>
      </c>
      <c r="Q1912" s="54">
        <v>1291.81</v>
      </c>
      <c r="R1912" s="1"/>
      <c r="S1912" s="1"/>
      <c r="T1912" s="1"/>
    </row>
    <row r="1913" spans="1:20" ht="13.5" customHeight="1" x14ac:dyDescent="0.25">
      <c r="A1913" s="1"/>
      <c r="B1913" s="1"/>
      <c r="C1913" s="1"/>
      <c r="D1913" s="56">
        <v>1400</v>
      </c>
      <c r="E1913" s="57">
        <f t="shared" ref="E1913" si="825">SUM(E1909:E1912)</f>
        <v>901.97</v>
      </c>
      <c r="F1913" s="58">
        <f>SUM(F1908:F1912)</f>
        <v>1400</v>
      </c>
      <c r="G1913" s="58">
        <v>1400</v>
      </c>
      <c r="H1913" s="59">
        <f>SUM(H1909:H1912)</f>
        <v>5308.46</v>
      </c>
      <c r="I1913" s="59"/>
      <c r="J1913" s="60">
        <f t="shared" ref="J1913:Q1913" si="826">SUM(J1909:J1912)</f>
        <v>1400</v>
      </c>
      <c r="K1913" s="61">
        <f t="shared" si="826"/>
        <v>1400</v>
      </c>
      <c r="L1913" s="62">
        <f t="shared" si="826"/>
        <v>1465.74</v>
      </c>
      <c r="M1913" s="62">
        <f t="shared" si="826"/>
        <v>1190.6099999999999</v>
      </c>
      <c r="N1913" s="63">
        <f t="shared" si="826"/>
        <v>1094.1099999999999</v>
      </c>
      <c r="O1913" s="64">
        <f t="shared" si="826"/>
        <v>1455.49</v>
      </c>
      <c r="P1913" s="63">
        <f t="shared" si="826"/>
        <v>3293.29</v>
      </c>
      <c r="Q1913" s="65">
        <f t="shared" si="826"/>
        <v>3875.83</v>
      </c>
      <c r="R1913" s="1"/>
      <c r="S1913" s="1"/>
      <c r="T1913" s="1"/>
    </row>
    <row r="1914" spans="1:20" ht="13.5" customHeight="1" thickBot="1" x14ac:dyDescent="0.3">
      <c r="A1914" s="1"/>
      <c r="B1914" s="1"/>
      <c r="C1914" s="116" t="s">
        <v>1699</v>
      </c>
      <c r="D1914" s="267">
        <v>19074.912791999999</v>
      </c>
      <c r="E1914" s="173">
        <f t="shared" ref="E1914" si="827">SUM(E1895+E1900+E1907+E1913)</f>
        <v>7460.49</v>
      </c>
      <c r="F1914" s="174">
        <f>SUM(F1895,F1900,F1907,F1913)</f>
        <v>19074.912791999999</v>
      </c>
      <c r="G1914" s="174">
        <v>19074.912791999999</v>
      </c>
      <c r="H1914" s="175">
        <f>SUM(H1895+H1900+H1907+H1913)</f>
        <v>21141.73</v>
      </c>
      <c r="I1914" s="175"/>
      <c r="J1914" s="176">
        <f t="shared" ref="J1914:Q1914" si="828">SUM(J1895+J1900+J1907+J1913)</f>
        <v>19015</v>
      </c>
      <c r="K1914" s="177">
        <f t="shared" si="828"/>
        <v>19015</v>
      </c>
      <c r="L1914" s="178">
        <f t="shared" si="828"/>
        <v>16412.080000000002</v>
      </c>
      <c r="M1914" s="178">
        <f t="shared" si="828"/>
        <v>16687.57</v>
      </c>
      <c r="N1914" s="179">
        <f t="shared" si="828"/>
        <v>16681.18</v>
      </c>
      <c r="O1914" s="180">
        <f t="shared" si="828"/>
        <v>17451.09</v>
      </c>
      <c r="P1914" s="179">
        <f t="shared" si="828"/>
        <v>18113.28</v>
      </c>
      <c r="Q1914" s="181">
        <f t="shared" si="828"/>
        <v>18736.57</v>
      </c>
      <c r="R1914" s="1"/>
      <c r="S1914" s="1"/>
      <c r="T1914" s="1"/>
    </row>
    <row r="1915" spans="1:20" ht="13.5" customHeight="1" thickTop="1" x14ac:dyDescent="0.25">
      <c r="A1915" s="1"/>
      <c r="B1915" s="1"/>
      <c r="C1915" s="1"/>
      <c r="D1915" s="42"/>
      <c r="E1915" s="44"/>
      <c r="F1915" s="45"/>
      <c r="G1915" s="45"/>
      <c r="H1915" s="66"/>
      <c r="I1915" s="66"/>
      <c r="J1915" s="48"/>
      <c r="K1915" s="49"/>
      <c r="L1915" s="50"/>
      <c r="M1915" s="50"/>
      <c r="N1915" s="51"/>
      <c r="O1915" s="52"/>
      <c r="P1915" s="53"/>
      <c r="Q1915" s="54"/>
      <c r="R1915" s="1"/>
      <c r="S1915" s="1"/>
      <c r="T1915" s="1"/>
    </row>
    <row r="1916" spans="1:20" ht="13.5" customHeight="1" x14ac:dyDescent="0.25">
      <c r="A1916" s="1"/>
      <c r="B1916" s="1"/>
      <c r="C1916" s="116" t="s">
        <v>1700</v>
      </c>
      <c r="D1916" s="42"/>
      <c r="E1916" s="44"/>
      <c r="F1916" s="45"/>
      <c r="G1916" s="45"/>
      <c r="H1916" s="66"/>
      <c r="I1916" s="66"/>
      <c r="J1916" s="48"/>
      <c r="K1916" s="49"/>
      <c r="L1916" s="50"/>
      <c r="M1916" s="50"/>
      <c r="N1916" s="51"/>
      <c r="O1916" s="52"/>
      <c r="P1916" s="53"/>
      <c r="Q1916" s="54"/>
      <c r="R1916" s="1"/>
      <c r="S1916" s="1"/>
      <c r="T1916" s="1"/>
    </row>
    <row r="1917" spans="1:20" ht="13.5" customHeight="1" x14ac:dyDescent="0.25">
      <c r="A1917" s="1"/>
      <c r="B1917" s="1" t="s">
        <v>1701</v>
      </c>
      <c r="C1917" s="1" t="s">
        <v>420</v>
      </c>
      <c r="D1917" s="42">
        <v>123785.59999999999</v>
      </c>
      <c r="E1917" s="43">
        <v>57984.78</v>
      </c>
      <c r="F1917" s="45">
        <v>125070.59999999999</v>
      </c>
      <c r="G1917" s="45">
        <v>125070.59999999999</v>
      </c>
      <c r="H1917" s="46">
        <v>104246.38</v>
      </c>
      <c r="I1917" s="47">
        <f t="shared" ref="I1917:I1918" si="829">H1917/J1917</f>
        <v>0.9033638364616372</v>
      </c>
      <c r="J1917" s="48">
        <v>115398</v>
      </c>
      <c r="K1917" s="49">
        <v>115398</v>
      </c>
      <c r="L1917" s="50">
        <v>115161.47</v>
      </c>
      <c r="M1917" s="50">
        <v>98252.44</v>
      </c>
      <c r="N1917" s="51">
        <v>98711.3</v>
      </c>
      <c r="O1917" s="52">
        <v>105832.14</v>
      </c>
      <c r="P1917" s="53">
        <v>100683.91</v>
      </c>
      <c r="Q1917" s="54">
        <v>99459.41</v>
      </c>
      <c r="R1917" s="1"/>
      <c r="S1917" s="1"/>
      <c r="T1917" s="1"/>
    </row>
    <row r="1918" spans="1:20" ht="13.5" customHeight="1" x14ac:dyDescent="0.25">
      <c r="A1918" s="1"/>
      <c r="B1918" s="1" t="s">
        <v>1702</v>
      </c>
      <c r="C1918" s="1" t="s">
        <v>423</v>
      </c>
      <c r="D1918" s="42">
        <v>0</v>
      </c>
      <c r="E1918" s="43">
        <v>0</v>
      </c>
      <c r="F1918" s="45">
        <v>0</v>
      </c>
      <c r="G1918" s="45">
        <v>0</v>
      </c>
      <c r="H1918" s="46">
        <v>2710.42</v>
      </c>
      <c r="I1918" s="47">
        <f t="shared" si="829"/>
        <v>0.48924548736462098</v>
      </c>
      <c r="J1918" s="48">
        <v>5540</v>
      </c>
      <c r="K1918" s="49">
        <v>5540</v>
      </c>
      <c r="L1918" s="50">
        <v>5500.86</v>
      </c>
      <c r="M1918" s="50">
        <v>7624.86</v>
      </c>
      <c r="N1918" s="51">
        <v>7398.22</v>
      </c>
      <c r="O1918" s="52">
        <v>7132.7</v>
      </c>
      <c r="P1918" s="53">
        <v>6861.88</v>
      </c>
      <c r="Q1918" s="54">
        <v>6628.54</v>
      </c>
      <c r="R1918" s="1"/>
      <c r="S1918" s="1"/>
      <c r="T1918" s="1"/>
    </row>
    <row r="1919" spans="1:20" ht="13.5" customHeight="1" x14ac:dyDescent="0.25">
      <c r="A1919" s="1"/>
      <c r="B1919" s="1"/>
      <c r="C1919" s="1"/>
      <c r="D1919" s="56">
        <v>123785.59999999999</v>
      </c>
      <c r="E1919" s="57">
        <f t="shared" ref="E1919" si="830">SUM(E1917:E1918)</f>
        <v>57984.78</v>
      </c>
      <c r="F1919" s="58">
        <f>SUM(F1916:F1918)</f>
        <v>125070.59999999999</v>
      </c>
      <c r="G1919" s="58">
        <v>125070.59999999999</v>
      </c>
      <c r="H1919" s="59">
        <f>SUM(H1917:H1918)</f>
        <v>106956.8</v>
      </c>
      <c r="I1919" s="59"/>
      <c r="J1919" s="60">
        <f t="shared" ref="J1919:Q1919" si="831">SUM(J1917:J1918)</f>
        <v>120938</v>
      </c>
      <c r="K1919" s="61">
        <f t="shared" si="831"/>
        <v>120938</v>
      </c>
      <c r="L1919" s="62">
        <f t="shared" si="831"/>
        <v>120662.33</v>
      </c>
      <c r="M1919" s="62">
        <f t="shared" si="831"/>
        <v>105877.3</v>
      </c>
      <c r="N1919" s="63">
        <f t="shared" si="831"/>
        <v>106109.52</v>
      </c>
      <c r="O1919" s="64">
        <f t="shared" si="831"/>
        <v>112964.84</v>
      </c>
      <c r="P1919" s="63">
        <f t="shared" si="831"/>
        <v>107545.79000000001</v>
      </c>
      <c r="Q1919" s="65">
        <f t="shared" si="831"/>
        <v>106087.95</v>
      </c>
      <c r="R1919" s="1"/>
      <c r="S1919" s="1"/>
      <c r="T1919" s="1"/>
    </row>
    <row r="1920" spans="1:20" ht="13.5" customHeight="1" x14ac:dyDescent="0.25">
      <c r="A1920" s="1"/>
      <c r="B1920" s="1"/>
      <c r="C1920" s="1"/>
      <c r="D1920" s="42"/>
      <c r="E1920" s="44"/>
      <c r="F1920" s="45"/>
      <c r="G1920" s="45"/>
      <c r="H1920" s="66"/>
      <c r="I1920" s="66"/>
      <c r="J1920" s="48"/>
      <c r="K1920" s="49"/>
      <c r="L1920" s="50"/>
      <c r="M1920" s="50"/>
      <c r="N1920" s="51"/>
      <c r="O1920" s="52"/>
      <c r="P1920" s="53"/>
      <c r="Q1920" s="54"/>
      <c r="R1920" s="1"/>
      <c r="S1920" s="1"/>
      <c r="T1920" s="1"/>
    </row>
    <row r="1921" spans="1:20" ht="13.5" customHeight="1" x14ac:dyDescent="0.25">
      <c r="A1921" s="1"/>
      <c r="B1921" s="1" t="s">
        <v>1703</v>
      </c>
      <c r="C1921" s="1" t="s">
        <v>247</v>
      </c>
      <c r="D1921" s="42">
        <v>10488.578399999999</v>
      </c>
      <c r="E1921" s="43">
        <v>4655.5600000000004</v>
      </c>
      <c r="F1921" s="45">
        <v>10586.8809</v>
      </c>
      <c r="G1921" s="45">
        <v>10586.8809</v>
      </c>
      <c r="H1921" s="46">
        <v>8127.03</v>
      </c>
      <c r="I1921" s="47">
        <f t="shared" ref="I1921:I1926" si="832">H1921/J1921</f>
        <v>0.78046960530106591</v>
      </c>
      <c r="J1921" s="48">
        <v>10413</v>
      </c>
      <c r="K1921" s="49">
        <v>10413</v>
      </c>
      <c r="L1921" s="50">
        <v>9535.23</v>
      </c>
      <c r="M1921" s="50">
        <v>7994.9</v>
      </c>
      <c r="N1921" s="51">
        <v>8035.54</v>
      </c>
      <c r="O1921" s="52">
        <v>8914.8700000000008</v>
      </c>
      <c r="P1921" s="53">
        <v>8394.65</v>
      </c>
      <c r="Q1921" s="54">
        <v>8290.5</v>
      </c>
      <c r="R1921" s="1"/>
      <c r="S1921" s="1"/>
      <c r="T1921" s="1"/>
    </row>
    <row r="1922" spans="1:20" ht="13.5" customHeight="1" x14ac:dyDescent="0.25">
      <c r="A1922" s="1"/>
      <c r="B1922" s="1" t="s">
        <v>1704</v>
      </c>
      <c r="C1922" s="1" t="s">
        <v>249</v>
      </c>
      <c r="D1922" s="42">
        <v>20926.869600000002</v>
      </c>
      <c r="E1922" s="43">
        <v>8630.2999999999993</v>
      </c>
      <c r="F1922" s="45">
        <v>20926.547200000001</v>
      </c>
      <c r="G1922" s="45">
        <v>20926.547200000001</v>
      </c>
      <c r="H1922" s="46">
        <v>19489.09</v>
      </c>
      <c r="I1922" s="47">
        <f t="shared" si="832"/>
        <v>0.95240629428725021</v>
      </c>
      <c r="J1922" s="48">
        <v>20463</v>
      </c>
      <c r="K1922" s="49">
        <v>20463</v>
      </c>
      <c r="L1922" s="50">
        <v>17745</v>
      </c>
      <c r="M1922" s="50">
        <v>20278</v>
      </c>
      <c r="N1922" s="51">
        <v>20331.2</v>
      </c>
      <c r="O1922" s="52">
        <v>20248.32</v>
      </c>
      <c r="P1922" s="53">
        <v>19955.599999999999</v>
      </c>
      <c r="Q1922" s="54">
        <v>19233.599999999999</v>
      </c>
      <c r="R1922" s="1"/>
      <c r="S1922" s="1"/>
      <c r="T1922" s="1"/>
    </row>
    <row r="1923" spans="1:20" ht="13.5" customHeight="1" x14ac:dyDescent="0.25">
      <c r="A1923" s="1"/>
      <c r="B1923" s="1" t="s">
        <v>1705</v>
      </c>
      <c r="C1923" s="1" t="s">
        <v>251</v>
      </c>
      <c r="D1923" s="42">
        <v>10151.1168</v>
      </c>
      <c r="E1923" s="43">
        <v>4715.8599999999997</v>
      </c>
      <c r="F1923" s="45">
        <v>10344.123799999999</v>
      </c>
      <c r="G1923" s="45">
        <v>10344.123799999999</v>
      </c>
      <c r="H1923" s="46">
        <v>8903.26</v>
      </c>
      <c r="I1923" s="47">
        <f t="shared" si="832"/>
        <v>0.98335100508062734</v>
      </c>
      <c r="J1923" s="48">
        <v>9054</v>
      </c>
      <c r="K1923" s="49">
        <v>9054</v>
      </c>
      <c r="L1923" s="50">
        <v>9289.83</v>
      </c>
      <c r="M1923" s="50">
        <v>8983.32</v>
      </c>
      <c r="N1923" s="51">
        <v>8589.36</v>
      </c>
      <c r="O1923" s="52">
        <v>8329.7099999999991</v>
      </c>
      <c r="P1923" s="53">
        <v>7752.37</v>
      </c>
      <c r="Q1923" s="54">
        <v>7695.4</v>
      </c>
      <c r="R1923" s="1"/>
      <c r="S1923" s="1"/>
      <c r="T1923" s="1"/>
    </row>
    <row r="1924" spans="1:20" ht="13.5" customHeight="1" x14ac:dyDescent="0.25">
      <c r="A1924" s="1"/>
      <c r="B1924" s="1" t="s">
        <v>1706</v>
      </c>
      <c r="C1924" s="1" t="s">
        <v>253</v>
      </c>
      <c r="D1924" s="42">
        <v>108.1344</v>
      </c>
      <c r="E1924" s="43">
        <v>50.24</v>
      </c>
      <c r="F1924" s="45">
        <v>110.19040000000001</v>
      </c>
      <c r="G1924" s="45">
        <v>110.19040000000001</v>
      </c>
      <c r="H1924" s="46">
        <v>98.01</v>
      </c>
      <c r="I1924" s="47">
        <f t="shared" si="832"/>
        <v>0.98010000000000008</v>
      </c>
      <c r="J1924" s="48">
        <v>100</v>
      </c>
      <c r="K1924" s="49">
        <v>100</v>
      </c>
      <c r="L1924" s="50">
        <v>117.37</v>
      </c>
      <c r="M1924" s="50">
        <v>122.44</v>
      </c>
      <c r="N1924" s="51">
        <v>151.55000000000001</v>
      </c>
      <c r="O1924" s="52">
        <v>161.4</v>
      </c>
      <c r="P1924" s="53">
        <v>147.79</v>
      </c>
      <c r="Q1924" s="54">
        <v>137.22999999999999</v>
      </c>
      <c r="R1924" s="1"/>
      <c r="S1924" s="1"/>
      <c r="T1924" s="1"/>
    </row>
    <row r="1925" spans="1:20" ht="13.5" customHeight="1" x14ac:dyDescent="0.25">
      <c r="A1925" s="1"/>
      <c r="B1925" s="1" t="s">
        <v>1707</v>
      </c>
      <c r="C1925" s="1" t="s">
        <v>255</v>
      </c>
      <c r="D1925" s="42">
        <v>702.24</v>
      </c>
      <c r="E1925" s="43">
        <v>278.8</v>
      </c>
      <c r="F1925" s="45">
        <v>670</v>
      </c>
      <c r="G1925" s="45">
        <v>670</v>
      </c>
      <c r="H1925" s="46">
        <v>620.04</v>
      </c>
      <c r="I1925" s="47">
        <f t="shared" si="832"/>
        <v>0.99365384615384611</v>
      </c>
      <c r="J1925" s="48">
        <v>624</v>
      </c>
      <c r="K1925" s="49">
        <v>624</v>
      </c>
      <c r="L1925" s="50">
        <v>548.6</v>
      </c>
      <c r="M1925" s="50">
        <v>604.24</v>
      </c>
      <c r="N1925" s="51">
        <v>659.08</v>
      </c>
      <c r="O1925" s="52">
        <v>670.8</v>
      </c>
      <c r="P1925" s="53">
        <v>670.8</v>
      </c>
      <c r="Q1925" s="54">
        <v>640.6</v>
      </c>
      <c r="R1925" s="1"/>
      <c r="S1925" s="1"/>
      <c r="T1925" s="1"/>
    </row>
    <row r="1926" spans="1:20" ht="13.5" customHeight="1" x14ac:dyDescent="0.25">
      <c r="A1926" s="1"/>
      <c r="B1926" s="1" t="s">
        <v>1708</v>
      </c>
      <c r="C1926" s="1" t="s">
        <v>1402</v>
      </c>
      <c r="D1926" s="42">
        <v>13320</v>
      </c>
      <c r="E1926" s="43">
        <v>6660.03</v>
      </c>
      <c r="F1926" s="45">
        <v>13320</v>
      </c>
      <c r="G1926" s="45">
        <v>13320</v>
      </c>
      <c r="H1926" s="46">
        <v>11236.26</v>
      </c>
      <c r="I1926" s="47">
        <f t="shared" si="832"/>
        <v>0.84356306306306306</v>
      </c>
      <c r="J1926" s="48">
        <v>13320</v>
      </c>
      <c r="K1926" s="49">
        <v>13320</v>
      </c>
      <c r="L1926" s="50">
        <v>13320.06</v>
      </c>
      <c r="M1926" s="50">
        <v>9535.4599999999991</v>
      </c>
      <c r="N1926" s="51">
        <v>10008.719999999999</v>
      </c>
      <c r="O1926" s="52">
        <v>12694.69</v>
      </c>
      <c r="P1926" s="53">
        <v>10823.18</v>
      </c>
      <c r="Q1926" s="54">
        <v>10741.72</v>
      </c>
      <c r="R1926" s="1"/>
      <c r="S1926" s="1"/>
      <c r="T1926" s="1"/>
    </row>
    <row r="1927" spans="1:20" ht="13.5" customHeight="1" x14ac:dyDescent="0.25">
      <c r="A1927" s="1"/>
      <c r="B1927" s="1"/>
      <c r="C1927" s="1"/>
      <c r="D1927" s="56">
        <v>55696.939200000001</v>
      </c>
      <c r="E1927" s="57">
        <f t="shared" ref="E1927" si="833">SUM(E1921:E1926)</f>
        <v>24990.79</v>
      </c>
      <c r="F1927" s="58">
        <f>SUM(F1920:F1926)</f>
        <v>55957.742299999998</v>
      </c>
      <c r="G1927" s="58">
        <v>55957.742299999998</v>
      </c>
      <c r="H1927" s="59">
        <f>SUM(H1921:H1926)</f>
        <v>48473.69</v>
      </c>
      <c r="I1927" s="59"/>
      <c r="J1927" s="60">
        <f t="shared" ref="J1927:Q1927" si="834">SUM(J1921:J1926)</f>
        <v>53974</v>
      </c>
      <c r="K1927" s="61">
        <f t="shared" si="834"/>
        <v>53974</v>
      </c>
      <c r="L1927" s="62">
        <f t="shared" si="834"/>
        <v>50556.09</v>
      </c>
      <c r="M1927" s="62">
        <f t="shared" si="834"/>
        <v>47518.36</v>
      </c>
      <c r="N1927" s="63">
        <f t="shared" si="834"/>
        <v>47775.450000000012</v>
      </c>
      <c r="O1927" s="64">
        <f t="shared" si="834"/>
        <v>51019.790000000008</v>
      </c>
      <c r="P1927" s="63">
        <f t="shared" si="834"/>
        <v>47744.390000000007</v>
      </c>
      <c r="Q1927" s="65">
        <f t="shared" si="834"/>
        <v>46739.05</v>
      </c>
      <c r="R1927" s="1"/>
      <c r="S1927" s="1"/>
      <c r="T1927" s="1"/>
    </row>
    <row r="1928" spans="1:20" ht="13.5" customHeight="1" x14ac:dyDescent="0.25">
      <c r="A1928" s="1"/>
      <c r="B1928" s="1"/>
      <c r="C1928" s="1"/>
      <c r="D1928" s="42"/>
      <c r="E1928" s="44"/>
      <c r="F1928" s="45"/>
      <c r="G1928" s="45"/>
      <c r="H1928" s="66"/>
      <c r="I1928" s="66"/>
      <c r="J1928" s="48"/>
      <c r="K1928" s="49"/>
      <c r="L1928" s="50"/>
      <c r="M1928" s="50"/>
      <c r="N1928" s="51"/>
      <c r="O1928" s="52"/>
      <c r="P1928" s="53"/>
      <c r="Q1928" s="54"/>
      <c r="R1928" s="1"/>
      <c r="S1928" s="1"/>
      <c r="T1928" s="1"/>
    </row>
    <row r="1929" spans="1:20" ht="13.5" customHeight="1" x14ac:dyDescent="0.25">
      <c r="A1929" s="1"/>
      <c r="B1929" s="1" t="s">
        <v>1709</v>
      </c>
      <c r="C1929" s="1" t="s">
        <v>259</v>
      </c>
      <c r="D1929" s="42">
        <v>2250</v>
      </c>
      <c r="E1929" s="44">
        <f>347.75+5</f>
        <v>352.75</v>
      </c>
      <c r="F1929" s="45">
        <v>2250</v>
      </c>
      <c r="G1929" s="45">
        <v>2250</v>
      </c>
      <c r="H1929" s="46">
        <v>786.87</v>
      </c>
      <c r="I1929" s="47">
        <f t="shared" ref="I1929:I1931" si="835">H1929/J1929</f>
        <v>0.34971999999999998</v>
      </c>
      <c r="J1929" s="48">
        <v>2250</v>
      </c>
      <c r="K1929" s="49">
        <v>2250</v>
      </c>
      <c r="L1929" s="50">
        <v>1729.81</v>
      </c>
      <c r="M1929" s="50">
        <v>1511.81</v>
      </c>
      <c r="N1929" s="51">
        <v>1727.21</v>
      </c>
      <c r="O1929" s="52">
        <v>2176.69</v>
      </c>
      <c r="P1929" s="53">
        <v>1468.29</v>
      </c>
      <c r="Q1929" s="54">
        <v>1315.88</v>
      </c>
      <c r="R1929" s="1"/>
      <c r="S1929" s="1"/>
      <c r="T1929" s="1"/>
    </row>
    <row r="1930" spans="1:20" ht="13.5" customHeight="1" x14ac:dyDescent="0.25">
      <c r="A1930" s="1"/>
      <c r="B1930" s="1" t="s">
        <v>1710</v>
      </c>
      <c r="C1930" s="1" t="s">
        <v>261</v>
      </c>
      <c r="D1930" s="42">
        <v>3000</v>
      </c>
      <c r="E1930" s="43">
        <v>273.95</v>
      </c>
      <c r="F1930" s="45">
        <v>3000</v>
      </c>
      <c r="G1930" s="45">
        <v>3000</v>
      </c>
      <c r="H1930" s="46">
        <v>1335.8</v>
      </c>
      <c r="I1930" s="47">
        <f t="shared" si="835"/>
        <v>0.44526666666666664</v>
      </c>
      <c r="J1930" s="48">
        <v>3000</v>
      </c>
      <c r="K1930" s="49">
        <v>3000</v>
      </c>
      <c r="L1930" s="50">
        <v>1484.87</v>
      </c>
      <c r="M1930" s="50">
        <v>2348.1</v>
      </c>
      <c r="N1930" s="51">
        <v>3195.04</v>
      </c>
      <c r="O1930" s="52">
        <v>3589.34</v>
      </c>
      <c r="P1930" s="53">
        <v>3916.44</v>
      </c>
      <c r="Q1930" s="54">
        <v>2549.79</v>
      </c>
      <c r="R1930" s="1"/>
      <c r="S1930" s="1"/>
      <c r="T1930" s="1"/>
    </row>
    <row r="1931" spans="1:20" ht="13.5" customHeight="1" x14ac:dyDescent="0.25">
      <c r="A1931" s="1"/>
      <c r="B1931" s="1" t="s">
        <v>1711</v>
      </c>
      <c r="C1931" s="1" t="s">
        <v>1525</v>
      </c>
      <c r="D1931" s="42">
        <v>1000</v>
      </c>
      <c r="E1931" s="43">
        <v>0</v>
      </c>
      <c r="F1931" s="45">
        <v>1000</v>
      </c>
      <c r="G1931" s="45">
        <v>1000</v>
      </c>
      <c r="H1931" s="68">
        <v>608.54</v>
      </c>
      <c r="I1931" s="47">
        <f t="shared" si="835"/>
        <v>0.60853999999999997</v>
      </c>
      <c r="J1931" s="48">
        <v>1000</v>
      </c>
      <c r="K1931" s="49">
        <v>1000</v>
      </c>
      <c r="L1931" s="50">
        <v>838.93</v>
      </c>
      <c r="M1931" s="50">
        <v>136.82</v>
      </c>
      <c r="N1931" s="51">
        <v>609.14</v>
      </c>
      <c r="O1931" s="52">
        <v>0</v>
      </c>
      <c r="P1931" s="53">
        <v>0</v>
      </c>
      <c r="Q1931" s="54">
        <v>0</v>
      </c>
      <c r="R1931" s="1"/>
      <c r="S1931" s="1"/>
      <c r="T1931" s="1"/>
    </row>
    <row r="1932" spans="1:20" ht="13.5" customHeight="1" x14ac:dyDescent="0.25">
      <c r="A1932" s="1"/>
      <c r="B1932" s="1" t="s">
        <v>1712</v>
      </c>
      <c r="C1932" s="55" t="s">
        <v>265</v>
      </c>
      <c r="D1932" s="42">
        <v>0</v>
      </c>
      <c r="E1932" s="43">
        <v>0</v>
      </c>
      <c r="F1932" s="73">
        <v>0</v>
      </c>
      <c r="G1932" s="73">
        <v>0</v>
      </c>
      <c r="H1932" s="68">
        <v>858</v>
      </c>
      <c r="I1932" s="74"/>
      <c r="J1932" s="75" t="s">
        <v>16</v>
      </c>
      <c r="K1932" s="76" t="s">
        <v>16</v>
      </c>
      <c r="L1932" s="83">
        <v>0</v>
      </c>
      <c r="M1932" s="50">
        <v>2450</v>
      </c>
      <c r="N1932" s="53" t="s">
        <v>16</v>
      </c>
      <c r="O1932" s="52">
        <v>0</v>
      </c>
      <c r="P1932" s="53">
        <v>0</v>
      </c>
      <c r="Q1932" s="54">
        <v>0</v>
      </c>
      <c r="R1932" s="1"/>
      <c r="S1932" s="1"/>
      <c r="T1932" s="1"/>
    </row>
    <row r="1933" spans="1:20" ht="13.5" customHeight="1" x14ac:dyDescent="0.25">
      <c r="A1933" s="1"/>
      <c r="B1933" s="1" t="s">
        <v>1713</v>
      </c>
      <c r="C1933" s="1" t="s">
        <v>438</v>
      </c>
      <c r="D1933" s="42">
        <v>200</v>
      </c>
      <c r="E1933" s="43">
        <v>0</v>
      </c>
      <c r="F1933" s="45">
        <v>200</v>
      </c>
      <c r="G1933" s="45">
        <v>200</v>
      </c>
      <c r="H1933" s="68">
        <v>0</v>
      </c>
      <c r="I1933" s="47">
        <f t="shared" ref="I1933:I1934" si="836">H1933/J1933</f>
        <v>0</v>
      </c>
      <c r="J1933" s="48">
        <v>200</v>
      </c>
      <c r="K1933" s="49">
        <v>200</v>
      </c>
      <c r="L1933" s="50">
        <v>339.99</v>
      </c>
      <c r="M1933" s="83">
        <v>0</v>
      </c>
      <c r="N1933" s="51">
        <v>80.09</v>
      </c>
      <c r="O1933" s="52">
        <v>0</v>
      </c>
      <c r="P1933" s="53">
        <v>0</v>
      </c>
      <c r="Q1933" s="54">
        <v>0</v>
      </c>
      <c r="R1933" s="1"/>
      <c r="S1933" s="1"/>
      <c r="T1933" s="1"/>
    </row>
    <row r="1934" spans="1:20" ht="13.5" customHeight="1" x14ac:dyDescent="0.25">
      <c r="A1934" s="1"/>
      <c r="B1934" s="1" t="s">
        <v>1714</v>
      </c>
      <c r="C1934" s="1" t="s">
        <v>1715</v>
      </c>
      <c r="D1934" s="42">
        <v>500</v>
      </c>
      <c r="E1934" s="70">
        <v>449.97</v>
      </c>
      <c r="F1934" s="45">
        <v>500</v>
      </c>
      <c r="G1934" s="45">
        <v>500</v>
      </c>
      <c r="H1934" s="74">
        <v>0</v>
      </c>
      <c r="I1934" s="47">
        <f t="shared" si="836"/>
        <v>0</v>
      </c>
      <c r="J1934" s="48">
        <v>500</v>
      </c>
      <c r="K1934" s="49">
        <v>500</v>
      </c>
      <c r="L1934" s="77">
        <v>0</v>
      </c>
      <c r="M1934" s="50">
        <v>205.44</v>
      </c>
      <c r="N1934" s="51">
        <v>285.79000000000002</v>
      </c>
      <c r="O1934" s="52">
        <v>0</v>
      </c>
      <c r="P1934" s="53">
        <v>476.55</v>
      </c>
      <c r="Q1934" s="54">
        <v>166.1</v>
      </c>
      <c r="R1934" s="1"/>
      <c r="S1934" s="1"/>
      <c r="T1934" s="1"/>
    </row>
    <row r="1935" spans="1:20" ht="13.5" customHeight="1" x14ac:dyDescent="0.25">
      <c r="A1935" s="1"/>
      <c r="B1935" s="1" t="s">
        <v>1716</v>
      </c>
      <c r="C1935" s="1" t="s">
        <v>267</v>
      </c>
      <c r="D1935" s="42">
        <v>0</v>
      </c>
      <c r="E1935" s="70">
        <v>69.23</v>
      </c>
      <c r="F1935" s="73">
        <v>0</v>
      </c>
      <c r="G1935" s="73">
        <v>0</v>
      </c>
      <c r="H1935" s="68">
        <v>937.97</v>
      </c>
      <c r="I1935" s="183">
        <v>0</v>
      </c>
      <c r="J1935" s="75">
        <v>0</v>
      </c>
      <c r="K1935" s="76">
        <v>0</v>
      </c>
      <c r="L1935" s="50">
        <v>1119.81</v>
      </c>
      <c r="M1935" s="50">
        <v>1103.23</v>
      </c>
      <c r="N1935" s="53" t="s">
        <v>16</v>
      </c>
      <c r="O1935" s="52">
        <v>0</v>
      </c>
      <c r="P1935" s="53">
        <v>220.8</v>
      </c>
      <c r="Q1935" s="54">
        <v>275</v>
      </c>
      <c r="R1935" s="1"/>
      <c r="S1935" s="1"/>
      <c r="T1935" s="1"/>
    </row>
    <row r="1936" spans="1:20" ht="13.5" customHeight="1" x14ac:dyDescent="0.25">
      <c r="A1936" s="1"/>
      <c r="B1936" s="1"/>
      <c r="C1936" s="1"/>
      <c r="D1936" s="88">
        <v>6950</v>
      </c>
      <c r="E1936" s="89">
        <f t="shared" ref="E1936" si="837">SUM(E1929:E1935)</f>
        <v>1145.9000000000001</v>
      </c>
      <c r="F1936" s="90">
        <f>SUM(F1928:F1935)</f>
        <v>6950</v>
      </c>
      <c r="G1936" s="90">
        <v>6950</v>
      </c>
      <c r="H1936" s="91">
        <f>SUM(H1929:H1935)</f>
        <v>4527.18</v>
      </c>
      <c r="I1936" s="91"/>
      <c r="J1936" s="92">
        <f t="shared" ref="J1936:Q1936" si="838">SUM(J1929:J1935)</f>
        <v>6950</v>
      </c>
      <c r="K1936" s="93">
        <f t="shared" si="838"/>
        <v>6950</v>
      </c>
      <c r="L1936" s="94">
        <f t="shared" si="838"/>
        <v>5513.41</v>
      </c>
      <c r="M1936" s="94">
        <f t="shared" si="838"/>
        <v>7755.4</v>
      </c>
      <c r="N1936" s="95">
        <f t="shared" si="838"/>
        <v>5897.27</v>
      </c>
      <c r="O1936" s="96">
        <f t="shared" si="838"/>
        <v>5766.0300000000007</v>
      </c>
      <c r="P1936" s="95">
        <f t="shared" si="838"/>
        <v>6082.08</v>
      </c>
      <c r="Q1936" s="97">
        <f t="shared" si="838"/>
        <v>4306.7700000000004</v>
      </c>
      <c r="R1936" s="1"/>
      <c r="S1936" s="1"/>
      <c r="T1936" s="1"/>
    </row>
    <row r="1937" spans="1:20" ht="13.5" customHeight="1" x14ac:dyDescent="0.25">
      <c r="A1937" s="1"/>
      <c r="B1937" s="1"/>
      <c r="C1937" s="1"/>
      <c r="D1937" s="72"/>
      <c r="E1937" s="67"/>
      <c r="F1937" s="73"/>
      <c r="G1937" s="73"/>
      <c r="H1937" s="74"/>
      <c r="I1937" s="74"/>
      <c r="J1937" s="75"/>
      <c r="K1937" s="76"/>
      <c r="L1937" s="50"/>
      <c r="M1937" s="50"/>
      <c r="N1937" s="53"/>
      <c r="O1937" s="52"/>
      <c r="P1937" s="53"/>
      <c r="Q1937" s="54"/>
      <c r="R1937" s="1"/>
      <c r="S1937" s="1"/>
      <c r="T1937" s="1"/>
    </row>
    <row r="1938" spans="1:20" ht="13.5" customHeight="1" x14ac:dyDescent="0.25">
      <c r="A1938" s="1"/>
      <c r="B1938" s="1" t="s">
        <v>1717</v>
      </c>
      <c r="C1938" s="55" t="s">
        <v>273</v>
      </c>
      <c r="D1938" s="42">
        <v>6900</v>
      </c>
      <c r="E1938" s="43">
        <v>2113.81</v>
      </c>
      <c r="F1938" s="45">
        <v>6900</v>
      </c>
      <c r="G1938" s="45">
        <v>6900</v>
      </c>
      <c r="H1938" s="46">
        <v>6412.96</v>
      </c>
      <c r="I1938" s="47">
        <f t="shared" ref="I1938:I1941" si="839">H1938/J1938</f>
        <v>0.93619854014598536</v>
      </c>
      <c r="J1938" s="48">
        <v>6850</v>
      </c>
      <c r="K1938" s="49">
        <v>6900</v>
      </c>
      <c r="L1938" s="50">
        <v>3176.18</v>
      </c>
      <c r="M1938" s="50">
        <v>2277.54</v>
      </c>
      <c r="N1938" s="51">
        <v>1983.43</v>
      </c>
      <c r="O1938" s="52">
        <v>2833.36</v>
      </c>
      <c r="P1938" s="53">
        <v>4405.3100000000004</v>
      </c>
      <c r="Q1938" s="54">
        <v>2979.8</v>
      </c>
      <c r="R1938" s="1"/>
      <c r="S1938" s="1"/>
      <c r="T1938" s="1"/>
    </row>
    <row r="1939" spans="1:20" ht="13.5" customHeight="1" x14ac:dyDescent="0.25">
      <c r="A1939" s="1"/>
      <c r="B1939" s="1" t="s">
        <v>1718</v>
      </c>
      <c r="C1939" s="1" t="s">
        <v>275</v>
      </c>
      <c r="D1939" s="42">
        <v>3600</v>
      </c>
      <c r="E1939" s="43">
        <v>621.76</v>
      </c>
      <c r="F1939" s="45">
        <v>3600</v>
      </c>
      <c r="G1939" s="45">
        <v>3600</v>
      </c>
      <c r="H1939" s="46">
        <v>2925.67</v>
      </c>
      <c r="I1939" s="47">
        <f t="shared" si="839"/>
        <v>0.81268611111111111</v>
      </c>
      <c r="J1939" s="48">
        <v>3600</v>
      </c>
      <c r="K1939" s="49">
        <v>3600</v>
      </c>
      <c r="L1939" s="50">
        <v>2807.79</v>
      </c>
      <c r="M1939" s="50">
        <v>4775.9799999999996</v>
      </c>
      <c r="N1939" s="51">
        <v>4829.25</v>
      </c>
      <c r="O1939" s="52">
        <v>3789.04</v>
      </c>
      <c r="P1939" s="53">
        <v>3058.52</v>
      </c>
      <c r="Q1939" s="54">
        <v>2568.0700000000002</v>
      </c>
      <c r="R1939" s="1"/>
      <c r="S1939" s="1"/>
      <c r="T1939" s="1"/>
    </row>
    <row r="1940" spans="1:20" ht="13.5" customHeight="1" x14ac:dyDescent="0.25">
      <c r="A1940" s="1"/>
      <c r="B1940" s="1" t="s">
        <v>1719</v>
      </c>
      <c r="C1940" s="1" t="s">
        <v>482</v>
      </c>
      <c r="D1940" s="42">
        <v>500</v>
      </c>
      <c r="E1940" s="43">
        <v>200</v>
      </c>
      <c r="F1940" s="45">
        <v>500</v>
      </c>
      <c r="G1940" s="45">
        <v>500</v>
      </c>
      <c r="H1940" s="46">
        <v>350</v>
      </c>
      <c r="I1940" s="47">
        <f t="shared" si="839"/>
        <v>0.63636363636363635</v>
      </c>
      <c r="J1940" s="48">
        <v>550</v>
      </c>
      <c r="K1940" s="49">
        <v>500</v>
      </c>
      <c r="L1940" s="50">
        <v>525</v>
      </c>
      <c r="M1940" s="50">
        <v>250</v>
      </c>
      <c r="N1940" s="51">
        <v>580</v>
      </c>
      <c r="O1940" s="52">
        <v>200</v>
      </c>
      <c r="P1940" s="53">
        <v>145</v>
      </c>
      <c r="Q1940" s="54">
        <v>0</v>
      </c>
      <c r="R1940" s="1"/>
      <c r="S1940" s="1"/>
      <c r="T1940" s="1"/>
    </row>
    <row r="1941" spans="1:20" ht="13.5" customHeight="1" x14ac:dyDescent="0.25">
      <c r="A1941" s="1"/>
      <c r="B1941" s="1" t="s">
        <v>1720</v>
      </c>
      <c r="C1941" s="1" t="s">
        <v>281</v>
      </c>
      <c r="D1941" s="42">
        <v>6750</v>
      </c>
      <c r="E1941" s="43">
        <v>2210.7600000000002</v>
      </c>
      <c r="F1941" s="45">
        <v>6750</v>
      </c>
      <c r="G1941" s="45">
        <v>6750</v>
      </c>
      <c r="H1941" s="46">
        <v>5092.01</v>
      </c>
      <c r="I1941" s="47">
        <f t="shared" si="839"/>
        <v>0.75437185185185185</v>
      </c>
      <c r="J1941" s="48">
        <v>6750</v>
      </c>
      <c r="K1941" s="49">
        <v>6750</v>
      </c>
      <c r="L1941" s="50">
        <v>4957.55</v>
      </c>
      <c r="M1941" s="50">
        <v>5861.49</v>
      </c>
      <c r="N1941" s="51">
        <v>6056.34</v>
      </c>
      <c r="O1941" s="52">
        <v>5837.25</v>
      </c>
      <c r="P1941" s="53">
        <v>5488.83</v>
      </c>
      <c r="Q1941" s="54">
        <v>5552.48</v>
      </c>
      <c r="R1941" s="1"/>
      <c r="S1941" s="1"/>
      <c r="T1941" s="1"/>
    </row>
    <row r="1942" spans="1:20" ht="13.5" customHeight="1" x14ac:dyDescent="0.25">
      <c r="A1942" s="1"/>
      <c r="B1942" s="1"/>
      <c r="C1942" s="1"/>
      <c r="D1942" s="56">
        <v>17750</v>
      </c>
      <c r="E1942" s="57">
        <f t="shared" ref="E1942" si="840">SUM(E1938:E1941)</f>
        <v>5146.33</v>
      </c>
      <c r="F1942" s="58">
        <f>SUM(F1937:F1941)</f>
        <v>17750</v>
      </c>
      <c r="G1942" s="58">
        <v>17750</v>
      </c>
      <c r="H1942" s="59">
        <f>SUM(H1938:H1941)</f>
        <v>14780.640000000001</v>
      </c>
      <c r="I1942" s="59"/>
      <c r="J1942" s="60">
        <f t="shared" ref="J1942:Q1942" si="841">SUM(J1938:J1941)</f>
        <v>17750</v>
      </c>
      <c r="K1942" s="61">
        <f t="shared" si="841"/>
        <v>17750</v>
      </c>
      <c r="L1942" s="62">
        <f t="shared" si="841"/>
        <v>11466.52</v>
      </c>
      <c r="M1942" s="62">
        <f t="shared" si="841"/>
        <v>13165.009999999998</v>
      </c>
      <c r="N1942" s="63">
        <f t="shared" si="841"/>
        <v>13449.02</v>
      </c>
      <c r="O1942" s="64">
        <f t="shared" si="841"/>
        <v>12659.65</v>
      </c>
      <c r="P1942" s="63">
        <f t="shared" si="841"/>
        <v>13097.66</v>
      </c>
      <c r="Q1942" s="65">
        <f t="shared" si="841"/>
        <v>11100.35</v>
      </c>
      <c r="R1942" s="1"/>
      <c r="S1942" s="1"/>
      <c r="T1942" s="1"/>
    </row>
    <row r="1943" spans="1:20" ht="13.5" customHeight="1" thickBot="1" x14ac:dyDescent="0.3">
      <c r="A1943" s="1"/>
      <c r="B1943" s="1"/>
      <c r="C1943" s="116" t="s">
        <v>1721</v>
      </c>
      <c r="D1943" s="267">
        <v>204182.5392</v>
      </c>
      <c r="E1943" s="173">
        <f t="shared" ref="E1943" si="842">SUM(E1919+E1927+E1936+E1942)</f>
        <v>89267.8</v>
      </c>
      <c r="F1943" s="174">
        <f>SUM(F1919,F1927,F1936,F1942)</f>
        <v>205728.34229999999</v>
      </c>
      <c r="G1943" s="174">
        <v>205728.34229999999</v>
      </c>
      <c r="H1943" s="175">
        <f>SUM(H1919+H1927+H1936+H1942)</f>
        <v>174738.31</v>
      </c>
      <c r="I1943" s="175"/>
      <c r="J1943" s="176">
        <f t="shared" ref="J1943:Q1943" si="843">SUM(J1919+J1927+J1936+J1942)</f>
        <v>199612</v>
      </c>
      <c r="K1943" s="177">
        <f t="shared" si="843"/>
        <v>199612</v>
      </c>
      <c r="L1943" s="178">
        <f t="shared" si="843"/>
        <v>188198.34999999998</v>
      </c>
      <c r="M1943" s="178">
        <f t="shared" si="843"/>
        <v>174316.07</v>
      </c>
      <c r="N1943" s="179">
        <f t="shared" si="843"/>
        <v>173231.26</v>
      </c>
      <c r="O1943" s="180">
        <f t="shared" si="843"/>
        <v>182410.31</v>
      </c>
      <c r="P1943" s="179">
        <f t="shared" si="843"/>
        <v>174469.92</v>
      </c>
      <c r="Q1943" s="181">
        <f t="shared" si="843"/>
        <v>168234.12</v>
      </c>
      <c r="R1943" s="1"/>
      <c r="S1943" s="1"/>
      <c r="T1943" s="1"/>
    </row>
    <row r="1944" spans="1:20" ht="13.5" customHeight="1" thickTop="1" x14ac:dyDescent="0.25">
      <c r="A1944" s="1"/>
      <c r="B1944" s="1"/>
      <c r="C1944" s="1"/>
      <c r="D1944" s="42"/>
      <c r="E1944" s="44"/>
      <c r="F1944" s="45"/>
      <c r="G1944" s="45"/>
      <c r="H1944" s="66"/>
      <c r="I1944" s="66"/>
      <c r="J1944" s="48"/>
      <c r="K1944" s="49"/>
      <c r="L1944" s="50"/>
      <c r="M1944" s="50"/>
      <c r="N1944" s="51"/>
      <c r="O1944" s="52"/>
      <c r="P1944" s="53"/>
      <c r="Q1944" s="54"/>
      <c r="R1944" s="1"/>
      <c r="S1944" s="1"/>
      <c r="T1944" s="1"/>
    </row>
    <row r="1945" spans="1:20" ht="13.5" customHeight="1" x14ac:dyDescent="0.25">
      <c r="A1945" s="1"/>
      <c r="B1945" s="1"/>
      <c r="C1945" s="41" t="s">
        <v>1722</v>
      </c>
      <c r="D1945" s="42"/>
      <c r="E1945" s="44"/>
      <c r="F1945" s="45"/>
      <c r="G1945" s="45"/>
      <c r="H1945" s="66"/>
      <c r="I1945" s="66"/>
      <c r="J1945" s="48"/>
      <c r="K1945" s="49"/>
      <c r="L1945" s="50"/>
      <c r="M1945" s="50"/>
      <c r="N1945" s="51"/>
      <c r="O1945" s="52"/>
      <c r="P1945" s="53"/>
      <c r="Q1945" s="54"/>
      <c r="R1945" s="1"/>
      <c r="S1945" s="1"/>
      <c r="T1945" s="1"/>
    </row>
    <row r="1946" spans="1:20" ht="13.5" customHeight="1" x14ac:dyDescent="0.25">
      <c r="A1946" s="1"/>
      <c r="B1946" s="1" t="s">
        <v>1723</v>
      </c>
      <c r="C1946" s="1" t="s">
        <v>259</v>
      </c>
      <c r="D1946" s="42">
        <v>500</v>
      </c>
      <c r="E1946" s="43">
        <v>0</v>
      </c>
      <c r="F1946" s="45">
        <v>500</v>
      </c>
      <c r="G1946" s="45">
        <v>500</v>
      </c>
      <c r="H1946" s="74">
        <v>0</v>
      </c>
      <c r="I1946" s="47">
        <f>H1946/J1946</f>
        <v>0</v>
      </c>
      <c r="J1946" s="48">
        <v>500</v>
      </c>
      <c r="K1946" s="49">
        <v>500</v>
      </c>
      <c r="L1946" s="77">
        <v>0</v>
      </c>
      <c r="M1946" s="50">
        <v>303.08999999999997</v>
      </c>
      <c r="N1946" s="51">
        <v>1575.32</v>
      </c>
      <c r="O1946" s="52">
        <v>1322.53</v>
      </c>
      <c r="P1946" s="53">
        <v>0</v>
      </c>
      <c r="Q1946" s="54">
        <v>0</v>
      </c>
      <c r="R1946" s="1"/>
      <c r="S1946" s="1"/>
      <c r="T1946" s="1"/>
    </row>
    <row r="1947" spans="1:20" ht="13.5" customHeight="1" x14ac:dyDescent="0.25">
      <c r="A1947" s="1"/>
      <c r="B1947" s="1" t="s">
        <v>1724</v>
      </c>
      <c r="C1947" s="1" t="s">
        <v>1525</v>
      </c>
      <c r="D1947" s="42">
        <v>0</v>
      </c>
      <c r="E1947" s="43">
        <v>152</v>
      </c>
      <c r="F1947" s="73">
        <v>0</v>
      </c>
      <c r="G1947" s="73">
        <v>0</v>
      </c>
      <c r="H1947" s="46">
        <v>1665.28</v>
      </c>
      <c r="I1947" s="183">
        <v>0</v>
      </c>
      <c r="J1947" s="75">
        <v>0</v>
      </c>
      <c r="K1947" s="76">
        <v>0</v>
      </c>
      <c r="L1947" s="50">
        <v>2005.16</v>
      </c>
      <c r="M1947" s="50">
        <v>1572.36</v>
      </c>
      <c r="N1947" s="53">
        <v>0</v>
      </c>
      <c r="O1947" s="52">
        <v>3219.23</v>
      </c>
      <c r="P1947" s="53">
        <v>0</v>
      </c>
      <c r="Q1947" s="54">
        <v>0</v>
      </c>
      <c r="R1947" s="1"/>
      <c r="S1947" s="1"/>
      <c r="T1947" s="1"/>
    </row>
    <row r="1948" spans="1:20" ht="13.5" customHeight="1" x14ac:dyDescent="0.25">
      <c r="A1948" s="1"/>
      <c r="B1948" s="1" t="s">
        <v>1725</v>
      </c>
      <c r="C1948" s="1" t="s">
        <v>1726</v>
      </c>
      <c r="D1948" s="42">
        <v>3300</v>
      </c>
      <c r="E1948" s="43">
        <v>0</v>
      </c>
      <c r="F1948" s="45">
        <v>3300</v>
      </c>
      <c r="G1948" s="45">
        <v>3300</v>
      </c>
      <c r="H1948" s="46">
        <v>1661.79</v>
      </c>
      <c r="I1948" s="47">
        <f t="shared" ref="I1948:I1949" si="844">H1948/J1948</f>
        <v>0.50357272727272728</v>
      </c>
      <c r="J1948" s="48">
        <v>3300</v>
      </c>
      <c r="K1948" s="49">
        <v>3300</v>
      </c>
      <c r="L1948" s="50">
        <v>2134.36</v>
      </c>
      <c r="M1948" s="50">
        <v>855</v>
      </c>
      <c r="N1948" s="51">
        <v>527.73</v>
      </c>
      <c r="O1948" s="52">
        <v>4541.76</v>
      </c>
      <c r="P1948" s="53">
        <v>0</v>
      </c>
      <c r="Q1948" s="54">
        <v>0</v>
      </c>
      <c r="R1948" s="1"/>
      <c r="S1948" s="1"/>
      <c r="T1948" s="1"/>
    </row>
    <row r="1949" spans="1:20" ht="13.5" customHeight="1" x14ac:dyDescent="0.25">
      <c r="A1949" s="1"/>
      <c r="B1949" s="1" t="s">
        <v>1727</v>
      </c>
      <c r="C1949" s="1" t="s">
        <v>275</v>
      </c>
      <c r="D1949" s="42">
        <v>500</v>
      </c>
      <c r="E1949" s="43">
        <v>694.55</v>
      </c>
      <c r="F1949" s="45">
        <v>500</v>
      </c>
      <c r="G1949" s="45">
        <v>500</v>
      </c>
      <c r="H1949" s="66">
        <v>196.62</v>
      </c>
      <c r="I1949" s="47">
        <f t="shared" si="844"/>
        <v>0.39324000000000003</v>
      </c>
      <c r="J1949" s="48">
        <v>500</v>
      </c>
      <c r="K1949" s="49">
        <v>500</v>
      </c>
      <c r="L1949" s="50">
        <v>78.260000000000005</v>
      </c>
      <c r="M1949" s="50">
        <v>95.37</v>
      </c>
      <c r="N1949" s="51">
        <v>420.24</v>
      </c>
      <c r="O1949" s="52">
        <v>364.25</v>
      </c>
      <c r="P1949" s="53">
        <v>0</v>
      </c>
      <c r="Q1949" s="54">
        <v>0</v>
      </c>
      <c r="R1949" s="1"/>
      <c r="S1949" s="1"/>
      <c r="T1949" s="1"/>
    </row>
    <row r="1950" spans="1:20" ht="13.5" customHeight="1" thickBot="1" x14ac:dyDescent="0.3">
      <c r="A1950" s="1"/>
      <c r="B1950" s="1"/>
      <c r="C1950" s="116" t="s">
        <v>1728</v>
      </c>
      <c r="D1950" s="267">
        <v>4300</v>
      </c>
      <c r="E1950" s="173">
        <f t="shared" ref="E1950" si="845">SUM(E1946:E1949)</f>
        <v>846.55</v>
      </c>
      <c r="F1950" s="174">
        <f>SUM(F1945:F1949)</f>
        <v>4300</v>
      </c>
      <c r="G1950" s="174">
        <v>4300</v>
      </c>
      <c r="H1950" s="175">
        <f>SUM(H1946:H1949)</f>
        <v>3523.6899999999996</v>
      </c>
      <c r="I1950" s="175"/>
      <c r="J1950" s="176">
        <f t="shared" ref="J1950:Q1950" si="846">SUM(J1946:J1949)</f>
        <v>4300</v>
      </c>
      <c r="K1950" s="177">
        <f t="shared" si="846"/>
        <v>4300</v>
      </c>
      <c r="L1950" s="178">
        <f t="shared" si="846"/>
        <v>4217.7800000000007</v>
      </c>
      <c r="M1950" s="178">
        <f t="shared" si="846"/>
        <v>2825.8199999999997</v>
      </c>
      <c r="N1950" s="179">
        <f t="shared" si="846"/>
        <v>2523.29</v>
      </c>
      <c r="O1950" s="180">
        <f t="shared" si="846"/>
        <v>9447.77</v>
      </c>
      <c r="P1950" s="179">
        <f t="shared" si="846"/>
        <v>0</v>
      </c>
      <c r="Q1950" s="181">
        <f t="shared" si="846"/>
        <v>0</v>
      </c>
      <c r="R1950" s="1"/>
      <c r="S1950" s="1"/>
      <c r="T1950" s="1"/>
    </row>
    <row r="1951" spans="1:20" ht="13.5" customHeight="1" thickTop="1" x14ac:dyDescent="0.25">
      <c r="A1951" s="1"/>
      <c r="B1951" s="1"/>
      <c r="C1951" s="1"/>
      <c r="D1951" s="42"/>
      <c r="E1951" s="44"/>
      <c r="F1951" s="45"/>
      <c r="G1951" s="45"/>
      <c r="H1951" s="66"/>
      <c r="I1951" s="66"/>
      <c r="J1951" s="48"/>
      <c r="K1951" s="49"/>
      <c r="L1951" s="50"/>
      <c r="M1951" s="50"/>
      <c r="N1951" s="51"/>
      <c r="O1951" s="52"/>
      <c r="P1951" s="53"/>
      <c r="Q1951" s="54"/>
      <c r="R1951" s="1"/>
      <c r="S1951" s="1"/>
      <c r="T1951" s="1"/>
    </row>
    <row r="1952" spans="1:20" ht="13.5" customHeight="1" thickBot="1" x14ac:dyDescent="0.3">
      <c r="A1952" s="250"/>
      <c r="B1952" s="250"/>
      <c r="C1952" s="250" t="s">
        <v>1729</v>
      </c>
      <c r="D1952" s="252">
        <v>34998970.114412002</v>
      </c>
      <c r="E1952" s="253">
        <f t="shared" ref="E1952" si="847">SUM(E170+E241+E247+E266+E301+E308+E353+E418+E454+E462+E488+E517+E546+E578+E584+E616+E621+E652+E679+E708+E736+E765+E785+E805+E818+E832+E847+E861+E899+E936+E977+E1009+E1044+E1072+E1102+E1128+E1161+E1196+E1200+E1219+E1235+E1253+E1267+E1277+E1289+E1297+E1310+E1317+E1331+E1340+E1349+E1355+E1389+E1419+E1448+E1475+E1507+E1511+E1515+E1519+E1524+E1528+E1532+E1598+E1603+E1610+E1614+E1655+E1671+E1711+E1771+E1813+E1837+E1862+E1887+E1891+E1914+E1943+E1950)</f>
        <v>16486653.300000004</v>
      </c>
      <c r="F1952" s="254">
        <f>SUM(F170+F241+F247+F266+F301+F308+F353+F384+F418+F454+F462+F488+F517+F546+F578+F584+F616+F621+F652+F679+F708+F736+F765+F785+F805+F818+F832+F847+F861+F899+F936+F977+F1009+F1044+F1072+F1102+F1128+F1161+F1196+F1200+F1219+F1235+F1253+F1267+F1277+F1289+F1297+F1310+F1317+F1331+F1340+F1349+F1355+F1389+F1419+F1448+F1475+F1507+F1511+F1515+F1519+F1524+F1528+F1532+F1598+F1603+F1610+F1614+F1655+F1671+F1711+F1771+F1813+F1837+F1862+F1887+F1891+F1914+F1943+F1950)</f>
        <v>33572024.982842661</v>
      </c>
      <c r="G1952" s="254">
        <f>SUM(G170+G241+G247+G266+G301+G308+G353+G418+G454+G462+G488+G517+G546+G578+G584+G616+G621+G652+G679+G708+G736+G765+G785+G805+G818+G832+G847+G861+G899+G936+G977+G1009+G1044+G1072+G1102+G1128+G1161+G1196+G1200+G1219+G1235+G1253+G1267+G1277+G1289+G1297+G1310+G1317+G1331+G1340+G1349+G1355+G1389+G1419+G1448+G1475+G1507+G1511+G1515+G1519+G1524+G1528+G1532+G1598+G1603+G1610+G1614+G1655+G1671+G1711+G1771+G1813+G1837+G1862+G1887+G1891+G1914+G1943+G1950)</f>
        <v>33569842.156942658</v>
      </c>
      <c r="H1952" s="255">
        <f>SUM(H170+H241+H247+H266+H301+H308+H353+H384+H418+H454+H462+H488+H517+H546+H578+H584+H616+H621+H652+H679+H708+H736+H765+H770+H785+H805+H818+H832+H847+H861+H899+H936+H977+H1009+H1044+H1072+H1102+H1128+H1161+H1196+H1200+H1219+H1235+H1253+H1267+H1277+H1289+H1297+H1310+H1317+H1331+H1340+H1349+H1355+H1389+H1419+H1448+H1475+H1507+H1511+H1515+H1519+H1524+H1528+H1532+H1598+H1603+H1610+H1614+H1655+H1671+H1711+H1771+H1813+H1837+H1862+H1887+H1891+H1914+H1943+H1950)</f>
        <v>31361172.960000005</v>
      </c>
      <c r="I1952" s="255"/>
      <c r="J1952" s="256">
        <f t="shared" ref="J1952:Q1952" si="848">SUM(J170+J241+J247+J266+J301+J308+J353+J418+J454+J462+J488+J517+J546+J578+J584+J616+J621+J652+J679+J708+J736+J765+J785+J805+J818+J832+J847+J861+J899+J936+J977+J1009+J1044+J1072+J1102+J1128+J1161+J1196+J1219+J1235+J1253+J1267+J1277+J1289+J1297+J1310+J1317+J1331+J1340+J1349+J1355+J1389+J1419+J1448+J1475+J1507+J1511+J1515+J1519+J1524+J1528+J1532+J1598+J1603+J1610+J1655+J1671+J1711+J1771+J1813+J1837+J1862+J1887+J1891+J1914+J1943+J1950)</f>
        <v>32731912.5</v>
      </c>
      <c r="K1952" s="257">
        <f t="shared" si="848"/>
        <v>32723047</v>
      </c>
      <c r="L1952" s="258">
        <f t="shared" si="848"/>
        <v>27366688.289999999</v>
      </c>
      <c r="M1952" s="258">
        <f t="shared" si="848"/>
        <v>26588203.760000009</v>
      </c>
      <c r="N1952" s="259">
        <f t="shared" si="848"/>
        <v>25623836.020000003</v>
      </c>
      <c r="O1952" s="260">
        <f t="shared" si="848"/>
        <v>25271831.98</v>
      </c>
      <c r="P1952" s="259">
        <f t="shared" si="848"/>
        <v>25096965.200000003</v>
      </c>
      <c r="Q1952" s="261">
        <f t="shared" si="848"/>
        <v>23818762.470000014</v>
      </c>
      <c r="R1952" s="41"/>
      <c r="S1952" s="41"/>
      <c r="T1952" s="41"/>
    </row>
    <row r="1953" spans="1:20" ht="13.5" customHeight="1" thickTop="1" x14ac:dyDescent="0.25">
      <c r="A1953" s="78"/>
      <c r="B1953" s="78"/>
      <c r="C1953" s="78"/>
      <c r="D1953" s="42"/>
      <c r="E1953" s="44" t="e">
        <f>SUM(G1952-#REF!)</f>
        <v>#REF!</v>
      </c>
      <c r="F1953" s="45">
        <f>SUM(G1952-F1952)</f>
        <v>-2182.825900003314</v>
      </c>
      <c r="G1953" s="71">
        <v>33593824.109999999</v>
      </c>
      <c r="H1953" s="66"/>
      <c r="I1953" s="66"/>
      <c r="J1953" s="48"/>
      <c r="K1953" s="49"/>
      <c r="L1953" s="50"/>
      <c r="M1953" s="50"/>
      <c r="N1953" s="51"/>
      <c r="O1953" s="52"/>
      <c r="P1953" s="53"/>
      <c r="Q1953" s="54"/>
      <c r="R1953" s="1"/>
      <c r="S1953" s="1"/>
      <c r="T1953" s="1"/>
    </row>
    <row r="1954" spans="1:20" ht="17.25" customHeight="1" x14ac:dyDescent="0.25">
      <c r="A1954" s="1"/>
      <c r="B1954" s="262" t="s">
        <v>1730</v>
      </c>
      <c r="C1954" s="262"/>
      <c r="D1954" s="42"/>
      <c r="E1954" s="44"/>
      <c r="F1954" s="45"/>
      <c r="G1954" s="45"/>
      <c r="H1954" s="66"/>
      <c r="I1954" s="66"/>
      <c r="J1954" s="48"/>
      <c r="K1954" s="49"/>
      <c r="L1954" s="50"/>
      <c r="M1954" s="50"/>
      <c r="N1954" s="51"/>
      <c r="O1954" s="52"/>
      <c r="P1954" s="53"/>
      <c r="Q1954" s="54"/>
      <c r="R1954" s="1"/>
      <c r="S1954" s="1"/>
      <c r="T1954" s="1"/>
    </row>
    <row r="1955" spans="1:20" ht="13.5" customHeight="1" x14ac:dyDescent="0.25">
      <c r="A1955" s="1"/>
      <c r="B1955" s="262"/>
      <c r="C1955" s="262"/>
      <c r="D1955" s="42"/>
      <c r="E1955" s="44"/>
      <c r="F1955" s="45"/>
      <c r="G1955" s="45"/>
      <c r="H1955" s="66"/>
      <c r="I1955" s="66"/>
      <c r="J1955" s="48"/>
      <c r="K1955" s="49"/>
      <c r="L1955" s="50"/>
      <c r="M1955" s="50"/>
      <c r="N1955" s="51"/>
      <c r="O1955" s="52"/>
      <c r="P1955" s="53"/>
      <c r="Q1955" s="54"/>
      <c r="R1955" s="1"/>
      <c r="S1955" s="1"/>
      <c r="T1955" s="1"/>
    </row>
    <row r="1956" spans="1:20" ht="13.5" customHeight="1" x14ac:dyDescent="0.25">
      <c r="A1956" s="41" t="s">
        <v>17</v>
      </c>
      <c r="B1956" s="116"/>
      <c r="C1956" s="1"/>
      <c r="D1956" s="42"/>
      <c r="E1956" s="44"/>
      <c r="F1956" s="45"/>
      <c r="G1956" s="45"/>
      <c r="H1956" s="66"/>
      <c r="I1956" s="66"/>
      <c r="J1956" s="48"/>
      <c r="K1956" s="49"/>
      <c r="L1956" s="50"/>
      <c r="M1956" s="50"/>
      <c r="N1956" s="51"/>
      <c r="O1956" s="39"/>
      <c r="P1956" s="1"/>
      <c r="Q1956" s="40"/>
      <c r="R1956" s="1"/>
      <c r="S1956" s="1"/>
      <c r="T1956" s="1"/>
    </row>
    <row r="1957" spans="1:20" ht="13.5" customHeight="1" x14ac:dyDescent="0.25">
      <c r="A1957" s="1"/>
      <c r="B1957" s="1" t="s">
        <v>1731</v>
      </c>
      <c r="C1957" s="1" t="s">
        <v>1732</v>
      </c>
      <c r="D1957" s="42">
        <v>-200000</v>
      </c>
      <c r="E1957" s="43">
        <v>-94169.73</v>
      </c>
      <c r="F1957" s="45">
        <v>-200000</v>
      </c>
      <c r="G1957" s="45">
        <v>-200000</v>
      </c>
      <c r="H1957" s="46">
        <v>-184597.41</v>
      </c>
      <c r="I1957" s="47">
        <f t="shared" ref="I1957:I1960" si="849">H1957/J1957</f>
        <v>0.92298705000000003</v>
      </c>
      <c r="J1957" s="48">
        <v>-200000</v>
      </c>
      <c r="K1957" s="49">
        <v>-200000</v>
      </c>
      <c r="L1957" s="50">
        <v>-183546.18</v>
      </c>
      <c r="M1957" s="50">
        <v>-207821.77</v>
      </c>
      <c r="N1957" s="51">
        <v>-209599.6</v>
      </c>
      <c r="O1957" s="52">
        <v>179391.01</v>
      </c>
      <c r="P1957" s="53">
        <v>169159.51</v>
      </c>
      <c r="Q1957" s="54">
        <v>94292.38</v>
      </c>
      <c r="R1957" s="1"/>
      <c r="S1957" s="1"/>
      <c r="T1957" s="1"/>
    </row>
    <row r="1958" spans="1:20" ht="13.5" customHeight="1" x14ac:dyDescent="0.25">
      <c r="A1958" s="1"/>
      <c r="B1958" s="1" t="s">
        <v>1733</v>
      </c>
      <c r="C1958" s="1" t="s">
        <v>1734</v>
      </c>
      <c r="D1958" s="42">
        <v>-25000</v>
      </c>
      <c r="E1958" s="43">
        <v>-15887.7</v>
      </c>
      <c r="F1958" s="45">
        <v>-25000</v>
      </c>
      <c r="G1958" s="45">
        <v>-25000</v>
      </c>
      <c r="H1958" s="46">
        <v>-33044.01</v>
      </c>
      <c r="I1958" s="47">
        <f t="shared" si="849"/>
        <v>1.3217604000000001</v>
      </c>
      <c r="J1958" s="48">
        <v>-25000</v>
      </c>
      <c r="K1958" s="49">
        <v>-25000</v>
      </c>
      <c r="L1958" s="50">
        <v>-30272.93</v>
      </c>
      <c r="M1958" s="50">
        <v>-20168.810000000001</v>
      </c>
      <c r="N1958" s="51">
        <v>-20453.96</v>
      </c>
      <c r="O1958" s="52">
        <v>25625.96</v>
      </c>
      <c r="P1958" s="53">
        <v>45845.45</v>
      </c>
      <c r="Q1958" s="54">
        <v>47431.65</v>
      </c>
      <c r="R1958" s="1"/>
      <c r="S1958" s="1"/>
      <c r="T1958" s="1"/>
    </row>
    <row r="1959" spans="1:20" ht="13.5" customHeight="1" x14ac:dyDescent="0.25">
      <c r="A1959" s="1"/>
      <c r="B1959" s="1" t="s">
        <v>1735</v>
      </c>
      <c r="C1959" s="1" t="s">
        <v>1736</v>
      </c>
      <c r="D1959" s="42">
        <v>-20000</v>
      </c>
      <c r="E1959" s="43">
        <v>-8213.36</v>
      </c>
      <c r="F1959" s="45">
        <v>-20000</v>
      </c>
      <c r="G1959" s="45">
        <v>-20000</v>
      </c>
      <c r="H1959" s="46">
        <v>-18385.34</v>
      </c>
      <c r="I1959" s="47">
        <f t="shared" si="849"/>
        <v>0.91926700000000006</v>
      </c>
      <c r="J1959" s="48">
        <v>-20000</v>
      </c>
      <c r="K1959" s="49">
        <v>-20000</v>
      </c>
      <c r="L1959" s="50">
        <v>-18682.3</v>
      </c>
      <c r="M1959" s="50">
        <v>-18664.27</v>
      </c>
      <c r="N1959" s="51">
        <v>-17975.11</v>
      </c>
      <c r="O1959" s="52">
        <v>17363.060000000001</v>
      </c>
      <c r="P1959" s="53">
        <v>12567.2</v>
      </c>
      <c r="Q1959" s="54">
        <v>10463.629999999999</v>
      </c>
      <c r="R1959" s="1"/>
      <c r="S1959" s="1"/>
      <c r="T1959" s="1"/>
    </row>
    <row r="1960" spans="1:20" ht="13.5" customHeight="1" x14ac:dyDescent="0.25">
      <c r="A1960" s="1"/>
      <c r="B1960" s="1" t="s">
        <v>1737</v>
      </c>
      <c r="C1960" s="1" t="s">
        <v>228</v>
      </c>
      <c r="D1960" s="42">
        <v>-55000</v>
      </c>
      <c r="E1960" s="43">
        <v>0</v>
      </c>
      <c r="F1960" s="45">
        <v>-55000</v>
      </c>
      <c r="G1960" s="45">
        <v>-55000</v>
      </c>
      <c r="H1960" s="74">
        <v>0</v>
      </c>
      <c r="I1960" s="47">
        <f t="shared" si="849"/>
        <v>0</v>
      </c>
      <c r="J1960" s="48">
        <v>-55000</v>
      </c>
      <c r="K1960" s="49">
        <v>-55000</v>
      </c>
      <c r="L1960" s="77">
        <v>0</v>
      </c>
      <c r="M1960" s="77">
        <v>0</v>
      </c>
      <c r="N1960" s="51">
        <v>200000</v>
      </c>
      <c r="O1960" s="52"/>
      <c r="P1960" s="53"/>
      <c r="Q1960" s="54"/>
      <c r="R1960" s="1"/>
      <c r="S1960" s="1"/>
      <c r="T1960" s="1"/>
    </row>
    <row r="1961" spans="1:20" ht="13.5" customHeight="1" thickBot="1" x14ac:dyDescent="0.3">
      <c r="A1961" s="1"/>
      <c r="B1961" s="1"/>
      <c r="C1961" s="116" t="s">
        <v>1738</v>
      </c>
      <c r="D1961" s="267">
        <v>-300000</v>
      </c>
      <c r="E1961" s="173">
        <f t="shared" ref="E1961" si="850">SUM(E1957:E1960)</f>
        <v>-118270.79</v>
      </c>
      <c r="F1961" s="174">
        <f>SUM(F1956:F1960)</f>
        <v>-300000</v>
      </c>
      <c r="G1961" s="174">
        <v>-300000</v>
      </c>
      <c r="H1961" s="175">
        <f>SUM(H1957:H1960)</f>
        <v>-236026.76</v>
      </c>
      <c r="I1961" s="175"/>
      <c r="J1961" s="176">
        <f t="shared" ref="J1961:Q1961" si="851">SUM(J1957:J1960)</f>
        <v>-300000</v>
      </c>
      <c r="K1961" s="177">
        <f t="shared" si="851"/>
        <v>-300000</v>
      </c>
      <c r="L1961" s="178">
        <f t="shared" si="851"/>
        <v>-232501.40999999997</v>
      </c>
      <c r="M1961" s="178">
        <f t="shared" si="851"/>
        <v>-246654.84999999998</v>
      </c>
      <c r="N1961" s="179">
        <f t="shared" si="851"/>
        <v>-48028.669999999984</v>
      </c>
      <c r="O1961" s="180">
        <f t="shared" si="851"/>
        <v>222380.03</v>
      </c>
      <c r="P1961" s="179">
        <f t="shared" si="851"/>
        <v>227572.16000000003</v>
      </c>
      <c r="Q1961" s="181">
        <f t="shared" si="851"/>
        <v>152187.66</v>
      </c>
      <c r="R1961" s="1"/>
      <c r="S1961" s="1"/>
      <c r="T1961" s="1"/>
    </row>
    <row r="1962" spans="1:20" ht="13.5" customHeight="1" thickTop="1" x14ac:dyDescent="0.25">
      <c r="A1962" s="1"/>
      <c r="B1962" s="1"/>
      <c r="C1962" s="1"/>
      <c r="D1962" s="42"/>
      <c r="E1962" s="44"/>
      <c r="F1962" s="45"/>
      <c r="G1962" s="45"/>
      <c r="H1962" s="66"/>
      <c r="I1962" s="66"/>
      <c r="J1962" s="48"/>
      <c r="K1962" s="49"/>
      <c r="L1962" s="50"/>
      <c r="M1962" s="50"/>
      <c r="N1962" s="51"/>
      <c r="O1962" s="151"/>
      <c r="P1962" s="51"/>
      <c r="Q1962" s="152"/>
      <c r="R1962" s="1"/>
      <c r="S1962" s="1"/>
      <c r="T1962" s="1"/>
    </row>
    <row r="1963" spans="1:20" ht="13.5" customHeight="1" x14ac:dyDescent="0.25">
      <c r="A1963" s="41" t="s">
        <v>230</v>
      </c>
      <c r="B1963" s="116"/>
      <c r="C1963" s="1"/>
      <c r="D1963" s="42"/>
      <c r="E1963" s="67"/>
      <c r="F1963" s="45"/>
      <c r="G1963" s="45"/>
      <c r="H1963" s="74"/>
      <c r="I1963" s="66"/>
      <c r="J1963" s="48"/>
      <c r="K1963" s="49"/>
      <c r="L1963" s="77"/>
      <c r="M1963" s="77"/>
      <c r="N1963" s="51"/>
      <c r="O1963" s="52"/>
      <c r="P1963" s="53"/>
      <c r="Q1963" s="54"/>
      <c r="R1963" s="1"/>
      <c r="S1963" s="1"/>
      <c r="T1963" s="1"/>
    </row>
    <row r="1964" spans="1:20" ht="13.5" customHeight="1" x14ac:dyDescent="0.25">
      <c r="A1964" s="1"/>
      <c r="B1964" s="1"/>
      <c r="C1964" s="41" t="s">
        <v>1739</v>
      </c>
      <c r="D1964" s="42"/>
      <c r="E1964" s="67"/>
      <c r="F1964" s="45"/>
      <c r="G1964" s="45"/>
      <c r="H1964" s="74"/>
      <c r="I1964" s="66"/>
      <c r="J1964" s="48"/>
      <c r="K1964" s="49"/>
      <c r="L1964" s="77"/>
      <c r="M1964" s="77"/>
      <c r="N1964" s="51"/>
      <c r="O1964" s="52"/>
      <c r="P1964" s="53"/>
      <c r="Q1964" s="54"/>
      <c r="R1964" s="1"/>
      <c r="S1964" s="1"/>
      <c r="T1964" s="1"/>
    </row>
    <row r="1965" spans="1:20" ht="13.5" customHeight="1" x14ac:dyDescent="0.25">
      <c r="A1965" s="1"/>
      <c r="B1965" s="55" t="s">
        <v>1740</v>
      </c>
      <c r="C1965" s="55" t="s">
        <v>259</v>
      </c>
      <c r="D1965" s="42">
        <v>0</v>
      </c>
      <c r="E1965" s="43">
        <v>408.67</v>
      </c>
      <c r="F1965" s="86">
        <v>409</v>
      </c>
      <c r="G1965" s="73">
        <v>0</v>
      </c>
      <c r="H1965" s="46">
        <v>0</v>
      </c>
      <c r="I1965" s="47">
        <v>0</v>
      </c>
      <c r="J1965" s="75">
        <v>0</v>
      </c>
      <c r="K1965" s="76">
        <v>0</v>
      </c>
      <c r="L1965" s="69">
        <v>0</v>
      </c>
      <c r="M1965" s="69">
        <v>0</v>
      </c>
      <c r="N1965" s="79">
        <v>0</v>
      </c>
      <c r="O1965" s="52">
        <v>0</v>
      </c>
      <c r="P1965" s="53">
        <v>0</v>
      </c>
      <c r="Q1965" s="54">
        <v>0</v>
      </c>
      <c r="R1965" s="1"/>
      <c r="S1965" s="1"/>
      <c r="T1965" s="1"/>
    </row>
    <row r="1966" spans="1:20" ht="13.5" customHeight="1" x14ac:dyDescent="0.25">
      <c r="A1966" s="1"/>
      <c r="B1966" s="55" t="s">
        <v>1741</v>
      </c>
      <c r="C1966" s="55" t="s">
        <v>265</v>
      </c>
      <c r="D1966" s="42">
        <v>0</v>
      </c>
      <c r="E1966" s="43">
        <v>5145.68</v>
      </c>
      <c r="F1966" s="86">
        <v>4026</v>
      </c>
      <c r="G1966" s="73">
        <v>0</v>
      </c>
      <c r="H1966" s="46">
        <v>0</v>
      </c>
      <c r="I1966" s="47">
        <v>0</v>
      </c>
      <c r="J1966" s="75">
        <v>0</v>
      </c>
      <c r="K1966" s="76">
        <v>0</v>
      </c>
      <c r="L1966" s="69">
        <v>0</v>
      </c>
      <c r="M1966" s="69">
        <v>0</v>
      </c>
      <c r="N1966" s="79">
        <v>0</v>
      </c>
      <c r="O1966" s="52">
        <v>0</v>
      </c>
      <c r="P1966" s="53"/>
      <c r="Q1966" s="54"/>
      <c r="R1966" s="1"/>
      <c r="S1966" s="1"/>
      <c r="T1966" s="1"/>
    </row>
    <row r="1967" spans="1:20" ht="13.5" customHeight="1" x14ac:dyDescent="0.25">
      <c r="A1967" s="1"/>
      <c r="B1967" s="1" t="s">
        <v>1742</v>
      </c>
      <c r="C1967" s="1" t="s">
        <v>271</v>
      </c>
      <c r="D1967" s="42">
        <v>0</v>
      </c>
      <c r="E1967" s="43">
        <v>15532.72</v>
      </c>
      <c r="F1967" s="86">
        <v>15533</v>
      </c>
      <c r="G1967" s="73">
        <v>0</v>
      </c>
      <c r="H1967" s="66">
        <v>1877.76</v>
      </c>
      <c r="I1967" s="47">
        <v>0</v>
      </c>
      <c r="J1967" s="75">
        <v>0</v>
      </c>
      <c r="K1967" s="76">
        <v>0</v>
      </c>
      <c r="L1967" s="50">
        <v>6510.49</v>
      </c>
      <c r="M1967" s="50">
        <v>919.58</v>
      </c>
      <c r="N1967" s="51">
        <v>1013.71</v>
      </c>
      <c r="O1967" s="52">
        <v>0</v>
      </c>
      <c r="P1967" s="53"/>
      <c r="Q1967" s="54"/>
      <c r="R1967" s="1"/>
      <c r="S1967" s="1"/>
      <c r="T1967" s="1"/>
    </row>
    <row r="1968" spans="1:20" ht="13.5" customHeight="1" x14ac:dyDescent="0.25">
      <c r="A1968" s="1"/>
      <c r="B1968" s="1" t="s">
        <v>1743</v>
      </c>
      <c r="C1968" s="1" t="s">
        <v>406</v>
      </c>
      <c r="D1968" s="42">
        <v>70000</v>
      </c>
      <c r="E1968" s="70">
        <v>808.44</v>
      </c>
      <c r="F1968" s="71">
        <v>50032</v>
      </c>
      <c r="G1968" s="45">
        <v>70000</v>
      </c>
      <c r="H1968" s="68">
        <v>6000</v>
      </c>
      <c r="I1968" s="47">
        <f>H1968/J1968</f>
        <v>8.5714285714285715E-2</v>
      </c>
      <c r="J1968" s="48">
        <v>70000</v>
      </c>
      <c r="K1968" s="49">
        <v>70000</v>
      </c>
      <c r="L1968" s="50">
        <v>47200</v>
      </c>
      <c r="M1968" s="77">
        <v>0</v>
      </c>
      <c r="N1968" s="2">
        <v>0</v>
      </c>
      <c r="O1968" s="52">
        <v>0</v>
      </c>
      <c r="P1968" s="53">
        <v>0</v>
      </c>
      <c r="Q1968" s="54">
        <v>2271.75</v>
      </c>
      <c r="R1968" s="1"/>
      <c r="S1968" s="1"/>
      <c r="T1968" s="1"/>
    </row>
    <row r="1969" spans="1:20" ht="13.5" customHeight="1" x14ac:dyDescent="0.25">
      <c r="A1969" s="1"/>
      <c r="B1969" s="1"/>
      <c r="C1969" s="1"/>
      <c r="D1969" s="56">
        <v>70000</v>
      </c>
      <c r="E1969" s="57">
        <f t="shared" ref="E1969" si="852">SUM(E1965:E1968)</f>
        <v>21895.51</v>
      </c>
      <c r="F1969" s="58">
        <f>SUM(F1964:F1968)</f>
        <v>70000</v>
      </c>
      <c r="G1969" s="58">
        <v>70000</v>
      </c>
      <c r="H1969" s="59">
        <f>SUM(H1965:H1968)</f>
        <v>7877.76</v>
      </c>
      <c r="I1969" s="59"/>
      <c r="J1969" s="60">
        <f t="shared" ref="J1969:Q1969" si="853">SUM(J1965:J1968)</f>
        <v>70000</v>
      </c>
      <c r="K1969" s="61">
        <f t="shared" si="853"/>
        <v>70000</v>
      </c>
      <c r="L1969" s="62">
        <f t="shared" si="853"/>
        <v>53710.49</v>
      </c>
      <c r="M1969" s="62">
        <f t="shared" si="853"/>
        <v>919.58</v>
      </c>
      <c r="N1969" s="63">
        <f t="shared" si="853"/>
        <v>1013.71</v>
      </c>
      <c r="O1969" s="64">
        <f t="shared" si="853"/>
        <v>0</v>
      </c>
      <c r="P1969" s="63">
        <f t="shared" si="853"/>
        <v>0</v>
      </c>
      <c r="Q1969" s="65">
        <f t="shared" si="853"/>
        <v>2271.75</v>
      </c>
      <c r="R1969" s="1"/>
      <c r="S1969" s="1"/>
      <c r="T1969" s="1"/>
    </row>
    <row r="1970" spans="1:20" ht="13.5" customHeight="1" x14ac:dyDescent="0.25">
      <c r="A1970" s="1"/>
      <c r="B1970" s="1"/>
      <c r="C1970" s="1"/>
      <c r="D1970" s="42"/>
      <c r="E1970" s="67"/>
      <c r="F1970" s="45"/>
      <c r="G1970" s="45"/>
      <c r="H1970" s="74"/>
      <c r="I1970" s="66"/>
      <c r="J1970" s="48"/>
      <c r="K1970" s="49"/>
      <c r="L1970" s="50"/>
      <c r="M1970" s="77"/>
      <c r="N1970" s="53"/>
      <c r="O1970" s="52"/>
      <c r="P1970" s="53"/>
      <c r="Q1970" s="54"/>
      <c r="R1970" s="1"/>
      <c r="S1970" s="1"/>
      <c r="T1970" s="1"/>
    </row>
    <row r="1971" spans="1:20" ht="13.5" customHeight="1" x14ac:dyDescent="0.25">
      <c r="A1971" s="1"/>
      <c r="B1971" s="1"/>
      <c r="C1971" s="41" t="s">
        <v>1744</v>
      </c>
      <c r="D1971" s="42"/>
      <c r="E1971" s="67"/>
      <c r="F1971" s="45"/>
      <c r="G1971" s="45"/>
      <c r="H1971" s="74"/>
      <c r="I1971" s="66"/>
      <c r="J1971" s="48"/>
      <c r="K1971" s="49"/>
      <c r="L1971" s="50"/>
      <c r="M1971" s="77"/>
      <c r="N1971" s="53"/>
      <c r="O1971" s="52"/>
      <c r="P1971" s="53"/>
      <c r="Q1971" s="54"/>
      <c r="R1971" s="1"/>
      <c r="S1971" s="1"/>
      <c r="T1971" s="1"/>
    </row>
    <row r="1972" spans="1:20" ht="13.5" customHeight="1" x14ac:dyDescent="0.25">
      <c r="A1972" s="1"/>
      <c r="B1972" s="1" t="s">
        <v>1745</v>
      </c>
      <c r="C1972" s="55" t="s">
        <v>265</v>
      </c>
      <c r="D1972" s="42">
        <v>0</v>
      </c>
      <c r="E1972" s="43">
        <v>0</v>
      </c>
      <c r="F1972" s="73">
        <v>0</v>
      </c>
      <c r="G1972" s="73">
        <v>0</v>
      </c>
      <c r="H1972" s="66">
        <v>847</v>
      </c>
      <c r="I1972" s="47">
        <v>0</v>
      </c>
      <c r="J1972" s="75">
        <v>0</v>
      </c>
      <c r="K1972" s="76">
        <v>0</v>
      </c>
      <c r="L1972" s="77">
        <v>0</v>
      </c>
      <c r="M1972" s="50">
        <v>10980</v>
      </c>
      <c r="N1972" s="51">
        <v>3799.97</v>
      </c>
      <c r="O1972" s="52"/>
      <c r="P1972" s="53"/>
      <c r="Q1972" s="54"/>
      <c r="R1972" s="1"/>
      <c r="S1972" s="1"/>
      <c r="T1972" s="1"/>
    </row>
    <row r="1973" spans="1:20" ht="13.5" customHeight="1" x14ac:dyDescent="0.25">
      <c r="A1973" s="1"/>
      <c r="B1973" s="1" t="s">
        <v>1746</v>
      </c>
      <c r="C1973" s="1" t="s">
        <v>1747</v>
      </c>
      <c r="D1973" s="42">
        <v>200000</v>
      </c>
      <c r="E1973" s="43">
        <v>49427.65</v>
      </c>
      <c r="F1973" s="45">
        <v>200000</v>
      </c>
      <c r="G1973" s="45">
        <v>200000</v>
      </c>
      <c r="H1973" s="46">
        <v>116257.91</v>
      </c>
      <c r="I1973" s="47">
        <f>H1973/J1973</f>
        <v>0.58128955000000004</v>
      </c>
      <c r="J1973" s="48">
        <v>200000</v>
      </c>
      <c r="K1973" s="49">
        <v>200000</v>
      </c>
      <c r="L1973" s="50">
        <v>169781.54</v>
      </c>
      <c r="M1973" s="50">
        <v>140116.54999999999</v>
      </c>
      <c r="N1973" s="51">
        <v>105497.37</v>
      </c>
      <c r="O1973" s="52">
        <v>80600</v>
      </c>
      <c r="P1973" s="53">
        <v>89775.33</v>
      </c>
      <c r="Q1973" s="54">
        <v>96900.57</v>
      </c>
      <c r="R1973" s="1"/>
      <c r="S1973" s="1"/>
      <c r="T1973" s="1"/>
    </row>
    <row r="1974" spans="1:20" ht="13.5" customHeight="1" x14ac:dyDescent="0.25">
      <c r="A1974" s="1"/>
      <c r="B1974" s="1" t="s">
        <v>1748</v>
      </c>
      <c r="C1974" s="1" t="s">
        <v>275</v>
      </c>
      <c r="D1974" s="42">
        <v>0</v>
      </c>
      <c r="E1974" s="43">
        <v>0</v>
      </c>
      <c r="F1974" s="73">
        <v>0</v>
      </c>
      <c r="G1974" s="73">
        <v>0</v>
      </c>
      <c r="H1974" s="74">
        <v>0</v>
      </c>
      <c r="I1974" s="47">
        <v>0</v>
      </c>
      <c r="J1974" s="75">
        <v>0</v>
      </c>
      <c r="K1974" s="76">
        <v>0</v>
      </c>
      <c r="L1974" s="77">
        <v>0</v>
      </c>
      <c r="M1974" s="50">
        <v>1020</v>
      </c>
      <c r="N1974" s="53" t="s">
        <v>16</v>
      </c>
      <c r="O1974" s="52"/>
      <c r="P1974" s="53"/>
      <c r="Q1974" s="54"/>
      <c r="R1974" s="1"/>
      <c r="S1974" s="1"/>
      <c r="T1974" s="1"/>
    </row>
    <row r="1975" spans="1:20" ht="13.5" customHeight="1" x14ac:dyDescent="0.25">
      <c r="A1975" s="1"/>
      <c r="B1975" s="1" t="s">
        <v>1749</v>
      </c>
      <c r="C1975" s="1" t="s">
        <v>406</v>
      </c>
      <c r="D1975" s="42">
        <v>0</v>
      </c>
      <c r="E1975" s="43">
        <v>2788</v>
      </c>
      <c r="F1975" s="73">
        <v>0</v>
      </c>
      <c r="G1975" s="73">
        <v>0</v>
      </c>
      <c r="H1975" s="66">
        <v>1941</v>
      </c>
      <c r="I1975" s="47">
        <v>0</v>
      </c>
      <c r="J1975" s="75">
        <v>0</v>
      </c>
      <c r="K1975" s="76">
        <v>0</v>
      </c>
      <c r="L1975" s="77">
        <v>0</v>
      </c>
      <c r="M1975" s="50">
        <v>608</v>
      </c>
      <c r="N1975" s="53" t="s">
        <v>16</v>
      </c>
      <c r="O1975" s="52"/>
      <c r="P1975" s="53"/>
      <c r="Q1975" s="54"/>
      <c r="R1975" s="1"/>
      <c r="S1975" s="1"/>
      <c r="T1975" s="1"/>
    </row>
    <row r="1976" spans="1:20" ht="13.5" customHeight="1" x14ac:dyDescent="0.25">
      <c r="A1976" s="1"/>
      <c r="B1976" s="1" t="s">
        <v>1750</v>
      </c>
      <c r="C1976" s="55" t="s">
        <v>408</v>
      </c>
      <c r="D1976" s="42">
        <v>0</v>
      </c>
      <c r="E1976" s="43">
        <v>0</v>
      </c>
      <c r="F1976" s="73">
        <v>0</v>
      </c>
      <c r="G1976" s="73">
        <v>0</v>
      </c>
      <c r="H1976" s="74">
        <v>0</v>
      </c>
      <c r="I1976" s="47">
        <v>0</v>
      </c>
      <c r="J1976" s="75">
        <v>0</v>
      </c>
      <c r="K1976" s="76">
        <v>0</v>
      </c>
      <c r="L1976" s="77">
        <v>0</v>
      </c>
      <c r="M1976" s="50">
        <v>748</v>
      </c>
      <c r="N1976" s="53" t="s">
        <v>16</v>
      </c>
      <c r="O1976" s="52"/>
      <c r="P1976" s="53"/>
      <c r="Q1976" s="54"/>
      <c r="R1976" s="1"/>
      <c r="S1976" s="1"/>
      <c r="T1976" s="1"/>
    </row>
    <row r="1977" spans="1:20" ht="13.5" customHeight="1" x14ac:dyDescent="0.25">
      <c r="A1977" s="1"/>
      <c r="B1977" s="1" t="s">
        <v>1751</v>
      </c>
      <c r="C1977" s="1" t="s">
        <v>281</v>
      </c>
      <c r="D1977" s="42">
        <v>2190</v>
      </c>
      <c r="E1977" s="43">
        <v>0</v>
      </c>
      <c r="F1977" s="45">
        <v>2190</v>
      </c>
      <c r="G1977" s="45">
        <v>2190</v>
      </c>
      <c r="H1977" s="74">
        <v>0</v>
      </c>
      <c r="I1977" s="47">
        <f>H1977/J1977</f>
        <v>0</v>
      </c>
      <c r="J1977" s="48">
        <v>2190</v>
      </c>
      <c r="K1977" s="49">
        <v>2190</v>
      </c>
      <c r="L1977" s="77">
        <v>0</v>
      </c>
      <c r="M1977" s="77" t="s">
        <v>16</v>
      </c>
      <c r="N1977" s="53" t="s">
        <v>16</v>
      </c>
      <c r="O1977" s="52"/>
      <c r="P1977" s="53"/>
      <c r="Q1977" s="54"/>
      <c r="R1977" s="1"/>
      <c r="S1977" s="1"/>
      <c r="T1977" s="1"/>
    </row>
    <row r="1978" spans="1:20" ht="13.5" customHeight="1" x14ac:dyDescent="0.25">
      <c r="A1978" s="1"/>
      <c r="B1978" s="1"/>
      <c r="C1978" s="1"/>
      <c r="D1978" s="56">
        <v>202190</v>
      </c>
      <c r="E1978" s="57">
        <f t="shared" ref="E1978" si="854">SUM(E1972:E1977)</f>
        <v>52215.65</v>
      </c>
      <c r="F1978" s="58">
        <f>SUM(F1971:F1977)</f>
        <v>202190</v>
      </c>
      <c r="G1978" s="58">
        <v>202190</v>
      </c>
      <c r="H1978" s="59">
        <f>SUM(H1972:H1977)</f>
        <v>119045.91</v>
      </c>
      <c r="I1978" s="59"/>
      <c r="J1978" s="60">
        <f t="shared" ref="J1978:Q1978" si="855">SUM(J1972:J1977)</f>
        <v>202190</v>
      </c>
      <c r="K1978" s="61">
        <f t="shared" si="855"/>
        <v>202190</v>
      </c>
      <c r="L1978" s="62">
        <f t="shared" si="855"/>
        <v>169781.54</v>
      </c>
      <c r="M1978" s="62">
        <f t="shared" si="855"/>
        <v>153472.54999999999</v>
      </c>
      <c r="N1978" s="63">
        <f t="shared" si="855"/>
        <v>109297.34</v>
      </c>
      <c r="O1978" s="64">
        <f t="shared" si="855"/>
        <v>80600</v>
      </c>
      <c r="P1978" s="63">
        <f t="shared" si="855"/>
        <v>89775.33</v>
      </c>
      <c r="Q1978" s="65">
        <f t="shared" si="855"/>
        <v>96900.57</v>
      </c>
      <c r="R1978" s="1"/>
      <c r="S1978" s="1"/>
      <c r="T1978" s="1"/>
    </row>
    <row r="1979" spans="1:20" ht="13.5" customHeight="1" x14ac:dyDescent="0.25">
      <c r="A1979" s="1"/>
      <c r="B1979" s="1"/>
      <c r="C1979" s="1"/>
      <c r="D1979" s="42"/>
      <c r="E1979" s="67"/>
      <c r="F1979" s="45"/>
      <c r="G1979" s="45"/>
      <c r="H1979" s="74"/>
      <c r="I1979" s="66"/>
      <c r="J1979" s="48"/>
      <c r="K1979" s="49"/>
      <c r="L1979" s="77"/>
      <c r="M1979" s="77"/>
      <c r="N1979" s="53"/>
      <c r="O1979" s="52"/>
      <c r="P1979" s="53"/>
      <c r="Q1979" s="54"/>
      <c r="R1979" s="1"/>
      <c r="S1979" s="1"/>
      <c r="T1979" s="1"/>
    </row>
    <row r="1980" spans="1:20" ht="13.5" customHeight="1" x14ac:dyDescent="0.25">
      <c r="A1980" s="1"/>
      <c r="B1980" s="1"/>
      <c r="C1980" s="41" t="s">
        <v>1752</v>
      </c>
      <c r="D1980" s="42"/>
      <c r="E1980" s="67"/>
      <c r="F1980" s="45"/>
      <c r="G1980" s="45"/>
      <c r="H1980" s="74"/>
      <c r="I1980" s="66"/>
      <c r="J1980" s="48"/>
      <c r="K1980" s="49"/>
      <c r="L1980" s="77"/>
      <c r="M1980" s="77"/>
      <c r="N1980" s="53"/>
      <c r="O1980" s="52"/>
      <c r="P1980" s="53"/>
      <c r="Q1980" s="54"/>
      <c r="R1980" s="1"/>
      <c r="S1980" s="1"/>
      <c r="T1980" s="1"/>
    </row>
    <row r="1981" spans="1:20" ht="13.5" customHeight="1" x14ac:dyDescent="0.25">
      <c r="A1981" s="1"/>
      <c r="B1981" s="1" t="s">
        <v>1753</v>
      </c>
      <c r="C1981" s="1" t="s">
        <v>259</v>
      </c>
      <c r="D1981" s="42">
        <v>2650</v>
      </c>
      <c r="E1981" s="43">
        <v>0</v>
      </c>
      <c r="F1981" s="45">
        <v>2650</v>
      </c>
      <c r="G1981" s="45">
        <v>2650</v>
      </c>
      <c r="H1981" s="74">
        <v>0</v>
      </c>
      <c r="I1981" s="47">
        <f t="shared" ref="I1981:I1986" si="856">H1981/J1981</f>
        <v>0</v>
      </c>
      <c r="J1981" s="48">
        <v>2650</v>
      </c>
      <c r="K1981" s="49">
        <v>2650</v>
      </c>
      <c r="L1981" s="77">
        <v>0</v>
      </c>
      <c r="M1981" s="77">
        <v>0</v>
      </c>
      <c r="N1981" s="53" t="s">
        <v>16</v>
      </c>
      <c r="O1981" s="52">
        <v>0</v>
      </c>
      <c r="P1981" s="53">
        <v>205.71</v>
      </c>
      <c r="Q1981" s="54">
        <v>0</v>
      </c>
      <c r="R1981" s="1"/>
      <c r="S1981" s="1"/>
      <c r="T1981" s="1"/>
    </row>
    <row r="1982" spans="1:20" ht="13.5" customHeight="1" x14ac:dyDescent="0.25">
      <c r="A1982" s="1"/>
      <c r="B1982" s="1" t="s">
        <v>1754</v>
      </c>
      <c r="C1982" s="1" t="s">
        <v>1755</v>
      </c>
      <c r="D1982" s="42">
        <v>1350</v>
      </c>
      <c r="E1982" s="43">
        <v>0</v>
      </c>
      <c r="F1982" s="45">
        <v>1350</v>
      </c>
      <c r="G1982" s="45">
        <v>1350</v>
      </c>
      <c r="H1982" s="74">
        <v>0</v>
      </c>
      <c r="I1982" s="47">
        <f t="shared" si="856"/>
        <v>0</v>
      </c>
      <c r="J1982" s="48">
        <v>1350</v>
      </c>
      <c r="K1982" s="49">
        <v>1350</v>
      </c>
      <c r="L1982" s="77">
        <v>0</v>
      </c>
      <c r="M1982" s="77">
        <v>0</v>
      </c>
      <c r="N1982" s="53" t="s">
        <v>16</v>
      </c>
      <c r="O1982" s="52">
        <v>0</v>
      </c>
      <c r="P1982" s="53">
        <v>0</v>
      </c>
      <c r="Q1982" s="54">
        <v>1310</v>
      </c>
      <c r="R1982" s="1"/>
      <c r="S1982" s="1"/>
      <c r="T1982" s="1"/>
    </row>
    <row r="1983" spans="1:20" ht="13.5" customHeight="1" x14ac:dyDescent="0.25">
      <c r="A1983" s="1"/>
      <c r="B1983" s="1" t="s">
        <v>1756</v>
      </c>
      <c r="C1983" s="55" t="s">
        <v>271</v>
      </c>
      <c r="D1983" s="42">
        <v>15000</v>
      </c>
      <c r="E1983" s="43">
        <v>0</v>
      </c>
      <c r="F1983" s="45">
        <v>15000</v>
      </c>
      <c r="G1983" s="45">
        <v>15000</v>
      </c>
      <c r="H1983" s="74">
        <v>0</v>
      </c>
      <c r="I1983" s="47">
        <f t="shared" si="856"/>
        <v>0</v>
      </c>
      <c r="J1983" s="48">
        <v>15000</v>
      </c>
      <c r="K1983" s="49">
        <v>15000</v>
      </c>
      <c r="L1983" s="77">
        <v>0</v>
      </c>
      <c r="M1983" s="77">
        <v>0</v>
      </c>
      <c r="N1983" s="53" t="s">
        <v>16</v>
      </c>
      <c r="O1983" s="52"/>
      <c r="P1983" s="53"/>
      <c r="Q1983" s="54"/>
      <c r="R1983" s="1"/>
      <c r="S1983" s="1"/>
      <c r="T1983" s="1"/>
    </row>
    <row r="1984" spans="1:20" ht="13.5" customHeight="1" x14ac:dyDescent="0.25">
      <c r="A1984" s="1"/>
      <c r="B1984" s="1" t="s">
        <v>1757</v>
      </c>
      <c r="C1984" s="1" t="s">
        <v>275</v>
      </c>
      <c r="D1984" s="42">
        <v>1000</v>
      </c>
      <c r="E1984" s="43">
        <v>0</v>
      </c>
      <c r="F1984" s="45">
        <v>1000</v>
      </c>
      <c r="G1984" s="45">
        <v>1000</v>
      </c>
      <c r="H1984" s="74">
        <v>0</v>
      </c>
      <c r="I1984" s="47">
        <f t="shared" si="856"/>
        <v>0</v>
      </c>
      <c r="J1984" s="48">
        <v>1000</v>
      </c>
      <c r="K1984" s="49">
        <v>1000</v>
      </c>
      <c r="L1984" s="77">
        <v>0</v>
      </c>
      <c r="M1984" s="77">
        <v>0</v>
      </c>
      <c r="N1984" s="53" t="s">
        <v>16</v>
      </c>
      <c r="O1984" s="52"/>
      <c r="P1984" s="53"/>
      <c r="Q1984" s="54"/>
      <c r="R1984" s="1"/>
      <c r="S1984" s="1"/>
      <c r="T1984" s="1"/>
    </row>
    <row r="1985" spans="1:20" ht="13.5" customHeight="1" x14ac:dyDescent="0.25">
      <c r="A1985" s="1"/>
      <c r="B1985" s="1" t="s">
        <v>1758</v>
      </c>
      <c r="C1985" s="1" t="s">
        <v>281</v>
      </c>
      <c r="D1985" s="42">
        <v>1000</v>
      </c>
      <c r="E1985" s="43">
        <v>0</v>
      </c>
      <c r="F1985" s="45">
        <v>1000</v>
      </c>
      <c r="G1985" s="45">
        <v>1000</v>
      </c>
      <c r="H1985" s="74">
        <v>0</v>
      </c>
      <c r="I1985" s="47">
        <f t="shared" si="856"/>
        <v>0</v>
      </c>
      <c r="J1985" s="48">
        <v>1000</v>
      </c>
      <c r="K1985" s="49">
        <v>1000</v>
      </c>
      <c r="L1985" s="77">
        <v>0</v>
      </c>
      <c r="M1985" s="77">
        <v>0</v>
      </c>
      <c r="N1985" s="53" t="s">
        <v>16</v>
      </c>
      <c r="O1985" s="52"/>
      <c r="P1985" s="53"/>
      <c r="Q1985" s="54"/>
      <c r="R1985" s="1"/>
      <c r="S1985" s="1"/>
      <c r="T1985" s="1"/>
    </row>
    <row r="1986" spans="1:20" ht="13.5" customHeight="1" x14ac:dyDescent="0.25">
      <c r="A1986" s="1"/>
      <c r="B1986" s="1" t="s">
        <v>1759</v>
      </c>
      <c r="C1986" s="1" t="s">
        <v>335</v>
      </c>
      <c r="D1986" s="42">
        <v>6810</v>
      </c>
      <c r="E1986" s="43">
        <v>0</v>
      </c>
      <c r="F1986" s="45">
        <v>6810</v>
      </c>
      <c r="G1986" s="45">
        <v>6810</v>
      </c>
      <c r="H1986" s="74">
        <v>0</v>
      </c>
      <c r="I1986" s="47">
        <f t="shared" si="856"/>
        <v>0</v>
      </c>
      <c r="J1986" s="48">
        <v>6810</v>
      </c>
      <c r="K1986" s="49">
        <v>6810</v>
      </c>
      <c r="L1986" s="77">
        <v>0</v>
      </c>
      <c r="M1986" s="77">
        <v>0</v>
      </c>
      <c r="N1986" s="53" t="s">
        <v>16</v>
      </c>
      <c r="O1986" s="52"/>
      <c r="P1986" s="53"/>
      <c r="Q1986" s="54"/>
      <c r="R1986" s="1"/>
      <c r="S1986" s="1"/>
      <c r="T1986" s="1"/>
    </row>
    <row r="1987" spans="1:20" ht="13.5" customHeight="1" x14ac:dyDescent="0.25">
      <c r="A1987" s="1"/>
      <c r="B1987" s="1"/>
      <c r="C1987" s="1"/>
      <c r="D1987" s="56">
        <v>27810</v>
      </c>
      <c r="E1987" s="57">
        <f t="shared" ref="E1987" si="857">SUM(E1981:E1986)</f>
        <v>0</v>
      </c>
      <c r="F1987" s="58">
        <f>SUM(F1980:F1986)</f>
        <v>27810</v>
      </c>
      <c r="G1987" s="58">
        <v>27810</v>
      </c>
      <c r="H1987" s="59">
        <f>SUM(H1981:H1986)</f>
        <v>0</v>
      </c>
      <c r="I1987" s="59"/>
      <c r="J1987" s="60">
        <f t="shared" ref="J1987:Q1987" si="858">SUM(J1981:J1986)</f>
        <v>27810</v>
      </c>
      <c r="K1987" s="61">
        <f t="shared" si="858"/>
        <v>27810</v>
      </c>
      <c r="L1987" s="62">
        <f t="shared" si="858"/>
        <v>0</v>
      </c>
      <c r="M1987" s="62">
        <f t="shared" si="858"/>
        <v>0</v>
      </c>
      <c r="N1987" s="63">
        <f t="shared" si="858"/>
        <v>0</v>
      </c>
      <c r="O1987" s="64">
        <f t="shared" si="858"/>
        <v>0</v>
      </c>
      <c r="P1987" s="63">
        <f t="shared" si="858"/>
        <v>205.71</v>
      </c>
      <c r="Q1987" s="65">
        <f t="shared" si="858"/>
        <v>1310</v>
      </c>
      <c r="R1987" s="1"/>
      <c r="S1987" s="1"/>
      <c r="T1987" s="1"/>
    </row>
    <row r="1988" spans="1:20" ht="13.5" customHeight="1" x14ac:dyDescent="0.25">
      <c r="A1988" s="1"/>
      <c r="B1988" s="1"/>
      <c r="C1988" s="1"/>
      <c r="D1988" s="42"/>
      <c r="E1988" s="44"/>
      <c r="F1988" s="45"/>
      <c r="G1988" s="45"/>
      <c r="H1988" s="66"/>
      <c r="I1988" s="66"/>
      <c r="J1988" s="48"/>
      <c r="K1988" s="49"/>
      <c r="L1988" s="50"/>
      <c r="M1988" s="50"/>
      <c r="N1988" s="51"/>
      <c r="O1988" s="52"/>
      <c r="P1988" s="53"/>
      <c r="Q1988" s="54"/>
      <c r="R1988" s="1"/>
      <c r="S1988" s="1"/>
      <c r="T1988" s="1"/>
    </row>
    <row r="1989" spans="1:20" ht="13.5" customHeight="1" thickBot="1" x14ac:dyDescent="0.3">
      <c r="A1989" s="1"/>
      <c r="B1989" s="78"/>
      <c r="C1989" s="250" t="s">
        <v>1760</v>
      </c>
      <c r="D1989" s="267">
        <v>300000</v>
      </c>
      <c r="E1989" s="173">
        <f t="shared" ref="E1989" si="859">SUM(E1969+E1978+E1987)</f>
        <v>74111.16</v>
      </c>
      <c r="F1989" s="174">
        <f>SUM(F1969+F1978+F1987)</f>
        <v>300000</v>
      </c>
      <c r="G1989" s="174">
        <v>300000</v>
      </c>
      <c r="H1989" s="175">
        <f>SUM(H1969+H1978+H1987)</f>
        <v>126923.67</v>
      </c>
      <c r="I1989" s="175"/>
      <c r="J1989" s="176">
        <f t="shared" ref="J1989:Q1989" si="860">SUM(J1969+J1978+J1987)</f>
        <v>300000</v>
      </c>
      <c r="K1989" s="177">
        <f t="shared" si="860"/>
        <v>300000</v>
      </c>
      <c r="L1989" s="178">
        <f t="shared" si="860"/>
        <v>223492.03</v>
      </c>
      <c r="M1989" s="178">
        <f t="shared" si="860"/>
        <v>154392.12999999998</v>
      </c>
      <c r="N1989" s="263">
        <f t="shared" si="860"/>
        <v>110311.05</v>
      </c>
      <c r="O1989" s="180">
        <f t="shared" si="860"/>
        <v>80600</v>
      </c>
      <c r="P1989" s="263">
        <f t="shared" si="860"/>
        <v>89981.040000000008</v>
      </c>
      <c r="Q1989" s="181">
        <f t="shared" si="860"/>
        <v>100482.32</v>
      </c>
      <c r="R1989" s="1"/>
      <c r="S1989" s="1"/>
      <c r="T1989" s="1"/>
    </row>
    <row r="1990" spans="1:20" ht="13.5" customHeight="1" thickTop="1" x14ac:dyDescent="0.25">
      <c r="A1990" s="1"/>
      <c r="B1990" s="1"/>
      <c r="C1990" s="41"/>
      <c r="D1990" s="42"/>
      <c r="E1990" s="44"/>
      <c r="F1990" s="45"/>
      <c r="G1990" s="45"/>
      <c r="H1990" s="66"/>
      <c r="I1990" s="66"/>
      <c r="J1990" s="48"/>
      <c r="K1990" s="49"/>
      <c r="L1990" s="50"/>
      <c r="M1990" s="50"/>
      <c r="N1990" s="51"/>
      <c r="O1990" s="151"/>
      <c r="P1990" s="51"/>
      <c r="Q1990" s="152"/>
      <c r="R1990" s="1"/>
      <c r="S1990" s="1"/>
      <c r="T1990" s="1"/>
    </row>
    <row r="1991" spans="1:20" ht="23.25" customHeight="1" x14ac:dyDescent="0.25">
      <c r="A1991" s="1"/>
      <c r="B1991" s="262" t="s">
        <v>1761</v>
      </c>
      <c r="C1991" s="262" t="s">
        <v>1762</v>
      </c>
      <c r="D1991" s="42"/>
      <c r="E1991" s="44"/>
      <c r="F1991" s="45"/>
      <c r="G1991" s="45"/>
      <c r="H1991" s="66"/>
      <c r="I1991" s="66"/>
      <c r="J1991" s="48"/>
      <c r="K1991" s="49"/>
      <c r="L1991" s="50"/>
      <c r="M1991" s="50"/>
      <c r="N1991" s="51"/>
      <c r="O1991" s="151"/>
      <c r="P1991" s="51"/>
      <c r="Q1991" s="152"/>
      <c r="R1991" s="1"/>
      <c r="S1991" s="1"/>
      <c r="T1991" s="1"/>
    </row>
    <row r="1992" spans="1:20" ht="13.5" customHeight="1" x14ac:dyDescent="0.25">
      <c r="A1992" s="1"/>
      <c r="B1992" s="1"/>
      <c r="C1992" s="41"/>
      <c r="D1992" s="42"/>
      <c r="E1992" s="44"/>
      <c r="F1992" s="45"/>
      <c r="G1992" s="45"/>
      <c r="H1992" s="66"/>
      <c r="I1992" s="66"/>
      <c r="J1992" s="48"/>
      <c r="K1992" s="49"/>
      <c r="L1992" s="50"/>
      <c r="M1992" s="50"/>
      <c r="N1992" s="51"/>
      <c r="O1992" s="151"/>
      <c r="P1992" s="51"/>
      <c r="Q1992" s="152"/>
      <c r="R1992" s="1"/>
      <c r="S1992" s="1"/>
      <c r="T1992" s="1"/>
    </row>
    <row r="1993" spans="1:20" ht="13.5" customHeight="1" x14ac:dyDescent="0.25">
      <c r="A1993" s="41" t="s">
        <v>17</v>
      </c>
      <c r="B1993" s="1"/>
      <c r="C1993" s="1"/>
      <c r="D1993" s="42"/>
      <c r="E1993" s="44"/>
      <c r="F1993" s="45"/>
      <c r="G1993" s="45"/>
      <c r="H1993" s="66"/>
      <c r="I1993" s="66"/>
      <c r="J1993" s="48"/>
      <c r="K1993" s="49"/>
      <c r="L1993" s="50"/>
      <c r="M1993" s="50"/>
      <c r="N1993" s="51"/>
      <c r="O1993" s="52"/>
      <c r="P1993" s="53"/>
      <c r="Q1993" s="54"/>
      <c r="R1993" s="1"/>
      <c r="S1993" s="1"/>
      <c r="T1993" s="1"/>
    </row>
    <row r="1994" spans="1:20" ht="13.5" customHeight="1" x14ac:dyDescent="0.25">
      <c r="A1994" s="1"/>
      <c r="B1994" s="1" t="s">
        <v>1763</v>
      </c>
      <c r="C1994" s="1" t="s">
        <v>1764</v>
      </c>
      <c r="D1994" s="42">
        <v>-3932799.8</v>
      </c>
      <c r="E1994" s="43">
        <v>-3660739.2</v>
      </c>
      <c r="F1994" s="45">
        <v>-3725907</v>
      </c>
      <c r="G1994" s="45">
        <v>-3725907</v>
      </c>
      <c r="H1994" s="46">
        <v>-3458286.68</v>
      </c>
      <c r="I1994" s="47">
        <f t="shared" ref="I1994:I1997" si="861">H1994/J1994</f>
        <v>0.98074871035712974</v>
      </c>
      <c r="J1994" s="48">
        <v>-3526170</v>
      </c>
      <c r="K1994" s="49">
        <v>-3526170</v>
      </c>
      <c r="L1994" s="50">
        <v>-2870325.88</v>
      </c>
      <c r="M1994" s="50">
        <v>-3272693.54</v>
      </c>
      <c r="N1994" s="51">
        <v>-3077648.94</v>
      </c>
      <c r="O1994" s="52">
        <v>3124888.62</v>
      </c>
      <c r="P1994" s="53">
        <v>3050157.65</v>
      </c>
      <c r="Q1994" s="54">
        <v>2857550.61</v>
      </c>
      <c r="R1994" s="1"/>
      <c r="S1994" s="1"/>
      <c r="T1994" s="1"/>
    </row>
    <row r="1995" spans="1:20" ht="13.5" customHeight="1" x14ac:dyDescent="0.25">
      <c r="A1995" s="1"/>
      <c r="B1995" s="1" t="s">
        <v>1765</v>
      </c>
      <c r="C1995" s="1" t="s">
        <v>1766</v>
      </c>
      <c r="D1995" s="42">
        <v>-1664604</v>
      </c>
      <c r="E1995" s="43">
        <v>-1473226.67</v>
      </c>
      <c r="F1995" s="45">
        <v>-1571568</v>
      </c>
      <c r="G1995" s="45">
        <v>-1571568</v>
      </c>
      <c r="H1995" s="46">
        <v>-1373525.08</v>
      </c>
      <c r="I1995" s="47">
        <f t="shared" si="861"/>
        <v>0.89869799456930677</v>
      </c>
      <c r="J1995" s="48">
        <v>-1528350</v>
      </c>
      <c r="K1995" s="49">
        <v>-1528350</v>
      </c>
      <c r="L1995" s="50">
        <v>-1267422.77</v>
      </c>
      <c r="M1995" s="50">
        <v>-746781.65</v>
      </c>
      <c r="N1995" s="51">
        <v>-737757.91</v>
      </c>
      <c r="O1995" s="52">
        <v>726330.19</v>
      </c>
      <c r="P1995" s="53">
        <v>668833.12</v>
      </c>
      <c r="Q1995" s="54">
        <v>664972.55000000005</v>
      </c>
      <c r="R1995" s="1"/>
      <c r="S1995" s="1"/>
      <c r="T1995" s="1"/>
    </row>
    <row r="1996" spans="1:20" ht="13.5" customHeight="1" x14ac:dyDescent="0.25">
      <c r="A1996" s="1"/>
      <c r="B1996" s="1" t="s">
        <v>1767</v>
      </c>
      <c r="C1996" s="1" t="s">
        <v>1768</v>
      </c>
      <c r="D1996" s="42">
        <v>-90000</v>
      </c>
      <c r="E1996" s="43">
        <v>-29647.07</v>
      </c>
      <c r="F1996" s="45">
        <v>-90000</v>
      </c>
      <c r="G1996" s="45">
        <v>-90000</v>
      </c>
      <c r="H1996" s="46">
        <v>-63435.61</v>
      </c>
      <c r="I1996" s="47">
        <f t="shared" si="861"/>
        <v>0.70484011111111111</v>
      </c>
      <c r="J1996" s="48">
        <v>-90000</v>
      </c>
      <c r="K1996" s="49">
        <v>-90000</v>
      </c>
      <c r="L1996" s="50">
        <v>-74129.8</v>
      </c>
      <c r="M1996" s="50">
        <v>-92834.83</v>
      </c>
      <c r="N1996" s="51">
        <v>-78235.47</v>
      </c>
      <c r="O1996" s="52">
        <v>78728.84</v>
      </c>
      <c r="P1996" s="53">
        <v>85453.56</v>
      </c>
      <c r="Q1996" s="54">
        <v>87147.36</v>
      </c>
      <c r="R1996" s="1"/>
      <c r="S1996" s="1"/>
      <c r="T1996" s="1"/>
    </row>
    <row r="1997" spans="1:20" ht="13.5" customHeight="1" x14ac:dyDescent="0.25">
      <c r="A1997" s="1"/>
      <c r="B1997" s="1" t="s">
        <v>1769</v>
      </c>
      <c r="C1997" s="1" t="s">
        <v>1770</v>
      </c>
      <c r="D1997" s="42">
        <v>-20000</v>
      </c>
      <c r="E1997" s="43">
        <v>-10415.56</v>
      </c>
      <c r="F1997" s="45">
        <v>-20000</v>
      </c>
      <c r="G1997" s="45">
        <v>-20000</v>
      </c>
      <c r="H1997" s="46">
        <v>-19857.490000000002</v>
      </c>
      <c r="I1997" s="47">
        <f t="shared" si="861"/>
        <v>0.9928745000000001</v>
      </c>
      <c r="J1997" s="48">
        <v>-20000</v>
      </c>
      <c r="K1997" s="49">
        <v>-20000</v>
      </c>
      <c r="L1997" s="50">
        <v>-18601.169999999998</v>
      </c>
      <c r="M1997" s="50">
        <v>-21524.82</v>
      </c>
      <c r="N1997" s="51">
        <v>-18012.91</v>
      </c>
      <c r="O1997" s="52">
        <v>18241.39</v>
      </c>
      <c r="P1997" s="53">
        <v>20013.349999999999</v>
      </c>
      <c r="Q1997" s="54">
        <v>-58345.84</v>
      </c>
      <c r="R1997" s="1"/>
      <c r="S1997" s="1"/>
      <c r="T1997" s="1"/>
    </row>
    <row r="1998" spans="1:20" ht="13.5" customHeight="1" x14ac:dyDescent="0.25">
      <c r="A1998" s="1"/>
      <c r="B1998" s="1"/>
      <c r="C1998" s="1"/>
      <c r="D1998" s="56">
        <v>-5707403.7999999998</v>
      </c>
      <c r="E1998" s="57">
        <f t="shared" ref="E1998" si="862">SUM(E1994:E1997)</f>
        <v>-5174028.5</v>
      </c>
      <c r="F1998" s="58">
        <f>SUM(F1993:F1997)</f>
        <v>-5407475</v>
      </c>
      <c r="G1998" s="58">
        <v>-5407475</v>
      </c>
      <c r="H1998" s="59">
        <f>SUM(H1994:H1997)</f>
        <v>-4915104.8600000003</v>
      </c>
      <c r="I1998" s="59"/>
      <c r="J1998" s="60">
        <f t="shared" ref="J1998:Q1998" si="863">SUM(J1994:J1997)</f>
        <v>-5164520</v>
      </c>
      <c r="K1998" s="61">
        <f t="shared" si="863"/>
        <v>-5164520</v>
      </c>
      <c r="L1998" s="62">
        <f t="shared" si="863"/>
        <v>-4230479.62</v>
      </c>
      <c r="M1998" s="62">
        <f t="shared" si="863"/>
        <v>-4133834.84</v>
      </c>
      <c r="N1998" s="63">
        <f t="shared" si="863"/>
        <v>-3911655.2300000004</v>
      </c>
      <c r="O1998" s="64">
        <f t="shared" si="863"/>
        <v>3948189.04</v>
      </c>
      <c r="P1998" s="63">
        <f t="shared" si="863"/>
        <v>3824457.68</v>
      </c>
      <c r="Q1998" s="65">
        <f t="shared" si="863"/>
        <v>3551324.68</v>
      </c>
      <c r="R1998" s="1"/>
      <c r="S1998" s="1"/>
      <c r="T1998" s="1"/>
    </row>
    <row r="1999" spans="1:20" ht="13.5" customHeight="1" x14ac:dyDescent="0.25">
      <c r="A1999" s="1"/>
      <c r="B1999" s="1"/>
      <c r="C1999" s="1"/>
      <c r="D1999" s="42"/>
      <c r="E1999" s="44"/>
      <c r="F1999" s="45"/>
      <c r="G1999" s="45"/>
      <c r="H1999" s="66"/>
      <c r="I1999" s="66"/>
      <c r="J1999" s="48"/>
      <c r="K1999" s="49"/>
      <c r="L1999" s="50"/>
      <c r="M1999" s="50"/>
      <c r="N1999" s="51"/>
      <c r="O1999" s="52"/>
      <c r="P1999" s="53"/>
      <c r="Q1999" s="54"/>
      <c r="R1999" s="1"/>
      <c r="S1999" s="1"/>
      <c r="T1999" s="1"/>
    </row>
    <row r="2000" spans="1:20" ht="13.5" customHeight="1" x14ac:dyDescent="0.25">
      <c r="A2000" s="1"/>
      <c r="B2000" s="1" t="s">
        <v>1771</v>
      </c>
      <c r="C2000" s="1" t="s">
        <v>1772</v>
      </c>
      <c r="D2000" s="42">
        <v>-360000</v>
      </c>
      <c r="E2000" s="43">
        <v>-360299.58</v>
      </c>
      <c r="F2000" s="45">
        <v>-360000</v>
      </c>
      <c r="G2000" s="45">
        <v>-360000</v>
      </c>
      <c r="H2000" s="66">
        <v>-360546.76</v>
      </c>
      <c r="I2000" s="47">
        <f>H2000/J2000</f>
        <v>1.0015187777777779</v>
      </c>
      <c r="J2000" s="48">
        <v>-360000</v>
      </c>
      <c r="K2000" s="49">
        <v>-360000</v>
      </c>
      <c r="L2000" s="50">
        <v>-360059.01</v>
      </c>
      <c r="M2000" s="50">
        <v>-361851.5</v>
      </c>
      <c r="N2000" s="51">
        <v>-361015.37</v>
      </c>
      <c r="O2000" s="52">
        <v>372215.72</v>
      </c>
      <c r="P2000" s="53">
        <v>391003.87</v>
      </c>
      <c r="Q2000" s="54">
        <v>408683.76</v>
      </c>
      <c r="R2000" s="1"/>
      <c r="S2000" s="1"/>
      <c r="T2000" s="1"/>
    </row>
    <row r="2001" spans="1:20" ht="13.5" customHeight="1" x14ac:dyDescent="0.25">
      <c r="A2001" s="1"/>
      <c r="B2001" s="1" t="s">
        <v>1773</v>
      </c>
      <c r="C2001" s="55" t="s">
        <v>1774</v>
      </c>
      <c r="D2001" s="42">
        <v>0</v>
      </c>
      <c r="E2001" s="43">
        <v>0</v>
      </c>
      <c r="F2001" s="73">
        <v>0</v>
      </c>
      <c r="G2001" s="73">
        <v>0</v>
      </c>
      <c r="H2001" s="74">
        <v>0</v>
      </c>
      <c r="I2001" s="47">
        <v>0</v>
      </c>
      <c r="J2001" s="75">
        <v>0</v>
      </c>
      <c r="K2001" s="76">
        <v>0</v>
      </c>
      <c r="L2001" s="77">
        <v>0</v>
      </c>
      <c r="M2001" s="50">
        <v>-100187.28</v>
      </c>
      <c r="N2001" s="51">
        <v>-102258.54</v>
      </c>
      <c r="O2001" s="52">
        <v>139365.18</v>
      </c>
      <c r="P2001" s="53">
        <v>4500</v>
      </c>
      <c r="Q2001" s="54">
        <v>0</v>
      </c>
      <c r="R2001" s="1"/>
      <c r="S2001" s="1"/>
      <c r="T2001" s="1"/>
    </row>
    <row r="2002" spans="1:20" ht="13.5" customHeight="1" x14ac:dyDescent="0.25">
      <c r="A2002" s="1"/>
      <c r="B2002" s="1" t="s">
        <v>1775</v>
      </c>
      <c r="C2002" s="1" t="s">
        <v>1776</v>
      </c>
      <c r="D2002" s="42">
        <v>-56583</v>
      </c>
      <c r="E2002" s="43">
        <v>0</v>
      </c>
      <c r="F2002" s="45">
        <v>-56583</v>
      </c>
      <c r="G2002" s="45">
        <v>-56583</v>
      </c>
      <c r="H2002" s="68">
        <v>-57461.22</v>
      </c>
      <c r="I2002" s="47">
        <f t="shared" ref="I2002:I2003" si="864">H2002/J2002</f>
        <v>1.0155209161762366</v>
      </c>
      <c r="J2002" s="48">
        <v>-56583</v>
      </c>
      <c r="K2002" s="49">
        <v>-56583</v>
      </c>
      <c r="L2002" s="50">
        <v>-56528.480000000003</v>
      </c>
      <c r="M2002" s="50">
        <v>-56582.76</v>
      </c>
      <c r="N2002" s="51">
        <v>-56582.76</v>
      </c>
      <c r="O2002" s="52">
        <v>56582.76</v>
      </c>
      <c r="P2002" s="53">
        <v>56454.16</v>
      </c>
      <c r="Q2002" s="54">
        <v>58232.27</v>
      </c>
      <c r="R2002" s="1"/>
      <c r="S2002" s="1"/>
      <c r="T2002" s="1"/>
    </row>
    <row r="2003" spans="1:20" ht="13.5" customHeight="1" x14ac:dyDescent="0.25">
      <c r="A2003" s="1"/>
      <c r="B2003" s="1" t="s">
        <v>1777</v>
      </c>
      <c r="C2003" s="1" t="s">
        <v>1778</v>
      </c>
      <c r="D2003" s="42">
        <v>-85000</v>
      </c>
      <c r="E2003" s="43">
        <v>-47289.52</v>
      </c>
      <c r="F2003" s="45">
        <v>-85000</v>
      </c>
      <c r="G2003" s="45">
        <v>-85000</v>
      </c>
      <c r="H2003" s="46">
        <v>-94703.88</v>
      </c>
      <c r="I2003" s="47">
        <f t="shared" si="864"/>
        <v>1.1141632941176471</v>
      </c>
      <c r="J2003" s="48">
        <v>-85000</v>
      </c>
      <c r="K2003" s="49">
        <v>-85000</v>
      </c>
      <c r="L2003" s="50">
        <v>-90228.03</v>
      </c>
      <c r="M2003" s="50">
        <v>-84405.64</v>
      </c>
      <c r="N2003" s="51">
        <v>-83336.759999999995</v>
      </c>
      <c r="O2003" s="52">
        <v>96605.11</v>
      </c>
      <c r="P2003" s="53">
        <v>80839.759999999995</v>
      </c>
      <c r="Q2003" s="54">
        <v>66112.320000000007</v>
      </c>
      <c r="R2003" s="1"/>
      <c r="S2003" s="1"/>
      <c r="T2003" s="1"/>
    </row>
    <row r="2004" spans="1:20" ht="13.5" customHeight="1" x14ac:dyDescent="0.25">
      <c r="A2004" s="1"/>
      <c r="B2004" s="1" t="s">
        <v>1779</v>
      </c>
      <c r="C2004" s="1" t="s">
        <v>1780</v>
      </c>
      <c r="D2004" s="42">
        <v>0</v>
      </c>
      <c r="E2004" s="43">
        <v>0</v>
      </c>
      <c r="F2004" s="73">
        <v>0</v>
      </c>
      <c r="G2004" s="73">
        <v>0</v>
      </c>
      <c r="H2004" s="68">
        <v>0</v>
      </c>
      <c r="I2004" s="47">
        <v>0</v>
      </c>
      <c r="J2004" s="75">
        <v>0</v>
      </c>
      <c r="K2004" s="76">
        <v>0</v>
      </c>
      <c r="L2004" s="77">
        <v>0</v>
      </c>
      <c r="M2004" s="50">
        <v>-212255</v>
      </c>
      <c r="N2004" s="53">
        <v>0</v>
      </c>
      <c r="O2004" s="52">
        <v>0</v>
      </c>
      <c r="P2004" s="53">
        <v>0</v>
      </c>
      <c r="Q2004" s="54">
        <v>0</v>
      </c>
      <c r="R2004" s="1"/>
      <c r="S2004" s="1"/>
      <c r="T2004" s="1"/>
    </row>
    <row r="2005" spans="1:20" ht="13.5" customHeight="1" x14ac:dyDescent="0.25">
      <c r="A2005" s="1"/>
      <c r="B2005" s="1" t="s">
        <v>1781</v>
      </c>
      <c r="C2005" s="1" t="s">
        <v>1782</v>
      </c>
      <c r="D2005" s="42">
        <v>-800000</v>
      </c>
      <c r="E2005" s="43">
        <v>-381720</v>
      </c>
      <c r="F2005" s="45">
        <v>-800000</v>
      </c>
      <c r="G2005" s="45">
        <v>-800000</v>
      </c>
      <c r="H2005" s="46">
        <v>-813960</v>
      </c>
      <c r="I2005" s="47">
        <f>H2005/J2005</f>
        <v>1.01745</v>
      </c>
      <c r="J2005" s="48">
        <v>-800000</v>
      </c>
      <c r="K2005" s="49">
        <v>-800000</v>
      </c>
      <c r="L2005" s="50">
        <v>-792270</v>
      </c>
      <c r="M2005" s="50">
        <v>-760320</v>
      </c>
      <c r="N2005" s="51">
        <v>-796190</v>
      </c>
      <c r="O2005" s="52">
        <v>735620</v>
      </c>
      <c r="P2005" s="53">
        <v>780284.1</v>
      </c>
      <c r="Q2005" s="54">
        <v>751946.6</v>
      </c>
      <c r="R2005" s="1"/>
      <c r="S2005" s="1"/>
      <c r="T2005" s="1"/>
    </row>
    <row r="2006" spans="1:20" ht="13.5" customHeight="1" x14ac:dyDescent="0.25">
      <c r="A2006" s="1"/>
      <c r="B2006" s="1"/>
      <c r="C2006" s="1"/>
      <c r="D2006" s="56">
        <v>-1301583</v>
      </c>
      <c r="E2006" s="57">
        <f t="shared" ref="E2006" si="865">SUM(E2000:E2005)</f>
        <v>-789309.10000000009</v>
      </c>
      <c r="F2006" s="58">
        <f>SUM(F1999:F2005)</f>
        <v>-1301583</v>
      </c>
      <c r="G2006" s="58">
        <v>-1301583</v>
      </c>
      <c r="H2006" s="59">
        <f>SUM(H2000:H2005)</f>
        <v>-1326671.8599999999</v>
      </c>
      <c r="I2006" s="59"/>
      <c r="J2006" s="60">
        <f t="shared" ref="J2006:Q2006" si="866">SUM(J2000:J2005)</f>
        <v>-1301583</v>
      </c>
      <c r="K2006" s="61">
        <f t="shared" si="866"/>
        <v>-1301583</v>
      </c>
      <c r="L2006" s="62">
        <f t="shared" si="866"/>
        <v>-1299085.52</v>
      </c>
      <c r="M2006" s="62">
        <f t="shared" si="866"/>
        <v>-1575602.1800000002</v>
      </c>
      <c r="N2006" s="63">
        <f t="shared" si="866"/>
        <v>-1399383.43</v>
      </c>
      <c r="O2006" s="64">
        <f t="shared" si="866"/>
        <v>1400388.77</v>
      </c>
      <c r="P2006" s="63">
        <f t="shared" si="866"/>
        <v>1313081.8900000001</v>
      </c>
      <c r="Q2006" s="65">
        <f t="shared" si="866"/>
        <v>1284974.9500000002</v>
      </c>
      <c r="R2006" s="1"/>
      <c r="S2006" s="1"/>
      <c r="T2006" s="1"/>
    </row>
    <row r="2007" spans="1:20" ht="13.5" customHeight="1" x14ac:dyDescent="0.25">
      <c r="A2007" s="1"/>
      <c r="B2007" s="1"/>
      <c r="C2007" s="1"/>
      <c r="D2007" s="42"/>
      <c r="E2007" s="44"/>
      <c r="F2007" s="45"/>
      <c r="G2007" s="45"/>
      <c r="H2007" s="66"/>
      <c r="I2007" s="66"/>
      <c r="J2007" s="48"/>
      <c r="K2007" s="49"/>
      <c r="L2007" s="50"/>
      <c r="M2007" s="50"/>
      <c r="N2007" s="51"/>
      <c r="O2007" s="52"/>
      <c r="P2007" s="53"/>
      <c r="Q2007" s="54"/>
      <c r="R2007" s="1"/>
      <c r="S2007" s="1"/>
      <c r="T2007" s="1"/>
    </row>
    <row r="2008" spans="1:20" ht="13.5" customHeight="1" x14ac:dyDescent="0.25">
      <c r="A2008" s="1"/>
      <c r="B2008" s="1" t="s">
        <v>1783</v>
      </c>
      <c r="C2008" s="1" t="s">
        <v>1784</v>
      </c>
      <c r="D2008" s="42">
        <v>-80000</v>
      </c>
      <c r="E2008" s="43">
        <v>-35794</v>
      </c>
      <c r="F2008" s="45">
        <v>-80000</v>
      </c>
      <c r="G2008" s="45">
        <v>-80000</v>
      </c>
      <c r="H2008" s="46">
        <v>-72045</v>
      </c>
      <c r="I2008" s="47">
        <f t="shared" ref="I2008:I2011" si="867">H2008/J2008</f>
        <v>0.90056250000000004</v>
      </c>
      <c r="J2008" s="48">
        <v>-80000</v>
      </c>
      <c r="K2008" s="49">
        <v>-80000</v>
      </c>
      <c r="L2008" s="50">
        <v>-72777</v>
      </c>
      <c r="M2008" s="50">
        <v>-80277.5</v>
      </c>
      <c r="N2008" s="51">
        <v>-55345.5</v>
      </c>
      <c r="O2008" s="52">
        <v>948.45</v>
      </c>
      <c r="P2008" s="53">
        <v>2360.61</v>
      </c>
      <c r="Q2008" s="54">
        <v>9200.48</v>
      </c>
      <c r="R2008" s="1"/>
      <c r="S2008" s="1"/>
      <c r="T2008" s="1"/>
    </row>
    <row r="2009" spans="1:20" ht="13.5" customHeight="1" x14ac:dyDescent="0.25">
      <c r="A2009" s="1"/>
      <c r="B2009" s="1" t="s">
        <v>1785</v>
      </c>
      <c r="C2009" s="1" t="s">
        <v>1786</v>
      </c>
      <c r="D2009" s="42">
        <v>-230000</v>
      </c>
      <c r="E2009" s="43">
        <v>-150781</v>
      </c>
      <c r="F2009" s="45">
        <v>-200000</v>
      </c>
      <c r="G2009" s="45">
        <v>-200000</v>
      </c>
      <c r="H2009" s="46">
        <v>-241988</v>
      </c>
      <c r="I2009" s="47">
        <f t="shared" si="867"/>
        <v>1.20994</v>
      </c>
      <c r="J2009" s="48">
        <v>-200000</v>
      </c>
      <c r="K2009" s="49">
        <v>-200000</v>
      </c>
      <c r="L2009" s="50">
        <v>-191665</v>
      </c>
      <c r="M2009" s="50">
        <v>-175475</v>
      </c>
      <c r="N2009" s="51">
        <v>-164316</v>
      </c>
      <c r="O2009" s="52">
        <v>47669.5</v>
      </c>
      <c r="P2009" s="53">
        <v>39852</v>
      </c>
      <c r="Q2009" s="54">
        <v>41018</v>
      </c>
      <c r="R2009" s="1"/>
      <c r="S2009" s="1"/>
      <c r="T2009" s="1"/>
    </row>
    <row r="2010" spans="1:20" ht="13.5" customHeight="1" x14ac:dyDescent="0.25">
      <c r="A2010" s="1"/>
      <c r="B2010" s="1" t="s">
        <v>1787</v>
      </c>
      <c r="C2010" s="1" t="s">
        <v>1788</v>
      </c>
      <c r="D2010" s="42">
        <v>-80000</v>
      </c>
      <c r="E2010" s="43">
        <v>-51693</v>
      </c>
      <c r="F2010" s="45">
        <v>-80000</v>
      </c>
      <c r="G2010" s="45">
        <v>-80000</v>
      </c>
      <c r="H2010" s="46">
        <v>-88582</v>
      </c>
      <c r="I2010" s="47">
        <f t="shared" si="867"/>
        <v>1.107275</v>
      </c>
      <c r="J2010" s="48">
        <v>-80000</v>
      </c>
      <c r="K2010" s="49">
        <v>-80000</v>
      </c>
      <c r="L2010" s="50">
        <v>-85636</v>
      </c>
      <c r="M2010" s="50">
        <v>-77632</v>
      </c>
      <c r="N2010" s="51">
        <v>-74659</v>
      </c>
      <c r="O2010" s="52">
        <v>172275</v>
      </c>
      <c r="P2010" s="53">
        <v>144740</v>
      </c>
      <c r="Q2010" s="54">
        <v>124270</v>
      </c>
      <c r="R2010" s="1"/>
      <c r="S2010" s="1"/>
      <c r="T2010" s="1"/>
    </row>
    <row r="2011" spans="1:20" ht="13.5" customHeight="1" x14ac:dyDescent="0.25">
      <c r="A2011" s="1"/>
      <c r="B2011" s="1" t="s">
        <v>1789</v>
      </c>
      <c r="C2011" s="1" t="s">
        <v>1790</v>
      </c>
      <c r="D2011" s="42">
        <v>-70000</v>
      </c>
      <c r="E2011" s="43">
        <v>-37767.199999999997</v>
      </c>
      <c r="F2011" s="45">
        <v>-70000</v>
      </c>
      <c r="G2011" s="45">
        <v>-70000</v>
      </c>
      <c r="H2011" s="46">
        <v>-61567</v>
      </c>
      <c r="I2011" s="47">
        <f t="shared" si="867"/>
        <v>0.9471846153846154</v>
      </c>
      <c r="J2011" s="48">
        <v>-65000</v>
      </c>
      <c r="K2011" s="49">
        <v>-65000</v>
      </c>
      <c r="L2011" s="50">
        <v>-69429.3</v>
      </c>
      <c r="M2011" s="50">
        <v>-53475.75</v>
      </c>
      <c r="N2011" s="51">
        <v>-45917</v>
      </c>
      <c r="O2011" s="52">
        <v>65988</v>
      </c>
      <c r="P2011" s="53">
        <v>63351</v>
      </c>
      <c r="Q2011" s="54">
        <v>61276.34</v>
      </c>
      <c r="R2011" s="1"/>
      <c r="S2011" s="1"/>
      <c r="T2011" s="1"/>
    </row>
    <row r="2012" spans="1:20" ht="13.5" customHeight="1" x14ac:dyDescent="0.25">
      <c r="A2012" s="1"/>
      <c r="B2012" s="1"/>
      <c r="C2012" s="1"/>
      <c r="D2012" s="56">
        <v>-460000</v>
      </c>
      <c r="E2012" s="57">
        <f t="shared" ref="E2012" si="868">SUM(E2008:E2011)</f>
        <v>-276035.20000000001</v>
      </c>
      <c r="F2012" s="58">
        <f>SUM(F2007:F2011)</f>
        <v>-430000</v>
      </c>
      <c r="G2012" s="58">
        <v>-430000</v>
      </c>
      <c r="H2012" s="59">
        <f>SUM(H2008:H2011)</f>
        <v>-464182</v>
      </c>
      <c r="I2012" s="59"/>
      <c r="J2012" s="60">
        <f t="shared" ref="J2012:Q2012" si="869">SUM(J2008:J2011)</f>
        <v>-425000</v>
      </c>
      <c r="K2012" s="61">
        <f t="shared" si="869"/>
        <v>-425000</v>
      </c>
      <c r="L2012" s="62">
        <f t="shared" si="869"/>
        <v>-419507.3</v>
      </c>
      <c r="M2012" s="62">
        <f t="shared" si="869"/>
        <v>-386860.25</v>
      </c>
      <c r="N2012" s="63">
        <f t="shared" si="869"/>
        <v>-340237.5</v>
      </c>
      <c r="O2012" s="64">
        <f t="shared" si="869"/>
        <v>286880.95</v>
      </c>
      <c r="P2012" s="63">
        <f t="shared" si="869"/>
        <v>250303.61</v>
      </c>
      <c r="Q2012" s="65">
        <f t="shared" si="869"/>
        <v>235764.81999999998</v>
      </c>
      <c r="R2012" s="1"/>
      <c r="S2012" s="1"/>
      <c r="T2012" s="1"/>
    </row>
    <row r="2013" spans="1:20" ht="13.5" customHeight="1" x14ac:dyDescent="0.25">
      <c r="A2013" s="1"/>
      <c r="B2013" s="1"/>
      <c r="C2013" s="1"/>
      <c r="D2013" s="42"/>
      <c r="E2013" s="44"/>
      <c r="F2013" s="45"/>
      <c r="G2013" s="45"/>
      <c r="H2013" s="66"/>
      <c r="I2013" s="66"/>
      <c r="J2013" s="48"/>
      <c r="K2013" s="49"/>
      <c r="L2013" s="50"/>
      <c r="M2013" s="50"/>
      <c r="N2013" s="51"/>
      <c r="O2013" s="52"/>
      <c r="P2013" s="53"/>
      <c r="Q2013" s="54"/>
      <c r="R2013" s="1"/>
      <c r="S2013" s="1"/>
      <c r="T2013" s="1"/>
    </row>
    <row r="2014" spans="1:20" ht="13.5" customHeight="1" x14ac:dyDescent="0.25">
      <c r="A2014" s="1"/>
      <c r="B2014" s="1" t="s">
        <v>1791</v>
      </c>
      <c r="C2014" s="1" t="s">
        <v>196</v>
      </c>
      <c r="D2014" s="42">
        <v>-20000</v>
      </c>
      <c r="E2014" s="67"/>
      <c r="F2014" s="45">
        <v>-50000</v>
      </c>
      <c r="G2014" s="45">
        <v>-50000</v>
      </c>
      <c r="H2014" s="68">
        <v>-45934.71</v>
      </c>
      <c r="I2014" s="47">
        <f>H2014/J2014</f>
        <v>1.6405253571428571</v>
      </c>
      <c r="J2014" s="48">
        <v>-28000</v>
      </c>
      <c r="K2014" s="49">
        <v>-28000</v>
      </c>
      <c r="L2014" s="50">
        <v>-42958.05</v>
      </c>
      <c r="M2014" s="50">
        <v>-14415.22</v>
      </c>
      <c r="N2014" s="51">
        <v>-7368.84</v>
      </c>
      <c r="O2014" s="52">
        <v>41651.75</v>
      </c>
      <c r="P2014" s="53">
        <v>36389</v>
      </c>
      <c r="Q2014" s="54">
        <v>33997</v>
      </c>
      <c r="R2014" s="1"/>
      <c r="S2014" s="1"/>
      <c r="T2014" s="1"/>
    </row>
    <row r="2015" spans="1:20" ht="13.5" customHeight="1" x14ac:dyDescent="0.25">
      <c r="A2015" s="1"/>
      <c r="B2015" s="1" t="s">
        <v>1792</v>
      </c>
      <c r="C2015" s="1" t="s">
        <v>200</v>
      </c>
      <c r="D2015" s="42">
        <v>0</v>
      </c>
      <c r="E2015" s="70">
        <v>-64044.54</v>
      </c>
      <c r="F2015" s="73">
        <v>0</v>
      </c>
      <c r="G2015" s="73">
        <v>0</v>
      </c>
      <c r="H2015" s="68">
        <v>-10000</v>
      </c>
      <c r="I2015" s="47">
        <v>0</v>
      </c>
      <c r="J2015" s="75">
        <v>0</v>
      </c>
      <c r="K2015" s="76">
        <v>0</v>
      </c>
      <c r="L2015" s="50">
        <v>-41779.050000000003</v>
      </c>
      <c r="M2015" s="50">
        <v>-43616.52</v>
      </c>
      <c r="N2015" s="51">
        <v>-15448.4</v>
      </c>
      <c r="O2015" s="52">
        <v>0</v>
      </c>
      <c r="P2015" s="53">
        <v>0</v>
      </c>
      <c r="Q2015" s="54">
        <v>0</v>
      </c>
      <c r="R2015" s="1"/>
      <c r="S2015" s="1"/>
      <c r="T2015" s="1"/>
    </row>
    <row r="2016" spans="1:20" ht="13.5" customHeight="1" x14ac:dyDescent="0.25">
      <c r="A2016" s="1"/>
      <c r="B2016" s="1" t="s">
        <v>1793</v>
      </c>
      <c r="C2016" s="1" t="s">
        <v>224</v>
      </c>
      <c r="D2016" s="42">
        <v>0</v>
      </c>
      <c r="E2016" s="43">
        <v>-26060.68</v>
      </c>
      <c r="F2016" s="73">
        <v>0</v>
      </c>
      <c r="G2016" s="73">
        <v>0</v>
      </c>
      <c r="H2016" s="46">
        <v>-64901.43</v>
      </c>
      <c r="I2016" s="47">
        <v>0</v>
      </c>
      <c r="J2016" s="75">
        <v>0</v>
      </c>
      <c r="K2016" s="76">
        <v>0</v>
      </c>
      <c r="L2016" s="50">
        <v>-178882.54</v>
      </c>
      <c r="M2016" s="50">
        <v>-217098.77</v>
      </c>
      <c r="N2016" s="51">
        <v>-936813.31</v>
      </c>
      <c r="O2016" s="52">
        <v>476767.13</v>
      </c>
      <c r="P2016" s="53">
        <v>359488.64</v>
      </c>
      <c r="Q2016" s="54">
        <v>102800.15</v>
      </c>
      <c r="R2016" s="1"/>
      <c r="S2016" s="1"/>
      <c r="T2016" s="1"/>
    </row>
    <row r="2017" spans="1:20" ht="13.5" customHeight="1" x14ac:dyDescent="0.25">
      <c r="A2017" s="1"/>
      <c r="B2017" s="1" t="s">
        <v>1794</v>
      </c>
      <c r="C2017" s="1" t="s">
        <v>1795</v>
      </c>
      <c r="D2017" s="42">
        <v>-16800</v>
      </c>
      <c r="E2017" s="43">
        <v>-16800</v>
      </c>
      <c r="F2017" s="45">
        <v>-416800</v>
      </c>
      <c r="G2017" s="45">
        <v>-416800</v>
      </c>
      <c r="H2017" s="66">
        <v>-16800</v>
      </c>
      <c r="I2017" s="47">
        <f>H2017/J2017</f>
        <v>4.0307101727447218E-2</v>
      </c>
      <c r="J2017" s="48">
        <v>-416800</v>
      </c>
      <c r="K2017" s="49">
        <v>-416800</v>
      </c>
      <c r="L2017" s="50">
        <v>-16800</v>
      </c>
      <c r="M2017" s="50">
        <v>-16800</v>
      </c>
      <c r="N2017" s="51">
        <v>-16800</v>
      </c>
      <c r="O2017" s="52">
        <v>0</v>
      </c>
      <c r="P2017" s="53">
        <v>0</v>
      </c>
      <c r="Q2017" s="54">
        <v>27993.360000000001</v>
      </c>
      <c r="R2017" s="1"/>
      <c r="S2017" s="1"/>
      <c r="T2017" s="1"/>
    </row>
    <row r="2018" spans="1:20" ht="13.5" customHeight="1" x14ac:dyDescent="0.25">
      <c r="A2018" s="1"/>
      <c r="B2018" s="1"/>
      <c r="C2018" s="1"/>
      <c r="D2018" s="56">
        <v>-36800</v>
      </c>
      <c r="E2018" s="57">
        <f t="shared" ref="E2018" si="870">SUM(E2014:E2017)</f>
        <v>-106905.22</v>
      </c>
      <c r="F2018" s="58">
        <f>SUM(F2013:F2017)</f>
        <v>-466800</v>
      </c>
      <c r="G2018" s="58">
        <v>-466800</v>
      </c>
      <c r="H2018" s="59">
        <f>SUM(H2014:H2017)</f>
        <v>-137636.14000000001</v>
      </c>
      <c r="I2018" s="59"/>
      <c r="J2018" s="60">
        <f t="shared" ref="J2018:Q2018" si="871">SUM(J2014:J2017)</f>
        <v>-444800</v>
      </c>
      <c r="K2018" s="61">
        <f t="shared" si="871"/>
        <v>-444800</v>
      </c>
      <c r="L2018" s="62">
        <f t="shared" si="871"/>
        <v>-280419.64</v>
      </c>
      <c r="M2018" s="62">
        <f t="shared" si="871"/>
        <v>-291930.51</v>
      </c>
      <c r="N2018" s="63">
        <f t="shared" si="871"/>
        <v>-976430.55</v>
      </c>
      <c r="O2018" s="64">
        <f t="shared" si="871"/>
        <v>518418.88</v>
      </c>
      <c r="P2018" s="63">
        <f t="shared" si="871"/>
        <v>395877.64</v>
      </c>
      <c r="Q2018" s="65">
        <f t="shared" si="871"/>
        <v>164790.51</v>
      </c>
      <c r="R2018" s="1"/>
      <c r="S2018" s="1"/>
      <c r="T2018" s="1"/>
    </row>
    <row r="2019" spans="1:20" ht="13.5" customHeight="1" thickBot="1" x14ac:dyDescent="0.3">
      <c r="A2019" s="1"/>
      <c r="B2019" s="1"/>
      <c r="C2019" s="41" t="s">
        <v>1796</v>
      </c>
      <c r="D2019" s="252">
        <v>-7505786.7999999998</v>
      </c>
      <c r="E2019" s="253">
        <f t="shared" ref="E2019" si="872">SUM(E1998+E2006+E2012+E2018)</f>
        <v>-6346278.0199999996</v>
      </c>
      <c r="F2019" s="254">
        <f>SUM(F1998,F2006,F2012,F2018)</f>
        <v>-7605858</v>
      </c>
      <c r="G2019" s="254">
        <v>-7605858</v>
      </c>
      <c r="H2019" s="255">
        <f>SUM(H1998+H2006+H2012+H2018)</f>
        <v>-6843594.8600000003</v>
      </c>
      <c r="I2019" s="255"/>
      <c r="J2019" s="256">
        <f t="shared" ref="J2019:Q2019" si="873">SUM(J1998+J2006+J2012+J2018)</f>
        <v>-7335903</v>
      </c>
      <c r="K2019" s="257">
        <f t="shared" si="873"/>
        <v>-7335903</v>
      </c>
      <c r="L2019" s="258">
        <f t="shared" si="873"/>
        <v>-6229492.0800000001</v>
      </c>
      <c r="M2019" s="258">
        <f t="shared" si="873"/>
        <v>-6388227.7799999993</v>
      </c>
      <c r="N2019" s="264">
        <f t="shared" si="873"/>
        <v>-6627706.71</v>
      </c>
      <c r="O2019" s="260">
        <f t="shared" si="873"/>
        <v>6153877.6400000006</v>
      </c>
      <c r="P2019" s="264">
        <f t="shared" si="873"/>
        <v>5783720.8200000003</v>
      </c>
      <c r="Q2019" s="261">
        <f t="shared" si="873"/>
        <v>5236854.9600000009</v>
      </c>
      <c r="R2019" s="1"/>
      <c r="S2019" s="1"/>
      <c r="T2019" s="1"/>
    </row>
    <row r="2020" spans="1:20" ht="13.5" customHeight="1" thickTop="1" x14ac:dyDescent="0.25">
      <c r="A2020" s="1"/>
      <c r="B2020" s="1"/>
      <c r="C2020" s="1"/>
      <c r="D2020" s="42"/>
      <c r="E2020" s="44"/>
      <c r="F2020" s="45"/>
      <c r="G2020" s="45"/>
      <c r="H2020" s="66"/>
      <c r="I2020" s="66"/>
      <c r="J2020" s="48"/>
      <c r="K2020" s="49"/>
      <c r="L2020" s="50"/>
      <c r="M2020" s="50"/>
      <c r="N2020" s="51"/>
      <c r="O2020" s="151"/>
      <c r="P2020" s="51"/>
      <c r="Q2020" s="152"/>
      <c r="R2020" s="1"/>
      <c r="S2020" s="1"/>
      <c r="T2020" s="1"/>
    </row>
    <row r="2021" spans="1:20" ht="13.5" customHeight="1" x14ac:dyDescent="0.25">
      <c r="A2021" s="1"/>
      <c r="B2021" s="1"/>
      <c r="C2021" s="1"/>
      <c r="D2021" s="42"/>
      <c r="E2021" s="44"/>
      <c r="F2021" s="45"/>
      <c r="G2021" s="45"/>
      <c r="H2021" s="66"/>
      <c r="I2021" s="66"/>
      <c r="J2021" s="48"/>
      <c r="K2021" s="49"/>
      <c r="L2021" s="50"/>
      <c r="M2021" s="50"/>
      <c r="N2021" s="51"/>
      <c r="O2021" s="151"/>
      <c r="P2021" s="51"/>
      <c r="Q2021" s="152"/>
      <c r="R2021" s="1"/>
      <c r="S2021" s="1"/>
      <c r="T2021" s="1"/>
    </row>
    <row r="2022" spans="1:20" ht="13.5" customHeight="1" x14ac:dyDescent="0.25">
      <c r="A2022" s="41" t="s">
        <v>230</v>
      </c>
      <c r="B2022" s="1"/>
      <c r="C2022" s="1"/>
      <c r="D2022" s="42"/>
      <c r="E2022" s="44"/>
      <c r="F2022" s="45"/>
      <c r="G2022" s="45"/>
      <c r="H2022" s="66"/>
      <c r="I2022" s="66"/>
      <c r="J2022" s="48"/>
      <c r="K2022" s="49"/>
      <c r="L2022" s="50"/>
      <c r="M2022" s="50"/>
      <c r="N2022" s="51"/>
      <c r="O2022" s="52"/>
      <c r="P2022" s="53"/>
      <c r="Q2022" s="54"/>
      <c r="R2022" s="1"/>
      <c r="S2022" s="1"/>
      <c r="T2022" s="1"/>
    </row>
    <row r="2023" spans="1:20" ht="13.5" customHeight="1" x14ac:dyDescent="0.25">
      <c r="A2023" s="41"/>
      <c r="B2023" s="1"/>
      <c r="C2023" s="41" t="s">
        <v>1797</v>
      </c>
      <c r="D2023" s="42"/>
      <c r="E2023" s="44"/>
      <c r="F2023" s="45"/>
      <c r="G2023" s="45"/>
      <c r="H2023" s="66"/>
      <c r="I2023" s="66"/>
      <c r="J2023" s="48"/>
      <c r="K2023" s="49"/>
      <c r="L2023" s="50"/>
      <c r="M2023" s="50"/>
      <c r="N2023" s="51"/>
      <c r="O2023" s="52"/>
      <c r="P2023" s="53"/>
      <c r="Q2023" s="54"/>
      <c r="R2023" s="1"/>
      <c r="S2023" s="1"/>
      <c r="T2023" s="1"/>
    </row>
    <row r="2024" spans="1:20" ht="13.5" customHeight="1" x14ac:dyDescent="0.25">
      <c r="A2024" s="1"/>
      <c r="B2024" s="1" t="s">
        <v>1798</v>
      </c>
      <c r="C2024" s="1" t="s">
        <v>289</v>
      </c>
      <c r="D2024" s="42">
        <v>41425</v>
      </c>
      <c r="E2024" s="43">
        <v>10342.08</v>
      </c>
      <c r="F2024" s="45">
        <v>41425</v>
      </c>
      <c r="G2024" s="45">
        <v>41425</v>
      </c>
      <c r="H2024" s="46">
        <v>20323.560000000001</v>
      </c>
      <c r="I2024" s="47">
        <f>H2024/J2024</f>
        <v>0.50166765402843605</v>
      </c>
      <c r="J2024" s="48">
        <v>40512</v>
      </c>
      <c r="K2024" s="49">
        <v>40512</v>
      </c>
      <c r="L2024" s="50">
        <v>26162.7</v>
      </c>
      <c r="M2024" s="50">
        <v>32912.120000000003</v>
      </c>
      <c r="N2024" s="51">
        <v>31312</v>
      </c>
      <c r="O2024" s="52">
        <v>32861.4</v>
      </c>
      <c r="P2024" s="53">
        <v>33169.040000000001</v>
      </c>
      <c r="Q2024" s="54">
        <v>27211.8</v>
      </c>
      <c r="R2024" s="1"/>
      <c r="S2024" s="1"/>
      <c r="T2024" s="1"/>
    </row>
    <row r="2025" spans="1:20" ht="13.5" customHeight="1" x14ac:dyDescent="0.25">
      <c r="A2025" s="1"/>
      <c r="B2025" s="1" t="s">
        <v>1799</v>
      </c>
      <c r="C2025" s="55" t="s">
        <v>1800</v>
      </c>
      <c r="D2025" s="42">
        <v>0</v>
      </c>
      <c r="E2025" s="43">
        <v>0</v>
      </c>
      <c r="F2025" s="73">
        <v>0</v>
      </c>
      <c r="G2025" s="73">
        <v>0</v>
      </c>
      <c r="H2025" s="74">
        <v>0</v>
      </c>
      <c r="I2025" s="183">
        <v>0</v>
      </c>
      <c r="J2025" s="75">
        <v>0</v>
      </c>
      <c r="K2025" s="76">
        <v>0</v>
      </c>
      <c r="L2025" s="77">
        <v>0</v>
      </c>
      <c r="M2025" s="50">
        <v>100187.29</v>
      </c>
      <c r="N2025" s="51">
        <v>102258.53</v>
      </c>
      <c r="O2025" s="52">
        <v>0</v>
      </c>
      <c r="P2025" s="53">
        <v>0</v>
      </c>
      <c r="Q2025" s="54">
        <v>0</v>
      </c>
      <c r="R2025" s="1"/>
      <c r="S2025" s="1"/>
      <c r="T2025" s="1"/>
    </row>
    <row r="2026" spans="1:20" ht="13.5" customHeight="1" x14ac:dyDescent="0.25">
      <c r="A2026" s="1"/>
      <c r="B2026" s="1"/>
      <c r="C2026" s="1"/>
      <c r="D2026" s="88">
        <v>41425</v>
      </c>
      <c r="E2026" s="89">
        <f t="shared" ref="E2026" si="874">SUM(E2024:E2025)</f>
        <v>10342.08</v>
      </c>
      <c r="F2026" s="90">
        <f>SUM(F2023:F2025)</f>
        <v>41425</v>
      </c>
      <c r="G2026" s="90">
        <v>41425</v>
      </c>
      <c r="H2026" s="91">
        <f>SUM(H2024:H2025)</f>
        <v>20323.560000000001</v>
      </c>
      <c r="I2026" s="91"/>
      <c r="J2026" s="92">
        <f t="shared" ref="J2026:Q2026" si="875">SUM(J2024:J2025)</f>
        <v>40512</v>
      </c>
      <c r="K2026" s="93">
        <f t="shared" si="875"/>
        <v>40512</v>
      </c>
      <c r="L2026" s="94">
        <f t="shared" si="875"/>
        <v>26162.7</v>
      </c>
      <c r="M2026" s="94">
        <f t="shared" si="875"/>
        <v>133099.41</v>
      </c>
      <c r="N2026" s="95">
        <f t="shared" si="875"/>
        <v>133570.53</v>
      </c>
      <c r="O2026" s="96">
        <f t="shared" si="875"/>
        <v>32861.4</v>
      </c>
      <c r="P2026" s="95">
        <f t="shared" si="875"/>
        <v>33169.040000000001</v>
      </c>
      <c r="Q2026" s="97">
        <f t="shared" si="875"/>
        <v>27211.8</v>
      </c>
      <c r="R2026" s="1"/>
      <c r="S2026" s="1"/>
      <c r="T2026" s="1"/>
    </row>
    <row r="2027" spans="1:20" ht="13.5" customHeight="1" x14ac:dyDescent="0.25">
      <c r="A2027" s="1"/>
      <c r="B2027" s="1"/>
      <c r="C2027" s="1"/>
      <c r="D2027" s="72"/>
      <c r="E2027" s="67"/>
      <c r="F2027" s="73"/>
      <c r="G2027" s="73"/>
      <c r="H2027" s="74"/>
      <c r="I2027" s="74"/>
      <c r="J2027" s="75"/>
      <c r="K2027" s="76"/>
      <c r="L2027" s="77"/>
      <c r="M2027" s="50"/>
      <c r="N2027" s="51"/>
      <c r="O2027" s="52"/>
      <c r="P2027" s="53"/>
      <c r="Q2027" s="54"/>
      <c r="R2027" s="1"/>
      <c r="S2027" s="1"/>
      <c r="T2027" s="1"/>
    </row>
    <row r="2028" spans="1:20" ht="13.5" customHeight="1" x14ac:dyDescent="0.25">
      <c r="A2028" s="1"/>
      <c r="B2028" s="1" t="s">
        <v>1801</v>
      </c>
      <c r="C2028" s="1" t="s">
        <v>306</v>
      </c>
      <c r="D2028" s="42">
        <v>300</v>
      </c>
      <c r="E2028" s="43">
        <v>0</v>
      </c>
      <c r="F2028" s="45">
        <v>300</v>
      </c>
      <c r="G2028" s="45">
        <v>300</v>
      </c>
      <c r="H2028" s="74">
        <v>0</v>
      </c>
      <c r="I2028" s="47">
        <f t="shared" ref="I2028:I2030" si="876">H2028/J2028</f>
        <v>0</v>
      </c>
      <c r="J2028" s="48">
        <v>300</v>
      </c>
      <c r="K2028" s="49">
        <v>300</v>
      </c>
      <c r="L2028" s="77">
        <v>0</v>
      </c>
      <c r="M2028" s="77">
        <v>0</v>
      </c>
      <c r="N2028" s="51">
        <v>185</v>
      </c>
      <c r="O2028" s="52">
        <v>0</v>
      </c>
      <c r="P2028" s="53">
        <v>0</v>
      </c>
      <c r="Q2028" s="54">
        <v>0</v>
      </c>
      <c r="R2028" s="1"/>
      <c r="S2028" s="1"/>
      <c r="T2028" s="1"/>
    </row>
    <row r="2029" spans="1:20" ht="13.5" customHeight="1" x14ac:dyDescent="0.25">
      <c r="A2029" s="1"/>
      <c r="B2029" s="1" t="s">
        <v>1802</v>
      </c>
      <c r="C2029" s="1" t="s">
        <v>1143</v>
      </c>
      <c r="D2029" s="42">
        <v>1500</v>
      </c>
      <c r="E2029" s="43">
        <v>337</v>
      </c>
      <c r="F2029" s="45">
        <v>1500</v>
      </c>
      <c r="G2029" s="45">
        <v>1500</v>
      </c>
      <c r="H2029" s="46">
        <v>1379.12</v>
      </c>
      <c r="I2029" s="47">
        <f t="shared" si="876"/>
        <v>0.9194133333333333</v>
      </c>
      <c r="J2029" s="48">
        <v>1500</v>
      </c>
      <c r="K2029" s="49">
        <v>1500</v>
      </c>
      <c r="L2029" s="50">
        <v>1133.3800000000001</v>
      </c>
      <c r="M2029" s="50">
        <v>962.77</v>
      </c>
      <c r="N2029" s="51">
        <v>886.92</v>
      </c>
      <c r="O2029" s="52">
        <v>984.84</v>
      </c>
      <c r="P2029" s="53">
        <v>952.34</v>
      </c>
      <c r="Q2029" s="54">
        <v>1823.96</v>
      </c>
      <c r="R2029" s="1"/>
      <c r="S2029" s="1"/>
      <c r="T2029" s="1"/>
    </row>
    <row r="2030" spans="1:20" ht="13.5" customHeight="1" x14ac:dyDescent="0.25">
      <c r="A2030" s="1"/>
      <c r="B2030" s="1" t="s">
        <v>1803</v>
      </c>
      <c r="C2030" s="1" t="s">
        <v>1145</v>
      </c>
      <c r="D2030" s="42">
        <v>1500</v>
      </c>
      <c r="E2030" s="43">
        <v>390.59</v>
      </c>
      <c r="F2030" s="45">
        <v>1500</v>
      </c>
      <c r="G2030" s="45">
        <v>1500</v>
      </c>
      <c r="H2030" s="46">
        <v>1013.1</v>
      </c>
      <c r="I2030" s="47">
        <f t="shared" si="876"/>
        <v>0.6754</v>
      </c>
      <c r="J2030" s="48">
        <v>1500</v>
      </c>
      <c r="K2030" s="49">
        <v>1500</v>
      </c>
      <c r="L2030" s="50">
        <v>654.01</v>
      </c>
      <c r="M2030" s="50">
        <v>653.01</v>
      </c>
      <c r="N2030" s="51">
        <v>1087.74</v>
      </c>
      <c r="O2030" s="52">
        <v>1394.27</v>
      </c>
      <c r="P2030" s="53">
        <v>1686.29</v>
      </c>
      <c r="Q2030" s="54">
        <v>1427.09</v>
      </c>
      <c r="R2030" s="1"/>
      <c r="S2030" s="1"/>
      <c r="T2030" s="1"/>
    </row>
    <row r="2031" spans="1:20" ht="13.5" customHeight="1" x14ac:dyDescent="0.25">
      <c r="A2031" s="1"/>
      <c r="B2031" s="55" t="s">
        <v>1804</v>
      </c>
      <c r="C2031" s="55" t="s">
        <v>1805</v>
      </c>
      <c r="D2031" s="42">
        <v>0</v>
      </c>
      <c r="E2031" s="70">
        <v>1244.08</v>
      </c>
      <c r="F2031" s="73"/>
      <c r="G2031" s="73"/>
      <c r="H2031" s="74"/>
      <c r="I2031" s="115"/>
      <c r="J2031" s="75"/>
      <c r="K2031" s="76"/>
      <c r="L2031" s="77"/>
      <c r="M2031" s="77"/>
      <c r="N2031" s="51"/>
      <c r="O2031" s="52"/>
      <c r="P2031" s="53"/>
      <c r="Q2031" s="54"/>
      <c r="R2031" s="1"/>
      <c r="S2031" s="1"/>
      <c r="T2031" s="1"/>
    </row>
    <row r="2032" spans="1:20" ht="13.5" customHeight="1" x14ac:dyDescent="0.25">
      <c r="A2032" s="1"/>
      <c r="B2032" s="1" t="s">
        <v>1806</v>
      </c>
      <c r="C2032" s="1" t="s">
        <v>1807</v>
      </c>
      <c r="D2032" s="42">
        <v>0</v>
      </c>
      <c r="E2032" s="70">
        <v>0</v>
      </c>
      <c r="F2032" s="73">
        <v>0</v>
      </c>
      <c r="G2032" s="73">
        <v>0</v>
      </c>
      <c r="H2032" s="74" t="s">
        <v>16</v>
      </c>
      <c r="I2032" s="115" t="s">
        <v>3</v>
      </c>
      <c r="J2032" s="75" t="s">
        <v>16</v>
      </c>
      <c r="K2032" s="76" t="s">
        <v>16</v>
      </c>
      <c r="L2032" s="77" t="s">
        <v>16</v>
      </c>
      <c r="M2032" s="77" t="s">
        <v>16</v>
      </c>
      <c r="N2032" s="51">
        <v>3956</v>
      </c>
      <c r="O2032" s="52">
        <v>0</v>
      </c>
      <c r="P2032" s="53">
        <v>0</v>
      </c>
      <c r="Q2032" s="54">
        <v>0</v>
      </c>
      <c r="R2032" s="1"/>
      <c r="S2032" s="1"/>
      <c r="T2032" s="1"/>
    </row>
    <row r="2033" spans="1:20" ht="13.5" customHeight="1" x14ac:dyDescent="0.25">
      <c r="A2033" s="1"/>
      <c r="B2033" s="1"/>
      <c r="C2033" s="1"/>
      <c r="D2033" s="88">
        <v>3300</v>
      </c>
      <c r="E2033" s="89">
        <f t="shared" ref="E2033" si="877">SUM(E2028:E2032)</f>
        <v>1971.6699999999998</v>
      </c>
      <c r="F2033" s="90">
        <f>SUM(F2027:F2030)</f>
        <v>3300</v>
      </c>
      <c r="G2033" s="90">
        <v>3300</v>
      </c>
      <c r="H2033" s="91">
        <f>SUM(H2028:H2032)</f>
        <v>2392.2199999999998</v>
      </c>
      <c r="I2033" s="91"/>
      <c r="J2033" s="92">
        <f t="shared" ref="J2033:Q2033" si="878">SUM(J2028:J2032)</f>
        <v>3300</v>
      </c>
      <c r="K2033" s="93">
        <f t="shared" si="878"/>
        <v>3300</v>
      </c>
      <c r="L2033" s="94">
        <f t="shared" si="878"/>
        <v>1787.39</v>
      </c>
      <c r="M2033" s="94">
        <f t="shared" si="878"/>
        <v>1615.78</v>
      </c>
      <c r="N2033" s="95">
        <f t="shared" si="878"/>
        <v>6115.66</v>
      </c>
      <c r="O2033" s="96">
        <f t="shared" si="878"/>
        <v>2379.11</v>
      </c>
      <c r="P2033" s="95">
        <f t="shared" si="878"/>
        <v>2638.63</v>
      </c>
      <c r="Q2033" s="97">
        <f t="shared" si="878"/>
        <v>3251.05</v>
      </c>
      <c r="R2033" s="1"/>
      <c r="S2033" s="1"/>
      <c r="T2033" s="1"/>
    </row>
    <row r="2034" spans="1:20" ht="13.5" customHeight="1" x14ac:dyDescent="0.25">
      <c r="A2034" s="1"/>
      <c r="B2034" s="1"/>
      <c r="C2034" s="1"/>
      <c r="D2034" s="72"/>
      <c r="E2034" s="67"/>
      <c r="F2034" s="73"/>
      <c r="G2034" s="73"/>
      <c r="H2034" s="74"/>
      <c r="I2034" s="74"/>
      <c r="J2034" s="75"/>
      <c r="K2034" s="76"/>
      <c r="L2034" s="77"/>
      <c r="M2034" s="77"/>
      <c r="N2034" s="51"/>
      <c r="O2034" s="52"/>
      <c r="P2034" s="53"/>
      <c r="Q2034" s="54"/>
      <c r="R2034" s="1"/>
      <c r="S2034" s="1"/>
      <c r="T2034" s="1"/>
    </row>
    <row r="2035" spans="1:20" ht="13.5" customHeight="1" x14ac:dyDescent="0.25">
      <c r="A2035" s="1"/>
      <c r="B2035" s="1" t="s">
        <v>1808</v>
      </c>
      <c r="C2035" s="78" t="s">
        <v>1809</v>
      </c>
      <c r="D2035" s="42">
        <v>4000</v>
      </c>
      <c r="E2035" s="43">
        <v>237.5</v>
      </c>
      <c r="F2035" s="45">
        <v>1000</v>
      </c>
      <c r="G2035" s="45">
        <v>1000</v>
      </c>
      <c r="H2035" s="46">
        <v>492</v>
      </c>
      <c r="I2035" s="47">
        <f>H2035/J2035</f>
        <v>0.49199999999999999</v>
      </c>
      <c r="J2035" s="48">
        <v>1000</v>
      </c>
      <c r="K2035" s="49">
        <v>1000</v>
      </c>
      <c r="L2035" s="50">
        <v>853</v>
      </c>
      <c r="M2035" s="50">
        <v>1660.5</v>
      </c>
      <c r="N2035" s="53" t="s">
        <v>16</v>
      </c>
      <c r="O2035" s="52">
        <v>0</v>
      </c>
      <c r="P2035" s="53">
        <v>0</v>
      </c>
      <c r="Q2035" s="54">
        <v>0</v>
      </c>
      <c r="R2035" s="1"/>
      <c r="S2035" s="1"/>
      <c r="T2035" s="1"/>
    </row>
    <row r="2036" spans="1:20" ht="13.5" customHeight="1" x14ac:dyDescent="0.25">
      <c r="A2036" s="1"/>
      <c r="B2036" s="1" t="s">
        <v>1810</v>
      </c>
      <c r="C2036" s="1" t="s">
        <v>1811</v>
      </c>
      <c r="D2036" s="42">
        <v>0</v>
      </c>
      <c r="E2036" s="43">
        <v>0</v>
      </c>
      <c r="F2036" s="73" t="s">
        <v>16</v>
      </c>
      <c r="G2036" s="73" t="s">
        <v>16</v>
      </c>
      <c r="H2036" s="74" t="s">
        <v>16</v>
      </c>
      <c r="I2036" s="74"/>
      <c r="J2036" s="75" t="s">
        <v>16</v>
      </c>
      <c r="K2036" s="76" t="s">
        <v>16</v>
      </c>
      <c r="L2036" s="77" t="s">
        <v>16</v>
      </c>
      <c r="M2036" s="50">
        <v>2000</v>
      </c>
      <c r="N2036" s="51">
        <v>1500</v>
      </c>
      <c r="O2036" s="52">
        <v>1500</v>
      </c>
      <c r="P2036" s="53">
        <v>1500</v>
      </c>
      <c r="Q2036" s="54">
        <v>1500</v>
      </c>
      <c r="R2036" s="1"/>
      <c r="S2036" s="1"/>
      <c r="T2036" s="1"/>
    </row>
    <row r="2037" spans="1:20" ht="13.5" customHeight="1" x14ac:dyDescent="0.25">
      <c r="A2037" s="1"/>
      <c r="B2037" s="1"/>
      <c r="C2037" s="1"/>
      <c r="D2037" s="88">
        <v>4000</v>
      </c>
      <c r="E2037" s="89">
        <f t="shared" ref="E2037" si="879">SUM(E2035:E2036)</f>
        <v>237.5</v>
      </c>
      <c r="F2037" s="90">
        <f>SUM(F2034:F2035)</f>
        <v>1000</v>
      </c>
      <c r="G2037" s="90">
        <v>1000</v>
      </c>
      <c r="H2037" s="91">
        <f>SUM(H2035:H2036)</f>
        <v>492</v>
      </c>
      <c r="I2037" s="91"/>
      <c r="J2037" s="92">
        <f t="shared" ref="J2037:Q2037" si="880">SUM(J2035:J2036)</f>
        <v>1000</v>
      </c>
      <c r="K2037" s="93">
        <f t="shared" si="880"/>
        <v>1000</v>
      </c>
      <c r="L2037" s="94">
        <f t="shared" si="880"/>
        <v>853</v>
      </c>
      <c r="M2037" s="94">
        <f t="shared" si="880"/>
        <v>3660.5</v>
      </c>
      <c r="N2037" s="95">
        <f t="shared" si="880"/>
        <v>1500</v>
      </c>
      <c r="O2037" s="96">
        <f t="shared" si="880"/>
        <v>1500</v>
      </c>
      <c r="P2037" s="95">
        <f t="shared" si="880"/>
        <v>1500</v>
      </c>
      <c r="Q2037" s="97">
        <f t="shared" si="880"/>
        <v>1500</v>
      </c>
      <c r="R2037" s="1"/>
      <c r="S2037" s="1"/>
      <c r="T2037" s="1"/>
    </row>
    <row r="2038" spans="1:20" ht="13.5" customHeight="1" thickBot="1" x14ac:dyDescent="0.3">
      <c r="A2038" s="1"/>
      <c r="B2038" s="1"/>
      <c r="C2038" s="116" t="s">
        <v>1812</v>
      </c>
      <c r="D2038" s="184">
        <v>48725</v>
      </c>
      <c r="E2038" s="185">
        <f t="shared" ref="E2038" si="881">SUM(E2026+E2033+E2037)</f>
        <v>12551.25</v>
      </c>
      <c r="F2038" s="186">
        <f>SUM(F2026,F2033,F2037)</f>
        <v>45725</v>
      </c>
      <c r="G2038" s="186">
        <v>45725</v>
      </c>
      <c r="H2038" s="187">
        <f>SUM(H2026+H2033+H2037)</f>
        <v>23207.780000000002</v>
      </c>
      <c r="I2038" s="187"/>
      <c r="J2038" s="188">
        <f t="shared" ref="J2038:Q2038" si="882">SUM(J2026+J2033+J2037)</f>
        <v>44812</v>
      </c>
      <c r="K2038" s="189">
        <f t="shared" si="882"/>
        <v>44812</v>
      </c>
      <c r="L2038" s="190">
        <f t="shared" si="882"/>
        <v>28803.09</v>
      </c>
      <c r="M2038" s="190">
        <f t="shared" si="882"/>
        <v>138375.69</v>
      </c>
      <c r="N2038" s="191">
        <f t="shared" si="882"/>
        <v>141186.19</v>
      </c>
      <c r="O2038" s="192">
        <f t="shared" si="882"/>
        <v>36740.51</v>
      </c>
      <c r="P2038" s="191">
        <f t="shared" si="882"/>
        <v>37307.67</v>
      </c>
      <c r="Q2038" s="193">
        <f t="shared" si="882"/>
        <v>31962.85</v>
      </c>
      <c r="R2038" s="1"/>
      <c r="S2038" s="1"/>
      <c r="T2038" s="1"/>
    </row>
    <row r="2039" spans="1:20" ht="13.5" customHeight="1" thickTop="1" x14ac:dyDescent="0.25">
      <c r="A2039" s="1"/>
      <c r="B2039" s="1"/>
      <c r="C2039" s="1"/>
      <c r="D2039" s="72"/>
      <c r="E2039" s="67"/>
      <c r="F2039" s="73"/>
      <c r="G2039" s="73"/>
      <c r="H2039" s="74"/>
      <c r="I2039" s="74"/>
      <c r="J2039" s="75"/>
      <c r="K2039" s="76"/>
      <c r="L2039" s="77"/>
      <c r="M2039" s="50"/>
      <c r="N2039" s="51"/>
      <c r="O2039" s="52"/>
      <c r="P2039" s="53"/>
      <c r="Q2039" s="54"/>
      <c r="R2039" s="1"/>
      <c r="S2039" s="1"/>
      <c r="T2039" s="1"/>
    </row>
    <row r="2040" spans="1:20" ht="13.5" customHeight="1" x14ac:dyDescent="0.25">
      <c r="A2040" s="1"/>
      <c r="B2040" s="1"/>
      <c r="C2040" s="41"/>
      <c r="D2040" s="72"/>
      <c r="E2040" s="67"/>
      <c r="F2040" s="73"/>
      <c r="G2040" s="73"/>
      <c r="H2040" s="74"/>
      <c r="I2040" s="74"/>
      <c r="J2040" s="75"/>
      <c r="K2040" s="76"/>
      <c r="L2040" s="77"/>
      <c r="M2040" s="50"/>
      <c r="N2040" s="51"/>
      <c r="O2040" s="52"/>
      <c r="P2040" s="53"/>
      <c r="Q2040" s="54"/>
      <c r="R2040" s="1"/>
      <c r="S2040" s="1"/>
      <c r="T2040" s="1"/>
    </row>
    <row r="2041" spans="1:20" ht="13.5" customHeight="1" x14ac:dyDescent="0.25">
      <c r="A2041" s="1"/>
      <c r="B2041" s="1"/>
      <c r="C2041" s="41" t="s">
        <v>1813</v>
      </c>
      <c r="D2041" s="72"/>
      <c r="E2041" s="67"/>
      <c r="F2041" s="73"/>
      <c r="G2041" s="73"/>
      <c r="H2041" s="74"/>
      <c r="I2041" s="74"/>
      <c r="J2041" s="75"/>
      <c r="K2041" s="76"/>
      <c r="L2041" s="77"/>
      <c r="M2041" s="50"/>
      <c r="N2041" s="51"/>
      <c r="O2041" s="52"/>
      <c r="P2041" s="53"/>
      <c r="Q2041" s="54"/>
      <c r="R2041" s="1"/>
      <c r="S2041" s="1"/>
      <c r="T2041" s="1"/>
    </row>
    <row r="2042" spans="1:20" ht="13.5" customHeight="1" x14ac:dyDescent="0.25">
      <c r="A2042" s="1"/>
      <c r="B2042" s="1" t="s">
        <v>1814</v>
      </c>
      <c r="C2042" s="1" t="s">
        <v>418</v>
      </c>
      <c r="D2042" s="42">
        <v>69905</v>
      </c>
      <c r="E2042" s="43">
        <v>33070.39</v>
      </c>
      <c r="F2042" s="45">
        <v>69905</v>
      </c>
      <c r="G2042" s="45">
        <v>69905</v>
      </c>
      <c r="H2042" s="46">
        <v>69051.75</v>
      </c>
      <c r="I2042" s="47">
        <f t="shared" ref="I2042:I2045" si="883">H2042/J2042</f>
        <v>1.0025953566709742</v>
      </c>
      <c r="J2042" s="48">
        <v>68873</v>
      </c>
      <c r="K2042" s="49">
        <v>68873</v>
      </c>
      <c r="L2042" s="50">
        <v>62435</v>
      </c>
      <c r="M2042" s="50">
        <v>66155.17</v>
      </c>
      <c r="N2042" s="51">
        <v>65112.26</v>
      </c>
      <c r="O2042" s="52">
        <v>62842.57</v>
      </c>
      <c r="P2042" s="53">
        <v>62740.3</v>
      </c>
      <c r="Q2042" s="54">
        <v>60458.12</v>
      </c>
      <c r="R2042" s="1"/>
      <c r="S2042" s="1"/>
      <c r="T2042" s="1"/>
    </row>
    <row r="2043" spans="1:20" ht="13.5" customHeight="1" x14ac:dyDescent="0.25">
      <c r="A2043" s="1"/>
      <c r="B2043" s="1" t="s">
        <v>1815</v>
      </c>
      <c r="C2043" s="1" t="s">
        <v>420</v>
      </c>
      <c r="D2043" s="42">
        <v>355474</v>
      </c>
      <c r="E2043" s="43">
        <v>151912.16</v>
      </c>
      <c r="F2043" s="45">
        <v>357158</v>
      </c>
      <c r="G2043" s="45">
        <v>357158</v>
      </c>
      <c r="H2043" s="46">
        <v>335316.26</v>
      </c>
      <c r="I2043" s="47">
        <f t="shared" si="883"/>
        <v>0.97665593843841658</v>
      </c>
      <c r="J2043" s="48">
        <v>343331</v>
      </c>
      <c r="K2043" s="49">
        <v>343331</v>
      </c>
      <c r="L2043" s="50">
        <v>327105.99</v>
      </c>
      <c r="M2043" s="50">
        <v>308468.73</v>
      </c>
      <c r="N2043" s="51">
        <v>311935.88</v>
      </c>
      <c r="O2043" s="52">
        <v>292748.03999999998</v>
      </c>
      <c r="P2043" s="53">
        <v>267078.03999999998</v>
      </c>
      <c r="Q2043" s="54">
        <v>257913.91</v>
      </c>
      <c r="R2043" s="1"/>
      <c r="S2043" s="1"/>
      <c r="T2043" s="1"/>
    </row>
    <row r="2044" spans="1:20" ht="13.5" customHeight="1" x14ac:dyDescent="0.25">
      <c r="A2044" s="1"/>
      <c r="B2044" s="1" t="s">
        <v>1816</v>
      </c>
      <c r="C2044" s="1" t="s">
        <v>237</v>
      </c>
      <c r="D2044" s="42">
        <v>40000</v>
      </c>
      <c r="E2044" s="43">
        <v>15865.44</v>
      </c>
      <c r="F2044" s="45">
        <v>40000</v>
      </c>
      <c r="G2044" s="45">
        <v>40000</v>
      </c>
      <c r="H2044" s="46">
        <v>34643.980000000003</v>
      </c>
      <c r="I2044" s="47">
        <f t="shared" si="883"/>
        <v>1.6655759615384618</v>
      </c>
      <c r="J2044" s="48">
        <v>20800</v>
      </c>
      <c r="K2044" s="49">
        <v>20800</v>
      </c>
      <c r="L2044" s="50">
        <v>14876.43</v>
      </c>
      <c r="M2044" s="50">
        <v>8464</v>
      </c>
      <c r="N2044" s="51">
        <v>17195.099999999999</v>
      </c>
      <c r="O2044" s="52">
        <v>15997.48</v>
      </c>
      <c r="P2044" s="53">
        <v>25371.16</v>
      </c>
      <c r="Q2044" s="54">
        <v>32850.07</v>
      </c>
      <c r="R2044" s="1"/>
      <c r="S2044" s="1"/>
      <c r="T2044" s="1"/>
    </row>
    <row r="2045" spans="1:20" ht="13.5" customHeight="1" x14ac:dyDescent="0.25">
      <c r="A2045" s="1"/>
      <c r="B2045" s="1" t="s">
        <v>1817</v>
      </c>
      <c r="C2045" s="1" t="s">
        <v>423</v>
      </c>
      <c r="D2045" s="42">
        <v>0</v>
      </c>
      <c r="E2045" s="43">
        <v>0</v>
      </c>
      <c r="F2045" s="45">
        <v>0</v>
      </c>
      <c r="G2045" s="45">
        <v>0</v>
      </c>
      <c r="H2045" s="46">
        <v>9437.0400000000009</v>
      </c>
      <c r="I2045" s="47">
        <f t="shared" si="883"/>
        <v>0.90845591066615339</v>
      </c>
      <c r="J2045" s="48">
        <v>10388</v>
      </c>
      <c r="K2045" s="49">
        <v>10388</v>
      </c>
      <c r="L2045" s="50">
        <v>9575.2199999999993</v>
      </c>
      <c r="M2045" s="50">
        <v>9314.91</v>
      </c>
      <c r="N2045" s="51">
        <v>12915.79</v>
      </c>
      <c r="O2045" s="52">
        <v>15220.01</v>
      </c>
      <c r="P2045" s="53">
        <v>18204.12</v>
      </c>
      <c r="Q2045" s="54">
        <v>22420.639999999999</v>
      </c>
      <c r="R2045" s="1"/>
      <c r="S2045" s="1"/>
      <c r="T2045" s="1"/>
    </row>
    <row r="2046" spans="1:20" ht="13.5" customHeight="1" x14ac:dyDescent="0.25">
      <c r="A2046" s="1"/>
      <c r="B2046" s="1"/>
      <c r="C2046" s="1"/>
      <c r="D2046" s="56">
        <v>465379</v>
      </c>
      <c r="E2046" s="57">
        <f t="shared" ref="E2046" si="884">SUM(E2042:E2045)</f>
        <v>200847.99</v>
      </c>
      <c r="F2046" s="58">
        <f>SUM(F2041:F2045)</f>
        <v>467063</v>
      </c>
      <c r="G2046" s="58">
        <v>467063</v>
      </c>
      <c r="H2046" s="59">
        <f>SUM(H2042:H2045)</f>
        <v>448449.02999999997</v>
      </c>
      <c r="I2046" s="59"/>
      <c r="J2046" s="60">
        <f t="shared" ref="J2046:Q2046" si="885">SUM(J2042:J2045)</f>
        <v>443392</v>
      </c>
      <c r="K2046" s="61">
        <f t="shared" si="885"/>
        <v>443392</v>
      </c>
      <c r="L2046" s="62">
        <f t="shared" si="885"/>
        <v>413992.63999999996</v>
      </c>
      <c r="M2046" s="62">
        <f t="shared" si="885"/>
        <v>392402.80999999994</v>
      </c>
      <c r="N2046" s="63">
        <f t="shared" si="885"/>
        <v>407159.02999999997</v>
      </c>
      <c r="O2046" s="64">
        <f t="shared" si="885"/>
        <v>386808.1</v>
      </c>
      <c r="P2046" s="63">
        <f t="shared" si="885"/>
        <v>373393.61999999994</v>
      </c>
      <c r="Q2046" s="65">
        <f t="shared" si="885"/>
        <v>373642.74000000005</v>
      </c>
      <c r="R2046" s="1"/>
      <c r="S2046" s="1"/>
      <c r="T2046" s="1"/>
    </row>
    <row r="2047" spans="1:20" ht="13.5" customHeight="1" x14ac:dyDescent="0.25">
      <c r="A2047" s="1"/>
      <c r="B2047" s="1"/>
      <c r="C2047" s="1"/>
      <c r="D2047" s="42"/>
      <c r="E2047" s="44"/>
      <c r="F2047" s="45"/>
      <c r="G2047" s="45"/>
      <c r="H2047" s="66"/>
      <c r="I2047" s="66"/>
      <c r="J2047" s="48"/>
      <c r="K2047" s="49"/>
      <c r="L2047" s="50"/>
      <c r="M2047" s="50"/>
      <c r="N2047" s="51"/>
      <c r="O2047" s="52"/>
      <c r="P2047" s="53"/>
      <c r="Q2047" s="54"/>
      <c r="R2047" s="1"/>
      <c r="S2047" s="1"/>
      <c r="T2047" s="1"/>
    </row>
    <row r="2048" spans="1:20" ht="13.5" customHeight="1" x14ac:dyDescent="0.25">
      <c r="A2048" s="1"/>
      <c r="B2048" s="1" t="s">
        <v>1818</v>
      </c>
      <c r="C2048" s="1" t="s">
        <v>247</v>
      </c>
      <c r="D2048" s="42">
        <v>34453.993499999997</v>
      </c>
      <c r="E2048" s="43">
        <v>14468.21</v>
      </c>
      <c r="F2048" s="45">
        <v>34582.819499999998</v>
      </c>
      <c r="G2048" s="45">
        <v>34582.819499999998</v>
      </c>
      <c r="H2048" s="46">
        <v>31572.76</v>
      </c>
      <c r="I2048" s="47">
        <f t="shared" ref="I2048:I2056" si="886">H2048/J2048</f>
        <v>0.94935682713413716</v>
      </c>
      <c r="J2048" s="48">
        <v>33257</v>
      </c>
      <c r="K2048" s="49">
        <v>33257</v>
      </c>
      <c r="L2048" s="50">
        <v>28605.360000000001</v>
      </c>
      <c r="M2048" s="50">
        <v>27546.84</v>
      </c>
      <c r="N2048" s="51">
        <v>28326.61</v>
      </c>
      <c r="O2048" s="52">
        <v>27073.77</v>
      </c>
      <c r="P2048" s="53">
        <v>26330.49</v>
      </c>
      <c r="Q2048" s="54">
        <v>27033.56</v>
      </c>
      <c r="R2048" s="1"/>
      <c r="S2048" s="1"/>
      <c r="T2048" s="1"/>
    </row>
    <row r="2049" spans="1:20" ht="13.5" customHeight="1" x14ac:dyDescent="0.25">
      <c r="A2049" s="1"/>
      <c r="B2049" s="1" t="s">
        <v>1819</v>
      </c>
      <c r="C2049" s="1" t="s">
        <v>249</v>
      </c>
      <c r="D2049" s="42">
        <v>104634.34800000001</v>
      </c>
      <c r="E2049" s="43">
        <v>42157.15</v>
      </c>
      <c r="F2049" s="45">
        <v>104632.736</v>
      </c>
      <c r="G2049" s="45">
        <v>104632.736</v>
      </c>
      <c r="H2049" s="46">
        <v>95815.49</v>
      </c>
      <c r="I2049" s="47">
        <f t="shared" si="886"/>
        <v>0.94492593688362925</v>
      </c>
      <c r="J2049" s="48">
        <v>101400</v>
      </c>
      <c r="K2049" s="49">
        <v>101400</v>
      </c>
      <c r="L2049" s="50">
        <v>84512.58</v>
      </c>
      <c r="M2049" s="50">
        <v>81124.44</v>
      </c>
      <c r="N2049" s="51">
        <v>88112.320000000007</v>
      </c>
      <c r="O2049" s="52">
        <v>88600.98</v>
      </c>
      <c r="P2049" s="53">
        <v>79838.240000000005</v>
      </c>
      <c r="Q2049" s="54">
        <v>79399.679999999993</v>
      </c>
      <c r="R2049" s="1"/>
      <c r="S2049" s="1"/>
      <c r="T2049" s="1"/>
    </row>
    <row r="2050" spans="1:20" ht="13.5" customHeight="1" x14ac:dyDescent="0.25">
      <c r="A2050" s="1"/>
      <c r="B2050" s="1" t="s">
        <v>1820</v>
      </c>
      <c r="C2050" s="1" t="s">
        <v>251</v>
      </c>
      <c r="D2050" s="42">
        <v>67646.925799999997</v>
      </c>
      <c r="E2050" s="43">
        <v>29446.75</v>
      </c>
      <c r="F2050" s="45">
        <v>67899.862599999993</v>
      </c>
      <c r="G2050" s="45">
        <v>67899.862599999993</v>
      </c>
      <c r="H2050" s="46">
        <v>65070.720000000001</v>
      </c>
      <c r="I2050" s="47">
        <f t="shared" si="886"/>
        <v>1.0012266313797296</v>
      </c>
      <c r="J2050" s="48">
        <v>64991</v>
      </c>
      <c r="K2050" s="49">
        <v>64991</v>
      </c>
      <c r="L2050" s="50">
        <v>60049.36</v>
      </c>
      <c r="M2050" s="50">
        <v>54149.48</v>
      </c>
      <c r="N2050" s="51">
        <v>55773.3</v>
      </c>
      <c r="O2050" s="52">
        <v>52727.21</v>
      </c>
      <c r="P2050" s="53">
        <v>49216.31</v>
      </c>
      <c r="Q2050" s="54">
        <v>46282.58</v>
      </c>
      <c r="R2050" s="1"/>
      <c r="S2050" s="1"/>
      <c r="T2050" s="1"/>
    </row>
    <row r="2051" spans="1:20" ht="13.5" customHeight="1" x14ac:dyDescent="0.25">
      <c r="A2051" s="1"/>
      <c r="B2051" s="1" t="s">
        <v>1821</v>
      </c>
      <c r="C2051" s="1" t="s">
        <v>1822</v>
      </c>
      <c r="D2051" s="42">
        <v>11400</v>
      </c>
      <c r="E2051" s="43">
        <v>5652</v>
      </c>
      <c r="F2051" s="45">
        <v>11400</v>
      </c>
      <c r="G2051" s="45">
        <v>11400</v>
      </c>
      <c r="H2051" s="46">
        <v>7859.8</v>
      </c>
      <c r="I2051" s="47">
        <f t="shared" si="886"/>
        <v>0.68945614035087721</v>
      </c>
      <c r="J2051" s="48">
        <v>11400</v>
      </c>
      <c r="K2051" s="49">
        <v>11400</v>
      </c>
      <c r="L2051" s="50">
        <v>7906.36</v>
      </c>
      <c r="M2051" s="50">
        <v>7362.08</v>
      </c>
      <c r="N2051" s="51">
        <v>8829</v>
      </c>
      <c r="O2051" s="52">
        <v>10844.17</v>
      </c>
      <c r="P2051" s="53">
        <v>13824</v>
      </c>
      <c r="Q2051" s="54">
        <v>20267.2</v>
      </c>
      <c r="R2051" s="1"/>
      <c r="S2051" s="1"/>
      <c r="T2051" s="1"/>
    </row>
    <row r="2052" spans="1:20" ht="13.5" customHeight="1" x14ac:dyDescent="0.25">
      <c r="A2052" s="1"/>
      <c r="B2052" s="1" t="s">
        <v>1823</v>
      </c>
      <c r="C2052" s="1" t="s">
        <v>253</v>
      </c>
      <c r="D2052" s="42">
        <v>720.60640000000012</v>
      </c>
      <c r="E2052" s="43">
        <v>313.67</v>
      </c>
      <c r="F2052" s="45">
        <v>723.30079999999987</v>
      </c>
      <c r="G2052" s="45">
        <v>723.30079999999987</v>
      </c>
      <c r="H2052" s="46">
        <v>716.4</v>
      </c>
      <c r="I2052" s="47">
        <f t="shared" si="886"/>
        <v>0.99916317991631798</v>
      </c>
      <c r="J2052" s="48">
        <v>717</v>
      </c>
      <c r="K2052" s="49">
        <v>717</v>
      </c>
      <c r="L2052" s="50">
        <v>757.94</v>
      </c>
      <c r="M2052" s="50">
        <v>739.47</v>
      </c>
      <c r="N2052" s="51">
        <v>970.07</v>
      </c>
      <c r="O2052" s="52">
        <v>1031.48</v>
      </c>
      <c r="P2052" s="53">
        <v>899.41</v>
      </c>
      <c r="Q2052" s="54">
        <v>866.64</v>
      </c>
      <c r="R2052" s="1"/>
      <c r="S2052" s="1"/>
      <c r="T2052" s="1"/>
    </row>
    <row r="2053" spans="1:20" ht="13.5" customHeight="1" x14ac:dyDescent="0.25">
      <c r="A2053" s="1"/>
      <c r="B2053" s="1" t="s">
        <v>1824</v>
      </c>
      <c r="C2053" s="1" t="s">
        <v>287</v>
      </c>
      <c r="D2053" s="42">
        <v>225.76439999999994</v>
      </c>
      <c r="E2053" s="43">
        <v>68.83</v>
      </c>
      <c r="F2053" s="45">
        <v>264.57059999999996</v>
      </c>
      <c r="G2053" s="45">
        <v>264.57059999999996</v>
      </c>
      <c r="H2053" s="46">
        <v>376.52</v>
      </c>
      <c r="I2053" s="47">
        <f t="shared" si="886"/>
        <v>0.51933793103448278</v>
      </c>
      <c r="J2053" s="48">
        <v>725</v>
      </c>
      <c r="K2053" s="49">
        <v>725</v>
      </c>
      <c r="L2053" s="50">
        <v>380.07</v>
      </c>
      <c r="M2053" s="50">
        <v>654.63</v>
      </c>
      <c r="N2053" s="51">
        <v>778.88</v>
      </c>
      <c r="O2053" s="52">
        <v>937.01</v>
      </c>
      <c r="P2053" s="53">
        <v>961.49</v>
      </c>
      <c r="Q2053" s="54">
        <v>968.34</v>
      </c>
      <c r="R2053" s="1"/>
      <c r="S2053" s="1"/>
      <c r="T2053" s="1"/>
    </row>
    <row r="2054" spans="1:20" ht="13.5" customHeight="1" x14ac:dyDescent="0.25">
      <c r="A2054" s="1"/>
      <c r="B2054" s="1" t="s">
        <v>1825</v>
      </c>
      <c r="C2054" s="1" t="s">
        <v>255</v>
      </c>
      <c r="D2054" s="42">
        <v>3511.1999999999994</v>
      </c>
      <c r="E2054" s="43">
        <v>1477.64</v>
      </c>
      <c r="F2054" s="45">
        <v>3350</v>
      </c>
      <c r="G2054" s="45">
        <v>3350</v>
      </c>
      <c r="H2054" s="46">
        <v>3184.9</v>
      </c>
      <c r="I2054" s="47">
        <f t="shared" si="886"/>
        <v>0.98909937888198762</v>
      </c>
      <c r="J2054" s="48">
        <v>3220</v>
      </c>
      <c r="K2054" s="49">
        <v>3220</v>
      </c>
      <c r="L2054" s="50">
        <v>2923</v>
      </c>
      <c r="M2054" s="50">
        <v>2720.96</v>
      </c>
      <c r="N2054" s="51">
        <v>3183.6</v>
      </c>
      <c r="O2054" s="52">
        <v>3270.15</v>
      </c>
      <c r="P2054" s="53">
        <v>3018.6</v>
      </c>
      <c r="Q2054" s="54">
        <v>2885.72</v>
      </c>
      <c r="R2054" s="1"/>
      <c r="S2054" s="1"/>
      <c r="T2054" s="1"/>
    </row>
    <row r="2055" spans="1:20" ht="13.5" customHeight="1" x14ac:dyDescent="0.25">
      <c r="A2055" s="1"/>
      <c r="B2055" s="1" t="s">
        <v>1826</v>
      </c>
      <c r="C2055" s="1" t="s">
        <v>257</v>
      </c>
      <c r="D2055" s="42">
        <v>0</v>
      </c>
      <c r="E2055" s="70">
        <v>0</v>
      </c>
      <c r="F2055" s="45">
        <v>0</v>
      </c>
      <c r="G2055" s="45">
        <v>0</v>
      </c>
      <c r="H2055" s="74">
        <v>0</v>
      </c>
      <c r="I2055" s="47">
        <f t="shared" si="886"/>
        <v>0</v>
      </c>
      <c r="J2055" s="48">
        <v>600</v>
      </c>
      <c r="K2055" s="49">
        <v>600</v>
      </c>
      <c r="L2055" s="77">
        <v>0</v>
      </c>
      <c r="M2055" s="77">
        <v>0</v>
      </c>
      <c r="N2055" s="53">
        <v>0</v>
      </c>
      <c r="O2055" s="52">
        <v>0</v>
      </c>
      <c r="P2055" s="53">
        <v>0</v>
      </c>
      <c r="Q2055" s="54">
        <v>0</v>
      </c>
      <c r="R2055" s="1"/>
      <c r="S2055" s="1"/>
      <c r="T2055" s="1"/>
    </row>
    <row r="2056" spans="1:20" ht="13.5" customHeight="1" x14ac:dyDescent="0.25">
      <c r="A2056" s="1"/>
      <c r="B2056" s="1" t="s">
        <v>1827</v>
      </c>
      <c r="C2056" s="1" t="s">
        <v>1402</v>
      </c>
      <c r="D2056" s="42">
        <v>4200</v>
      </c>
      <c r="E2056" s="43">
        <v>1292.32</v>
      </c>
      <c r="F2056" s="45">
        <v>4200</v>
      </c>
      <c r="G2056" s="45">
        <v>4200</v>
      </c>
      <c r="H2056" s="46">
        <v>4200.04</v>
      </c>
      <c r="I2056" s="47">
        <f t="shared" si="886"/>
        <v>1.0000095238095239</v>
      </c>
      <c r="J2056" s="48">
        <v>4200</v>
      </c>
      <c r="K2056" s="49">
        <v>4200</v>
      </c>
      <c r="L2056" s="50">
        <v>3925.41</v>
      </c>
      <c r="M2056" s="50">
        <v>4200.04</v>
      </c>
      <c r="N2056" s="51">
        <v>4200.04</v>
      </c>
      <c r="O2056" s="52">
        <v>0</v>
      </c>
      <c r="P2056" s="53">
        <v>0</v>
      </c>
      <c r="Q2056" s="54">
        <v>0</v>
      </c>
      <c r="R2056" s="1"/>
      <c r="S2056" s="1"/>
      <c r="T2056" s="1"/>
    </row>
    <row r="2057" spans="1:20" ht="13.5" customHeight="1" x14ac:dyDescent="0.25">
      <c r="A2057" s="1"/>
      <c r="B2057" s="1"/>
      <c r="C2057" s="1"/>
      <c r="D2057" s="56">
        <v>226792.83809999999</v>
      </c>
      <c r="E2057" s="265">
        <v>2100.02</v>
      </c>
      <c r="F2057" s="58">
        <f>SUM(F2047:F2056)</f>
        <v>227053.28950000001</v>
      </c>
      <c r="G2057" s="58">
        <v>227053.28950000001</v>
      </c>
      <c r="H2057" s="59">
        <f>SUM(H2048:H2056)</f>
        <v>208796.62999999998</v>
      </c>
      <c r="I2057" s="59"/>
      <c r="J2057" s="60">
        <f t="shared" ref="J2057:Q2057" si="887">SUM(J2048:J2056)</f>
        <v>220510</v>
      </c>
      <c r="K2057" s="61">
        <f t="shared" si="887"/>
        <v>220510</v>
      </c>
      <c r="L2057" s="62">
        <f t="shared" si="887"/>
        <v>189060.08</v>
      </c>
      <c r="M2057" s="62">
        <f t="shared" si="887"/>
        <v>178497.94</v>
      </c>
      <c r="N2057" s="63">
        <f t="shared" si="887"/>
        <v>190173.82000000004</v>
      </c>
      <c r="O2057" s="64">
        <f t="shared" si="887"/>
        <v>184484.77000000002</v>
      </c>
      <c r="P2057" s="63">
        <f t="shared" si="887"/>
        <v>174088.54</v>
      </c>
      <c r="Q2057" s="65">
        <f t="shared" si="887"/>
        <v>177703.72000000003</v>
      </c>
      <c r="R2057" s="1"/>
      <c r="S2057" s="1"/>
      <c r="T2057" s="1"/>
    </row>
    <row r="2058" spans="1:20" ht="13.5" customHeight="1" x14ac:dyDescent="0.25">
      <c r="A2058" s="1"/>
      <c r="B2058" s="1"/>
      <c r="C2058" s="1"/>
      <c r="D2058" s="42"/>
      <c r="E2058" s="44"/>
      <c r="F2058" s="45"/>
      <c r="G2058" s="45"/>
      <c r="H2058" s="66"/>
      <c r="I2058" s="66"/>
      <c r="J2058" s="48"/>
      <c r="K2058" s="49"/>
      <c r="L2058" s="50"/>
      <c r="M2058" s="50"/>
      <c r="N2058" s="51"/>
      <c r="O2058" s="52"/>
      <c r="P2058" s="53"/>
      <c r="Q2058" s="54"/>
      <c r="R2058" s="1"/>
      <c r="S2058" s="1"/>
      <c r="T2058" s="1"/>
    </row>
    <row r="2059" spans="1:20" ht="13.5" customHeight="1" x14ac:dyDescent="0.25">
      <c r="A2059" s="1"/>
      <c r="B2059" s="1" t="s">
        <v>1828</v>
      </c>
      <c r="C2059" s="1" t="s">
        <v>259</v>
      </c>
      <c r="D2059" s="42">
        <v>1000</v>
      </c>
      <c r="E2059" s="43">
        <v>178.37</v>
      </c>
      <c r="F2059" s="45">
        <v>1000</v>
      </c>
      <c r="G2059" s="45">
        <v>1000</v>
      </c>
      <c r="H2059" s="46">
        <v>814.21</v>
      </c>
      <c r="I2059" s="47">
        <f t="shared" ref="I2059:I2070" si="888">H2059/J2059</f>
        <v>0.81420999999999999</v>
      </c>
      <c r="J2059" s="48">
        <v>1000</v>
      </c>
      <c r="K2059" s="49">
        <v>1000</v>
      </c>
      <c r="L2059" s="50">
        <v>1074.24</v>
      </c>
      <c r="M2059" s="50">
        <v>930.89</v>
      </c>
      <c r="N2059" s="51">
        <v>638.59</v>
      </c>
      <c r="O2059" s="52">
        <v>1120.93</v>
      </c>
      <c r="P2059" s="53">
        <v>574.16999999999996</v>
      </c>
      <c r="Q2059" s="54">
        <v>949.38</v>
      </c>
      <c r="R2059" s="1"/>
      <c r="S2059" s="1"/>
      <c r="T2059" s="1"/>
    </row>
    <row r="2060" spans="1:20" ht="13.5" customHeight="1" x14ac:dyDescent="0.25">
      <c r="A2060" s="1"/>
      <c r="B2060" s="1" t="s">
        <v>1829</v>
      </c>
      <c r="C2060" s="1" t="s">
        <v>261</v>
      </c>
      <c r="D2060" s="42">
        <v>40</v>
      </c>
      <c r="E2060" s="43">
        <v>0</v>
      </c>
      <c r="F2060" s="45">
        <v>40</v>
      </c>
      <c r="G2060" s="45">
        <v>40</v>
      </c>
      <c r="H2060" s="74">
        <v>0</v>
      </c>
      <c r="I2060" s="47">
        <f t="shared" si="888"/>
        <v>0</v>
      </c>
      <c r="J2060" s="48">
        <v>40</v>
      </c>
      <c r="K2060" s="49">
        <v>40</v>
      </c>
      <c r="L2060" s="50">
        <v>39.28</v>
      </c>
      <c r="M2060" s="50">
        <v>30.72</v>
      </c>
      <c r="N2060" s="53" t="s">
        <v>16</v>
      </c>
      <c r="O2060" s="52">
        <v>34.33</v>
      </c>
      <c r="P2060" s="53">
        <v>50</v>
      </c>
      <c r="Q2060" s="54">
        <v>46</v>
      </c>
      <c r="R2060" s="1"/>
      <c r="S2060" s="1"/>
      <c r="T2060" s="1"/>
    </row>
    <row r="2061" spans="1:20" ht="13.5" customHeight="1" x14ac:dyDescent="0.25">
      <c r="A2061" s="1"/>
      <c r="B2061" s="1" t="s">
        <v>1830</v>
      </c>
      <c r="C2061" s="1" t="s">
        <v>471</v>
      </c>
      <c r="D2061" s="42">
        <v>56000</v>
      </c>
      <c r="E2061" s="43">
        <v>10263.370000000001</v>
      </c>
      <c r="F2061" s="45">
        <v>56000</v>
      </c>
      <c r="G2061" s="45">
        <v>56000</v>
      </c>
      <c r="H2061" s="46">
        <v>50708.06</v>
      </c>
      <c r="I2061" s="47">
        <f t="shared" si="888"/>
        <v>0.90550107142857139</v>
      </c>
      <c r="J2061" s="48">
        <v>56000</v>
      </c>
      <c r="K2061" s="49">
        <v>56000</v>
      </c>
      <c r="L2061" s="50">
        <v>65993.08</v>
      </c>
      <c r="M2061" s="50">
        <v>51051.97</v>
      </c>
      <c r="N2061" s="51">
        <v>37706.33</v>
      </c>
      <c r="O2061" s="52">
        <v>38872.239999999998</v>
      </c>
      <c r="P2061" s="53">
        <v>52388.47</v>
      </c>
      <c r="Q2061" s="54">
        <v>50504.46</v>
      </c>
      <c r="R2061" s="1"/>
      <c r="S2061" s="1"/>
      <c r="T2061" s="1"/>
    </row>
    <row r="2062" spans="1:20" ht="13.5" customHeight="1" x14ac:dyDescent="0.25">
      <c r="A2062" s="1"/>
      <c r="B2062" s="1" t="s">
        <v>1831</v>
      </c>
      <c r="C2062" s="1" t="s">
        <v>1118</v>
      </c>
      <c r="D2062" s="42">
        <v>6300</v>
      </c>
      <c r="E2062" s="43">
        <v>1402.16</v>
      </c>
      <c r="F2062" s="45">
        <v>6300</v>
      </c>
      <c r="G2062" s="45">
        <v>6300</v>
      </c>
      <c r="H2062" s="46">
        <v>4638.2700000000004</v>
      </c>
      <c r="I2062" s="47">
        <f t="shared" si="888"/>
        <v>1.0786674418604651</v>
      </c>
      <c r="J2062" s="48">
        <v>4300</v>
      </c>
      <c r="K2062" s="49">
        <v>4300</v>
      </c>
      <c r="L2062" s="50">
        <v>4538.6499999999996</v>
      </c>
      <c r="M2062" s="50">
        <v>4270.99</v>
      </c>
      <c r="N2062" s="51">
        <v>4401.21</v>
      </c>
      <c r="O2062" s="52">
        <v>4129.03</v>
      </c>
      <c r="P2062" s="53">
        <v>4057.98</v>
      </c>
      <c r="Q2062" s="54">
        <v>4330.29</v>
      </c>
      <c r="R2062" s="1"/>
      <c r="S2062" s="1"/>
      <c r="T2062" s="1"/>
    </row>
    <row r="2063" spans="1:20" ht="13.5" customHeight="1" x14ac:dyDescent="0.25">
      <c r="A2063" s="1"/>
      <c r="B2063" s="1" t="s">
        <v>1832</v>
      </c>
      <c r="C2063" s="1" t="s">
        <v>1833</v>
      </c>
      <c r="D2063" s="42">
        <v>771436.77</v>
      </c>
      <c r="E2063" s="43">
        <v>301813.15999999997</v>
      </c>
      <c r="F2063" s="45">
        <f>800957.58-64379</f>
        <v>736578.58</v>
      </c>
      <c r="G2063" s="45">
        <v>800957.58000000007</v>
      </c>
      <c r="H2063" s="46">
        <v>652444.14</v>
      </c>
      <c r="I2063" s="47">
        <f t="shared" si="888"/>
        <v>0.8692046596023032</v>
      </c>
      <c r="J2063" s="48">
        <v>750622</v>
      </c>
      <c r="K2063" s="49">
        <v>750622</v>
      </c>
      <c r="L2063" s="50">
        <v>658368.92000000004</v>
      </c>
      <c r="M2063" s="50">
        <v>441757.13</v>
      </c>
      <c r="N2063" s="51">
        <v>683139.49</v>
      </c>
      <c r="O2063" s="52">
        <v>469594.72</v>
      </c>
      <c r="P2063" s="53">
        <v>453118.91</v>
      </c>
      <c r="Q2063" s="54">
        <v>362828.48</v>
      </c>
      <c r="R2063" s="1"/>
      <c r="S2063" s="1"/>
      <c r="T2063" s="1"/>
    </row>
    <row r="2064" spans="1:20" ht="13.5" customHeight="1" x14ac:dyDescent="0.25">
      <c r="A2064" s="1"/>
      <c r="B2064" s="1" t="s">
        <v>1834</v>
      </c>
      <c r="C2064" s="1" t="s">
        <v>1835</v>
      </c>
      <c r="D2064" s="42">
        <v>15000</v>
      </c>
      <c r="E2064" s="43">
        <v>2895.94</v>
      </c>
      <c r="F2064" s="45">
        <v>15000</v>
      </c>
      <c r="G2064" s="45">
        <v>15000</v>
      </c>
      <c r="H2064" s="46">
        <v>27571.85</v>
      </c>
      <c r="I2064" s="47">
        <f t="shared" si="888"/>
        <v>1.8381233333333333</v>
      </c>
      <c r="J2064" s="48">
        <v>15000</v>
      </c>
      <c r="K2064" s="49">
        <v>15000</v>
      </c>
      <c r="L2064" s="50">
        <v>6145.14</v>
      </c>
      <c r="M2064" s="50">
        <v>7283.62</v>
      </c>
      <c r="N2064" s="51">
        <v>32005.82</v>
      </c>
      <c r="O2064" s="52">
        <v>19638.650000000001</v>
      </c>
      <c r="P2064" s="53">
        <v>11328.03</v>
      </c>
      <c r="Q2064" s="54">
        <v>11538.6</v>
      </c>
      <c r="R2064" s="1"/>
      <c r="S2064" s="1"/>
      <c r="T2064" s="1"/>
    </row>
    <row r="2065" spans="1:20" ht="13.5" customHeight="1" x14ac:dyDescent="0.25">
      <c r="A2065" s="1"/>
      <c r="B2065" s="1" t="s">
        <v>1836</v>
      </c>
      <c r="C2065" s="1" t="s">
        <v>473</v>
      </c>
      <c r="D2065" s="42">
        <v>8000</v>
      </c>
      <c r="E2065" s="43">
        <v>7163.78</v>
      </c>
      <c r="F2065" s="45">
        <v>7000</v>
      </c>
      <c r="G2065" s="45">
        <v>7000</v>
      </c>
      <c r="H2065" s="46">
        <v>7577.59</v>
      </c>
      <c r="I2065" s="47">
        <f t="shared" si="888"/>
        <v>1.0825128571428571</v>
      </c>
      <c r="J2065" s="48">
        <v>7000</v>
      </c>
      <c r="K2065" s="49">
        <v>7000</v>
      </c>
      <c r="L2065" s="50">
        <v>5513.85</v>
      </c>
      <c r="M2065" s="50">
        <v>9538.25</v>
      </c>
      <c r="N2065" s="51">
        <v>18268.34</v>
      </c>
      <c r="O2065" s="52">
        <v>6716.83</v>
      </c>
      <c r="P2065" s="53">
        <v>6011.35</v>
      </c>
      <c r="Q2065" s="54">
        <v>7745.69</v>
      </c>
      <c r="R2065" s="1"/>
      <c r="S2065" s="1"/>
      <c r="T2065" s="1"/>
    </row>
    <row r="2066" spans="1:20" ht="13.5" customHeight="1" x14ac:dyDescent="0.25">
      <c r="A2066" s="1"/>
      <c r="B2066" s="1" t="s">
        <v>1837</v>
      </c>
      <c r="C2066" s="1" t="s">
        <v>1121</v>
      </c>
      <c r="D2066" s="42">
        <v>15000</v>
      </c>
      <c r="E2066" s="43">
        <v>4969.3100000000004</v>
      </c>
      <c r="F2066" s="45">
        <v>15000</v>
      </c>
      <c r="G2066" s="45">
        <v>15000</v>
      </c>
      <c r="H2066" s="46">
        <v>14679.92</v>
      </c>
      <c r="I2066" s="47">
        <f t="shared" si="888"/>
        <v>0.97866133333333338</v>
      </c>
      <c r="J2066" s="48">
        <v>15000</v>
      </c>
      <c r="K2066" s="49">
        <v>15000</v>
      </c>
      <c r="L2066" s="50">
        <v>11586.19</v>
      </c>
      <c r="M2066" s="50">
        <v>13861.93</v>
      </c>
      <c r="N2066" s="51">
        <v>11084</v>
      </c>
      <c r="O2066" s="52">
        <v>9010.23</v>
      </c>
      <c r="P2066" s="53">
        <v>10621.64</v>
      </c>
      <c r="Q2066" s="54">
        <v>7427.66</v>
      </c>
      <c r="R2066" s="1"/>
      <c r="S2066" s="1"/>
      <c r="T2066" s="1"/>
    </row>
    <row r="2067" spans="1:20" ht="13.5" customHeight="1" x14ac:dyDescent="0.25">
      <c r="A2067" s="1"/>
      <c r="B2067" s="1" t="s">
        <v>1838</v>
      </c>
      <c r="C2067" s="1" t="s">
        <v>1839</v>
      </c>
      <c r="D2067" s="42">
        <v>10611</v>
      </c>
      <c r="E2067" s="43">
        <v>7899.87</v>
      </c>
      <c r="F2067" s="45">
        <v>10611</v>
      </c>
      <c r="G2067" s="45">
        <v>10611</v>
      </c>
      <c r="H2067" s="46">
        <v>8113.28</v>
      </c>
      <c r="I2067" s="47">
        <f t="shared" si="888"/>
        <v>0.24503276856633746</v>
      </c>
      <c r="J2067" s="48">
        <v>33111</v>
      </c>
      <c r="K2067" s="49">
        <v>33111</v>
      </c>
      <c r="L2067" s="50">
        <v>6431.96</v>
      </c>
      <c r="M2067" s="50">
        <v>3517.49</v>
      </c>
      <c r="N2067" s="51">
        <v>3662.99</v>
      </c>
      <c r="O2067" s="52">
        <v>5439.3</v>
      </c>
      <c r="P2067" s="53">
        <v>4874.41</v>
      </c>
      <c r="Q2067" s="54">
        <v>3485.58</v>
      </c>
      <c r="R2067" s="1"/>
      <c r="S2067" s="1"/>
      <c r="T2067" s="1"/>
    </row>
    <row r="2068" spans="1:20" ht="13.5" customHeight="1" x14ac:dyDescent="0.25">
      <c r="A2068" s="1"/>
      <c r="B2068" s="1" t="s">
        <v>1840</v>
      </c>
      <c r="C2068" s="1" t="s">
        <v>1413</v>
      </c>
      <c r="D2068" s="42">
        <v>1500</v>
      </c>
      <c r="E2068" s="43">
        <v>517.12</v>
      </c>
      <c r="F2068" s="45">
        <v>1500</v>
      </c>
      <c r="G2068" s="45">
        <v>1500</v>
      </c>
      <c r="H2068" s="46">
        <v>567.46</v>
      </c>
      <c r="I2068" s="47">
        <f t="shared" si="888"/>
        <v>5.6746000000000008</v>
      </c>
      <c r="J2068" s="48">
        <v>100</v>
      </c>
      <c r="K2068" s="76">
        <v>0</v>
      </c>
      <c r="L2068" s="77">
        <v>0</v>
      </c>
      <c r="M2068" s="77">
        <v>0</v>
      </c>
      <c r="N2068" s="53" t="s">
        <v>16</v>
      </c>
      <c r="O2068" s="52"/>
      <c r="P2068" s="53"/>
      <c r="Q2068" s="54"/>
      <c r="R2068" s="1"/>
      <c r="S2068" s="1"/>
      <c r="T2068" s="1"/>
    </row>
    <row r="2069" spans="1:20" ht="13.5" customHeight="1" x14ac:dyDescent="0.25">
      <c r="A2069" s="1"/>
      <c r="B2069" s="1" t="s">
        <v>1841</v>
      </c>
      <c r="C2069" s="55" t="s">
        <v>265</v>
      </c>
      <c r="D2069" s="42">
        <v>2000</v>
      </c>
      <c r="E2069" s="43">
        <v>1689.98</v>
      </c>
      <c r="F2069" s="45">
        <v>2000</v>
      </c>
      <c r="G2069" s="45">
        <v>2000</v>
      </c>
      <c r="H2069" s="66">
        <v>1965.66</v>
      </c>
      <c r="I2069" s="47">
        <f t="shared" si="888"/>
        <v>1.0345578947368421</v>
      </c>
      <c r="J2069" s="48">
        <v>1900</v>
      </c>
      <c r="K2069" s="49">
        <v>2000</v>
      </c>
      <c r="L2069" s="77">
        <v>0</v>
      </c>
      <c r="M2069" s="50">
        <v>2579.84</v>
      </c>
      <c r="N2069" s="53" t="s">
        <v>16</v>
      </c>
      <c r="O2069" s="52">
        <v>759.99</v>
      </c>
      <c r="P2069" s="53">
        <v>6039.98</v>
      </c>
      <c r="Q2069" s="54">
        <v>0</v>
      </c>
      <c r="R2069" s="1"/>
      <c r="S2069" s="1"/>
      <c r="T2069" s="1"/>
    </row>
    <row r="2070" spans="1:20" ht="13.5" customHeight="1" x14ac:dyDescent="0.25">
      <c r="A2070" s="1"/>
      <c r="B2070" s="1" t="s">
        <v>1842</v>
      </c>
      <c r="C2070" s="1" t="s">
        <v>267</v>
      </c>
      <c r="D2070" s="42">
        <v>1400</v>
      </c>
      <c r="E2070" s="43">
        <v>1235.8</v>
      </c>
      <c r="F2070" s="45">
        <v>1400</v>
      </c>
      <c r="G2070" s="45">
        <v>1400</v>
      </c>
      <c r="H2070" s="46">
        <v>1178.9000000000001</v>
      </c>
      <c r="I2070" s="47">
        <f t="shared" si="888"/>
        <v>0.84207142857142858</v>
      </c>
      <c r="J2070" s="48">
        <v>1400</v>
      </c>
      <c r="K2070" s="49">
        <v>1400</v>
      </c>
      <c r="L2070" s="50">
        <v>50.48</v>
      </c>
      <c r="M2070" s="50">
        <v>3654.22</v>
      </c>
      <c r="N2070" s="51">
        <v>1009.17</v>
      </c>
      <c r="O2070" s="52">
        <v>1029.6099999999999</v>
      </c>
      <c r="P2070" s="53">
        <v>492.1</v>
      </c>
      <c r="Q2070" s="54">
        <v>309.45</v>
      </c>
      <c r="R2070" s="1"/>
      <c r="S2070" s="1"/>
      <c r="T2070" s="1"/>
    </row>
    <row r="2071" spans="1:20" ht="13.5" customHeight="1" x14ac:dyDescent="0.25">
      <c r="A2071" s="1"/>
      <c r="B2071" s="1"/>
      <c r="C2071" s="1"/>
      <c r="D2071" s="56">
        <v>888287.77</v>
      </c>
      <c r="E2071" s="57">
        <f t="shared" ref="E2071" si="889">SUM(E2059:E2070)</f>
        <v>340028.86</v>
      </c>
      <c r="F2071" s="58">
        <f>SUM(F2058:F2070)</f>
        <v>852429.58</v>
      </c>
      <c r="G2071" s="58">
        <v>916808.58000000007</v>
      </c>
      <c r="H2071" s="59">
        <f>SUM(H2059:H2070)</f>
        <v>770259.34000000008</v>
      </c>
      <c r="I2071" s="59"/>
      <c r="J2071" s="60">
        <f t="shared" ref="J2071:Q2071" si="890">SUM(J2059:J2070)</f>
        <v>885473</v>
      </c>
      <c r="K2071" s="61">
        <f t="shared" si="890"/>
        <v>885473</v>
      </c>
      <c r="L2071" s="62">
        <f t="shared" si="890"/>
        <v>759741.78999999992</v>
      </c>
      <c r="M2071" s="62">
        <f t="shared" si="890"/>
        <v>538477.04999999993</v>
      </c>
      <c r="N2071" s="63">
        <f t="shared" si="890"/>
        <v>791915.94</v>
      </c>
      <c r="O2071" s="64">
        <f t="shared" si="890"/>
        <v>556345.86</v>
      </c>
      <c r="P2071" s="63">
        <f t="shared" si="890"/>
        <v>549557.04</v>
      </c>
      <c r="Q2071" s="65">
        <f t="shared" si="890"/>
        <v>449165.58999999997</v>
      </c>
      <c r="R2071" s="1"/>
      <c r="S2071" s="1"/>
      <c r="T2071" s="1"/>
    </row>
    <row r="2072" spans="1:20" ht="13.5" customHeight="1" x14ac:dyDescent="0.25">
      <c r="A2072" s="1"/>
      <c r="B2072" s="1"/>
      <c r="C2072" s="1"/>
      <c r="D2072" s="42"/>
      <c r="E2072" s="44"/>
      <c r="F2072" s="45"/>
      <c r="G2072" s="45"/>
      <c r="H2072" s="66"/>
      <c r="I2072" s="66"/>
      <c r="J2072" s="48"/>
      <c r="K2072" s="49"/>
      <c r="L2072" s="50"/>
      <c r="M2072" s="50"/>
      <c r="N2072" s="51"/>
      <c r="O2072" s="52"/>
      <c r="P2072" s="53"/>
      <c r="Q2072" s="54"/>
      <c r="R2072" s="1"/>
      <c r="S2072" s="1"/>
      <c r="T2072" s="1"/>
    </row>
    <row r="2073" spans="1:20" ht="13.5" customHeight="1" x14ac:dyDescent="0.25">
      <c r="A2073" s="1"/>
      <c r="B2073" s="1" t="s">
        <v>1843</v>
      </c>
      <c r="C2073" s="1" t="s">
        <v>271</v>
      </c>
      <c r="D2073" s="42">
        <v>1275</v>
      </c>
      <c r="E2073" s="70">
        <v>200</v>
      </c>
      <c r="F2073" s="45">
        <v>1275</v>
      </c>
      <c r="G2073" s="45">
        <v>1275</v>
      </c>
      <c r="H2073" s="68">
        <v>0</v>
      </c>
      <c r="I2073" s="47">
        <f t="shared" ref="I2073:I2084" si="891">H2073/J2073</f>
        <v>0</v>
      </c>
      <c r="J2073" s="48">
        <v>1275</v>
      </c>
      <c r="K2073" s="49">
        <v>1275</v>
      </c>
      <c r="L2073" s="50">
        <v>600</v>
      </c>
      <c r="M2073" s="50">
        <v>1275</v>
      </c>
      <c r="N2073" s="51">
        <v>3300</v>
      </c>
      <c r="O2073" s="52">
        <v>0</v>
      </c>
      <c r="P2073" s="53">
        <v>0</v>
      </c>
      <c r="Q2073" s="54">
        <v>0</v>
      </c>
      <c r="R2073" s="1"/>
      <c r="S2073" s="1"/>
      <c r="T2073" s="1"/>
    </row>
    <row r="2074" spans="1:20" ht="13.5" customHeight="1" x14ac:dyDescent="0.25">
      <c r="A2074" s="1"/>
      <c r="B2074" s="1" t="s">
        <v>1844</v>
      </c>
      <c r="C2074" s="1" t="s">
        <v>318</v>
      </c>
      <c r="D2074" s="42">
        <v>2000</v>
      </c>
      <c r="E2074" s="43">
        <v>1137.2</v>
      </c>
      <c r="F2074" s="45">
        <v>2000</v>
      </c>
      <c r="G2074" s="45">
        <v>2000</v>
      </c>
      <c r="H2074" s="46">
        <v>2234.4299999999998</v>
      </c>
      <c r="I2074" s="47">
        <f t="shared" si="891"/>
        <v>1.1172149999999998</v>
      </c>
      <c r="J2074" s="48">
        <v>2000</v>
      </c>
      <c r="K2074" s="49">
        <v>2000</v>
      </c>
      <c r="L2074" s="50">
        <v>2159.27</v>
      </c>
      <c r="M2074" s="50">
        <v>2162.71</v>
      </c>
      <c r="N2074" s="51">
        <v>2056.1999999999998</v>
      </c>
      <c r="O2074" s="52">
        <v>1862.26</v>
      </c>
      <c r="P2074" s="53">
        <v>1891.87</v>
      </c>
      <c r="Q2074" s="54">
        <v>1858.62</v>
      </c>
      <c r="R2074" s="1"/>
      <c r="S2074" s="1"/>
      <c r="T2074" s="1"/>
    </row>
    <row r="2075" spans="1:20" ht="13.5" customHeight="1" x14ac:dyDescent="0.25">
      <c r="A2075" s="1"/>
      <c r="B2075" s="1" t="s">
        <v>1845</v>
      </c>
      <c r="C2075" s="55" t="s">
        <v>273</v>
      </c>
      <c r="D2075" s="42">
        <v>165</v>
      </c>
      <c r="E2075" s="43">
        <v>0</v>
      </c>
      <c r="F2075" s="45">
        <v>165</v>
      </c>
      <c r="G2075" s="45">
        <v>165</v>
      </c>
      <c r="H2075" s="68">
        <v>0</v>
      </c>
      <c r="I2075" s="47">
        <f t="shared" si="891"/>
        <v>0</v>
      </c>
      <c r="J2075" s="48">
        <v>165</v>
      </c>
      <c r="K2075" s="49">
        <v>165</v>
      </c>
      <c r="L2075" s="77">
        <v>0</v>
      </c>
      <c r="M2075" s="77">
        <v>0</v>
      </c>
      <c r="N2075" s="53" t="s">
        <v>16</v>
      </c>
      <c r="O2075" s="52">
        <v>0</v>
      </c>
      <c r="P2075" s="53">
        <v>104.58</v>
      </c>
      <c r="Q2075" s="54">
        <v>41.04</v>
      </c>
      <c r="R2075" s="1"/>
      <c r="S2075" s="1"/>
      <c r="T2075" s="1"/>
    </row>
    <row r="2076" spans="1:20" ht="13.5" customHeight="1" x14ac:dyDescent="0.25">
      <c r="A2076" s="1"/>
      <c r="B2076" s="1" t="s">
        <v>1846</v>
      </c>
      <c r="C2076" s="1" t="s">
        <v>404</v>
      </c>
      <c r="D2076" s="42">
        <v>1400</v>
      </c>
      <c r="E2076" s="43">
        <v>0</v>
      </c>
      <c r="F2076" s="45">
        <v>1079</v>
      </c>
      <c r="G2076" s="45">
        <v>1079</v>
      </c>
      <c r="H2076" s="46">
        <v>711.84</v>
      </c>
      <c r="I2076" s="47">
        <f t="shared" si="891"/>
        <v>0.65972196478220579</v>
      </c>
      <c r="J2076" s="48">
        <v>1079</v>
      </c>
      <c r="K2076" s="49">
        <v>1079</v>
      </c>
      <c r="L2076" s="50">
        <v>399.29</v>
      </c>
      <c r="M2076" s="50">
        <v>1144.97</v>
      </c>
      <c r="N2076" s="51">
        <v>786.29</v>
      </c>
      <c r="O2076" s="52">
        <v>645.14</v>
      </c>
      <c r="P2076" s="53">
        <v>493.22</v>
      </c>
      <c r="Q2076" s="54">
        <v>1309.57</v>
      </c>
      <c r="R2076" s="1"/>
      <c r="S2076" s="1"/>
      <c r="T2076" s="1"/>
    </row>
    <row r="2077" spans="1:20" ht="13.5" customHeight="1" x14ac:dyDescent="0.25">
      <c r="A2077" s="1"/>
      <c r="B2077" s="1" t="s">
        <v>1847</v>
      </c>
      <c r="C2077" s="1" t="s">
        <v>1143</v>
      </c>
      <c r="D2077" s="42">
        <v>3463</v>
      </c>
      <c r="E2077" s="43">
        <v>1482.78</v>
      </c>
      <c r="F2077" s="45">
        <v>3463</v>
      </c>
      <c r="G2077" s="45">
        <v>3463</v>
      </c>
      <c r="H2077" s="46">
        <v>3372.23</v>
      </c>
      <c r="I2077" s="47">
        <f t="shared" si="891"/>
        <v>0.97378862258157672</v>
      </c>
      <c r="J2077" s="48">
        <v>3463</v>
      </c>
      <c r="K2077" s="49">
        <v>3463</v>
      </c>
      <c r="L2077" s="50">
        <v>2654.97</v>
      </c>
      <c r="M2077" s="50">
        <v>2248.9899999999998</v>
      </c>
      <c r="N2077" s="51">
        <v>2459.0100000000002</v>
      </c>
      <c r="O2077" s="52">
        <v>3027.31</v>
      </c>
      <c r="P2077" s="53">
        <v>2855.61</v>
      </c>
      <c r="Q2077" s="54">
        <v>3390.17</v>
      </c>
      <c r="R2077" s="1"/>
      <c r="S2077" s="1"/>
      <c r="T2077" s="1"/>
    </row>
    <row r="2078" spans="1:20" ht="13.5" customHeight="1" x14ac:dyDescent="0.25">
      <c r="A2078" s="1"/>
      <c r="B2078" s="1" t="s">
        <v>1848</v>
      </c>
      <c r="C2078" s="1" t="s">
        <v>1145</v>
      </c>
      <c r="D2078" s="42">
        <v>1000</v>
      </c>
      <c r="E2078" s="43">
        <v>646.47</v>
      </c>
      <c r="F2078" s="45">
        <v>1000</v>
      </c>
      <c r="G2078" s="45">
        <v>1000</v>
      </c>
      <c r="H2078" s="46">
        <v>1093.43</v>
      </c>
      <c r="I2078" s="47">
        <f t="shared" si="891"/>
        <v>1.0934300000000001</v>
      </c>
      <c r="J2078" s="48">
        <v>1000</v>
      </c>
      <c r="K2078" s="49">
        <v>1000</v>
      </c>
      <c r="L2078" s="50">
        <v>858.48</v>
      </c>
      <c r="M2078" s="50">
        <v>657.42</v>
      </c>
      <c r="N2078" s="51">
        <v>783.38</v>
      </c>
      <c r="O2078" s="52">
        <v>1007.64</v>
      </c>
      <c r="P2078" s="53">
        <v>1301.02</v>
      </c>
      <c r="Q2078" s="54">
        <v>1052.8599999999999</v>
      </c>
      <c r="R2078" s="1"/>
      <c r="S2078" s="1"/>
      <c r="T2078" s="1"/>
    </row>
    <row r="2079" spans="1:20" ht="13.5" customHeight="1" x14ac:dyDescent="0.25">
      <c r="A2079" s="1"/>
      <c r="B2079" s="1" t="s">
        <v>1849</v>
      </c>
      <c r="C2079" s="1" t="s">
        <v>1147</v>
      </c>
      <c r="D2079" s="42">
        <v>1530</v>
      </c>
      <c r="E2079" s="43">
        <v>380.5</v>
      </c>
      <c r="F2079" s="45">
        <v>1530</v>
      </c>
      <c r="G2079" s="45">
        <v>1530</v>
      </c>
      <c r="H2079" s="46">
        <v>1350.1</v>
      </c>
      <c r="I2079" s="47">
        <f t="shared" si="891"/>
        <v>0.88241830065359472</v>
      </c>
      <c r="J2079" s="48">
        <v>1530</v>
      </c>
      <c r="K2079" s="49">
        <v>1530</v>
      </c>
      <c r="L2079" s="50">
        <v>1187.82</v>
      </c>
      <c r="M2079" s="50">
        <v>1176</v>
      </c>
      <c r="N2079" s="51">
        <v>1116</v>
      </c>
      <c r="O2079" s="52">
        <v>1075.3</v>
      </c>
      <c r="P2079" s="53">
        <v>1329.02</v>
      </c>
      <c r="Q2079" s="54">
        <v>1268.94</v>
      </c>
      <c r="R2079" s="1"/>
      <c r="S2079" s="1"/>
      <c r="T2079" s="1"/>
    </row>
    <row r="2080" spans="1:20" ht="13.5" customHeight="1" x14ac:dyDescent="0.25">
      <c r="A2080" s="1"/>
      <c r="B2080" s="1" t="s">
        <v>1850</v>
      </c>
      <c r="C2080" s="1" t="s">
        <v>1851</v>
      </c>
      <c r="D2080" s="42">
        <v>1000</v>
      </c>
      <c r="E2080" s="43">
        <v>0</v>
      </c>
      <c r="F2080" s="45">
        <v>1000</v>
      </c>
      <c r="G2080" s="45">
        <v>1000</v>
      </c>
      <c r="H2080" s="74">
        <v>0</v>
      </c>
      <c r="I2080" s="47">
        <f t="shared" si="891"/>
        <v>0</v>
      </c>
      <c r="J2080" s="48">
        <v>1000</v>
      </c>
      <c r="K2080" s="49">
        <v>1000</v>
      </c>
      <c r="L2080" s="50">
        <v>96.32</v>
      </c>
      <c r="M2080" s="50">
        <v>451.94</v>
      </c>
      <c r="N2080" s="51">
        <v>2475</v>
      </c>
      <c r="O2080" s="52">
        <v>0</v>
      </c>
      <c r="P2080" s="53">
        <v>8820</v>
      </c>
      <c r="Q2080" s="54">
        <v>4154.6499999999996</v>
      </c>
      <c r="R2080" s="1"/>
      <c r="S2080" s="1"/>
      <c r="T2080" s="1"/>
    </row>
    <row r="2081" spans="1:20" ht="13.5" customHeight="1" x14ac:dyDescent="0.25">
      <c r="A2081" s="1"/>
      <c r="B2081" s="1" t="s">
        <v>1852</v>
      </c>
      <c r="C2081" s="1" t="s">
        <v>1853</v>
      </c>
      <c r="D2081" s="42">
        <v>3000</v>
      </c>
      <c r="E2081" s="43">
        <v>125</v>
      </c>
      <c r="F2081" s="45">
        <v>3000</v>
      </c>
      <c r="G2081" s="45">
        <v>3000</v>
      </c>
      <c r="H2081" s="46">
        <v>7175.9</v>
      </c>
      <c r="I2081" s="47">
        <f t="shared" si="891"/>
        <v>1.7425692083535695</v>
      </c>
      <c r="J2081" s="48">
        <v>4118</v>
      </c>
      <c r="K2081" s="49">
        <v>3000</v>
      </c>
      <c r="L2081" s="50">
        <v>3215.53</v>
      </c>
      <c r="M2081" s="50">
        <v>2977.69</v>
      </c>
      <c r="N2081" s="51">
        <v>1327.92</v>
      </c>
      <c r="O2081" s="52">
        <v>1474.42</v>
      </c>
      <c r="P2081" s="53">
        <v>1287.5</v>
      </c>
      <c r="Q2081" s="54">
        <v>1879</v>
      </c>
      <c r="R2081" s="1"/>
      <c r="S2081" s="1"/>
      <c r="T2081" s="1"/>
    </row>
    <row r="2082" spans="1:20" ht="13.5" customHeight="1" x14ac:dyDescent="0.25">
      <c r="A2082" s="1"/>
      <c r="B2082" s="1" t="s">
        <v>1854</v>
      </c>
      <c r="C2082" s="1" t="s">
        <v>1855</v>
      </c>
      <c r="D2082" s="42">
        <v>37076</v>
      </c>
      <c r="E2082" s="43">
        <v>5548.14</v>
      </c>
      <c r="F2082" s="45">
        <v>37076</v>
      </c>
      <c r="G2082" s="45">
        <v>37076</v>
      </c>
      <c r="H2082" s="46">
        <v>34624.400000000001</v>
      </c>
      <c r="I2082" s="47">
        <f t="shared" si="891"/>
        <v>0.96291228655653827</v>
      </c>
      <c r="J2082" s="48">
        <v>35958</v>
      </c>
      <c r="K2082" s="49">
        <v>37076</v>
      </c>
      <c r="L2082" s="50">
        <v>35380.65</v>
      </c>
      <c r="M2082" s="50">
        <v>42679.15</v>
      </c>
      <c r="N2082" s="51">
        <v>38900.51</v>
      </c>
      <c r="O2082" s="52">
        <v>16329.87</v>
      </c>
      <c r="P2082" s="53">
        <v>14663.17</v>
      </c>
      <c r="Q2082" s="54">
        <v>16719.5</v>
      </c>
      <c r="R2082" s="1"/>
      <c r="S2082" s="1"/>
      <c r="T2082" s="1"/>
    </row>
    <row r="2083" spans="1:20" ht="13.5" customHeight="1" x14ac:dyDescent="0.25">
      <c r="A2083" s="1"/>
      <c r="B2083" s="1" t="s">
        <v>1856</v>
      </c>
      <c r="C2083" s="1" t="s">
        <v>1128</v>
      </c>
      <c r="D2083" s="42">
        <v>817</v>
      </c>
      <c r="E2083" s="43">
        <v>312.75</v>
      </c>
      <c r="F2083" s="45">
        <v>817</v>
      </c>
      <c r="G2083" s="45">
        <v>817</v>
      </c>
      <c r="H2083" s="46">
        <v>832.42</v>
      </c>
      <c r="I2083" s="47">
        <f t="shared" si="891"/>
        <v>1.018873929008568</v>
      </c>
      <c r="J2083" s="48">
        <v>817</v>
      </c>
      <c r="K2083" s="49">
        <v>817</v>
      </c>
      <c r="L2083" s="50">
        <v>816.98</v>
      </c>
      <c r="M2083" s="50">
        <v>774.26</v>
      </c>
      <c r="N2083" s="51">
        <v>319.98</v>
      </c>
      <c r="O2083" s="52">
        <v>316.17</v>
      </c>
      <c r="P2083" s="53">
        <v>603.5</v>
      </c>
      <c r="Q2083" s="54">
        <v>1653.73</v>
      </c>
      <c r="R2083" s="1"/>
      <c r="S2083" s="1"/>
      <c r="T2083" s="1"/>
    </row>
    <row r="2084" spans="1:20" ht="13.5" customHeight="1" x14ac:dyDescent="0.25">
      <c r="A2084" s="1"/>
      <c r="B2084" s="1" t="s">
        <v>1857</v>
      </c>
      <c r="C2084" s="1" t="s">
        <v>489</v>
      </c>
      <c r="D2084" s="42">
        <v>33649</v>
      </c>
      <c r="E2084" s="43">
        <v>6632.42</v>
      </c>
      <c r="F2084" s="45">
        <v>33649</v>
      </c>
      <c r="G2084" s="45">
        <v>33649</v>
      </c>
      <c r="H2084" s="46">
        <v>57250.79</v>
      </c>
      <c r="I2084" s="47">
        <f t="shared" si="891"/>
        <v>2.232086631057741</v>
      </c>
      <c r="J2084" s="48">
        <v>25649</v>
      </c>
      <c r="K2084" s="49">
        <v>25649</v>
      </c>
      <c r="L2084" s="50">
        <v>43579.26</v>
      </c>
      <c r="M2084" s="50">
        <v>33239.769999999997</v>
      </c>
      <c r="N2084" s="51">
        <v>19739.98</v>
      </c>
      <c r="O2084" s="52">
        <v>31047.31</v>
      </c>
      <c r="P2084" s="53">
        <v>24982.69</v>
      </c>
      <c r="Q2084" s="54">
        <v>24034.959999999999</v>
      </c>
      <c r="R2084" s="1"/>
      <c r="S2084" s="1"/>
      <c r="T2084" s="1"/>
    </row>
    <row r="2085" spans="1:20" ht="13.5" customHeight="1" x14ac:dyDescent="0.25">
      <c r="A2085" s="1"/>
      <c r="B2085" s="1" t="s">
        <v>1858</v>
      </c>
      <c r="C2085" s="55" t="s">
        <v>408</v>
      </c>
      <c r="D2085" s="42">
        <v>850</v>
      </c>
      <c r="E2085" s="43">
        <v>0</v>
      </c>
      <c r="F2085" s="73">
        <v>850</v>
      </c>
      <c r="G2085" s="73">
        <v>850</v>
      </c>
      <c r="H2085" s="68">
        <v>750</v>
      </c>
      <c r="I2085" s="47">
        <v>0</v>
      </c>
      <c r="J2085" s="75">
        <v>0</v>
      </c>
      <c r="K2085" s="76">
        <v>0</v>
      </c>
      <c r="L2085" s="50">
        <v>4764.5</v>
      </c>
      <c r="M2085" s="50">
        <v>48.8</v>
      </c>
      <c r="N2085" s="53" t="s">
        <v>16</v>
      </c>
      <c r="O2085" s="52">
        <v>0</v>
      </c>
      <c r="P2085" s="53">
        <v>0</v>
      </c>
      <c r="Q2085" s="54">
        <v>0</v>
      </c>
      <c r="R2085" s="1"/>
      <c r="S2085" s="1"/>
      <c r="T2085" s="1"/>
    </row>
    <row r="2086" spans="1:20" ht="13.5" customHeight="1" x14ac:dyDescent="0.25">
      <c r="A2086" s="1"/>
      <c r="B2086" s="1" t="s">
        <v>1859</v>
      </c>
      <c r="C2086" s="1" t="s">
        <v>1442</v>
      </c>
      <c r="D2086" s="42">
        <v>1000</v>
      </c>
      <c r="E2086" s="43">
        <v>0</v>
      </c>
      <c r="F2086" s="45">
        <v>1000</v>
      </c>
      <c r="G2086" s="45">
        <v>1000</v>
      </c>
      <c r="H2086" s="68">
        <v>275</v>
      </c>
      <c r="I2086" s="47">
        <f t="shared" ref="I2086:I2088" si="892">H2086/J2086</f>
        <v>0.27500000000000002</v>
      </c>
      <c r="J2086" s="48">
        <v>1000</v>
      </c>
      <c r="K2086" s="49">
        <v>1000</v>
      </c>
      <c r="L2086" s="50">
        <v>49.67</v>
      </c>
      <c r="M2086" s="50">
        <v>129.74</v>
      </c>
      <c r="N2086" s="51">
        <v>2119.19</v>
      </c>
      <c r="O2086" s="52">
        <v>165</v>
      </c>
      <c r="P2086" s="53">
        <v>0</v>
      </c>
      <c r="Q2086" s="54">
        <v>1540.68</v>
      </c>
      <c r="R2086" s="1"/>
      <c r="S2086" s="1"/>
      <c r="T2086" s="1"/>
    </row>
    <row r="2087" spans="1:20" ht="13.5" customHeight="1" x14ac:dyDescent="0.25">
      <c r="A2087" s="1"/>
      <c r="B2087" s="1" t="s">
        <v>1860</v>
      </c>
      <c r="C2087" s="1" t="s">
        <v>541</v>
      </c>
      <c r="D2087" s="42">
        <v>0</v>
      </c>
      <c r="E2087" s="43">
        <v>0</v>
      </c>
      <c r="F2087" s="73">
        <v>0</v>
      </c>
      <c r="G2087" s="73">
        <v>0</v>
      </c>
      <c r="H2087" s="66">
        <v>135</v>
      </c>
      <c r="I2087" s="47">
        <f t="shared" si="892"/>
        <v>1</v>
      </c>
      <c r="J2087" s="48">
        <v>135</v>
      </c>
      <c r="K2087" s="76">
        <v>0</v>
      </c>
      <c r="L2087" s="77">
        <v>0</v>
      </c>
      <c r="M2087" s="50">
        <v>177.5</v>
      </c>
      <c r="N2087" s="53" t="s">
        <v>16</v>
      </c>
      <c r="O2087" s="52">
        <v>0</v>
      </c>
      <c r="P2087" s="53">
        <v>0</v>
      </c>
      <c r="Q2087" s="54">
        <v>0</v>
      </c>
      <c r="R2087" s="1"/>
      <c r="S2087" s="1"/>
      <c r="T2087" s="1"/>
    </row>
    <row r="2088" spans="1:20" ht="13.5" customHeight="1" x14ac:dyDescent="0.25">
      <c r="A2088" s="1"/>
      <c r="B2088" s="1" t="s">
        <v>1861</v>
      </c>
      <c r="C2088" s="1" t="s">
        <v>1447</v>
      </c>
      <c r="D2088" s="42">
        <v>3196</v>
      </c>
      <c r="E2088" s="70">
        <v>400</v>
      </c>
      <c r="F2088" s="45">
        <v>3196</v>
      </c>
      <c r="G2088" s="45">
        <v>3196</v>
      </c>
      <c r="H2088" s="68">
        <v>800</v>
      </c>
      <c r="I2088" s="47">
        <f t="shared" si="892"/>
        <v>0.26135249918327341</v>
      </c>
      <c r="J2088" s="48">
        <v>3061</v>
      </c>
      <c r="K2088" s="49">
        <v>3196</v>
      </c>
      <c r="L2088" s="50">
        <v>3166.67</v>
      </c>
      <c r="M2088" s="77">
        <v>0</v>
      </c>
      <c r="N2088" s="51">
        <v>16680</v>
      </c>
      <c r="O2088" s="52">
        <v>0</v>
      </c>
      <c r="P2088" s="53">
        <v>0</v>
      </c>
      <c r="Q2088" s="54">
        <v>0</v>
      </c>
      <c r="R2088" s="1"/>
      <c r="S2088" s="1"/>
      <c r="T2088" s="1"/>
    </row>
    <row r="2089" spans="1:20" ht="13.5" customHeight="1" x14ac:dyDescent="0.25">
      <c r="A2089" s="1"/>
      <c r="B2089" s="1"/>
      <c r="C2089" s="1"/>
      <c r="D2089" s="56">
        <v>91421</v>
      </c>
      <c r="E2089" s="57">
        <f t="shared" ref="E2089" si="893">SUM(E2073:E2088)</f>
        <v>16865.260000000002</v>
      </c>
      <c r="F2089" s="58">
        <f>SUM(F2072:F2088)</f>
        <v>91100</v>
      </c>
      <c r="G2089" s="58">
        <v>91100</v>
      </c>
      <c r="H2089" s="59">
        <f>SUM(H2073:H2088)</f>
        <v>110605.54000000001</v>
      </c>
      <c r="I2089" s="59"/>
      <c r="J2089" s="60">
        <f t="shared" ref="J2089:Q2089" si="894">SUM(J2073:J2088)</f>
        <v>82250</v>
      </c>
      <c r="K2089" s="61">
        <f t="shared" si="894"/>
        <v>82250</v>
      </c>
      <c r="L2089" s="62">
        <f t="shared" si="894"/>
        <v>98929.41</v>
      </c>
      <c r="M2089" s="62">
        <f t="shared" si="894"/>
        <v>89143.94</v>
      </c>
      <c r="N2089" s="63">
        <f t="shared" si="894"/>
        <v>92063.46</v>
      </c>
      <c r="O2089" s="64">
        <f t="shared" si="894"/>
        <v>56950.42</v>
      </c>
      <c r="P2089" s="63">
        <f t="shared" si="894"/>
        <v>58332.179999999993</v>
      </c>
      <c r="Q2089" s="65">
        <f t="shared" si="894"/>
        <v>58903.72</v>
      </c>
      <c r="R2089" s="1"/>
      <c r="S2089" s="1"/>
      <c r="T2089" s="1"/>
    </row>
    <row r="2090" spans="1:20" ht="13.5" customHeight="1" x14ac:dyDescent="0.25">
      <c r="A2090" s="1"/>
      <c r="B2090" s="1"/>
      <c r="C2090" s="1"/>
      <c r="D2090" s="42"/>
      <c r="E2090" s="67"/>
      <c r="F2090" s="45"/>
      <c r="G2090" s="45"/>
      <c r="H2090" s="74"/>
      <c r="I2090" s="66"/>
      <c r="J2090" s="48"/>
      <c r="K2090" s="49"/>
      <c r="L2090" s="50"/>
      <c r="M2090" s="77"/>
      <c r="N2090" s="51"/>
      <c r="O2090" s="52"/>
      <c r="P2090" s="53"/>
      <c r="Q2090" s="54"/>
      <c r="R2090" s="1"/>
      <c r="S2090" s="1"/>
      <c r="T2090" s="1"/>
    </row>
    <row r="2091" spans="1:20" ht="13.5" customHeight="1" x14ac:dyDescent="0.25">
      <c r="A2091" s="1"/>
      <c r="B2091" s="1" t="s">
        <v>1862</v>
      </c>
      <c r="C2091" s="1" t="s">
        <v>1154</v>
      </c>
      <c r="D2091" s="42">
        <v>1004</v>
      </c>
      <c r="E2091" s="43">
        <v>0</v>
      </c>
      <c r="F2091" s="45">
        <v>1004</v>
      </c>
      <c r="G2091" s="45">
        <v>1004</v>
      </c>
      <c r="H2091" s="74">
        <v>0</v>
      </c>
      <c r="I2091" s="47">
        <f t="shared" ref="I2091:I2094" si="895">H2091/J2091</f>
        <v>0</v>
      </c>
      <c r="J2091" s="48">
        <v>1004</v>
      </c>
      <c r="K2091" s="49">
        <v>1004</v>
      </c>
      <c r="L2091" s="50">
        <v>1003.7</v>
      </c>
      <c r="M2091" s="77">
        <v>0</v>
      </c>
      <c r="N2091" s="51">
        <v>514.1</v>
      </c>
      <c r="O2091" s="52">
        <v>4574.12</v>
      </c>
      <c r="P2091" s="53">
        <v>5830.98</v>
      </c>
      <c r="Q2091" s="54">
        <v>3712.8</v>
      </c>
      <c r="R2091" s="1"/>
      <c r="S2091" s="1"/>
      <c r="T2091" s="1"/>
    </row>
    <row r="2092" spans="1:20" ht="13.5" customHeight="1" x14ac:dyDescent="0.25">
      <c r="A2092" s="1"/>
      <c r="B2092" s="1" t="s">
        <v>1863</v>
      </c>
      <c r="C2092" s="1" t="s">
        <v>1283</v>
      </c>
      <c r="D2092" s="42">
        <v>48003</v>
      </c>
      <c r="E2092" s="43">
        <v>0</v>
      </c>
      <c r="F2092" s="45">
        <f>48003-48003</f>
        <v>0</v>
      </c>
      <c r="G2092" s="45">
        <v>48003</v>
      </c>
      <c r="H2092" s="46">
        <v>96500</v>
      </c>
      <c r="I2092" s="47">
        <f t="shared" si="895"/>
        <v>2.0102910234776994</v>
      </c>
      <c r="J2092" s="48">
        <v>48003</v>
      </c>
      <c r="K2092" s="49">
        <v>48003</v>
      </c>
      <c r="L2092" s="50">
        <v>30000</v>
      </c>
      <c r="M2092" s="50">
        <v>31038</v>
      </c>
      <c r="N2092" s="53" t="s">
        <v>16</v>
      </c>
      <c r="O2092" s="52">
        <v>0</v>
      </c>
      <c r="P2092" s="53">
        <v>35593.279999999999</v>
      </c>
      <c r="Q2092" s="54">
        <v>17269.900000000001</v>
      </c>
      <c r="R2092" s="1"/>
      <c r="S2092" s="1"/>
      <c r="T2092" s="1"/>
    </row>
    <row r="2093" spans="1:20" ht="13.5" customHeight="1" x14ac:dyDescent="0.25">
      <c r="A2093" s="1"/>
      <c r="B2093" s="1" t="s">
        <v>1864</v>
      </c>
      <c r="C2093" s="1" t="s">
        <v>1865</v>
      </c>
      <c r="D2093" s="42">
        <v>12150</v>
      </c>
      <c r="E2093" s="70">
        <v>155000</v>
      </c>
      <c r="F2093" s="45">
        <f>12150+142850</f>
        <v>155000</v>
      </c>
      <c r="G2093" s="45">
        <v>12150</v>
      </c>
      <c r="H2093" s="68">
        <v>2486.66</v>
      </c>
      <c r="I2093" s="47">
        <f t="shared" si="895"/>
        <v>0.20466337448559668</v>
      </c>
      <c r="J2093" s="48">
        <v>12150</v>
      </c>
      <c r="K2093" s="49">
        <v>12150</v>
      </c>
      <c r="L2093" s="50">
        <v>15150</v>
      </c>
      <c r="M2093" s="50">
        <v>80150</v>
      </c>
      <c r="N2093" s="51">
        <v>62478</v>
      </c>
      <c r="O2093" s="52">
        <v>38900</v>
      </c>
      <c r="P2093" s="53">
        <v>0</v>
      </c>
      <c r="Q2093" s="54">
        <v>0</v>
      </c>
      <c r="R2093" s="1"/>
      <c r="S2093" s="1"/>
      <c r="T2093" s="1"/>
    </row>
    <row r="2094" spans="1:20" ht="13.5" customHeight="1" x14ac:dyDescent="0.25">
      <c r="A2094" s="1"/>
      <c r="B2094" s="1" t="s">
        <v>1866</v>
      </c>
      <c r="C2094" s="1" t="s">
        <v>335</v>
      </c>
      <c r="D2094" s="42">
        <v>30325</v>
      </c>
      <c r="E2094" s="43">
        <v>0</v>
      </c>
      <c r="F2094" s="45">
        <f>30325-30325</f>
        <v>0</v>
      </c>
      <c r="G2094" s="45">
        <v>30325</v>
      </c>
      <c r="H2094" s="74">
        <v>0</v>
      </c>
      <c r="I2094" s="47">
        <f t="shared" si="895"/>
        <v>0</v>
      </c>
      <c r="J2094" s="48">
        <v>30325</v>
      </c>
      <c r="K2094" s="49">
        <v>30325</v>
      </c>
      <c r="L2094" s="77">
        <v>0</v>
      </c>
      <c r="M2094" s="50">
        <v>7282.95</v>
      </c>
      <c r="N2094" s="51">
        <v>-778.19</v>
      </c>
      <c r="O2094" s="52">
        <v>17721.810000000001</v>
      </c>
      <c r="P2094" s="53">
        <v>70809.009999999995</v>
      </c>
      <c r="Q2094" s="54">
        <v>130750</v>
      </c>
      <c r="R2094" s="1"/>
      <c r="S2094" s="1"/>
      <c r="T2094" s="1"/>
    </row>
    <row r="2095" spans="1:20" ht="13.5" customHeight="1" x14ac:dyDescent="0.25">
      <c r="A2095" s="1"/>
      <c r="B2095" s="1"/>
      <c r="C2095" s="1"/>
      <c r="D2095" s="56">
        <v>91482</v>
      </c>
      <c r="E2095" s="57">
        <f t="shared" ref="E2095" si="896">SUM(E2091:E2094)</f>
        <v>155000</v>
      </c>
      <c r="F2095" s="58">
        <f>SUM(F2090:F2094)</f>
        <v>156004</v>
      </c>
      <c r="G2095" s="58">
        <v>91625</v>
      </c>
      <c r="H2095" s="59">
        <f>SUM(H2091:H2094)</f>
        <v>98986.66</v>
      </c>
      <c r="I2095" s="59"/>
      <c r="J2095" s="60">
        <f t="shared" ref="J2095:Q2095" si="897">SUM(J2091:J2094)</f>
        <v>91482</v>
      </c>
      <c r="K2095" s="61">
        <f t="shared" si="897"/>
        <v>91482</v>
      </c>
      <c r="L2095" s="62">
        <f t="shared" si="897"/>
        <v>46153.7</v>
      </c>
      <c r="M2095" s="62">
        <f t="shared" si="897"/>
        <v>118470.95</v>
      </c>
      <c r="N2095" s="63">
        <f t="shared" si="897"/>
        <v>62213.909999999996</v>
      </c>
      <c r="O2095" s="64">
        <f t="shared" si="897"/>
        <v>61195.930000000008</v>
      </c>
      <c r="P2095" s="63">
        <f t="shared" si="897"/>
        <v>112233.26999999999</v>
      </c>
      <c r="Q2095" s="65">
        <f t="shared" si="897"/>
        <v>151732.70000000001</v>
      </c>
      <c r="R2095" s="1"/>
      <c r="S2095" s="1"/>
      <c r="T2095" s="1"/>
    </row>
    <row r="2096" spans="1:20" ht="13.5" customHeight="1" thickBot="1" x14ac:dyDescent="0.3">
      <c r="A2096" s="1"/>
      <c r="B2096" s="1"/>
      <c r="C2096" s="116" t="s">
        <v>1867</v>
      </c>
      <c r="D2096" s="267">
        <v>1763362.6081000001</v>
      </c>
      <c r="E2096" s="173">
        <f t="shared" ref="E2096" si="898">SUM(E2046+E2057+E2071+E2089+E2095)</f>
        <v>714842.13</v>
      </c>
      <c r="F2096" s="174">
        <f>SUM(F2046,F2057,F2071,F2089,F2095)</f>
        <v>1793649.8695</v>
      </c>
      <c r="G2096" s="174">
        <v>1793649.8695</v>
      </c>
      <c r="H2096" s="175">
        <f>SUM(H2046+H2057+H2071+H2089+H2095)</f>
        <v>1637097.2</v>
      </c>
      <c r="I2096" s="175"/>
      <c r="J2096" s="176">
        <f t="shared" ref="J2096:Q2096" si="899">SUM(J2046+J2057+J2071+J2089+J2095)</f>
        <v>1723107</v>
      </c>
      <c r="K2096" s="177">
        <f t="shared" si="899"/>
        <v>1723107</v>
      </c>
      <c r="L2096" s="178">
        <f t="shared" si="899"/>
        <v>1507877.6199999996</v>
      </c>
      <c r="M2096" s="178">
        <f t="shared" si="899"/>
        <v>1316992.6899999997</v>
      </c>
      <c r="N2096" s="179">
        <f t="shared" si="899"/>
        <v>1543526.16</v>
      </c>
      <c r="O2096" s="180">
        <f t="shared" si="899"/>
        <v>1245785.0799999998</v>
      </c>
      <c r="P2096" s="179">
        <f t="shared" si="899"/>
        <v>1267604.6499999999</v>
      </c>
      <c r="Q2096" s="181">
        <f t="shared" si="899"/>
        <v>1211148.47</v>
      </c>
      <c r="R2096" s="1"/>
      <c r="S2096" s="1"/>
      <c r="T2096" s="1"/>
    </row>
    <row r="2097" spans="1:20" ht="13.5" customHeight="1" thickTop="1" x14ac:dyDescent="0.25">
      <c r="A2097" s="1"/>
      <c r="B2097" s="1"/>
      <c r="C2097" s="53" t="e">
        <f>SUM(#REF!+#REF!)</f>
        <v>#REF!</v>
      </c>
      <c r="D2097" s="42"/>
      <c r="E2097" s="44"/>
      <c r="F2097" s="45"/>
      <c r="G2097" s="45"/>
      <c r="H2097" s="66"/>
      <c r="I2097" s="66"/>
      <c r="J2097" s="48"/>
      <c r="K2097" s="49"/>
      <c r="L2097" s="50"/>
      <c r="M2097" s="50"/>
      <c r="N2097" s="51"/>
      <c r="O2097" s="151"/>
      <c r="P2097" s="51"/>
      <c r="Q2097" s="152"/>
      <c r="R2097" s="1"/>
      <c r="S2097" s="1"/>
      <c r="T2097" s="1"/>
    </row>
    <row r="2098" spans="1:20" ht="13.5" customHeight="1" x14ac:dyDescent="0.25">
      <c r="A2098" s="1"/>
      <c r="B2098" s="1"/>
      <c r="C2098" s="41"/>
      <c r="D2098" s="42"/>
      <c r="E2098" s="67"/>
      <c r="F2098" s="45"/>
      <c r="G2098" s="45"/>
      <c r="H2098" s="74"/>
      <c r="I2098" s="66"/>
      <c r="J2098" s="48"/>
      <c r="K2098" s="49"/>
      <c r="L2098" s="50"/>
      <c r="M2098" s="77"/>
      <c r="N2098" s="53"/>
      <c r="O2098" s="52"/>
      <c r="P2098" s="53"/>
      <c r="Q2098" s="54"/>
      <c r="R2098" s="1"/>
      <c r="S2098" s="1"/>
      <c r="T2098" s="1"/>
    </row>
    <row r="2099" spans="1:20" ht="13.5" customHeight="1" x14ac:dyDescent="0.25">
      <c r="A2099" s="1"/>
      <c r="B2099" s="1"/>
      <c r="C2099" s="41" t="s">
        <v>1868</v>
      </c>
      <c r="D2099" s="42"/>
      <c r="E2099" s="67"/>
      <c r="F2099" s="45"/>
      <c r="G2099" s="45"/>
      <c r="H2099" s="74"/>
      <c r="I2099" s="66"/>
      <c r="J2099" s="48"/>
      <c r="K2099" s="49"/>
      <c r="L2099" s="50"/>
      <c r="M2099" s="77"/>
      <c r="N2099" s="53"/>
      <c r="O2099" s="52"/>
      <c r="P2099" s="53"/>
      <c r="Q2099" s="54"/>
      <c r="R2099" s="1"/>
      <c r="S2099" s="1"/>
      <c r="T2099" s="1"/>
    </row>
    <row r="2100" spans="1:20" ht="13.5" customHeight="1" x14ac:dyDescent="0.25">
      <c r="A2100" s="1"/>
      <c r="B2100" s="1" t="s">
        <v>1869</v>
      </c>
      <c r="C2100" s="1" t="s">
        <v>418</v>
      </c>
      <c r="D2100" s="42">
        <v>71186</v>
      </c>
      <c r="E2100" s="43">
        <v>33071.379999999997</v>
      </c>
      <c r="F2100" s="45">
        <v>69905</v>
      </c>
      <c r="G2100" s="45">
        <v>69905</v>
      </c>
      <c r="H2100" s="46">
        <v>69051.75</v>
      </c>
      <c r="I2100" s="47">
        <f t="shared" ref="I2100:I2103" si="900">H2100/J2100</f>
        <v>1.0025953566709742</v>
      </c>
      <c r="J2100" s="48">
        <v>68873</v>
      </c>
      <c r="K2100" s="49">
        <v>68873</v>
      </c>
      <c r="L2100" s="50">
        <v>67603.58</v>
      </c>
      <c r="M2100" s="50">
        <v>66154.990000000005</v>
      </c>
      <c r="N2100" s="51">
        <v>65112.08</v>
      </c>
      <c r="O2100" s="52">
        <v>62842.3</v>
      </c>
      <c r="P2100" s="53">
        <v>62740.05</v>
      </c>
      <c r="Q2100" s="54">
        <v>60458.1</v>
      </c>
      <c r="R2100" s="1"/>
      <c r="S2100" s="1"/>
      <c r="T2100" s="1"/>
    </row>
    <row r="2101" spans="1:20" ht="13.5" customHeight="1" x14ac:dyDescent="0.25">
      <c r="A2101" s="1"/>
      <c r="B2101" s="1" t="s">
        <v>1870</v>
      </c>
      <c r="C2101" s="1" t="s">
        <v>420</v>
      </c>
      <c r="D2101" s="42">
        <v>375784</v>
      </c>
      <c r="E2101" s="43">
        <v>156612.53</v>
      </c>
      <c r="F2101" s="45">
        <v>376049</v>
      </c>
      <c r="G2101" s="45">
        <v>376049</v>
      </c>
      <c r="H2101" s="46">
        <v>329532.42</v>
      </c>
      <c r="I2101" s="47">
        <f t="shared" si="900"/>
        <v>0.93740198783630779</v>
      </c>
      <c r="J2101" s="48">
        <v>351538</v>
      </c>
      <c r="K2101" s="49">
        <v>351538</v>
      </c>
      <c r="L2101" s="50">
        <v>306972.05</v>
      </c>
      <c r="M2101" s="50">
        <v>296763.15999999997</v>
      </c>
      <c r="N2101" s="51">
        <v>278051.59000000003</v>
      </c>
      <c r="O2101" s="52">
        <v>278843.34000000003</v>
      </c>
      <c r="P2101" s="53">
        <v>259446.25</v>
      </c>
      <c r="Q2101" s="54">
        <v>228343.83</v>
      </c>
      <c r="R2101" s="1"/>
      <c r="S2101" s="1"/>
      <c r="T2101" s="1"/>
    </row>
    <row r="2102" spans="1:20" ht="13.5" customHeight="1" x14ac:dyDescent="0.25">
      <c r="A2102" s="1"/>
      <c r="B2102" s="1" t="s">
        <v>1871</v>
      </c>
      <c r="C2102" s="1" t="s">
        <v>237</v>
      </c>
      <c r="D2102" s="42">
        <v>40000</v>
      </c>
      <c r="E2102" s="43">
        <v>17471.169999999998</v>
      </c>
      <c r="F2102" s="45">
        <v>40000</v>
      </c>
      <c r="G2102" s="45">
        <v>40000</v>
      </c>
      <c r="H2102" s="46">
        <v>24463.32</v>
      </c>
      <c r="I2102" s="47">
        <f t="shared" si="900"/>
        <v>0.61158299999999999</v>
      </c>
      <c r="J2102" s="48">
        <v>40000</v>
      </c>
      <c r="K2102" s="49">
        <v>15000</v>
      </c>
      <c r="L2102" s="50">
        <v>3012.75</v>
      </c>
      <c r="M2102" s="50">
        <v>2193.75</v>
      </c>
      <c r="N2102" s="51">
        <v>19703.2</v>
      </c>
      <c r="O2102" s="52">
        <v>0</v>
      </c>
      <c r="P2102" s="53">
        <v>36827.269999999997</v>
      </c>
      <c r="Q2102" s="54">
        <v>55221.65</v>
      </c>
      <c r="R2102" s="1"/>
      <c r="S2102" s="1"/>
      <c r="T2102" s="1"/>
    </row>
    <row r="2103" spans="1:20" ht="13.5" customHeight="1" x14ac:dyDescent="0.25">
      <c r="A2103" s="1"/>
      <c r="B2103" s="1" t="s">
        <v>1872</v>
      </c>
      <c r="C2103" s="1" t="s">
        <v>423</v>
      </c>
      <c r="D2103" s="42">
        <v>0</v>
      </c>
      <c r="E2103" s="43">
        <v>0</v>
      </c>
      <c r="F2103" s="45">
        <v>0</v>
      </c>
      <c r="G2103" s="45">
        <v>0</v>
      </c>
      <c r="H2103" s="46">
        <v>19113.14</v>
      </c>
      <c r="I2103" s="47">
        <f t="shared" si="900"/>
        <v>0.81249532392450263</v>
      </c>
      <c r="J2103" s="48">
        <v>23524</v>
      </c>
      <c r="K2103" s="49">
        <v>23524</v>
      </c>
      <c r="L2103" s="50">
        <v>29496.65</v>
      </c>
      <c r="M2103" s="50">
        <v>31033.29</v>
      </c>
      <c r="N2103" s="51">
        <v>29834.12</v>
      </c>
      <c r="O2103" s="52">
        <v>31142.95</v>
      </c>
      <c r="P2103" s="53">
        <v>27410.01</v>
      </c>
      <c r="Q2103" s="54">
        <v>25517.71</v>
      </c>
      <c r="R2103" s="1"/>
      <c r="S2103" s="1"/>
      <c r="T2103" s="1"/>
    </row>
    <row r="2104" spans="1:20" ht="13.5" hidden="1" customHeight="1" x14ac:dyDescent="0.25">
      <c r="A2104" s="1"/>
      <c r="B2104" s="1" t="s">
        <v>1873</v>
      </c>
      <c r="C2104" s="1" t="s">
        <v>425</v>
      </c>
      <c r="D2104" s="42">
        <v>0</v>
      </c>
      <c r="E2104" s="43">
        <v>0</v>
      </c>
      <c r="F2104" s="73">
        <v>0</v>
      </c>
      <c r="G2104" s="73">
        <v>0</v>
      </c>
      <c r="H2104" s="46"/>
      <c r="I2104" s="47"/>
      <c r="J2104" s="75"/>
      <c r="K2104" s="76"/>
      <c r="L2104" s="50"/>
      <c r="M2104" s="50"/>
      <c r="N2104" s="51">
        <v>145.72</v>
      </c>
      <c r="O2104" s="52">
        <v>193.43</v>
      </c>
      <c r="P2104" s="53">
        <v>148.44</v>
      </c>
      <c r="Q2104" s="54">
        <v>510.25</v>
      </c>
      <c r="R2104" s="1"/>
      <c r="S2104" s="1"/>
      <c r="T2104" s="1"/>
    </row>
    <row r="2105" spans="1:20" ht="13.5" customHeight="1" x14ac:dyDescent="0.25">
      <c r="A2105" s="1"/>
      <c r="B2105" s="1" t="s">
        <v>1874</v>
      </c>
      <c r="C2105" s="1" t="s">
        <v>1042</v>
      </c>
      <c r="D2105" s="42">
        <v>15000</v>
      </c>
      <c r="E2105" s="43">
        <v>1186.18</v>
      </c>
      <c r="F2105" s="45">
        <v>15000</v>
      </c>
      <c r="G2105" s="45">
        <v>15000</v>
      </c>
      <c r="H2105" s="46">
        <v>1114.3599999999999</v>
      </c>
      <c r="I2105" s="47">
        <f>H2105/J2105</f>
        <v>7.4290666666666658E-2</v>
      </c>
      <c r="J2105" s="48">
        <v>15000</v>
      </c>
      <c r="K2105" s="49">
        <v>15000</v>
      </c>
      <c r="L2105" s="50">
        <f>2786.8+43.28</f>
        <v>2830.0800000000004</v>
      </c>
      <c r="M2105" s="50">
        <f>6023.76+213.04</f>
        <v>6236.8</v>
      </c>
      <c r="N2105" s="51">
        <v>2027.8</v>
      </c>
      <c r="O2105" s="52">
        <v>3189.24</v>
      </c>
      <c r="P2105" s="53">
        <v>2023.69</v>
      </c>
      <c r="Q2105" s="54">
        <v>3292.95</v>
      </c>
      <c r="R2105" s="1"/>
      <c r="S2105" s="1"/>
      <c r="T2105" s="1"/>
    </row>
    <row r="2106" spans="1:20" ht="13.5" customHeight="1" x14ac:dyDescent="0.25">
      <c r="A2106" s="1"/>
      <c r="B2106" s="1"/>
      <c r="C2106" s="1"/>
      <c r="D2106" s="56">
        <v>501970</v>
      </c>
      <c r="E2106" s="57">
        <f t="shared" ref="E2106" si="901">SUM(E2100:E2105)</f>
        <v>208341.26</v>
      </c>
      <c r="F2106" s="58">
        <f>SUM(F2099:F2105)</f>
        <v>500954</v>
      </c>
      <c r="G2106" s="58">
        <v>500954</v>
      </c>
      <c r="H2106" s="59">
        <f>SUM(H2100:H2105)</f>
        <v>443274.99</v>
      </c>
      <c r="I2106" s="59"/>
      <c r="J2106" s="60">
        <f t="shared" ref="J2106:Q2106" si="902">SUM(J2100:J2105)</f>
        <v>498935</v>
      </c>
      <c r="K2106" s="61">
        <f t="shared" si="902"/>
        <v>473935</v>
      </c>
      <c r="L2106" s="62">
        <f t="shared" si="902"/>
        <v>409915.11000000004</v>
      </c>
      <c r="M2106" s="62">
        <f t="shared" si="902"/>
        <v>402381.98999999993</v>
      </c>
      <c r="N2106" s="63">
        <f t="shared" si="902"/>
        <v>394874.51</v>
      </c>
      <c r="O2106" s="64">
        <f t="shared" si="902"/>
        <v>376211.26</v>
      </c>
      <c r="P2106" s="63">
        <f t="shared" si="902"/>
        <v>388595.71</v>
      </c>
      <c r="Q2106" s="65">
        <f t="shared" si="902"/>
        <v>373344.49000000005</v>
      </c>
      <c r="R2106" s="1"/>
      <c r="S2106" s="1"/>
      <c r="T2106" s="1"/>
    </row>
    <row r="2107" spans="1:20" ht="13.5" customHeight="1" x14ac:dyDescent="0.25">
      <c r="A2107" s="1"/>
      <c r="B2107" s="1"/>
      <c r="C2107" s="1"/>
      <c r="D2107" s="42"/>
      <c r="E2107" s="44"/>
      <c r="F2107" s="45"/>
      <c r="G2107" s="45"/>
      <c r="H2107" s="66"/>
      <c r="I2107" s="66"/>
      <c r="J2107" s="48"/>
      <c r="K2107" s="49"/>
      <c r="L2107" s="50"/>
      <c r="M2107" s="50"/>
      <c r="N2107" s="51"/>
      <c r="O2107" s="52"/>
      <c r="P2107" s="53"/>
      <c r="Q2107" s="54"/>
      <c r="R2107" s="1"/>
      <c r="S2107" s="1"/>
      <c r="T2107" s="1"/>
    </row>
    <row r="2108" spans="1:20" ht="13.5" customHeight="1" x14ac:dyDescent="0.25">
      <c r="A2108" s="1"/>
      <c r="B2108" s="1" t="s">
        <v>1875</v>
      </c>
      <c r="C2108" s="1" t="s">
        <v>247</v>
      </c>
      <c r="D2108" s="42">
        <v>38722.005000000005</v>
      </c>
      <c r="E2108" s="43">
        <v>15005.6</v>
      </c>
      <c r="F2108" s="45">
        <v>38644.281000000003</v>
      </c>
      <c r="G2108" s="45">
        <v>38644.281000000003</v>
      </c>
      <c r="H2108" s="46">
        <v>32189.67</v>
      </c>
      <c r="I2108" s="47">
        <f t="shared" ref="I2108:I2116" si="903">H2108/J2108</f>
        <v>0.90286006787647599</v>
      </c>
      <c r="J2108" s="48">
        <v>35653</v>
      </c>
      <c r="K2108" s="49">
        <v>35653</v>
      </c>
      <c r="L2108" s="50">
        <v>29756.98</v>
      </c>
      <c r="M2108" s="50">
        <v>29278.25</v>
      </c>
      <c r="N2108" s="51">
        <v>29006.959999999999</v>
      </c>
      <c r="O2108" s="52">
        <v>27480.46</v>
      </c>
      <c r="P2108" s="53">
        <v>28299.11</v>
      </c>
      <c r="Q2108" s="54">
        <v>27323.68</v>
      </c>
      <c r="R2108" s="1"/>
      <c r="S2108" s="1"/>
      <c r="T2108" s="1"/>
    </row>
    <row r="2109" spans="1:20" ht="13.5" customHeight="1" x14ac:dyDescent="0.25">
      <c r="A2109" s="1"/>
      <c r="B2109" s="1" t="s">
        <v>1876</v>
      </c>
      <c r="C2109" s="1" t="s">
        <v>249</v>
      </c>
      <c r="D2109" s="42">
        <v>104634.34800000001</v>
      </c>
      <c r="E2109" s="43">
        <v>47307.45</v>
      </c>
      <c r="F2109" s="45">
        <v>104632.736</v>
      </c>
      <c r="G2109" s="45">
        <v>104632.736</v>
      </c>
      <c r="H2109" s="46">
        <v>81893.09</v>
      </c>
      <c r="I2109" s="47">
        <f t="shared" si="903"/>
        <v>0.80041724902993749</v>
      </c>
      <c r="J2109" s="48">
        <v>102313</v>
      </c>
      <c r="K2109" s="49">
        <v>102313</v>
      </c>
      <c r="L2109" s="50">
        <v>81119.5</v>
      </c>
      <c r="M2109" s="50">
        <v>91248.88</v>
      </c>
      <c r="N2109" s="51">
        <v>84715.12</v>
      </c>
      <c r="O2109" s="52">
        <v>90274.54</v>
      </c>
      <c r="P2109" s="53">
        <v>88114.4</v>
      </c>
      <c r="Q2109" s="54">
        <v>76934.399999999994</v>
      </c>
      <c r="R2109" s="1"/>
      <c r="S2109" s="1"/>
      <c r="T2109" s="1"/>
    </row>
    <row r="2110" spans="1:20" ht="13.5" customHeight="1" x14ac:dyDescent="0.25">
      <c r="A2110" s="1"/>
      <c r="B2110" s="1" t="s">
        <v>1877</v>
      </c>
      <c r="C2110" s="1" t="s">
        <v>251</v>
      </c>
      <c r="D2110" s="42">
        <v>76026.733999999997</v>
      </c>
      <c r="E2110" s="43">
        <v>31506.34</v>
      </c>
      <c r="F2110" s="45">
        <v>75874.130799999984</v>
      </c>
      <c r="G2110" s="45">
        <v>75874.130799999984</v>
      </c>
      <c r="H2110" s="46">
        <v>63592.12</v>
      </c>
      <c r="I2110" s="47">
        <f t="shared" si="903"/>
        <v>0.91596980958142482</v>
      </c>
      <c r="J2110" s="48">
        <v>69426</v>
      </c>
      <c r="K2110" s="49">
        <v>69426</v>
      </c>
      <c r="L2110" s="50">
        <v>58980.18</v>
      </c>
      <c r="M2110" s="50">
        <v>55656.98</v>
      </c>
      <c r="N2110" s="51">
        <v>51982.78</v>
      </c>
      <c r="O2110" s="52">
        <v>51452.37</v>
      </c>
      <c r="P2110" s="53">
        <v>53054.54</v>
      </c>
      <c r="Q2110" s="54">
        <v>47412.44</v>
      </c>
      <c r="R2110" s="1"/>
      <c r="S2110" s="1"/>
      <c r="T2110" s="1"/>
    </row>
    <row r="2111" spans="1:20" ht="13.5" customHeight="1" x14ac:dyDescent="0.25">
      <c r="A2111" s="1"/>
      <c r="B2111" s="1" t="s">
        <v>1878</v>
      </c>
      <c r="C2111" s="1" t="s">
        <v>1822</v>
      </c>
      <c r="D2111" s="42">
        <v>10000</v>
      </c>
      <c r="E2111" s="43">
        <v>6471</v>
      </c>
      <c r="F2111" s="45">
        <v>10000</v>
      </c>
      <c r="G2111" s="45">
        <v>10000</v>
      </c>
      <c r="H2111" s="46">
        <v>8136</v>
      </c>
      <c r="I2111" s="47">
        <f t="shared" si="903"/>
        <v>0.81359999999999999</v>
      </c>
      <c r="J2111" s="48">
        <v>10000</v>
      </c>
      <c r="K2111" s="49">
        <v>10000</v>
      </c>
      <c r="L2111" s="50">
        <v>8573.68</v>
      </c>
      <c r="M2111" s="50">
        <v>7193.52</v>
      </c>
      <c r="N2111" s="51">
        <v>8407</v>
      </c>
      <c r="O2111" s="52">
        <v>10148.540000000001</v>
      </c>
      <c r="P2111" s="53">
        <v>13083</v>
      </c>
      <c r="Q2111" s="54">
        <v>18309.28</v>
      </c>
      <c r="R2111" s="1"/>
      <c r="S2111" s="1"/>
      <c r="T2111" s="1"/>
    </row>
    <row r="2112" spans="1:20" ht="13.5" customHeight="1" x14ac:dyDescent="0.25">
      <c r="A2112" s="1"/>
      <c r="B2112" s="1" t="s">
        <v>1879</v>
      </c>
      <c r="C2112" s="1" t="s">
        <v>253</v>
      </c>
      <c r="D2112" s="42">
        <v>809.87199999999996</v>
      </c>
      <c r="E2112" s="43">
        <v>335.61</v>
      </c>
      <c r="F2112" s="45">
        <v>808.24640000000011</v>
      </c>
      <c r="G2112" s="45">
        <v>808.24640000000011</v>
      </c>
      <c r="H2112" s="46">
        <v>700.1</v>
      </c>
      <c r="I2112" s="47">
        <f t="shared" si="903"/>
        <v>0.91396866840731072</v>
      </c>
      <c r="J2112" s="48">
        <v>766</v>
      </c>
      <c r="K2112" s="49">
        <v>766</v>
      </c>
      <c r="L2112" s="50">
        <v>744.46</v>
      </c>
      <c r="M2112" s="50">
        <v>759.01</v>
      </c>
      <c r="N2112" s="51">
        <v>903.68</v>
      </c>
      <c r="O2112" s="52">
        <v>1007.23</v>
      </c>
      <c r="P2112" s="53">
        <v>967.59</v>
      </c>
      <c r="Q2112" s="54">
        <v>893.95</v>
      </c>
      <c r="R2112" s="1"/>
      <c r="S2112" s="1"/>
      <c r="T2112" s="1"/>
    </row>
    <row r="2113" spans="1:20" ht="13.5" customHeight="1" x14ac:dyDescent="0.25">
      <c r="A2113" s="1"/>
      <c r="B2113" s="1" t="s">
        <v>1880</v>
      </c>
      <c r="C2113" s="1" t="s">
        <v>287</v>
      </c>
      <c r="D2113" s="42">
        <v>258.47039999999998</v>
      </c>
      <c r="E2113" s="43">
        <v>59.69</v>
      </c>
      <c r="F2113" s="45">
        <v>301.73430000000002</v>
      </c>
      <c r="G2113" s="45">
        <v>301.73430000000002</v>
      </c>
      <c r="H2113" s="46">
        <v>310.67</v>
      </c>
      <c r="I2113" s="47">
        <f t="shared" si="903"/>
        <v>0.40346753246753247</v>
      </c>
      <c r="J2113" s="48">
        <v>770</v>
      </c>
      <c r="K2113" s="49">
        <v>770</v>
      </c>
      <c r="L2113" s="50">
        <v>370.85</v>
      </c>
      <c r="M2113" s="50">
        <v>660.94</v>
      </c>
      <c r="N2113" s="51">
        <v>737.28</v>
      </c>
      <c r="O2113" s="52">
        <v>908.58</v>
      </c>
      <c r="P2113" s="53">
        <v>995.97</v>
      </c>
      <c r="Q2113" s="54">
        <v>951.04</v>
      </c>
      <c r="R2113" s="1"/>
      <c r="S2113" s="1"/>
      <c r="T2113" s="1"/>
    </row>
    <row r="2114" spans="1:20" ht="13.5" customHeight="1" x14ac:dyDescent="0.25">
      <c r="A2114" s="1"/>
      <c r="B2114" s="1" t="s">
        <v>1881</v>
      </c>
      <c r="C2114" s="1" t="s">
        <v>255</v>
      </c>
      <c r="D2114" s="42">
        <v>3511.1999999999994</v>
      </c>
      <c r="E2114" s="43">
        <v>1643.73</v>
      </c>
      <c r="F2114" s="45">
        <v>3350</v>
      </c>
      <c r="G2114" s="45">
        <v>3350</v>
      </c>
      <c r="H2114" s="46">
        <v>2661.92</v>
      </c>
      <c r="I2114" s="47">
        <f t="shared" si="903"/>
        <v>0.8266832298136646</v>
      </c>
      <c r="J2114" s="48">
        <v>3220</v>
      </c>
      <c r="K2114" s="49">
        <v>3220</v>
      </c>
      <c r="L2114" s="50">
        <v>2507.64</v>
      </c>
      <c r="M2114" s="50">
        <v>2719.08</v>
      </c>
      <c r="N2114" s="51">
        <v>2748.12</v>
      </c>
      <c r="O2114" s="52">
        <v>2990.65</v>
      </c>
      <c r="P2114" s="53">
        <v>2962.7</v>
      </c>
      <c r="Q2114" s="54">
        <v>2562.4</v>
      </c>
      <c r="R2114" s="1"/>
      <c r="S2114" s="1"/>
      <c r="T2114" s="1"/>
    </row>
    <row r="2115" spans="1:20" ht="13.5" customHeight="1" x14ac:dyDescent="0.25">
      <c r="A2115" s="1"/>
      <c r="B2115" s="1" t="s">
        <v>1882</v>
      </c>
      <c r="C2115" s="1" t="s">
        <v>257</v>
      </c>
      <c r="D2115" s="42">
        <v>0</v>
      </c>
      <c r="E2115" s="43">
        <v>0</v>
      </c>
      <c r="F2115" s="73">
        <v>0</v>
      </c>
      <c r="G2115" s="73">
        <v>0</v>
      </c>
      <c r="H2115" s="74">
        <v>0</v>
      </c>
      <c r="I2115" s="47">
        <f t="shared" si="903"/>
        <v>0</v>
      </c>
      <c r="J2115" s="48">
        <v>600</v>
      </c>
      <c r="K2115" s="49">
        <v>600</v>
      </c>
      <c r="L2115" s="77">
        <v>0</v>
      </c>
      <c r="M2115" s="77">
        <v>0</v>
      </c>
      <c r="N2115" s="53" t="s">
        <v>16</v>
      </c>
      <c r="O2115" s="52"/>
      <c r="P2115" s="53"/>
      <c r="Q2115" s="54"/>
      <c r="R2115" s="1"/>
      <c r="S2115" s="1"/>
      <c r="T2115" s="1"/>
    </row>
    <row r="2116" spans="1:20" ht="13.5" customHeight="1" x14ac:dyDescent="0.25">
      <c r="A2116" s="1"/>
      <c r="B2116" s="1" t="s">
        <v>1883</v>
      </c>
      <c r="C2116" s="1" t="s">
        <v>1402</v>
      </c>
      <c r="D2116" s="42">
        <v>4200</v>
      </c>
      <c r="E2116" s="43">
        <v>2100.02</v>
      </c>
      <c r="F2116" s="45">
        <v>4200</v>
      </c>
      <c r="G2116" s="45">
        <v>4200</v>
      </c>
      <c r="H2116" s="46">
        <v>4200.1000000000004</v>
      </c>
      <c r="I2116" s="47">
        <f t="shared" si="903"/>
        <v>1.0000238095238096</v>
      </c>
      <c r="J2116" s="48">
        <v>4200</v>
      </c>
      <c r="K2116" s="49">
        <v>4200</v>
      </c>
      <c r="L2116" s="50">
        <v>4200.04</v>
      </c>
      <c r="M2116" s="50">
        <v>4200.04</v>
      </c>
      <c r="N2116" s="51">
        <v>4200.04</v>
      </c>
      <c r="O2116" s="52"/>
      <c r="P2116" s="53"/>
      <c r="Q2116" s="54"/>
      <c r="R2116" s="1"/>
      <c r="S2116" s="1"/>
      <c r="T2116" s="1"/>
    </row>
    <row r="2117" spans="1:20" ht="13.5" customHeight="1" x14ac:dyDescent="0.25">
      <c r="A2117" s="1"/>
      <c r="B2117" s="1"/>
      <c r="C2117" s="1"/>
      <c r="D2117" s="56">
        <v>238162.62940000001</v>
      </c>
      <c r="E2117" s="57">
        <f t="shared" ref="E2117" si="904">SUM(E2108:E2116)</f>
        <v>104429.44</v>
      </c>
      <c r="F2117" s="58">
        <f>SUM(F2107:F2116)</f>
        <v>237811.12849999999</v>
      </c>
      <c r="G2117" s="58">
        <v>237811.12849999999</v>
      </c>
      <c r="H2117" s="59">
        <f>SUM(H2108:H2116)</f>
        <v>193683.67000000004</v>
      </c>
      <c r="I2117" s="59"/>
      <c r="J2117" s="60">
        <f t="shared" ref="J2117:Q2117" si="905">SUM(J2108:J2116)</f>
        <v>226948</v>
      </c>
      <c r="K2117" s="61">
        <f t="shared" si="905"/>
        <v>226948</v>
      </c>
      <c r="L2117" s="62">
        <f t="shared" si="905"/>
        <v>186253.33000000002</v>
      </c>
      <c r="M2117" s="62">
        <f t="shared" si="905"/>
        <v>191716.7</v>
      </c>
      <c r="N2117" s="63">
        <f t="shared" si="905"/>
        <v>182700.97999999998</v>
      </c>
      <c r="O2117" s="64">
        <f t="shared" si="905"/>
        <v>184262.37</v>
      </c>
      <c r="P2117" s="63">
        <f t="shared" si="905"/>
        <v>187477.31</v>
      </c>
      <c r="Q2117" s="65">
        <f t="shared" si="905"/>
        <v>174387.19</v>
      </c>
      <c r="R2117" s="1"/>
      <c r="S2117" s="1"/>
      <c r="T2117" s="1"/>
    </row>
    <row r="2118" spans="1:20" ht="13.5" customHeight="1" x14ac:dyDescent="0.25">
      <c r="A2118" s="1"/>
      <c r="B2118" s="1"/>
      <c r="C2118" s="1"/>
      <c r="D2118" s="42"/>
      <c r="E2118" s="44"/>
      <c r="F2118" s="45"/>
      <c r="G2118" s="45"/>
      <c r="H2118" s="66"/>
      <c r="I2118" s="66"/>
      <c r="J2118" s="48"/>
      <c r="K2118" s="49"/>
      <c r="L2118" s="50"/>
      <c r="M2118" s="50"/>
      <c r="N2118" s="51"/>
      <c r="O2118" s="52"/>
      <c r="P2118" s="53"/>
      <c r="Q2118" s="54"/>
      <c r="R2118" s="1"/>
      <c r="S2118" s="1"/>
      <c r="T2118" s="1"/>
    </row>
    <row r="2119" spans="1:20" ht="13.5" customHeight="1" x14ac:dyDescent="0.25">
      <c r="A2119" s="1"/>
      <c r="B2119" s="1" t="s">
        <v>1884</v>
      </c>
      <c r="C2119" s="1" t="s">
        <v>259</v>
      </c>
      <c r="D2119" s="42">
        <v>1000</v>
      </c>
      <c r="E2119" s="43">
        <v>0</v>
      </c>
      <c r="F2119" s="45">
        <v>1000</v>
      </c>
      <c r="G2119" s="45">
        <v>1000</v>
      </c>
      <c r="H2119" s="46">
        <v>699.76</v>
      </c>
      <c r="I2119" s="47">
        <f t="shared" ref="I2119:I2129" si="906">H2119/J2119</f>
        <v>0.69975999999999994</v>
      </c>
      <c r="J2119" s="48">
        <v>1000</v>
      </c>
      <c r="K2119" s="49">
        <v>1000</v>
      </c>
      <c r="L2119" s="50">
        <v>594.64</v>
      </c>
      <c r="M2119" s="50">
        <v>1149.77</v>
      </c>
      <c r="N2119" s="51">
        <v>367.31</v>
      </c>
      <c r="O2119" s="52">
        <v>634.04</v>
      </c>
      <c r="P2119" s="53">
        <v>688.32</v>
      </c>
      <c r="Q2119" s="54">
        <v>813.57</v>
      </c>
      <c r="R2119" s="1"/>
      <c r="S2119" s="1"/>
      <c r="T2119" s="1"/>
    </row>
    <row r="2120" spans="1:20" ht="13.5" customHeight="1" x14ac:dyDescent="0.25">
      <c r="A2120" s="1"/>
      <c r="B2120" s="1" t="s">
        <v>1885</v>
      </c>
      <c r="C2120" s="1" t="s">
        <v>471</v>
      </c>
      <c r="D2120" s="42">
        <v>78465</v>
      </c>
      <c r="E2120" s="43">
        <v>13164.96</v>
      </c>
      <c r="F2120" s="45">
        <v>78465</v>
      </c>
      <c r="G2120" s="45">
        <v>78465</v>
      </c>
      <c r="H2120" s="46">
        <v>57069.38</v>
      </c>
      <c r="I2120" s="47">
        <f t="shared" si="906"/>
        <v>0.70849633767846054</v>
      </c>
      <c r="J2120" s="48">
        <v>80550</v>
      </c>
      <c r="K2120" s="49">
        <v>80550</v>
      </c>
      <c r="L2120" s="50">
        <v>72007.89</v>
      </c>
      <c r="M2120" s="50">
        <v>44279.67</v>
      </c>
      <c r="N2120" s="51">
        <v>38801.550000000003</v>
      </c>
      <c r="O2120" s="52">
        <v>43394.879999999997</v>
      </c>
      <c r="P2120" s="53">
        <v>69060.31</v>
      </c>
      <c r="Q2120" s="54">
        <v>72104.41</v>
      </c>
      <c r="R2120" s="1"/>
      <c r="S2120" s="1"/>
      <c r="T2120" s="1"/>
    </row>
    <row r="2121" spans="1:20" ht="13.5" customHeight="1" x14ac:dyDescent="0.25">
      <c r="A2121" s="1"/>
      <c r="B2121" s="1" t="s">
        <v>1886</v>
      </c>
      <c r="C2121" s="1" t="s">
        <v>1118</v>
      </c>
      <c r="D2121" s="42">
        <v>5000</v>
      </c>
      <c r="E2121" s="43">
        <v>2088.06</v>
      </c>
      <c r="F2121" s="45">
        <v>5000</v>
      </c>
      <c r="G2121" s="45">
        <v>5000</v>
      </c>
      <c r="H2121" s="46">
        <v>4953.43</v>
      </c>
      <c r="I2121" s="47">
        <f t="shared" si="906"/>
        <v>1.1007622222222222</v>
      </c>
      <c r="J2121" s="48">
        <v>4500</v>
      </c>
      <c r="K2121" s="49">
        <v>4500</v>
      </c>
      <c r="L2121" s="50">
        <v>3461.28</v>
      </c>
      <c r="M2121" s="50">
        <v>2970.35</v>
      </c>
      <c r="N2121" s="51">
        <v>3200.01</v>
      </c>
      <c r="O2121" s="52">
        <v>3019.54</v>
      </c>
      <c r="P2121" s="53">
        <v>3258.55</v>
      </c>
      <c r="Q2121" s="54">
        <v>0</v>
      </c>
      <c r="R2121" s="1"/>
      <c r="S2121" s="1"/>
      <c r="T2121" s="1"/>
    </row>
    <row r="2122" spans="1:20" ht="13.5" customHeight="1" x14ac:dyDescent="0.25">
      <c r="A2122" s="1"/>
      <c r="B2122" s="1" t="s">
        <v>1887</v>
      </c>
      <c r="C2122" s="1" t="s">
        <v>1833</v>
      </c>
      <c r="D2122" s="42">
        <v>663212.98</v>
      </c>
      <c r="E2122" s="43">
        <v>140875.43</v>
      </c>
      <c r="F2122" s="45">
        <f>753367.74-153195</f>
        <v>600172.74</v>
      </c>
      <c r="G2122" s="45">
        <v>753367.74</v>
      </c>
      <c r="H2122" s="46">
        <v>451840.17</v>
      </c>
      <c r="I2122" s="47">
        <f t="shared" si="906"/>
        <v>0.74624995664603844</v>
      </c>
      <c r="J2122" s="48">
        <v>605481</v>
      </c>
      <c r="K2122" s="49">
        <v>722815</v>
      </c>
      <c r="L2122" s="50">
        <v>428029.45</v>
      </c>
      <c r="M2122" s="50">
        <v>551215.72</v>
      </c>
      <c r="N2122" s="51">
        <v>497366.73</v>
      </c>
      <c r="O2122" s="52">
        <v>421580.79</v>
      </c>
      <c r="P2122" s="53">
        <v>554676.18000000005</v>
      </c>
      <c r="Q2122" s="54">
        <v>411795.86</v>
      </c>
      <c r="R2122" s="1"/>
      <c r="S2122" s="1"/>
      <c r="T2122" s="1"/>
    </row>
    <row r="2123" spans="1:20" ht="13.5" customHeight="1" x14ac:dyDescent="0.25">
      <c r="A2123" s="1"/>
      <c r="B2123" s="1" t="s">
        <v>1888</v>
      </c>
      <c r="C2123" s="1" t="s">
        <v>1835</v>
      </c>
      <c r="D2123" s="42">
        <v>18000</v>
      </c>
      <c r="E2123" s="43">
        <v>16089.86</v>
      </c>
      <c r="F2123" s="45">
        <v>18000</v>
      </c>
      <c r="G2123" s="45">
        <v>18000</v>
      </c>
      <c r="H2123" s="46">
        <v>71664.350000000006</v>
      </c>
      <c r="I2123" s="47">
        <f t="shared" si="906"/>
        <v>3.981352777777778</v>
      </c>
      <c r="J2123" s="48">
        <v>18000</v>
      </c>
      <c r="K2123" s="49">
        <v>18000</v>
      </c>
      <c r="L2123" s="50">
        <v>14511.6</v>
      </c>
      <c r="M2123" s="50">
        <v>16624.75</v>
      </c>
      <c r="N2123" s="51">
        <v>54362.93</v>
      </c>
      <c r="O2123" s="52">
        <v>23966.400000000001</v>
      </c>
      <c r="P2123" s="53">
        <v>29493.09</v>
      </c>
      <c r="Q2123" s="54">
        <v>11769.67</v>
      </c>
      <c r="R2123" s="1"/>
      <c r="S2123" s="1"/>
      <c r="T2123" s="1"/>
    </row>
    <row r="2124" spans="1:20" ht="13.5" customHeight="1" x14ac:dyDescent="0.25">
      <c r="A2124" s="1"/>
      <c r="B2124" s="1" t="s">
        <v>1889</v>
      </c>
      <c r="C2124" s="1" t="s">
        <v>473</v>
      </c>
      <c r="D2124" s="42">
        <v>13000</v>
      </c>
      <c r="E2124" s="43">
        <v>2265</v>
      </c>
      <c r="F2124" s="45">
        <v>13000</v>
      </c>
      <c r="G2124" s="45">
        <v>13000</v>
      </c>
      <c r="H2124" s="46">
        <v>15555.48</v>
      </c>
      <c r="I2124" s="47">
        <f t="shared" si="906"/>
        <v>1.1965753846153846</v>
      </c>
      <c r="J2124" s="48">
        <v>13000</v>
      </c>
      <c r="K2124" s="49">
        <v>13000</v>
      </c>
      <c r="L2124" s="50">
        <v>8974.15</v>
      </c>
      <c r="M2124" s="50">
        <v>13311.11</v>
      </c>
      <c r="N2124" s="51">
        <v>17097.88</v>
      </c>
      <c r="O2124" s="52">
        <v>10584.9</v>
      </c>
      <c r="P2124" s="53">
        <v>16954.599999999999</v>
      </c>
      <c r="Q2124" s="54">
        <v>15955.43</v>
      </c>
      <c r="R2124" s="1"/>
      <c r="S2124" s="1"/>
      <c r="T2124" s="1"/>
    </row>
    <row r="2125" spans="1:20" ht="13.5" customHeight="1" x14ac:dyDescent="0.25">
      <c r="A2125" s="1"/>
      <c r="B2125" s="1" t="s">
        <v>1890</v>
      </c>
      <c r="C2125" s="1" t="s">
        <v>1121</v>
      </c>
      <c r="D2125" s="42">
        <v>12000</v>
      </c>
      <c r="E2125" s="43">
        <v>9647.5499999999993</v>
      </c>
      <c r="F2125" s="45">
        <v>12000</v>
      </c>
      <c r="G2125" s="45">
        <v>12000</v>
      </c>
      <c r="H2125" s="46">
        <v>22417</v>
      </c>
      <c r="I2125" s="47">
        <f t="shared" si="906"/>
        <v>1.8680833333333333</v>
      </c>
      <c r="J2125" s="48">
        <v>12000</v>
      </c>
      <c r="K2125" s="49">
        <v>12000</v>
      </c>
      <c r="L2125" s="50">
        <v>16665.509999999998</v>
      </c>
      <c r="M2125" s="50">
        <v>14588.06</v>
      </c>
      <c r="N2125" s="51">
        <v>7006.15</v>
      </c>
      <c r="O2125" s="52">
        <v>9011.43</v>
      </c>
      <c r="P2125" s="53">
        <v>9360.76</v>
      </c>
      <c r="Q2125" s="54">
        <v>12535.98</v>
      </c>
      <c r="R2125" s="1"/>
      <c r="S2125" s="1"/>
      <c r="T2125" s="1"/>
    </row>
    <row r="2126" spans="1:20" ht="13.5" customHeight="1" x14ac:dyDescent="0.25">
      <c r="A2126" s="1"/>
      <c r="B2126" s="1" t="s">
        <v>1891</v>
      </c>
      <c r="C2126" s="1" t="s">
        <v>1839</v>
      </c>
      <c r="D2126" s="42">
        <v>4452</v>
      </c>
      <c r="E2126" s="43">
        <v>1121.4100000000001</v>
      </c>
      <c r="F2126" s="45">
        <v>4452</v>
      </c>
      <c r="G2126" s="45">
        <v>4452</v>
      </c>
      <c r="H2126" s="46">
        <v>6622.9</v>
      </c>
      <c r="I2126" s="47">
        <f t="shared" si="906"/>
        <v>1.4876235399820306</v>
      </c>
      <c r="J2126" s="48">
        <v>4452</v>
      </c>
      <c r="K2126" s="49">
        <v>4452</v>
      </c>
      <c r="L2126" s="50">
        <v>2299.9699999999998</v>
      </c>
      <c r="M2126" s="50">
        <v>4895.24</v>
      </c>
      <c r="N2126" s="51">
        <v>2070.91</v>
      </c>
      <c r="O2126" s="52">
        <v>2031.63</v>
      </c>
      <c r="P2126" s="53">
        <v>846.18</v>
      </c>
      <c r="Q2126" s="54">
        <v>4819.74</v>
      </c>
      <c r="R2126" s="1"/>
      <c r="S2126" s="1"/>
      <c r="T2126" s="1"/>
    </row>
    <row r="2127" spans="1:20" ht="13.5" customHeight="1" x14ac:dyDescent="0.25">
      <c r="A2127" s="1"/>
      <c r="B2127" s="1" t="s">
        <v>1892</v>
      </c>
      <c r="C2127" s="1" t="s">
        <v>1413</v>
      </c>
      <c r="D2127" s="42">
        <v>0</v>
      </c>
      <c r="E2127" s="43">
        <v>443.08</v>
      </c>
      <c r="F2127" s="73">
        <v>0</v>
      </c>
      <c r="G2127" s="73">
        <v>0</v>
      </c>
      <c r="H2127" s="46">
        <v>490.67</v>
      </c>
      <c r="I2127" s="47">
        <f t="shared" si="906"/>
        <v>4.9066999999999998</v>
      </c>
      <c r="J2127" s="48">
        <v>100</v>
      </c>
      <c r="K2127" s="76">
        <v>0</v>
      </c>
      <c r="L2127" s="77">
        <v>0</v>
      </c>
      <c r="M2127" s="77">
        <v>0</v>
      </c>
      <c r="N2127" s="53" t="s">
        <v>16</v>
      </c>
      <c r="O2127" s="52"/>
      <c r="P2127" s="53"/>
      <c r="Q2127" s="54"/>
      <c r="R2127" s="1"/>
      <c r="S2127" s="1"/>
      <c r="T2127" s="1"/>
    </row>
    <row r="2128" spans="1:20" ht="13.5" customHeight="1" x14ac:dyDescent="0.25">
      <c r="A2128" s="1"/>
      <c r="B2128" s="1" t="s">
        <v>1893</v>
      </c>
      <c r="C2128" s="55" t="s">
        <v>265</v>
      </c>
      <c r="D2128" s="42">
        <v>0</v>
      </c>
      <c r="E2128" s="43">
        <v>8077.57</v>
      </c>
      <c r="F2128" s="73">
        <v>0</v>
      </c>
      <c r="G2128" s="73">
        <v>0</v>
      </c>
      <c r="H2128" s="46">
        <v>5955.85</v>
      </c>
      <c r="I2128" s="47">
        <f t="shared" si="906"/>
        <v>9.9264166666666664</v>
      </c>
      <c r="J2128" s="48">
        <v>600</v>
      </c>
      <c r="K2128" s="76">
        <v>0</v>
      </c>
      <c r="L2128" s="77">
        <v>0</v>
      </c>
      <c r="M2128" s="50">
        <v>669</v>
      </c>
      <c r="N2128" s="51">
        <v>604.39</v>
      </c>
      <c r="O2128" s="52"/>
      <c r="P2128" s="53"/>
      <c r="Q2128" s="54"/>
      <c r="R2128" s="1"/>
      <c r="S2128" s="1"/>
      <c r="T2128" s="1"/>
    </row>
    <row r="2129" spans="1:20" ht="13.5" customHeight="1" x14ac:dyDescent="0.25">
      <c r="A2129" s="1"/>
      <c r="B2129" s="1" t="s">
        <v>1894</v>
      </c>
      <c r="C2129" s="1" t="s">
        <v>267</v>
      </c>
      <c r="D2129" s="42">
        <v>0</v>
      </c>
      <c r="E2129" s="43">
        <v>0</v>
      </c>
      <c r="F2129" s="73">
        <v>0</v>
      </c>
      <c r="G2129" s="73">
        <v>0</v>
      </c>
      <c r="H2129" s="46">
        <v>3528.69</v>
      </c>
      <c r="I2129" s="47">
        <f t="shared" si="906"/>
        <v>1.2451270289343683</v>
      </c>
      <c r="J2129" s="48">
        <v>2834</v>
      </c>
      <c r="K2129" s="76">
        <v>0</v>
      </c>
      <c r="L2129" s="50">
        <v>137.47</v>
      </c>
      <c r="M2129" s="50">
        <v>955.99</v>
      </c>
      <c r="N2129" s="51">
        <v>817.78</v>
      </c>
      <c r="O2129" s="52">
        <v>0</v>
      </c>
      <c r="P2129" s="53">
        <v>922.6</v>
      </c>
      <c r="Q2129" s="54">
        <v>639.79999999999995</v>
      </c>
      <c r="R2129" s="1"/>
      <c r="S2129" s="1"/>
      <c r="T2129" s="1"/>
    </row>
    <row r="2130" spans="1:20" ht="13.5" customHeight="1" x14ac:dyDescent="0.25">
      <c r="A2130" s="1"/>
      <c r="B2130" s="1"/>
      <c r="C2130" s="1"/>
      <c r="D2130" s="88">
        <v>795129.98</v>
      </c>
      <c r="E2130" s="89">
        <f t="shared" ref="E2130" si="907">SUM(E2119:E2129)</f>
        <v>193772.91999999998</v>
      </c>
      <c r="F2130" s="90">
        <f>SUM(F2118:F2129)</f>
        <v>732089.74</v>
      </c>
      <c r="G2130" s="90">
        <v>885284.74</v>
      </c>
      <c r="H2130" s="91">
        <f>SUM(H2119:H2129)</f>
        <v>640797.67999999993</v>
      </c>
      <c r="I2130" s="91"/>
      <c r="J2130" s="92">
        <f t="shared" ref="J2130:Q2130" si="908">SUM(J2119:J2129)</f>
        <v>742517</v>
      </c>
      <c r="K2130" s="93">
        <f t="shared" si="908"/>
        <v>856317</v>
      </c>
      <c r="L2130" s="94">
        <f t="shared" si="908"/>
        <v>546681.96</v>
      </c>
      <c r="M2130" s="94">
        <f t="shared" si="908"/>
        <v>650659.66</v>
      </c>
      <c r="N2130" s="95">
        <f t="shared" si="908"/>
        <v>621695.64000000013</v>
      </c>
      <c r="O2130" s="96">
        <f t="shared" si="908"/>
        <v>514223.61000000004</v>
      </c>
      <c r="P2130" s="95">
        <f t="shared" si="908"/>
        <v>685260.59000000008</v>
      </c>
      <c r="Q2130" s="97">
        <f t="shared" si="908"/>
        <v>530434.46</v>
      </c>
      <c r="R2130" s="1"/>
      <c r="S2130" s="1"/>
      <c r="T2130" s="1"/>
    </row>
    <row r="2131" spans="1:20" ht="13.5" customHeight="1" x14ac:dyDescent="0.25">
      <c r="A2131" s="1"/>
      <c r="B2131" s="1"/>
      <c r="C2131" s="1"/>
      <c r="D2131" s="72"/>
      <c r="E2131" s="44"/>
      <c r="F2131" s="73"/>
      <c r="G2131" s="73"/>
      <c r="H2131" s="66"/>
      <c r="I2131" s="66"/>
      <c r="J2131" s="48"/>
      <c r="K2131" s="76"/>
      <c r="L2131" s="50"/>
      <c r="M2131" s="50"/>
      <c r="N2131" s="51"/>
      <c r="O2131" s="52"/>
      <c r="P2131" s="53"/>
      <c r="Q2131" s="54"/>
      <c r="R2131" s="1"/>
      <c r="S2131" s="1"/>
      <c r="T2131" s="1"/>
    </row>
    <row r="2132" spans="1:20" ht="13.5" customHeight="1" x14ac:dyDescent="0.25">
      <c r="A2132" s="1"/>
      <c r="B2132" s="1" t="s">
        <v>1895</v>
      </c>
      <c r="C2132" s="1" t="s">
        <v>271</v>
      </c>
      <c r="D2132" s="42">
        <v>0</v>
      </c>
      <c r="E2132" s="43">
        <v>6409</v>
      </c>
      <c r="F2132" s="73">
        <v>0</v>
      </c>
      <c r="G2132" s="73">
        <v>0</v>
      </c>
      <c r="H2132" s="66">
        <v>600</v>
      </c>
      <c r="I2132" s="47">
        <v>0</v>
      </c>
      <c r="J2132" s="75">
        <v>0</v>
      </c>
      <c r="K2132" s="76">
        <v>0</v>
      </c>
      <c r="L2132" s="50">
        <v>38560.11</v>
      </c>
      <c r="M2132" s="77">
        <v>0</v>
      </c>
      <c r="N2132" s="53" t="s">
        <v>16</v>
      </c>
      <c r="O2132" s="52"/>
      <c r="P2132" s="53"/>
      <c r="Q2132" s="54"/>
      <c r="R2132" s="1"/>
      <c r="S2132" s="1"/>
      <c r="T2132" s="1"/>
    </row>
    <row r="2133" spans="1:20" ht="13.5" customHeight="1" x14ac:dyDescent="0.25">
      <c r="A2133" s="1"/>
      <c r="B2133" s="1" t="s">
        <v>1896</v>
      </c>
      <c r="C2133" s="1" t="s">
        <v>318</v>
      </c>
      <c r="D2133" s="42">
        <v>1962</v>
      </c>
      <c r="E2133" s="43">
        <v>211.45</v>
      </c>
      <c r="F2133" s="45">
        <v>1962</v>
      </c>
      <c r="G2133" s="45">
        <v>1962</v>
      </c>
      <c r="H2133" s="46">
        <v>593.91999999999996</v>
      </c>
      <c r="I2133" s="47">
        <f>H2133/J2133</f>
        <v>0.30271151885830783</v>
      </c>
      <c r="J2133" s="48">
        <v>1962</v>
      </c>
      <c r="K2133" s="49">
        <v>1962</v>
      </c>
      <c r="L2133" s="50">
        <v>551.98</v>
      </c>
      <c r="M2133" s="50">
        <v>423.15</v>
      </c>
      <c r="N2133" s="51">
        <v>1414.41</v>
      </c>
      <c r="O2133" s="52">
        <v>2089.83</v>
      </c>
      <c r="P2133" s="53">
        <v>1990.04</v>
      </c>
      <c r="Q2133" s="54">
        <v>1822.94</v>
      </c>
      <c r="R2133" s="1"/>
      <c r="S2133" s="1"/>
      <c r="T2133" s="1"/>
    </row>
    <row r="2134" spans="1:20" ht="13.5" customHeight="1" x14ac:dyDescent="0.25">
      <c r="A2134" s="1"/>
      <c r="B2134" s="1" t="s">
        <v>1897</v>
      </c>
      <c r="C2134" s="55" t="s">
        <v>273</v>
      </c>
      <c r="D2134" s="42">
        <v>0</v>
      </c>
      <c r="E2134" s="70">
        <v>0</v>
      </c>
      <c r="F2134" s="73">
        <v>0</v>
      </c>
      <c r="G2134" s="73">
        <v>0</v>
      </c>
      <c r="H2134" s="74">
        <v>0</v>
      </c>
      <c r="I2134" s="47">
        <v>0</v>
      </c>
      <c r="J2134" s="75">
        <v>0</v>
      </c>
      <c r="K2134" s="76">
        <v>0</v>
      </c>
      <c r="L2134" s="77">
        <v>0</v>
      </c>
      <c r="M2134" s="50">
        <v>64.36</v>
      </c>
      <c r="N2134" s="51">
        <v>23.27</v>
      </c>
      <c r="O2134" s="52">
        <v>264.5</v>
      </c>
      <c r="P2134" s="53">
        <v>183.94</v>
      </c>
      <c r="Q2134" s="54">
        <v>0</v>
      </c>
      <c r="R2134" s="1"/>
      <c r="S2134" s="1"/>
      <c r="T2134" s="1"/>
    </row>
    <row r="2135" spans="1:20" ht="13.5" customHeight="1" x14ac:dyDescent="0.25">
      <c r="A2135" s="1"/>
      <c r="B2135" s="1" t="s">
        <v>1898</v>
      </c>
      <c r="C2135" s="1" t="s">
        <v>404</v>
      </c>
      <c r="D2135" s="42">
        <v>914</v>
      </c>
      <c r="E2135" s="43">
        <v>2035.64</v>
      </c>
      <c r="F2135" s="45">
        <v>914</v>
      </c>
      <c r="G2135" s="45">
        <v>914</v>
      </c>
      <c r="H2135" s="46">
        <v>2544.87</v>
      </c>
      <c r="I2135" s="47">
        <f t="shared" ref="I2135:I2142" si="909">H2135/J2135</f>
        <v>2.7843216630196936</v>
      </c>
      <c r="J2135" s="48">
        <v>914</v>
      </c>
      <c r="K2135" s="49">
        <v>914</v>
      </c>
      <c r="L2135" s="50">
        <v>1092.94</v>
      </c>
      <c r="M2135" s="50">
        <v>727.37</v>
      </c>
      <c r="N2135" s="51">
        <v>723.01</v>
      </c>
      <c r="O2135" s="52">
        <v>793.47</v>
      </c>
      <c r="P2135" s="53">
        <v>630.27</v>
      </c>
      <c r="Q2135" s="54">
        <v>1774.4</v>
      </c>
      <c r="R2135" s="1"/>
      <c r="S2135" s="1"/>
      <c r="T2135" s="1"/>
    </row>
    <row r="2136" spans="1:20" ht="13.5" customHeight="1" x14ac:dyDescent="0.25">
      <c r="A2136" s="1"/>
      <c r="B2136" s="1" t="s">
        <v>1899</v>
      </c>
      <c r="C2136" s="1" t="s">
        <v>326</v>
      </c>
      <c r="D2136" s="42">
        <v>402</v>
      </c>
      <c r="E2136" s="43">
        <v>0</v>
      </c>
      <c r="F2136" s="45">
        <v>402</v>
      </c>
      <c r="G2136" s="45">
        <v>402</v>
      </c>
      <c r="H2136" s="68">
        <v>0</v>
      </c>
      <c r="I2136" s="47">
        <f t="shared" si="909"/>
        <v>0</v>
      </c>
      <c r="J2136" s="48">
        <v>402</v>
      </c>
      <c r="K2136" s="49">
        <v>402</v>
      </c>
      <c r="L2136" s="77">
        <v>0</v>
      </c>
      <c r="M2136" s="77">
        <v>0</v>
      </c>
      <c r="N2136" s="53" t="s">
        <v>16</v>
      </c>
      <c r="O2136" s="52">
        <v>0</v>
      </c>
      <c r="P2136" s="53">
        <v>0</v>
      </c>
      <c r="Q2136" s="54">
        <v>0</v>
      </c>
      <c r="R2136" s="1"/>
      <c r="S2136" s="1"/>
      <c r="T2136" s="1"/>
    </row>
    <row r="2137" spans="1:20" ht="13.5" customHeight="1" x14ac:dyDescent="0.25">
      <c r="A2137" s="1"/>
      <c r="B2137" s="1" t="s">
        <v>1900</v>
      </c>
      <c r="C2137" s="1" t="s">
        <v>1143</v>
      </c>
      <c r="D2137" s="42">
        <v>2500</v>
      </c>
      <c r="E2137" s="43">
        <v>2270.3000000000002</v>
      </c>
      <c r="F2137" s="45">
        <v>2500</v>
      </c>
      <c r="G2137" s="45">
        <v>2500</v>
      </c>
      <c r="H2137" s="46">
        <v>4301.95</v>
      </c>
      <c r="I2137" s="47">
        <f t="shared" si="909"/>
        <v>1.72078</v>
      </c>
      <c r="J2137" s="48">
        <v>2500</v>
      </c>
      <c r="K2137" s="49">
        <v>2500</v>
      </c>
      <c r="L2137" s="50">
        <v>2911.89</v>
      </c>
      <c r="M2137" s="50">
        <v>2303</v>
      </c>
      <c r="N2137" s="51">
        <v>2533.39</v>
      </c>
      <c r="O2137" s="52">
        <v>2691.59</v>
      </c>
      <c r="P2137" s="53">
        <v>2382</v>
      </c>
      <c r="Q2137" s="54">
        <v>2176.67</v>
      </c>
      <c r="R2137" s="1"/>
      <c r="S2137" s="1"/>
      <c r="T2137" s="1"/>
    </row>
    <row r="2138" spans="1:20" ht="13.5" customHeight="1" x14ac:dyDescent="0.25">
      <c r="A2138" s="1"/>
      <c r="B2138" s="1" t="s">
        <v>1901</v>
      </c>
      <c r="C2138" s="1" t="s">
        <v>1851</v>
      </c>
      <c r="D2138" s="42">
        <v>8596</v>
      </c>
      <c r="E2138" s="43">
        <v>0</v>
      </c>
      <c r="F2138" s="45">
        <v>8596</v>
      </c>
      <c r="G2138" s="45">
        <v>8596</v>
      </c>
      <c r="H2138" s="46">
        <v>2233.0500000000002</v>
      </c>
      <c r="I2138" s="47">
        <f t="shared" si="909"/>
        <v>0.25977780362959518</v>
      </c>
      <c r="J2138" s="48">
        <v>8596</v>
      </c>
      <c r="K2138" s="49">
        <v>8596</v>
      </c>
      <c r="L2138" s="50">
        <v>551.9</v>
      </c>
      <c r="M2138" s="50">
        <v>9665</v>
      </c>
      <c r="N2138" s="51">
        <v>3700</v>
      </c>
      <c r="O2138" s="52">
        <v>1648.5</v>
      </c>
      <c r="P2138" s="53">
        <v>6325</v>
      </c>
      <c r="Q2138" s="54">
        <v>4855</v>
      </c>
      <c r="R2138" s="1"/>
      <c r="S2138" s="1"/>
      <c r="T2138" s="1"/>
    </row>
    <row r="2139" spans="1:20" ht="13.5" customHeight="1" x14ac:dyDescent="0.25">
      <c r="A2139" s="1"/>
      <c r="B2139" s="1" t="s">
        <v>1902</v>
      </c>
      <c r="C2139" s="1" t="s">
        <v>1853</v>
      </c>
      <c r="D2139" s="42">
        <v>850</v>
      </c>
      <c r="E2139" s="43">
        <v>865</v>
      </c>
      <c r="F2139" s="45">
        <v>850</v>
      </c>
      <c r="G2139" s="45">
        <v>850</v>
      </c>
      <c r="H2139" s="46">
        <v>3968.64</v>
      </c>
      <c r="I2139" s="47">
        <f t="shared" si="909"/>
        <v>4.6689882352941172</v>
      </c>
      <c r="J2139" s="48">
        <v>850</v>
      </c>
      <c r="K2139" s="49">
        <v>850</v>
      </c>
      <c r="L2139" s="50">
        <v>375.7</v>
      </c>
      <c r="M2139" s="50">
        <v>659.03</v>
      </c>
      <c r="N2139" s="53" t="s">
        <v>16</v>
      </c>
      <c r="O2139" s="52">
        <v>145.44999999999999</v>
      </c>
      <c r="P2139" s="53">
        <v>249.92</v>
      </c>
      <c r="Q2139" s="54">
        <v>475.03</v>
      </c>
      <c r="R2139" s="1"/>
      <c r="S2139" s="1"/>
      <c r="T2139" s="1"/>
    </row>
    <row r="2140" spans="1:20" ht="13.5" customHeight="1" x14ac:dyDescent="0.25">
      <c r="A2140" s="1"/>
      <c r="B2140" s="1" t="s">
        <v>1903</v>
      </c>
      <c r="C2140" s="1" t="s">
        <v>1855</v>
      </c>
      <c r="D2140" s="42">
        <v>40000</v>
      </c>
      <c r="E2140" s="43">
        <v>13550.86</v>
      </c>
      <c r="F2140" s="45">
        <v>40000</v>
      </c>
      <c r="G2140" s="45">
        <v>40000</v>
      </c>
      <c r="H2140" s="46">
        <v>47396.26</v>
      </c>
      <c r="I2140" s="47">
        <f t="shared" si="909"/>
        <v>1.1849065000000001</v>
      </c>
      <c r="J2140" s="48">
        <v>40000</v>
      </c>
      <c r="K2140" s="49">
        <v>40000</v>
      </c>
      <c r="L2140" s="50">
        <v>60717.96</v>
      </c>
      <c r="M2140" s="50">
        <v>28460.36</v>
      </c>
      <c r="N2140" s="51">
        <v>79774.490000000005</v>
      </c>
      <c r="O2140" s="52">
        <v>58993.919999999998</v>
      </c>
      <c r="P2140" s="53">
        <v>67687.02</v>
      </c>
      <c r="Q2140" s="54">
        <v>36006.46</v>
      </c>
      <c r="R2140" s="1"/>
      <c r="S2140" s="1"/>
      <c r="T2140" s="1"/>
    </row>
    <row r="2141" spans="1:20" ht="13.5" customHeight="1" x14ac:dyDescent="0.25">
      <c r="A2141" s="1"/>
      <c r="B2141" s="1" t="s">
        <v>1904</v>
      </c>
      <c r="C2141" s="1" t="s">
        <v>1128</v>
      </c>
      <c r="D2141" s="42">
        <v>500</v>
      </c>
      <c r="E2141" s="70">
        <v>77.2</v>
      </c>
      <c r="F2141" s="45">
        <v>500</v>
      </c>
      <c r="G2141" s="45">
        <v>500</v>
      </c>
      <c r="H2141" s="68">
        <v>14833.14</v>
      </c>
      <c r="I2141" s="47">
        <f t="shared" si="909"/>
        <v>29.66628</v>
      </c>
      <c r="J2141" s="48">
        <v>500</v>
      </c>
      <c r="K2141" s="49">
        <v>500</v>
      </c>
      <c r="L2141" s="50">
        <v>1168.6300000000001</v>
      </c>
      <c r="M2141" s="50">
        <v>285.89999999999998</v>
      </c>
      <c r="N2141" s="53" t="s">
        <v>16</v>
      </c>
      <c r="O2141" s="52">
        <v>0</v>
      </c>
      <c r="P2141" s="53">
        <v>73.989999999999995</v>
      </c>
      <c r="Q2141" s="54">
        <v>0</v>
      </c>
      <c r="R2141" s="1"/>
      <c r="S2141" s="1"/>
      <c r="T2141" s="1"/>
    </row>
    <row r="2142" spans="1:20" ht="13.5" customHeight="1" x14ac:dyDescent="0.25">
      <c r="A2142" s="1"/>
      <c r="B2142" s="1" t="s">
        <v>1905</v>
      </c>
      <c r="C2142" s="1" t="s">
        <v>489</v>
      </c>
      <c r="D2142" s="42">
        <v>25000</v>
      </c>
      <c r="E2142" s="43">
        <v>7719.51</v>
      </c>
      <c r="F2142" s="45">
        <v>25000</v>
      </c>
      <c r="G2142" s="45">
        <v>25000</v>
      </c>
      <c r="H2142" s="46">
        <v>17836.509999999998</v>
      </c>
      <c r="I2142" s="47">
        <f t="shared" si="909"/>
        <v>0.71346039999999988</v>
      </c>
      <c r="J2142" s="48">
        <v>25000</v>
      </c>
      <c r="K2142" s="49">
        <v>25000</v>
      </c>
      <c r="L2142" s="50">
        <v>11240.75</v>
      </c>
      <c r="M2142" s="50">
        <v>52505.27</v>
      </c>
      <c r="N2142" s="51">
        <v>23416.1</v>
      </c>
      <c r="O2142" s="52">
        <v>19004.400000000001</v>
      </c>
      <c r="P2142" s="53">
        <v>31938.51</v>
      </c>
      <c r="Q2142" s="54">
        <v>30679.46</v>
      </c>
      <c r="R2142" s="1"/>
      <c r="S2142" s="1"/>
      <c r="T2142" s="1"/>
    </row>
    <row r="2143" spans="1:20" ht="13.5" customHeight="1" x14ac:dyDescent="0.25">
      <c r="A2143" s="1"/>
      <c r="B2143" s="1" t="s">
        <v>1906</v>
      </c>
      <c r="C2143" s="55" t="s">
        <v>408</v>
      </c>
      <c r="D2143" s="42">
        <v>850</v>
      </c>
      <c r="E2143" s="43">
        <v>0</v>
      </c>
      <c r="F2143" s="73">
        <v>850</v>
      </c>
      <c r="G2143" s="73">
        <v>850</v>
      </c>
      <c r="H2143" s="68">
        <v>750</v>
      </c>
      <c r="I2143" s="47">
        <v>0</v>
      </c>
      <c r="J2143" s="75">
        <v>0</v>
      </c>
      <c r="K2143" s="76">
        <v>0</v>
      </c>
      <c r="L2143" s="50">
        <v>4764.5</v>
      </c>
      <c r="M2143" s="77">
        <v>0</v>
      </c>
      <c r="N2143" s="53" t="s">
        <v>16</v>
      </c>
      <c r="O2143" s="52">
        <v>0</v>
      </c>
      <c r="P2143" s="53">
        <v>0</v>
      </c>
      <c r="Q2143" s="54">
        <v>0</v>
      </c>
      <c r="R2143" s="1"/>
      <c r="S2143" s="1"/>
      <c r="T2143" s="1"/>
    </row>
    <row r="2144" spans="1:20" ht="13.5" customHeight="1" x14ac:dyDescent="0.25">
      <c r="A2144" s="1"/>
      <c r="B2144" s="1" t="s">
        <v>1907</v>
      </c>
      <c r="C2144" s="1" t="s">
        <v>1442</v>
      </c>
      <c r="D2144" s="42">
        <v>0</v>
      </c>
      <c r="E2144" s="43">
        <v>0</v>
      </c>
      <c r="F2144" s="73">
        <v>0</v>
      </c>
      <c r="G2144" s="73">
        <v>0</v>
      </c>
      <c r="H2144" s="68">
        <v>1860.19</v>
      </c>
      <c r="I2144" s="47">
        <v>0</v>
      </c>
      <c r="J2144" s="75">
        <v>0</v>
      </c>
      <c r="K2144" s="76">
        <v>0</v>
      </c>
      <c r="L2144" s="77">
        <v>0</v>
      </c>
      <c r="M2144" s="50">
        <v>25705.45</v>
      </c>
      <c r="N2144" s="51">
        <v>6882.41</v>
      </c>
      <c r="O2144" s="52">
        <v>0</v>
      </c>
      <c r="P2144" s="53">
        <v>1270.8699999999999</v>
      </c>
      <c r="Q2144" s="54">
        <v>1516.9</v>
      </c>
      <c r="R2144" s="1"/>
      <c r="S2144" s="1"/>
      <c r="T2144" s="1"/>
    </row>
    <row r="2145" spans="1:20" ht="13.5" customHeight="1" x14ac:dyDescent="0.25">
      <c r="A2145" s="1"/>
      <c r="B2145" s="1" t="s">
        <v>1908</v>
      </c>
      <c r="C2145" s="1" t="s">
        <v>541</v>
      </c>
      <c r="D2145" s="42">
        <v>178</v>
      </c>
      <c r="E2145" s="43">
        <v>0</v>
      </c>
      <c r="F2145" s="45">
        <v>178</v>
      </c>
      <c r="G2145" s="45">
        <v>178</v>
      </c>
      <c r="H2145" s="46">
        <v>177.5</v>
      </c>
      <c r="I2145" s="47">
        <f>H2145/J2145</f>
        <v>0.9971910112359551</v>
      </c>
      <c r="J2145" s="48">
        <v>178</v>
      </c>
      <c r="K2145" s="49">
        <v>178</v>
      </c>
      <c r="L2145" s="77">
        <v>0</v>
      </c>
      <c r="M2145" s="77">
        <v>0</v>
      </c>
      <c r="N2145" s="53" t="s">
        <v>16</v>
      </c>
      <c r="O2145" s="52">
        <v>177.5</v>
      </c>
      <c r="P2145" s="53">
        <v>0</v>
      </c>
      <c r="Q2145" s="54">
        <v>0</v>
      </c>
      <c r="R2145" s="1"/>
      <c r="S2145" s="1"/>
      <c r="T2145" s="1"/>
    </row>
    <row r="2146" spans="1:20" ht="13.5" customHeight="1" x14ac:dyDescent="0.25">
      <c r="A2146" s="1"/>
      <c r="B2146" s="1" t="s">
        <v>1909</v>
      </c>
      <c r="C2146" s="1" t="s">
        <v>1447</v>
      </c>
      <c r="D2146" s="42">
        <v>0</v>
      </c>
      <c r="E2146" s="43">
        <v>12161.75</v>
      </c>
      <c r="F2146" s="73">
        <v>0</v>
      </c>
      <c r="G2146" s="73">
        <v>0</v>
      </c>
      <c r="H2146" s="66">
        <v>455.75</v>
      </c>
      <c r="I2146" s="47">
        <v>0</v>
      </c>
      <c r="J2146" s="75">
        <v>0</v>
      </c>
      <c r="K2146" s="76">
        <v>0</v>
      </c>
      <c r="L2146" s="50">
        <v>3153.54</v>
      </c>
      <c r="M2146" s="50">
        <v>2753.32</v>
      </c>
      <c r="N2146" s="51">
        <v>12744.47</v>
      </c>
      <c r="O2146" s="52">
        <v>1158.25</v>
      </c>
      <c r="P2146" s="53">
        <v>0</v>
      </c>
      <c r="Q2146" s="54">
        <v>0</v>
      </c>
      <c r="R2146" s="1"/>
      <c r="S2146" s="1"/>
      <c r="T2146" s="1"/>
    </row>
    <row r="2147" spans="1:20" ht="13.5" customHeight="1" x14ac:dyDescent="0.25">
      <c r="A2147" s="1"/>
      <c r="B2147" s="1"/>
      <c r="C2147" s="1"/>
      <c r="D2147" s="88">
        <v>81752</v>
      </c>
      <c r="E2147" s="89">
        <f t="shared" ref="E2147" si="910">SUM(E2132:E2146)</f>
        <v>45300.71</v>
      </c>
      <c r="F2147" s="90">
        <f>SUM(F2131:F2146)</f>
        <v>81752</v>
      </c>
      <c r="G2147" s="90">
        <v>81752</v>
      </c>
      <c r="H2147" s="91">
        <f>SUM(H2132:H2146)</f>
        <v>97551.78</v>
      </c>
      <c r="I2147" s="91"/>
      <c r="J2147" s="92">
        <f t="shared" ref="J2147:Q2147" si="911">SUM(J2132:J2146)</f>
        <v>80902</v>
      </c>
      <c r="K2147" s="93">
        <f t="shared" si="911"/>
        <v>80902</v>
      </c>
      <c r="L2147" s="94">
        <f t="shared" si="911"/>
        <v>125089.90000000001</v>
      </c>
      <c r="M2147" s="94">
        <f t="shared" si="911"/>
        <v>123552.21</v>
      </c>
      <c r="N2147" s="95">
        <f t="shared" si="911"/>
        <v>131211.55000000002</v>
      </c>
      <c r="O2147" s="96">
        <f t="shared" si="911"/>
        <v>86967.41</v>
      </c>
      <c r="P2147" s="95">
        <f t="shared" si="911"/>
        <v>112731.56</v>
      </c>
      <c r="Q2147" s="97">
        <f t="shared" si="911"/>
        <v>79306.859999999986</v>
      </c>
      <c r="R2147" s="1"/>
      <c r="S2147" s="1"/>
      <c r="T2147" s="1"/>
    </row>
    <row r="2148" spans="1:20" ht="13.5" customHeight="1" x14ac:dyDescent="0.25">
      <c r="A2148" s="1"/>
      <c r="B2148" s="1"/>
      <c r="C2148" s="1"/>
      <c r="D2148" s="72"/>
      <c r="E2148" s="44"/>
      <c r="F2148" s="73"/>
      <c r="G2148" s="73"/>
      <c r="H2148" s="66"/>
      <c r="I2148" s="74"/>
      <c r="J2148" s="75"/>
      <c r="K2148" s="76"/>
      <c r="L2148" s="50"/>
      <c r="M2148" s="50"/>
      <c r="N2148" s="51"/>
      <c r="O2148" s="52"/>
      <c r="P2148" s="53"/>
      <c r="Q2148" s="54"/>
      <c r="R2148" s="1"/>
      <c r="S2148" s="1"/>
      <c r="T2148" s="1"/>
    </row>
    <row r="2149" spans="1:20" ht="13.5" customHeight="1" x14ac:dyDescent="0.25">
      <c r="A2149" s="1"/>
      <c r="B2149" s="55" t="s">
        <v>1910</v>
      </c>
      <c r="C2149" s="55" t="s">
        <v>1154</v>
      </c>
      <c r="D2149" s="42">
        <v>5500</v>
      </c>
      <c r="E2149" s="43">
        <v>0</v>
      </c>
      <c r="F2149" s="71">
        <v>0</v>
      </c>
      <c r="G2149" s="71">
        <v>0</v>
      </c>
      <c r="H2149" s="46">
        <v>5700</v>
      </c>
      <c r="I2149" s="47">
        <f t="shared" ref="I2149:I2153" si="912">H2149/J2149</f>
        <v>6.0445387062566275E-2</v>
      </c>
      <c r="J2149" s="48">
        <v>94300</v>
      </c>
      <c r="K2149" s="49">
        <v>5500</v>
      </c>
      <c r="L2149" s="77">
        <v>0</v>
      </c>
      <c r="M2149" s="77">
        <v>0</v>
      </c>
      <c r="N2149" s="51">
        <v>35500</v>
      </c>
      <c r="O2149" s="52">
        <v>0</v>
      </c>
      <c r="P2149" s="53">
        <v>85000</v>
      </c>
      <c r="Q2149" s="54">
        <v>4400</v>
      </c>
      <c r="R2149" s="1"/>
      <c r="S2149" s="1"/>
      <c r="T2149" s="1"/>
    </row>
    <row r="2150" spans="1:20" ht="13.5" customHeight="1" x14ac:dyDescent="0.25">
      <c r="A2150" s="1"/>
      <c r="B2150" s="1" t="s">
        <v>1911</v>
      </c>
      <c r="C2150" s="1" t="s">
        <v>1283</v>
      </c>
      <c r="D2150" s="42">
        <v>5500</v>
      </c>
      <c r="E2150" s="43">
        <v>158695</v>
      </c>
      <c r="F2150" s="45">
        <f>5500+153195</f>
        <v>158695</v>
      </c>
      <c r="G2150" s="45">
        <v>5500</v>
      </c>
      <c r="H2150" s="46">
        <v>148488.95999999999</v>
      </c>
      <c r="I2150" s="47">
        <f t="shared" si="912"/>
        <v>1.5746443266171792</v>
      </c>
      <c r="J2150" s="48">
        <v>94300</v>
      </c>
      <c r="K2150" s="49">
        <v>5500</v>
      </c>
      <c r="L2150" s="77">
        <v>0</v>
      </c>
      <c r="M2150" s="77">
        <v>0</v>
      </c>
      <c r="N2150" s="51"/>
      <c r="O2150" s="52"/>
      <c r="P2150" s="53"/>
      <c r="Q2150" s="54"/>
      <c r="R2150" s="1"/>
      <c r="S2150" s="1"/>
      <c r="T2150" s="1"/>
    </row>
    <row r="2151" spans="1:20" ht="13.5" customHeight="1" x14ac:dyDescent="0.25">
      <c r="A2151" s="1"/>
      <c r="B2151" s="1" t="s">
        <v>1912</v>
      </c>
      <c r="C2151" s="1" t="s">
        <v>1865</v>
      </c>
      <c r="D2151" s="42">
        <v>135000</v>
      </c>
      <c r="E2151" s="43">
        <v>221764.81</v>
      </c>
      <c r="F2151" s="45">
        <v>82000</v>
      </c>
      <c r="G2151" s="45">
        <v>82000</v>
      </c>
      <c r="H2151" s="46">
        <v>190291</v>
      </c>
      <c r="I2151" s="47">
        <f t="shared" si="912"/>
        <v>2.3206219512195121</v>
      </c>
      <c r="J2151" s="48">
        <v>82000</v>
      </c>
      <c r="K2151" s="49">
        <v>82000</v>
      </c>
      <c r="L2151" s="50">
        <v>331915.17</v>
      </c>
      <c r="M2151" s="50">
        <v>34500</v>
      </c>
      <c r="N2151" s="51">
        <v>111101.82</v>
      </c>
      <c r="O2151" s="52">
        <v>114695.56</v>
      </c>
      <c r="P2151" s="53">
        <v>106300</v>
      </c>
      <c r="Q2151" s="54">
        <v>0</v>
      </c>
      <c r="R2151" s="1"/>
      <c r="S2151" s="1"/>
      <c r="T2151" s="1"/>
    </row>
    <row r="2152" spans="1:20" ht="13.5" customHeight="1" x14ac:dyDescent="0.25">
      <c r="A2152" s="1"/>
      <c r="B2152" s="1" t="s">
        <v>1913</v>
      </c>
      <c r="C2152" s="55" t="s">
        <v>438</v>
      </c>
      <c r="D2152" s="42">
        <v>348</v>
      </c>
      <c r="E2152" s="43">
        <v>0</v>
      </c>
      <c r="F2152" s="45">
        <v>348</v>
      </c>
      <c r="G2152" s="45">
        <v>348</v>
      </c>
      <c r="H2152" s="74">
        <v>0</v>
      </c>
      <c r="I2152" s="47">
        <f t="shared" si="912"/>
        <v>0</v>
      </c>
      <c r="J2152" s="48">
        <v>348</v>
      </c>
      <c r="K2152" s="49">
        <v>348</v>
      </c>
      <c r="L2152" s="77">
        <v>0</v>
      </c>
      <c r="M2152" s="77">
        <v>0</v>
      </c>
      <c r="N2152" s="53" t="s">
        <v>16</v>
      </c>
      <c r="O2152" s="52">
        <v>347.33</v>
      </c>
      <c r="P2152" s="53">
        <v>0</v>
      </c>
      <c r="Q2152" s="54">
        <v>0</v>
      </c>
      <c r="R2152" s="1"/>
      <c r="S2152" s="1"/>
      <c r="T2152" s="1"/>
    </row>
    <row r="2153" spans="1:20" ht="13.5" customHeight="1" x14ac:dyDescent="0.25">
      <c r="A2153" s="1"/>
      <c r="B2153" s="1" t="s">
        <v>1914</v>
      </c>
      <c r="C2153" s="1" t="s">
        <v>414</v>
      </c>
      <c r="D2153" s="42">
        <v>0</v>
      </c>
      <c r="E2153" s="43">
        <v>0</v>
      </c>
      <c r="F2153" s="45">
        <v>0</v>
      </c>
      <c r="G2153" s="45">
        <v>0</v>
      </c>
      <c r="H2153" s="74">
        <v>0</v>
      </c>
      <c r="I2153" s="47">
        <f t="shared" si="912"/>
        <v>0</v>
      </c>
      <c r="J2153" s="48">
        <v>500</v>
      </c>
      <c r="K2153" s="49">
        <v>500</v>
      </c>
      <c r="L2153" s="77">
        <v>0</v>
      </c>
      <c r="M2153" s="77">
        <v>0</v>
      </c>
      <c r="N2153" s="51">
        <v>500</v>
      </c>
      <c r="O2153" s="52">
        <v>500</v>
      </c>
      <c r="P2153" s="53">
        <v>3200</v>
      </c>
      <c r="Q2153" s="54">
        <v>0</v>
      </c>
      <c r="R2153" s="1"/>
      <c r="S2153" s="1"/>
      <c r="T2153" s="1"/>
    </row>
    <row r="2154" spans="1:20" ht="13.5" customHeight="1" x14ac:dyDescent="0.25">
      <c r="A2154" s="1"/>
      <c r="B2154" s="1" t="s">
        <v>1915</v>
      </c>
      <c r="C2154" s="1" t="s">
        <v>335</v>
      </c>
      <c r="D2154" s="42">
        <v>0</v>
      </c>
      <c r="E2154" s="43">
        <v>0</v>
      </c>
      <c r="F2154" s="73">
        <v>0</v>
      </c>
      <c r="G2154" s="73">
        <v>0</v>
      </c>
      <c r="H2154" s="68">
        <v>52370.06</v>
      </c>
      <c r="I2154" s="74">
        <v>0</v>
      </c>
      <c r="J2154" s="75">
        <v>0</v>
      </c>
      <c r="K2154" s="76">
        <v>0</v>
      </c>
      <c r="L2154" s="77">
        <v>0</v>
      </c>
      <c r="M2154" s="77">
        <v>0</v>
      </c>
      <c r="N2154" s="51">
        <v>18500</v>
      </c>
      <c r="O2154" s="52">
        <v>0</v>
      </c>
      <c r="P2154" s="53">
        <v>0</v>
      </c>
      <c r="Q2154" s="54">
        <v>27390</v>
      </c>
      <c r="R2154" s="1"/>
      <c r="S2154" s="1"/>
      <c r="T2154" s="1"/>
    </row>
    <row r="2155" spans="1:20" ht="13.5" customHeight="1" x14ac:dyDescent="0.25">
      <c r="A2155" s="1"/>
      <c r="B2155" s="1"/>
      <c r="C2155" s="1"/>
      <c r="D2155" s="88">
        <v>146348</v>
      </c>
      <c r="E2155" s="89">
        <f t="shared" ref="E2155" si="913">SUM(E2149:E2154)</f>
        <v>380459.81</v>
      </c>
      <c r="F2155" s="90">
        <f>SUM(F2148:F2154)</f>
        <v>241043</v>
      </c>
      <c r="G2155" s="90">
        <v>87848</v>
      </c>
      <c r="H2155" s="91">
        <f>SUM(H2149:H2154)</f>
        <v>396850.01999999996</v>
      </c>
      <c r="I2155" s="91"/>
      <c r="J2155" s="92">
        <f t="shared" ref="J2155:Q2155" si="914">SUM(J2149:J2154)</f>
        <v>271448</v>
      </c>
      <c r="K2155" s="93">
        <f t="shared" si="914"/>
        <v>93848</v>
      </c>
      <c r="L2155" s="94">
        <f t="shared" si="914"/>
        <v>331915.17</v>
      </c>
      <c r="M2155" s="94">
        <f t="shared" si="914"/>
        <v>34500</v>
      </c>
      <c r="N2155" s="95">
        <f t="shared" si="914"/>
        <v>165601.82</v>
      </c>
      <c r="O2155" s="96">
        <f t="shared" si="914"/>
        <v>115542.89</v>
      </c>
      <c r="P2155" s="95">
        <f t="shared" si="914"/>
        <v>194500</v>
      </c>
      <c r="Q2155" s="97">
        <f t="shared" si="914"/>
        <v>31790</v>
      </c>
      <c r="R2155" s="1"/>
      <c r="S2155" s="1"/>
      <c r="T2155" s="1"/>
    </row>
    <row r="2156" spans="1:20" ht="13.5" customHeight="1" thickBot="1" x14ac:dyDescent="0.3">
      <c r="A2156" s="1"/>
      <c r="B2156" s="1"/>
      <c r="C2156" s="116" t="s">
        <v>1916</v>
      </c>
      <c r="D2156" s="184">
        <v>1763362.6094</v>
      </c>
      <c r="E2156" s="185">
        <f t="shared" ref="E2156" si="915">SUM(E2106+E2117+E2130+E2147+E2155)</f>
        <v>932304.1399999999</v>
      </c>
      <c r="F2156" s="186">
        <f>SUM(F2106,F2117,F2130,F2147,F2155)</f>
        <v>1793649.8684999999</v>
      </c>
      <c r="G2156" s="186">
        <v>1793649.8684999999</v>
      </c>
      <c r="H2156" s="187">
        <f>SUM(H2106+H2117+H2130+H2147+H2155)</f>
        <v>1772158.14</v>
      </c>
      <c r="I2156" s="187"/>
      <c r="J2156" s="188">
        <f t="shared" ref="J2156:Q2156" si="916">SUM(J2106+J2117+J2130+J2147+J2155)</f>
        <v>1820750</v>
      </c>
      <c r="K2156" s="189">
        <f t="shared" si="916"/>
        <v>1731950</v>
      </c>
      <c r="L2156" s="190">
        <f t="shared" si="916"/>
        <v>1599855.4699999997</v>
      </c>
      <c r="M2156" s="190">
        <f t="shared" si="916"/>
        <v>1402810.56</v>
      </c>
      <c r="N2156" s="191">
        <f t="shared" si="916"/>
        <v>1496084.5000000002</v>
      </c>
      <c r="O2156" s="192">
        <f t="shared" si="916"/>
        <v>1277207.5399999998</v>
      </c>
      <c r="P2156" s="191">
        <f t="shared" si="916"/>
        <v>1568565.1700000002</v>
      </c>
      <c r="Q2156" s="193">
        <f t="shared" si="916"/>
        <v>1189263</v>
      </c>
      <c r="R2156" s="1"/>
      <c r="S2156" s="1"/>
      <c r="T2156" s="1"/>
    </row>
    <row r="2157" spans="1:20" ht="17.25" customHeight="1" thickTop="1" x14ac:dyDescent="0.25">
      <c r="A2157" s="1"/>
      <c r="B2157" s="1"/>
      <c r="C2157" s="53" t="e">
        <f>SUM(#REF!+#REF!)</f>
        <v>#REF!</v>
      </c>
      <c r="D2157" s="72"/>
      <c r="E2157" s="67"/>
      <c r="F2157" s="73"/>
      <c r="G2157" s="73"/>
      <c r="H2157" s="74"/>
      <c r="I2157" s="74"/>
      <c r="J2157" s="75"/>
      <c r="K2157" s="76"/>
      <c r="L2157" s="77"/>
      <c r="M2157" s="77"/>
      <c r="N2157" s="51"/>
      <c r="O2157" s="52"/>
      <c r="P2157" s="53"/>
      <c r="Q2157" s="54"/>
      <c r="R2157" s="1"/>
      <c r="S2157" s="1"/>
      <c r="T2157" s="1"/>
    </row>
    <row r="2158" spans="1:20" ht="13.5" customHeight="1" x14ac:dyDescent="0.25">
      <c r="A2158" s="1"/>
      <c r="B2158" s="1"/>
      <c r="C2158" s="41"/>
      <c r="D2158" s="72"/>
      <c r="E2158" s="67"/>
      <c r="F2158" s="73"/>
      <c r="G2158" s="73"/>
      <c r="H2158" s="74"/>
      <c r="I2158" s="74"/>
      <c r="J2158" s="75"/>
      <c r="K2158" s="76"/>
      <c r="L2158" s="77"/>
      <c r="M2158" s="77"/>
      <c r="N2158" s="51"/>
      <c r="O2158" s="52"/>
      <c r="P2158" s="53"/>
      <c r="Q2158" s="54"/>
      <c r="R2158" s="1"/>
      <c r="S2158" s="1"/>
      <c r="T2158" s="1"/>
    </row>
    <row r="2159" spans="1:20" ht="13.5" customHeight="1" x14ac:dyDescent="0.25">
      <c r="A2159" s="1"/>
      <c r="B2159" s="1"/>
      <c r="C2159" s="41" t="s">
        <v>1917</v>
      </c>
      <c r="D2159" s="72"/>
      <c r="E2159" s="67"/>
      <c r="F2159" s="73"/>
      <c r="G2159" s="73"/>
      <c r="H2159" s="74"/>
      <c r="I2159" s="74"/>
      <c r="J2159" s="75"/>
      <c r="K2159" s="76"/>
      <c r="L2159" s="77"/>
      <c r="M2159" s="77"/>
      <c r="N2159" s="51"/>
      <c r="O2159" s="52"/>
      <c r="P2159" s="53"/>
      <c r="Q2159" s="54"/>
      <c r="R2159" s="1"/>
      <c r="S2159" s="1"/>
      <c r="T2159" s="1"/>
    </row>
    <row r="2160" spans="1:20" ht="13.5" customHeight="1" x14ac:dyDescent="0.25">
      <c r="A2160" s="1"/>
      <c r="B2160" s="1" t="s">
        <v>1918</v>
      </c>
      <c r="C2160" s="1" t="s">
        <v>418</v>
      </c>
      <c r="D2160" s="42">
        <v>72491</v>
      </c>
      <c r="E2160" s="43">
        <v>33071.379999999997</v>
      </c>
      <c r="F2160" s="45">
        <v>69905</v>
      </c>
      <c r="G2160" s="45">
        <v>69905</v>
      </c>
      <c r="H2160" s="46">
        <v>69051.8</v>
      </c>
      <c r="I2160" s="47">
        <f t="shared" ref="I2160:I2163" si="917">H2160/J2160</f>
        <v>1.0025960826448681</v>
      </c>
      <c r="J2160" s="48">
        <v>68873</v>
      </c>
      <c r="K2160" s="49">
        <v>68873</v>
      </c>
      <c r="L2160" s="50">
        <v>67603.679999999993</v>
      </c>
      <c r="M2160" s="50">
        <v>66155.17</v>
      </c>
      <c r="N2160" s="51">
        <v>65112.26</v>
      </c>
      <c r="O2160" s="52">
        <v>62842.3</v>
      </c>
      <c r="P2160" s="53">
        <v>62740.05</v>
      </c>
      <c r="Q2160" s="54">
        <v>60458.1</v>
      </c>
      <c r="R2160" s="1"/>
      <c r="S2160" s="1"/>
      <c r="T2160" s="1"/>
    </row>
    <row r="2161" spans="1:20" ht="13.5" customHeight="1" x14ac:dyDescent="0.25">
      <c r="A2161" s="1"/>
      <c r="B2161" s="1" t="s">
        <v>1919</v>
      </c>
      <c r="C2161" s="1" t="s">
        <v>420</v>
      </c>
      <c r="D2161" s="42">
        <v>373497</v>
      </c>
      <c r="E2161" s="43">
        <v>175293.65</v>
      </c>
      <c r="F2161" s="45">
        <v>370543</v>
      </c>
      <c r="G2161" s="45">
        <v>370543</v>
      </c>
      <c r="H2161" s="46">
        <v>339519.14</v>
      </c>
      <c r="I2161" s="47">
        <f t="shared" si="917"/>
        <v>0.97670745880511833</v>
      </c>
      <c r="J2161" s="48">
        <v>347616</v>
      </c>
      <c r="K2161" s="49">
        <v>347616</v>
      </c>
      <c r="L2161" s="50">
        <v>318553.57</v>
      </c>
      <c r="M2161" s="50">
        <v>299896.90000000002</v>
      </c>
      <c r="N2161" s="51">
        <v>279918.08000000002</v>
      </c>
      <c r="O2161" s="52">
        <v>256993.05</v>
      </c>
      <c r="P2161" s="53">
        <v>265298.01</v>
      </c>
      <c r="Q2161" s="54">
        <v>256899.06</v>
      </c>
      <c r="R2161" s="1"/>
      <c r="S2161" s="1"/>
      <c r="T2161" s="1"/>
    </row>
    <row r="2162" spans="1:20" ht="13.5" customHeight="1" x14ac:dyDescent="0.25">
      <c r="A2162" s="1"/>
      <c r="B2162" s="1" t="s">
        <v>1920</v>
      </c>
      <c r="C2162" s="1" t="s">
        <v>237</v>
      </c>
      <c r="D2162" s="42">
        <v>32000</v>
      </c>
      <c r="E2162" s="43">
        <v>9862.7999999999993</v>
      </c>
      <c r="F2162" s="45">
        <v>22000</v>
      </c>
      <c r="G2162" s="45">
        <v>22000</v>
      </c>
      <c r="H2162" s="46">
        <v>21881.89</v>
      </c>
      <c r="I2162" s="47">
        <f t="shared" si="917"/>
        <v>0.99463136363636362</v>
      </c>
      <c r="J2162" s="48">
        <v>22000</v>
      </c>
      <c r="K2162" s="49">
        <v>15000</v>
      </c>
      <c r="L2162" s="50">
        <v>15754.31</v>
      </c>
      <c r="M2162" s="50">
        <v>5586</v>
      </c>
      <c r="N2162" s="53" t="s">
        <v>16</v>
      </c>
      <c r="O2162" s="52">
        <v>11273</v>
      </c>
      <c r="P2162" s="53">
        <v>0</v>
      </c>
      <c r="Q2162" s="54">
        <v>0</v>
      </c>
      <c r="R2162" s="1"/>
      <c r="S2162" s="1"/>
      <c r="T2162" s="1"/>
    </row>
    <row r="2163" spans="1:20" ht="13.5" customHeight="1" x14ac:dyDescent="0.25">
      <c r="A2163" s="1"/>
      <c r="B2163" s="1" t="s">
        <v>1921</v>
      </c>
      <c r="C2163" s="1" t="s">
        <v>423</v>
      </c>
      <c r="D2163" s="42">
        <v>0</v>
      </c>
      <c r="E2163" s="43">
        <v>0</v>
      </c>
      <c r="F2163" s="45">
        <v>0</v>
      </c>
      <c r="G2163" s="45">
        <v>0</v>
      </c>
      <c r="H2163" s="46">
        <v>14412.3</v>
      </c>
      <c r="I2163" s="47">
        <f t="shared" si="917"/>
        <v>0.98056198122193494</v>
      </c>
      <c r="J2163" s="48">
        <v>14698</v>
      </c>
      <c r="K2163" s="49">
        <v>14698</v>
      </c>
      <c r="L2163" s="50">
        <v>13798.84</v>
      </c>
      <c r="M2163" s="50">
        <v>16923.75</v>
      </c>
      <c r="N2163" s="51">
        <v>21811.56</v>
      </c>
      <c r="O2163" s="52">
        <v>18955.21</v>
      </c>
      <c r="P2163" s="53">
        <v>19095.54</v>
      </c>
      <c r="Q2163" s="54">
        <v>16672.89</v>
      </c>
      <c r="R2163" s="1"/>
      <c r="S2163" s="1"/>
      <c r="T2163" s="1"/>
    </row>
    <row r="2164" spans="1:20" ht="13.5" hidden="1" customHeight="1" x14ac:dyDescent="0.25">
      <c r="A2164" s="1"/>
      <c r="B2164" s="1" t="s">
        <v>1922</v>
      </c>
      <c r="C2164" s="1" t="s">
        <v>1923</v>
      </c>
      <c r="D2164" s="72">
        <v>0</v>
      </c>
      <c r="E2164" s="43">
        <v>0</v>
      </c>
      <c r="F2164" s="73">
        <v>0</v>
      </c>
      <c r="G2164" s="73">
        <v>0</v>
      </c>
      <c r="H2164" s="74" t="s">
        <v>16</v>
      </c>
      <c r="I2164" s="74"/>
      <c r="J2164" s="75" t="s">
        <v>16</v>
      </c>
      <c r="K2164" s="76" t="s">
        <v>16</v>
      </c>
      <c r="L2164" s="77" t="s">
        <v>16</v>
      </c>
      <c r="M2164" s="50">
        <v>102</v>
      </c>
      <c r="N2164" s="53" t="s">
        <v>16</v>
      </c>
      <c r="O2164" s="52">
        <v>0</v>
      </c>
      <c r="P2164" s="53">
        <v>0</v>
      </c>
      <c r="Q2164" s="54">
        <v>0</v>
      </c>
      <c r="R2164" s="1"/>
      <c r="S2164" s="1"/>
      <c r="T2164" s="1"/>
    </row>
    <row r="2165" spans="1:20" ht="13.5" customHeight="1" x14ac:dyDescent="0.25">
      <c r="A2165" s="1"/>
      <c r="B2165" s="1"/>
      <c r="C2165" s="1"/>
      <c r="D2165" s="88">
        <v>477988</v>
      </c>
      <c r="E2165" s="89">
        <f t="shared" ref="E2165" si="918">SUM(E2160:E2164)</f>
        <v>218227.83</v>
      </c>
      <c r="F2165" s="90">
        <f>SUM(F2159:F2162)</f>
        <v>462448</v>
      </c>
      <c r="G2165" s="90">
        <v>462448</v>
      </c>
      <c r="H2165" s="91">
        <f>SUM(H2160:H2164)</f>
        <v>444865.13</v>
      </c>
      <c r="I2165" s="91"/>
      <c r="J2165" s="92">
        <f t="shared" ref="J2165:Q2165" si="919">SUM(J2160:J2164)</f>
        <v>453187</v>
      </c>
      <c r="K2165" s="93">
        <f t="shared" si="919"/>
        <v>446187</v>
      </c>
      <c r="L2165" s="94">
        <f t="shared" si="919"/>
        <v>415710.4</v>
      </c>
      <c r="M2165" s="94">
        <f t="shared" si="919"/>
        <v>388663.82</v>
      </c>
      <c r="N2165" s="95">
        <f t="shared" si="919"/>
        <v>366841.9</v>
      </c>
      <c r="O2165" s="96">
        <f t="shared" si="919"/>
        <v>350063.56</v>
      </c>
      <c r="P2165" s="95">
        <f t="shared" si="919"/>
        <v>347133.6</v>
      </c>
      <c r="Q2165" s="97">
        <f t="shared" si="919"/>
        <v>334030.05</v>
      </c>
      <c r="R2165" s="1"/>
      <c r="S2165" s="1"/>
      <c r="T2165" s="1"/>
    </row>
    <row r="2166" spans="1:20" ht="13.5" customHeight="1" x14ac:dyDescent="0.25">
      <c r="A2166" s="1"/>
      <c r="B2166" s="1"/>
      <c r="C2166" s="1"/>
      <c r="D2166" s="72"/>
      <c r="E2166" s="67"/>
      <c r="F2166" s="73"/>
      <c r="G2166" s="73"/>
      <c r="H2166" s="74"/>
      <c r="I2166" s="74"/>
      <c r="J2166" s="75"/>
      <c r="K2166" s="76"/>
      <c r="L2166" s="77"/>
      <c r="M2166" s="50"/>
      <c r="N2166" s="53"/>
      <c r="O2166" s="52"/>
      <c r="P2166" s="53"/>
      <c r="Q2166" s="54"/>
      <c r="R2166" s="1"/>
      <c r="S2166" s="1"/>
      <c r="T2166" s="1"/>
    </row>
    <row r="2167" spans="1:20" ht="13.5" customHeight="1" x14ac:dyDescent="0.25">
      <c r="A2167" s="1"/>
      <c r="B2167" s="1" t="s">
        <v>1924</v>
      </c>
      <c r="C2167" s="1" t="s">
        <v>247</v>
      </c>
      <c r="D2167" s="42">
        <v>36933.281999999999</v>
      </c>
      <c r="E2167" s="43">
        <v>15892.96</v>
      </c>
      <c r="F2167" s="45">
        <v>35744.471999999994</v>
      </c>
      <c r="G2167" s="45">
        <v>35744.471999999994</v>
      </c>
      <c r="H2167" s="46">
        <v>32581.05</v>
      </c>
      <c r="I2167" s="47">
        <f t="shared" ref="I2167:I2175" si="920">H2167/J2167</f>
        <v>0.97152463024809155</v>
      </c>
      <c r="J2167" s="48">
        <v>33536</v>
      </c>
      <c r="K2167" s="49">
        <v>33536</v>
      </c>
      <c r="L2167" s="50">
        <v>29867.82</v>
      </c>
      <c r="M2167" s="50">
        <v>30761.35</v>
      </c>
      <c r="N2167" s="51">
        <v>26813.65</v>
      </c>
      <c r="O2167" s="52">
        <v>25540.639999999999</v>
      </c>
      <c r="P2167" s="53">
        <v>24892.12</v>
      </c>
      <c r="Q2167" s="54">
        <v>24197.75</v>
      </c>
      <c r="R2167" s="1"/>
      <c r="S2167" s="1"/>
      <c r="T2167" s="1"/>
    </row>
    <row r="2168" spans="1:20" ht="13.5" customHeight="1" x14ac:dyDescent="0.25">
      <c r="A2168" s="1"/>
      <c r="B2168" s="1" t="s">
        <v>1925</v>
      </c>
      <c r="C2168" s="1" t="s">
        <v>249</v>
      </c>
      <c r="D2168" s="42">
        <v>104634.34800000001</v>
      </c>
      <c r="E2168" s="43">
        <v>52870.44</v>
      </c>
      <c r="F2168" s="45">
        <v>104632.736</v>
      </c>
      <c r="G2168" s="45">
        <v>104632.736</v>
      </c>
      <c r="H2168" s="46">
        <v>84882.02</v>
      </c>
      <c r="I2168" s="47">
        <f t="shared" si="920"/>
        <v>0.82963083870084942</v>
      </c>
      <c r="J2168" s="48">
        <v>102313</v>
      </c>
      <c r="K2168" s="49">
        <v>102313</v>
      </c>
      <c r="L2168" s="50">
        <v>89582.38</v>
      </c>
      <c r="M2168" s="50">
        <v>81958.899999999994</v>
      </c>
      <c r="N2168" s="51">
        <v>91490.4</v>
      </c>
      <c r="O2168" s="52">
        <v>84369.56</v>
      </c>
      <c r="P2168" s="53">
        <v>89800.2</v>
      </c>
      <c r="Q2168" s="54">
        <v>86551.2</v>
      </c>
      <c r="R2168" s="1"/>
      <c r="S2168" s="1"/>
      <c r="T2168" s="1"/>
    </row>
    <row r="2169" spans="1:20" ht="13.5" customHeight="1" x14ac:dyDescent="0.25">
      <c r="A2169" s="1"/>
      <c r="B2169" s="1" t="s">
        <v>1926</v>
      </c>
      <c r="C2169" s="1" t="s">
        <v>251</v>
      </c>
      <c r="D2169" s="42">
        <v>72424.637600000002</v>
      </c>
      <c r="E2169" s="43">
        <v>32691.96</v>
      </c>
      <c r="F2169" s="45">
        <v>70090.529600000009</v>
      </c>
      <c r="G2169" s="45">
        <v>70090.529600000009</v>
      </c>
      <c r="H2169" s="46">
        <v>64397.02</v>
      </c>
      <c r="I2169" s="47">
        <f t="shared" si="920"/>
        <v>0.98472414214936688</v>
      </c>
      <c r="J2169" s="48">
        <v>65396</v>
      </c>
      <c r="K2169" s="49">
        <v>65396</v>
      </c>
      <c r="L2169" s="50">
        <v>60564.05</v>
      </c>
      <c r="M2169" s="50">
        <v>53414.6</v>
      </c>
      <c r="N2169" s="51">
        <v>50417.03</v>
      </c>
      <c r="O2169" s="52">
        <v>46410.720000000001</v>
      </c>
      <c r="P2169" s="53">
        <v>47125.56</v>
      </c>
      <c r="Q2169" s="54">
        <v>42698.03</v>
      </c>
      <c r="R2169" s="1"/>
      <c r="S2169" s="1"/>
      <c r="T2169" s="1"/>
    </row>
    <row r="2170" spans="1:20" ht="13.5" customHeight="1" x14ac:dyDescent="0.25">
      <c r="A2170" s="1"/>
      <c r="B2170" s="1" t="s">
        <v>1927</v>
      </c>
      <c r="C2170" s="1" t="s">
        <v>1822</v>
      </c>
      <c r="D2170" s="42">
        <v>11000</v>
      </c>
      <c r="E2170" s="43">
        <v>5967</v>
      </c>
      <c r="F2170" s="45">
        <v>11000</v>
      </c>
      <c r="G2170" s="45">
        <v>11000</v>
      </c>
      <c r="H2170" s="46">
        <v>7991.36</v>
      </c>
      <c r="I2170" s="47">
        <f t="shared" si="920"/>
        <v>0.72648727272727265</v>
      </c>
      <c r="J2170" s="48">
        <v>11000</v>
      </c>
      <c r="K2170" s="49">
        <v>11000</v>
      </c>
      <c r="L2170" s="50">
        <v>8056.28</v>
      </c>
      <c r="M2170" s="50">
        <v>5458.66</v>
      </c>
      <c r="N2170" s="51">
        <v>8851</v>
      </c>
      <c r="O2170" s="52">
        <v>10363.83</v>
      </c>
      <c r="P2170" s="53">
        <v>13260</v>
      </c>
      <c r="Q2170" s="54">
        <v>18267.2</v>
      </c>
      <c r="R2170" s="1"/>
      <c r="S2170" s="1"/>
      <c r="T2170" s="1"/>
    </row>
    <row r="2171" spans="1:20" ht="13.5" customHeight="1" x14ac:dyDescent="0.25">
      <c r="A2171" s="1"/>
      <c r="B2171" s="1" t="s">
        <v>1928</v>
      </c>
      <c r="C2171" s="1" t="s">
        <v>253</v>
      </c>
      <c r="D2171" s="42">
        <v>771.50080000000014</v>
      </c>
      <c r="E2171" s="43">
        <v>348.27</v>
      </c>
      <c r="F2171" s="45">
        <v>746.63679999999988</v>
      </c>
      <c r="G2171" s="45">
        <v>746.63679999999988</v>
      </c>
      <c r="H2171" s="46">
        <v>708.93</v>
      </c>
      <c r="I2171" s="47">
        <f t="shared" si="920"/>
        <v>0.98325936199722597</v>
      </c>
      <c r="J2171" s="48">
        <v>721</v>
      </c>
      <c r="K2171" s="49">
        <v>721</v>
      </c>
      <c r="L2171" s="50">
        <v>764.99</v>
      </c>
      <c r="M2171" s="50">
        <v>727.04</v>
      </c>
      <c r="N2171" s="51">
        <v>876.62</v>
      </c>
      <c r="O2171" s="52">
        <v>912.34</v>
      </c>
      <c r="P2171" s="53">
        <v>859.31</v>
      </c>
      <c r="Q2171" s="54">
        <v>799.3</v>
      </c>
      <c r="R2171" s="1"/>
      <c r="S2171" s="1"/>
      <c r="T2171" s="1"/>
    </row>
    <row r="2172" spans="1:20" ht="13.5" customHeight="1" x14ac:dyDescent="0.25">
      <c r="A2172" s="1"/>
      <c r="B2172" s="1" t="s">
        <v>1929</v>
      </c>
      <c r="C2172" s="1" t="s">
        <v>287</v>
      </c>
      <c r="D2172" s="42">
        <v>243.29819999999998</v>
      </c>
      <c r="E2172" s="43">
        <v>62.4</v>
      </c>
      <c r="F2172" s="45">
        <v>274.78009999999995</v>
      </c>
      <c r="G2172" s="45">
        <v>274.78009999999995</v>
      </c>
      <c r="H2172" s="46">
        <v>296.95</v>
      </c>
      <c r="I2172" s="47">
        <f t="shared" si="920"/>
        <v>0.40958620689655173</v>
      </c>
      <c r="J2172" s="48">
        <v>725</v>
      </c>
      <c r="K2172" s="49">
        <v>725</v>
      </c>
      <c r="L2172" s="50">
        <v>361.99</v>
      </c>
      <c r="M2172" s="50">
        <v>643.32000000000005</v>
      </c>
      <c r="N2172" s="51">
        <v>677.53</v>
      </c>
      <c r="O2172" s="52">
        <v>842.47</v>
      </c>
      <c r="P2172" s="53">
        <v>865.97</v>
      </c>
      <c r="Q2172" s="54">
        <v>833.84</v>
      </c>
      <c r="R2172" s="1"/>
      <c r="S2172" s="1"/>
      <c r="T2172" s="1"/>
    </row>
    <row r="2173" spans="1:20" ht="13.5" customHeight="1" x14ac:dyDescent="0.25">
      <c r="A2173" s="1"/>
      <c r="B2173" s="1" t="s">
        <v>1930</v>
      </c>
      <c r="C2173" s="1" t="s">
        <v>255</v>
      </c>
      <c r="D2173" s="42">
        <v>3511.1999999999994</v>
      </c>
      <c r="E2173" s="43">
        <v>1505.52</v>
      </c>
      <c r="F2173" s="45">
        <v>3350</v>
      </c>
      <c r="G2173" s="45">
        <v>3350</v>
      </c>
      <c r="H2173" s="46">
        <v>2862</v>
      </c>
      <c r="I2173" s="47">
        <f t="shared" si="920"/>
        <v>0.98757763975155277</v>
      </c>
      <c r="J2173" s="48">
        <v>2898</v>
      </c>
      <c r="K2173" s="49">
        <v>2898</v>
      </c>
      <c r="L2173" s="50">
        <v>2765.52</v>
      </c>
      <c r="M2173" s="50">
        <v>2441.98</v>
      </c>
      <c r="N2173" s="51">
        <v>2965.86</v>
      </c>
      <c r="O2173" s="52">
        <v>2795</v>
      </c>
      <c r="P2173" s="53">
        <v>3018.6</v>
      </c>
      <c r="Q2173" s="54">
        <v>2882.7</v>
      </c>
      <c r="R2173" s="1"/>
      <c r="S2173" s="1"/>
      <c r="T2173" s="1"/>
    </row>
    <row r="2174" spans="1:20" ht="13.5" customHeight="1" x14ac:dyDescent="0.25">
      <c r="A2174" s="1"/>
      <c r="B2174" s="1" t="s">
        <v>1931</v>
      </c>
      <c r="C2174" s="1" t="s">
        <v>257</v>
      </c>
      <c r="D2174" s="42">
        <v>0</v>
      </c>
      <c r="E2174" s="43">
        <v>300</v>
      </c>
      <c r="F2174" s="45">
        <v>600</v>
      </c>
      <c r="G2174" s="45">
        <v>600</v>
      </c>
      <c r="H2174" s="46">
        <v>600</v>
      </c>
      <c r="I2174" s="47">
        <f t="shared" si="920"/>
        <v>1</v>
      </c>
      <c r="J2174" s="48">
        <v>600</v>
      </c>
      <c r="K2174" s="49">
        <v>600</v>
      </c>
      <c r="L2174" s="50">
        <v>600</v>
      </c>
      <c r="M2174" s="50">
        <v>600</v>
      </c>
      <c r="N2174" s="51">
        <v>600</v>
      </c>
      <c r="O2174" s="52">
        <v>575</v>
      </c>
      <c r="P2174" s="53">
        <v>625</v>
      </c>
      <c r="Q2174" s="54">
        <v>0</v>
      </c>
      <c r="R2174" s="1"/>
      <c r="S2174" s="1"/>
      <c r="T2174" s="1"/>
    </row>
    <row r="2175" spans="1:20" ht="13.5" customHeight="1" x14ac:dyDescent="0.25">
      <c r="A2175" s="1"/>
      <c r="B2175" s="1" t="s">
        <v>1932</v>
      </c>
      <c r="C2175" s="1" t="s">
        <v>1402</v>
      </c>
      <c r="D2175" s="42">
        <v>4200</v>
      </c>
      <c r="E2175" s="43">
        <v>2100.02</v>
      </c>
      <c r="F2175" s="45">
        <v>4200</v>
      </c>
      <c r="G2175" s="45">
        <v>4200</v>
      </c>
      <c r="H2175" s="46">
        <v>4200.04</v>
      </c>
      <c r="I2175" s="47">
        <f t="shared" si="920"/>
        <v>1.0000095238095239</v>
      </c>
      <c r="J2175" s="48">
        <v>4200</v>
      </c>
      <c r="K2175" s="49">
        <v>4200</v>
      </c>
      <c r="L2175" s="50">
        <v>4200.04</v>
      </c>
      <c r="M2175" s="50">
        <v>4200.04</v>
      </c>
      <c r="N2175" s="51">
        <v>4200.04</v>
      </c>
      <c r="O2175" s="52">
        <v>0</v>
      </c>
      <c r="P2175" s="53">
        <v>0</v>
      </c>
      <c r="Q2175" s="54">
        <v>0</v>
      </c>
      <c r="R2175" s="1"/>
      <c r="S2175" s="1"/>
      <c r="T2175" s="1"/>
    </row>
    <row r="2176" spans="1:20" ht="13.5" customHeight="1" x14ac:dyDescent="0.25">
      <c r="A2176" s="1"/>
      <c r="B2176" s="1"/>
      <c r="C2176" s="1"/>
      <c r="D2176" s="56">
        <v>233718.26660000003</v>
      </c>
      <c r="E2176" s="57">
        <f t="shared" ref="E2176" si="921">SUM(E2167:E2175)</f>
        <v>111738.56999999999</v>
      </c>
      <c r="F2176" s="58">
        <f>SUM(F2166:F2175)</f>
        <v>230639.1545</v>
      </c>
      <c r="G2176" s="58">
        <v>230639.1545</v>
      </c>
      <c r="H2176" s="59">
        <f>SUM(H2167:H2175)</f>
        <v>198519.37</v>
      </c>
      <c r="I2176" s="59"/>
      <c r="J2176" s="60">
        <f t="shared" ref="J2176:Q2176" si="922">SUM(J2167:J2175)</f>
        <v>221389</v>
      </c>
      <c r="K2176" s="61">
        <f t="shared" si="922"/>
        <v>221389</v>
      </c>
      <c r="L2176" s="62">
        <f t="shared" si="922"/>
        <v>196763.06999999998</v>
      </c>
      <c r="M2176" s="62">
        <f t="shared" si="922"/>
        <v>180205.89000000004</v>
      </c>
      <c r="N2176" s="63">
        <f t="shared" si="922"/>
        <v>186892.12999999998</v>
      </c>
      <c r="O2176" s="64">
        <f t="shared" si="922"/>
        <v>171809.55999999997</v>
      </c>
      <c r="P2176" s="63">
        <f t="shared" si="922"/>
        <v>180446.76</v>
      </c>
      <c r="Q2176" s="65">
        <f t="shared" si="922"/>
        <v>176230.02</v>
      </c>
      <c r="R2176" s="1"/>
      <c r="S2176" s="1"/>
      <c r="T2176" s="1"/>
    </row>
    <row r="2177" spans="1:20" ht="13.5" customHeight="1" x14ac:dyDescent="0.25">
      <c r="A2177" s="1"/>
      <c r="B2177" s="1"/>
      <c r="C2177" s="1"/>
      <c r="D2177" s="42"/>
      <c r="E2177" s="44"/>
      <c r="F2177" s="45"/>
      <c r="G2177" s="45"/>
      <c r="H2177" s="66"/>
      <c r="I2177" s="66"/>
      <c r="J2177" s="48"/>
      <c r="K2177" s="49"/>
      <c r="L2177" s="50"/>
      <c r="M2177" s="50"/>
      <c r="N2177" s="51"/>
      <c r="O2177" s="52"/>
      <c r="P2177" s="53"/>
      <c r="Q2177" s="54"/>
      <c r="R2177" s="1"/>
      <c r="S2177" s="1"/>
      <c r="T2177" s="1"/>
    </row>
    <row r="2178" spans="1:20" ht="13.5" customHeight="1" x14ac:dyDescent="0.25">
      <c r="A2178" s="1"/>
      <c r="B2178" s="1" t="s">
        <v>1933</v>
      </c>
      <c r="C2178" s="1" t="s">
        <v>259</v>
      </c>
      <c r="D2178" s="42">
        <v>800</v>
      </c>
      <c r="E2178" s="43">
        <v>153.16999999999999</v>
      </c>
      <c r="F2178" s="45">
        <v>1200</v>
      </c>
      <c r="G2178" s="45">
        <v>1200</v>
      </c>
      <c r="H2178" s="46">
        <v>388.5</v>
      </c>
      <c r="I2178" s="47">
        <f t="shared" ref="I2178:I2188" si="923">H2178/J2178</f>
        <v>0.32374999999999998</v>
      </c>
      <c r="J2178" s="48">
        <v>1200</v>
      </c>
      <c r="K2178" s="49">
        <v>1200</v>
      </c>
      <c r="L2178" s="50">
        <v>476.99</v>
      </c>
      <c r="M2178" s="50">
        <v>419.1</v>
      </c>
      <c r="N2178" s="51">
        <v>158.96</v>
      </c>
      <c r="O2178" s="52">
        <v>403</v>
      </c>
      <c r="P2178" s="53">
        <v>0</v>
      </c>
      <c r="Q2178" s="54">
        <v>249.52</v>
      </c>
      <c r="R2178" s="1"/>
      <c r="S2178" s="1"/>
      <c r="T2178" s="1"/>
    </row>
    <row r="2179" spans="1:20" ht="13.5" customHeight="1" x14ac:dyDescent="0.25">
      <c r="A2179" s="1"/>
      <c r="B2179" s="1" t="s">
        <v>1934</v>
      </c>
      <c r="C2179" s="1" t="s">
        <v>471</v>
      </c>
      <c r="D2179" s="42">
        <v>55000</v>
      </c>
      <c r="E2179" s="43">
        <v>21176.39</v>
      </c>
      <c r="F2179" s="45">
        <v>60000</v>
      </c>
      <c r="G2179" s="45">
        <v>60000</v>
      </c>
      <c r="H2179" s="46">
        <v>53229.35</v>
      </c>
      <c r="I2179" s="47">
        <f t="shared" si="923"/>
        <v>0.96780636363636363</v>
      </c>
      <c r="J2179" s="48">
        <v>55000</v>
      </c>
      <c r="K2179" s="49">
        <v>55000</v>
      </c>
      <c r="L2179" s="50">
        <v>57951.040000000001</v>
      </c>
      <c r="M2179" s="50">
        <v>41859.440000000002</v>
      </c>
      <c r="N2179" s="51">
        <v>35955.629999999997</v>
      </c>
      <c r="O2179" s="52">
        <v>43480.98</v>
      </c>
      <c r="P2179" s="53">
        <v>68087.03</v>
      </c>
      <c r="Q2179" s="54">
        <v>67852.639999999999</v>
      </c>
      <c r="R2179" s="1"/>
      <c r="S2179" s="1"/>
      <c r="T2179" s="1"/>
    </row>
    <row r="2180" spans="1:20" ht="13.5" customHeight="1" x14ac:dyDescent="0.25">
      <c r="A2180" s="1"/>
      <c r="B2180" s="1" t="s">
        <v>1935</v>
      </c>
      <c r="C2180" s="1" t="s">
        <v>1118</v>
      </c>
      <c r="D2180" s="42">
        <v>4200</v>
      </c>
      <c r="E2180" s="43">
        <v>1688.63</v>
      </c>
      <c r="F2180" s="45">
        <v>4000</v>
      </c>
      <c r="G2180" s="45">
        <v>4000</v>
      </c>
      <c r="H2180" s="46">
        <v>4267.22</v>
      </c>
      <c r="I2180" s="47">
        <f t="shared" si="923"/>
        <v>1.066805</v>
      </c>
      <c r="J2180" s="48">
        <v>4000</v>
      </c>
      <c r="K2180" s="49">
        <v>4000</v>
      </c>
      <c r="L2180" s="50">
        <v>4056.71</v>
      </c>
      <c r="M2180" s="50">
        <v>4015.1</v>
      </c>
      <c r="N2180" s="51">
        <v>3741.85</v>
      </c>
      <c r="O2180" s="52">
        <v>3507.44</v>
      </c>
      <c r="P2180" s="53">
        <v>4046.29</v>
      </c>
      <c r="Q2180" s="54">
        <v>3427.52</v>
      </c>
      <c r="R2180" s="1"/>
      <c r="S2180" s="1"/>
      <c r="T2180" s="1"/>
    </row>
    <row r="2181" spans="1:20" ht="13.5" customHeight="1" x14ac:dyDescent="0.25">
      <c r="A2181" s="1"/>
      <c r="B2181" s="1" t="s">
        <v>1936</v>
      </c>
      <c r="C2181" s="1" t="s">
        <v>1833</v>
      </c>
      <c r="D2181" s="42">
        <v>682856.34</v>
      </c>
      <c r="E2181" s="43">
        <v>266831.65999999997</v>
      </c>
      <c r="F2181" s="45">
        <v>775059.72</v>
      </c>
      <c r="G2181" s="45">
        <v>775059.72</v>
      </c>
      <c r="H2181" s="46">
        <v>815226.66</v>
      </c>
      <c r="I2181" s="47">
        <f t="shared" si="923"/>
        <v>1.1263085863023692</v>
      </c>
      <c r="J2181" s="48">
        <v>723804</v>
      </c>
      <c r="K2181" s="49">
        <v>758271</v>
      </c>
      <c r="L2181" s="50">
        <v>750599.06</v>
      </c>
      <c r="M2181" s="50">
        <v>477835.41</v>
      </c>
      <c r="N2181" s="51">
        <v>680330.04</v>
      </c>
      <c r="O2181" s="52">
        <v>441537.1</v>
      </c>
      <c r="P2181" s="53">
        <v>485353.69</v>
      </c>
      <c r="Q2181" s="54">
        <v>439701.19</v>
      </c>
      <c r="R2181" s="1"/>
      <c r="S2181" s="1"/>
      <c r="T2181" s="1"/>
    </row>
    <row r="2182" spans="1:20" ht="13.5" customHeight="1" x14ac:dyDescent="0.25">
      <c r="A2182" s="1"/>
      <c r="B2182" s="1" t="s">
        <v>1937</v>
      </c>
      <c r="C2182" s="1" t="s">
        <v>1835</v>
      </c>
      <c r="D2182" s="42">
        <v>50000</v>
      </c>
      <c r="E2182" s="43">
        <v>5383.78</v>
      </c>
      <c r="F2182" s="45">
        <v>40000</v>
      </c>
      <c r="G2182" s="45">
        <v>40000</v>
      </c>
      <c r="H2182" s="46">
        <v>11625.48</v>
      </c>
      <c r="I2182" s="47">
        <f t="shared" si="923"/>
        <v>0.25834399999999996</v>
      </c>
      <c r="J2182" s="48">
        <v>45000</v>
      </c>
      <c r="K2182" s="49">
        <v>45000</v>
      </c>
      <c r="L2182" s="50">
        <v>12579.15</v>
      </c>
      <c r="M2182" s="50">
        <v>24617.040000000001</v>
      </c>
      <c r="N2182" s="51">
        <v>28678.18</v>
      </c>
      <c r="O2182" s="52">
        <v>40798.300000000003</v>
      </c>
      <c r="P2182" s="53">
        <v>34978.410000000003</v>
      </c>
      <c r="Q2182" s="54">
        <v>13514.15</v>
      </c>
      <c r="R2182" s="1"/>
      <c r="S2182" s="1"/>
      <c r="T2182" s="1"/>
    </row>
    <row r="2183" spans="1:20" ht="13.5" customHeight="1" x14ac:dyDescent="0.25">
      <c r="A2183" s="1"/>
      <c r="B2183" s="1" t="s">
        <v>1938</v>
      </c>
      <c r="C2183" s="1" t="s">
        <v>473</v>
      </c>
      <c r="D2183" s="42">
        <v>12000</v>
      </c>
      <c r="E2183" s="43">
        <v>3554.29</v>
      </c>
      <c r="F2183" s="45">
        <v>12000</v>
      </c>
      <c r="G2183" s="45">
        <v>12000</v>
      </c>
      <c r="H2183" s="46">
        <v>9151.24</v>
      </c>
      <c r="I2183" s="47">
        <f t="shared" si="923"/>
        <v>0.7626033333333333</v>
      </c>
      <c r="J2183" s="48">
        <v>12000</v>
      </c>
      <c r="K2183" s="49">
        <v>12000</v>
      </c>
      <c r="L2183" s="50">
        <v>12262.17</v>
      </c>
      <c r="M2183" s="50">
        <v>9865.18</v>
      </c>
      <c r="N2183" s="51">
        <v>7962.95</v>
      </c>
      <c r="O2183" s="52">
        <v>16289.87</v>
      </c>
      <c r="P2183" s="53">
        <v>9873.9</v>
      </c>
      <c r="Q2183" s="54">
        <v>7321.11</v>
      </c>
      <c r="R2183" s="1"/>
      <c r="S2183" s="1"/>
      <c r="T2183" s="1"/>
    </row>
    <row r="2184" spans="1:20" ht="13.5" customHeight="1" x14ac:dyDescent="0.25">
      <c r="A2184" s="1"/>
      <c r="B2184" s="1" t="s">
        <v>1939</v>
      </c>
      <c r="C2184" s="1" t="s">
        <v>1121</v>
      </c>
      <c r="D2184" s="42">
        <v>7000</v>
      </c>
      <c r="E2184" s="43">
        <v>1918.08</v>
      </c>
      <c r="F2184" s="45">
        <v>7500</v>
      </c>
      <c r="G2184" s="45">
        <v>7500</v>
      </c>
      <c r="H2184" s="46">
        <v>4793.01</v>
      </c>
      <c r="I2184" s="47">
        <f t="shared" si="923"/>
        <v>0.63906800000000008</v>
      </c>
      <c r="J2184" s="48">
        <v>7500</v>
      </c>
      <c r="K2184" s="49">
        <v>7500</v>
      </c>
      <c r="L2184" s="50">
        <v>6617.02</v>
      </c>
      <c r="M2184" s="50">
        <v>5710.61</v>
      </c>
      <c r="N2184" s="51">
        <v>1062.4100000000001</v>
      </c>
      <c r="O2184" s="52">
        <v>2866.75</v>
      </c>
      <c r="P2184" s="53">
        <v>2234.27</v>
      </c>
      <c r="Q2184" s="54">
        <v>2148.29</v>
      </c>
      <c r="R2184" s="1"/>
      <c r="S2184" s="1"/>
      <c r="T2184" s="1"/>
    </row>
    <row r="2185" spans="1:20" ht="13.5" customHeight="1" x14ac:dyDescent="0.25">
      <c r="A2185" s="1"/>
      <c r="B2185" s="1" t="s">
        <v>1940</v>
      </c>
      <c r="C2185" s="1" t="s">
        <v>1839</v>
      </c>
      <c r="D2185" s="42">
        <v>7000</v>
      </c>
      <c r="E2185" s="70">
        <v>2595.64</v>
      </c>
      <c r="F2185" s="45">
        <v>4000</v>
      </c>
      <c r="G2185" s="45">
        <v>4000</v>
      </c>
      <c r="H2185" s="68">
        <v>2868</v>
      </c>
      <c r="I2185" s="47">
        <f t="shared" si="923"/>
        <v>0.73538461538461541</v>
      </c>
      <c r="J2185" s="48">
        <v>3900</v>
      </c>
      <c r="K2185" s="49">
        <v>4000</v>
      </c>
      <c r="L2185" s="50">
        <v>3183.91</v>
      </c>
      <c r="M2185" s="50">
        <v>3332.47</v>
      </c>
      <c r="N2185" s="51">
        <v>2508.0700000000002</v>
      </c>
      <c r="O2185" s="52">
        <v>108.94</v>
      </c>
      <c r="P2185" s="53">
        <v>1353.99</v>
      </c>
      <c r="Q2185" s="54">
        <v>3009.07</v>
      </c>
      <c r="R2185" s="1"/>
      <c r="S2185" s="1"/>
      <c r="T2185" s="1"/>
    </row>
    <row r="2186" spans="1:20" ht="13.5" customHeight="1" x14ac:dyDescent="0.25">
      <c r="A2186" s="1"/>
      <c r="B2186" s="1" t="s">
        <v>1941</v>
      </c>
      <c r="C2186" s="1" t="s">
        <v>1413</v>
      </c>
      <c r="D2186" s="42">
        <v>750</v>
      </c>
      <c r="E2186" s="43">
        <v>0</v>
      </c>
      <c r="F2186" s="73">
        <v>750</v>
      </c>
      <c r="G2186" s="73">
        <v>750</v>
      </c>
      <c r="H2186" s="46">
        <v>156.77000000000001</v>
      </c>
      <c r="I2186" s="47">
        <f t="shared" si="923"/>
        <v>1.5677000000000001</v>
      </c>
      <c r="J2186" s="48">
        <v>100</v>
      </c>
      <c r="K2186" s="76">
        <v>0</v>
      </c>
      <c r="L2186" s="77">
        <v>0</v>
      </c>
      <c r="M2186" s="77">
        <v>0</v>
      </c>
      <c r="N2186" s="53" t="s">
        <v>16</v>
      </c>
      <c r="O2186" s="52">
        <v>0</v>
      </c>
      <c r="P2186" s="53">
        <v>2398</v>
      </c>
      <c r="Q2186" s="54">
        <v>0</v>
      </c>
      <c r="R2186" s="1"/>
      <c r="S2186" s="1"/>
      <c r="T2186" s="1"/>
    </row>
    <row r="2187" spans="1:20" ht="13.5" customHeight="1" x14ac:dyDescent="0.25">
      <c r="A2187" s="1"/>
      <c r="B2187" s="1" t="s">
        <v>1942</v>
      </c>
      <c r="C2187" s="55" t="s">
        <v>265</v>
      </c>
      <c r="D2187" s="42">
        <v>2000</v>
      </c>
      <c r="E2187" s="43">
        <v>0</v>
      </c>
      <c r="F2187" s="45">
        <v>2000</v>
      </c>
      <c r="G2187" s="45">
        <v>2000</v>
      </c>
      <c r="H2187" s="68">
        <v>1400</v>
      </c>
      <c r="I2187" s="47">
        <f t="shared" si="923"/>
        <v>0.7</v>
      </c>
      <c r="J2187" s="48">
        <v>2000</v>
      </c>
      <c r="K2187" s="49">
        <v>2000</v>
      </c>
      <c r="L2187" s="50">
        <v>1484.99</v>
      </c>
      <c r="M2187" s="77">
        <v>0</v>
      </c>
      <c r="N2187" s="53" t="s">
        <v>16</v>
      </c>
      <c r="O2187" s="52">
        <v>0</v>
      </c>
      <c r="P2187" s="53">
        <v>0</v>
      </c>
      <c r="Q2187" s="54">
        <v>0</v>
      </c>
      <c r="R2187" s="1"/>
      <c r="S2187" s="1"/>
      <c r="T2187" s="1"/>
    </row>
    <row r="2188" spans="1:20" ht="13.5" customHeight="1" x14ac:dyDescent="0.25">
      <c r="A2188" s="1"/>
      <c r="B2188" s="1" t="s">
        <v>1943</v>
      </c>
      <c r="C2188" s="1" t="s">
        <v>267</v>
      </c>
      <c r="D2188" s="42">
        <v>1500</v>
      </c>
      <c r="E2188" s="43">
        <v>450</v>
      </c>
      <c r="F2188" s="45">
        <v>1500</v>
      </c>
      <c r="G2188" s="45">
        <v>1500</v>
      </c>
      <c r="H2188" s="46">
        <v>1611.55</v>
      </c>
      <c r="I2188" s="47">
        <f t="shared" si="923"/>
        <v>1.0743666666666667</v>
      </c>
      <c r="J2188" s="48">
        <v>1500</v>
      </c>
      <c r="K2188" s="49">
        <v>1500</v>
      </c>
      <c r="L2188" s="50">
        <v>815.07</v>
      </c>
      <c r="M2188" s="50">
        <v>981.66</v>
      </c>
      <c r="N2188" s="53" t="s">
        <v>16</v>
      </c>
      <c r="O2188" s="52">
        <v>21500</v>
      </c>
      <c r="P2188" s="53">
        <v>2650</v>
      </c>
      <c r="Q2188" s="54">
        <v>12500</v>
      </c>
      <c r="R2188" s="1"/>
      <c r="S2188" s="1"/>
      <c r="T2188" s="1"/>
    </row>
    <row r="2189" spans="1:20" ht="13.5" customHeight="1" x14ac:dyDescent="0.25">
      <c r="A2189" s="1"/>
      <c r="B2189" s="1"/>
      <c r="C2189" s="1"/>
      <c r="D2189" s="56">
        <v>823106.34</v>
      </c>
      <c r="E2189" s="57">
        <f t="shared" ref="E2189" si="924">SUM(E2178:E2188)</f>
        <v>303751.64</v>
      </c>
      <c r="F2189" s="58">
        <f>SUM(F2177:F2188)</f>
        <v>908009.72</v>
      </c>
      <c r="G2189" s="58">
        <v>908009.72</v>
      </c>
      <c r="H2189" s="59">
        <f>SUM(H2178:H2188)</f>
        <v>904717.78</v>
      </c>
      <c r="I2189" s="59"/>
      <c r="J2189" s="60">
        <f t="shared" ref="J2189:Q2189" si="925">SUM(J2178:J2188)</f>
        <v>856004</v>
      </c>
      <c r="K2189" s="61">
        <f t="shared" si="925"/>
        <v>890471</v>
      </c>
      <c r="L2189" s="62">
        <f t="shared" si="925"/>
        <v>850026.1100000001</v>
      </c>
      <c r="M2189" s="62">
        <f t="shared" si="925"/>
        <v>568636.01</v>
      </c>
      <c r="N2189" s="63">
        <f t="shared" si="925"/>
        <v>760398.09</v>
      </c>
      <c r="O2189" s="64">
        <f t="shared" si="925"/>
        <v>570492.37999999989</v>
      </c>
      <c r="P2189" s="63">
        <f t="shared" si="925"/>
        <v>610975.58000000007</v>
      </c>
      <c r="Q2189" s="65">
        <f t="shared" si="925"/>
        <v>549723.49</v>
      </c>
      <c r="R2189" s="1"/>
      <c r="S2189" s="1"/>
      <c r="T2189" s="1"/>
    </row>
    <row r="2190" spans="1:20" ht="13.5" customHeight="1" x14ac:dyDescent="0.25">
      <c r="A2190" s="1"/>
      <c r="B2190" s="1"/>
      <c r="C2190" s="1"/>
      <c r="D2190" s="42"/>
      <c r="E2190" s="44"/>
      <c r="F2190" s="45"/>
      <c r="G2190" s="45"/>
      <c r="H2190" s="66"/>
      <c r="I2190" s="66"/>
      <c r="J2190" s="48"/>
      <c r="K2190" s="49"/>
      <c r="L2190" s="50"/>
      <c r="M2190" s="50"/>
      <c r="N2190" s="53"/>
      <c r="O2190" s="52"/>
      <c r="P2190" s="53"/>
      <c r="Q2190" s="54"/>
      <c r="R2190" s="1"/>
      <c r="S2190" s="1"/>
      <c r="T2190" s="1"/>
    </row>
    <row r="2191" spans="1:20" ht="13.5" customHeight="1" x14ac:dyDescent="0.25">
      <c r="A2191" s="1"/>
      <c r="B2191" s="1" t="s">
        <v>1944</v>
      </c>
      <c r="C2191" s="1" t="s">
        <v>306</v>
      </c>
      <c r="D2191" s="42">
        <v>800</v>
      </c>
      <c r="E2191" s="43">
        <v>0</v>
      </c>
      <c r="F2191" s="45">
        <v>800</v>
      </c>
      <c r="G2191" s="45">
        <v>800</v>
      </c>
      <c r="H2191" s="74">
        <v>0</v>
      </c>
      <c r="I2191" s="47">
        <f>H2191/J2191</f>
        <v>0</v>
      </c>
      <c r="J2191" s="48">
        <v>800</v>
      </c>
      <c r="K2191" s="49">
        <v>800</v>
      </c>
      <c r="L2191" s="77">
        <v>0</v>
      </c>
      <c r="M2191" s="77">
        <v>0</v>
      </c>
      <c r="N2191" s="53" t="s">
        <v>16</v>
      </c>
      <c r="O2191" s="52">
        <v>1313.73</v>
      </c>
      <c r="P2191" s="53">
        <v>1376.82</v>
      </c>
      <c r="Q2191" s="54">
        <v>1117.72</v>
      </c>
      <c r="R2191" s="1"/>
      <c r="S2191" s="1"/>
      <c r="T2191" s="1"/>
    </row>
    <row r="2192" spans="1:20" ht="13.5" customHeight="1" x14ac:dyDescent="0.25">
      <c r="A2192" s="1"/>
      <c r="B2192" s="1" t="s">
        <v>1945</v>
      </c>
      <c r="C2192" s="1" t="s">
        <v>1422</v>
      </c>
      <c r="D2192" s="42">
        <v>0</v>
      </c>
      <c r="E2192" s="43">
        <v>0</v>
      </c>
      <c r="F2192" s="73">
        <v>0</v>
      </c>
      <c r="G2192" s="73">
        <v>0</v>
      </c>
      <c r="H2192" s="74">
        <v>0</v>
      </c>
      <c r="I2192" s="47">
        <v>0</v>
      </c>
      <c r="J2192" s="75">
        <v>0</v>
      </c>
      <c r="K2192" s="76">
        <v>0</v>
      </c>
      <c r="L2192" s="77" t="s">
        <v>16</v>
      </c>
      <c r="M2192" s="77" t="s">
        <v>16</v>
      </c>
      <c r="N2192" s="51">
        <v>8000</v>
      </c>
      <c r="O2192" s="52">
        <v>537.37</v>
      </c>
      <c r="P2192" s="53">
        <v>499.77</v>
      </c>
      <c r="Q2192" s="54">
        <v>493.03</v>
      </c>
      <c r="R2192" s="1"/>
      <c r="S2192" s="1"/>
      <c r="T2192" s="1"/>
    </row>
    <row r="2193" spans="1:20" ht="13.5" customHeight="1" x14ac:dyDescent="0.25">
      <c r="A2193" s="1"/>
      <c r="B2193" s="1" t="s">
        <v>1946</v>
      </c>
      <c r="C2193" s="1" t="s">
        <v>318</v>
      </c>
      <c r="D2193" s="42">
        <v>1500</v>
      </c>
      <c r="E2193" s="43">
        <v>721.36</v>
      </c>
      <c r="F2193" s="45">
        <v>1200</v>
      </c>
      <c r="G2193" s="45">
        <v>1200</v>
      </c>
      <c r="H2193" s="46">
        <v>1680.65</v>
      </c>
      <c r="I2193" s="47">
        <f t="shared" ref="I2193:I2203" si="926">H2193/J2193</f>
        <v>1.4005416666666668</v>
      </c>
      <c r="J2193" s="48">
        <v>1200</v>
      </c>
      <c r="K2193" s="49">
        <v>1200</v>
      </c>
      <c r="L2193" s="50">
        <v>1628.3</v>
      </c>
      <c r="M2193" s="50">
        <v>1487.13</v>
      </c>
      <c r="N2193" s="51">
        <v>1354.09</v>
      </c>
      <c r="O2193" s="52">
        <v>2355.67</v>
      </c>
      <c r="P2193" s="53">
        <v>2252.9</v>
      </c>
      <c r="Q2193" s="54">
        <v>2055.9899999999998</v>
      </c>
      <c r="R2193" s="1"/>
      <c r="S2193" s="1"/>
      <c r="T2193" s="1"/>
    </row>
    <row r="2194" spans="1:20" ht="13.5" customHeight="1" x14ac:dyDescent="0.25">
      <c r="A2194" s="1"/>
      <c r="B2194" s="1" t="s">
        <v>1947</v>
      </c>
      <c r="C2194" s="1" t="s">
        <v>404</v>
      </c>
      <c r="D2194" s="42">
        <v>800</v>
      </c>
      <c r="E2194" s="43">
        <v>659.07</v>
      </c>
      <c r="F2194" s="45">
        <v>800</v>
      </c>
      <c r="G2194" s="45">
        <v>800</v>
      </c>
      <c r="H2194" s="46">
        <v>503.78</v>
      </c>
      <c r="I2194" s="47">
        <f t="shared" si="926"/>
        <v>0.62972499999999998</v>
      </c>
      <c r="J2194" s="48">
        <v>800</v>
      </c>
      <c r="K2194" s="49">
        <v>800</v>
      </c>
      <c r="L2194" s="50">
        <v>662.71</v>
      </c>
      <c r="M2194" s="50">
        <v>1629.38</v>
      </c>
      <c r="N2194" s="51">
        <v>620.78</v>
      </c>
      <c r="O2194" s="52">
        <v>415.73</v>
      </c>
      <c r="P2194" s="53">
        <v>402.69</v>
      </c>
      <c r="Q2194" s="54">
        <v>390.74</v>
      </c>
      <c r="R2194" s="1"/>
      <c r="S2194" s="1"/>
      <c r="T2194" s="1"/>
    </row>
    <row r="2195" spans="1:20" ht="13.5" customHeight="1" x14ac:dyDescent="0.25">
      <c r="A2195" s="1"/>
      <c r="B2195" s="1" t="s">
        <v>1948</v>
      </c>
      <c r="C2195" s="1" t="s">
        <v>1143</v>
      </c>
      <c r="D2195" s="42">
        <v>2000</v>
      </c>
      <c r="E2195" s="43">
        <v>1039.28</v>
      </c>
      <c r="F2195" s="45">
        <v>2000</v>
      </c>
      <c r="G2195" s="45">
        <v>2000</v>
      </c>
      <c r="H2195" s="46">
        <v>2280.7800000000002</v>
      </c>
      <c r="I2195" s="47">
        <f t="shared" si="926"/>
        <v>1.14039</v>
      </c>
      <c r="J2195" s="48">
        <v>2000</v>
      </c>
      <c r="K2195" s="49">
        <v>2000</v>
      </c>
      <c r="L2195" s="50">
        <v>2244.12</v>
      </c>
      <c r="M2195" s="50">
        <v>1849.93</v>
      </c>
      <c r="N2195" s="51">
        <v>2082.7399999999998</v>
      </c>
      <c r="O2195" s="52">
        <v>787.76</v>
      </c>
      <c r="P2195" s="53">
        <v>337.5</v>
      </c>
      <c r="Q2195" s="54">
        <v>817.25</v>
      </c>
      <c r="R2195" s="1"/>
      <c r="S2195" s="1"/>
      <c r="T2195" s="1"/>
    </row>
    <row r="2196" spans="1:20" ht="13.5" customHeight="1" x14ac:dyDescent="0.25">
      <c r="A2196" s="1"/>
      <c r="B2196" s="1" t="s">
        <v>1949</v>
      </c>
      <c r="C2196" s="1" t="s">
        <v>1147</v>
      </c>
      <c r="D2196" s="42">
        <v>500</v>
      </c>
      <c r="E2196" s="43">
        <v>251.73</v>
      </c>
      <c r="F2196" s="45">
        <v>500</v>
      </c>
      <c r="G2196" s="45">
        <v>500</v>
      </c>
      <c r="H2196" s="46">
        <v>487.95</v>
      </c>
      <c r="I2196" s="47">
        <f t="shared" si="926"/>
        <v>0.97589999999999999</v>
      </c>
      <c r="J2196" s="48">
        <v>500</v>
      </c>
      <c r="K2196" s="49">
        <v>500</v>
      </c>
      <c r="L2196" s="50">
        <v>456.54</v>
      </c>
      <c r="M2196" s="50">
        <v>443.39</v>
      </c>
      <c r="N2196" s="51">
        <v>415.22</v>
      </c>
      <c r="O2196" s="52">
        <v>152.99</v>
      </c>
      <c r="P2196" s="53">
        <v>344.04</v>
      </c>
      <c r="Q2196" s="54">
        <v>386.52</v>
      </c>
      <c r="R2196" s="1"/>
      <c r="S2196" s="1"/>
      <c r="T2196" s="1"/>
    </row>
    <row r="2197" spans="1:20" ht="13.5" customHeight="1" x14ac:dyDescent="0.25">
      <c r="A2197" s="1"/>
      <c r="B2197" s="1" t="s">
        <v>1950</v>
      </c>
      <c r="C2197" s="1" t="s">
        <v>1851</v>
      </c>
      <c r="D2197" s="42">
        <v>1500</v>
      </c>
      <c r="E2197" s="44">
        <f>338.16+282.45</f>
        <v>620.61</v>
      </c>
      <c r="F2197" s="45">
        <v>1500</v>
      </c>
      <c r="G2197" s="45">
        <v>1500</v>
      </c>
      <c r="H2197" s="46">
        <v>518.35</v>
      </c>
      <c r="I2197" s="47">
        <f t="shared" si="926"/>
        <v>0.34556666666666669</v>
      </c>
      <c r="J2197" s="48">
        <v>1500</v>
      </c>
      <c r="K2197" s="49">
        <v>1500</v>
      </c>
      <c r="L2197" s="50">
        <v>2197.98</v>
      </c>
      <c r="M2197" s="50">
        <v>834.25</v>
      </c>
      <c r="N2197" s="51">
        <v>490.5</v>
      </c>
      <c r="O2197" s="52">
        <v>16507.45</v>
      </c>
      <c r="P2197" s="53">
        <v>27678.21</v>
      </c>
      <c r="Q2197" s="54">
        <v>17965.79</v>
      </c>
      <c r="R2197" s="1"/>
      <c r="S2197" s="1"/>
      <c r="T2197" s="1"/>
    </row>
    <row r="2198" spans="1:20" ht="13.5" customHeight="1" x14ac:dyDescent="0.25">
      <c r="A2198" s="1"/>
      <c r="B2198" s="1" t="s">
        <v>1951</v>
      </c>
      <c r="C2198" s="1" t="s">
        <v>1853</v>
      </c>
      <c r="D2198" s="42">
        <v>2500</v>
      </c>
      <c r="E2198" s="43">
        <v>2333.86</v>
      </c>
      <c r="F2198" s="45">
        <v>2500</v>
      </c>
      <c r="G2198" s="45">
        <v>2500</v>
      </c>
      <c r="H2198" s="46">
        <v>1108.1500000000001</v>
      </c>
      <c r="I2198" s="47">
        <f t="shared" si="926"/>
        <v>0.44326000000000004</v>
      </c>
      <c r="J2198" s="48">
        <v>2500</v>
      </c>
      <c r="K2198" s="49">
        <v>2500</v>
      </c>
      <c r="L2198" s="50">
        <v>3803.96</v>
      </c>
      <c r="M2198" s="50">
        <v>1217.7</v>
      </c>
      <c r="N2198" s="51">
        <v>262.42</v>
      </c>
      <c r="O2198" s="52">
        <v>131.16</v>
      </c>
      <c r="P2198" s="53">
        <v>46.77</v>
      </c>
      <c r="Q2198" s="54">
        <v>758.74</v>
      </c>
      <c r="R2198" s="1"/>
      <c r="S2198" s="1"/>
      <c r="T2198" s="1"/>
    </row>
    <row r="2199" spans="1:20" ht="13.5" customHeight="1" x14ac:dyDescent="0.25">
      <c r="A2199" s="1"/>
      <c r="B2199" s="1" t="s">
        <v>1952</v>
      </c>
      <c r="C2199" s="1" t="s">
        <v>1855</v>
      </c>
      <c r="D2199" s="42">
        <v>25000</v>
      </c>
      <c r="E2199" s="43">
        <v>7177.66</v>
      </c>
      <c r="F2199" s="45">
        <v>30000</v>
      </c>
      <c r="G2199" s="45">
        <v>30000</v>
      </c>
      <c r="H2199" s="46">
        <v>22873.51</v>
      </c>
      <c r="I2199" s="47">
        <f t="shared" si="926"/>
        <v>0.76245033333333323</v>
      </c>
      <c r="J2199" s="48">
        <v>30000</v>
      </c>
      <c r="K2199" s="49">
        <v>30000</v>
      </c>
      <c r="L2199" s="50">
        <v>22162.39</v>
      </c>
      <c r="M2199" s="50">
        <v>26531.41</v>
      </c>
      <c r="N2199" s="51">
        <v>13987.96</v>
      </c>
      <c r="O2199" s="52">
        <v>10014.84</v>
      </c>
      <c r="P2199" s="53">
        <v>12715.99</v>
      </c>
      <c r="Q2199" s="54">
        <v>18115.849999999999</v>
      </c>
      <c r="R2199" s="1"/>
      <c r="S2199" s="1"/>
      <c r="T2199" s="1"/>
    </row>
    <row r="2200" spans="1:20" ht="13.5" customHeight="1" x14ac:dyDescent="0.25">
      <c r="A2200" s="1"/>
      <c r="B2200" s="1" t="s">
        <v>1953</v>
      </c>
      <c r="C2200" s="1" t="s">
        <v>1128</v>
      </c>
      <c r="D2200" s="42">
        <v>2500</v>
      </c>
      <c r="E2200" s="43">
        <v>339.19</v>
      </c>
      <c r="F2200" s="45">
        <v>2500</v>
      </c>
      <c r="G2200" s="45">
        <v>2500</v>
      </c>
      <c r="H2200" s="46">
        <v>1507.93</v>
      </c>
      <c r="I2200" s="47">
        <f t="shared" si="926"/>
        <v>0.60317200000000004</v>
      </c>
      <c r="J2200" s="48">
        <v>2500</v>
      </c>
      <c r="K2200" s="49">
        <v>2500</v>
      </c>
      <c r="L2200" s="50">
        <v>254.95</v>
      </c>
      <c r="M2200" s="50">
        <v>919.21</v>
      </c>
      <c r="N2200" s="51">
        <v>712.25</v>
      </c>
      <c r="O2200" s="52">
        <v>0</v>
      </c>
      <c r="P2200" s="53">
        <v>0</v>
      </c>
      <c r="Q2200" s="54">
        <v>0</v>
      </c>
      <c r="R2200" s="1"/>
      <c r="S2200" s="1"/>
      <c r="T2200" s="1"/>
    </row>
    <row r="2201" spans="1:20" ht="13.5" customHeight="1" x14ac:dyDescent="0.25">
      <c r="A2201" s="1"/>
      <c r="B2201" s="1" t="s">
        <v>1954</v>
      </c>
      <c r="C2201" s="1" t="s">
        <v>489</v>
      </c>
      <c r="D2201" s="42">
        <v>25000</v>
      </c>
      <c r="E2201" s="43">
        <v>15088.74</v>
      </c>
      <c r="F2201" s="45">
        <v>22000</v>
      </c>
      <c r="G2201" s="45">
        <v>22000</v>
      </c>
      <c r="H2201" s="46">
        <v>31673.43</v>
      </c>
      <c r="I2201" s="47">
        <f t="shared" si="926"/>
        <v>1.4397013636363636</v>
      </c>
      <c r="J2201" s="48">
        <v>22000</v>
      </c>
      <c r="K2201" s="49">
        <v>22000</v>
      </c>
      <c r="L2201" s="50">
        <v>15314.83</v>
      </c>
      <c r="M2201" s="50">
        <v>10792.92</v>
      </c>
      <c r="N2201" s="51">
        <v>12205.31</v>
      </c>
      <c r="O2201" s="52">
        <v>0</v>
      </c>
      <c r="P2201" s="53">
        <v>671.71</v>
      </c>
      <c r="Q2201" s="54">
        <v>0</v>
      </c>
      <c r="R2201" s="1"/>
      <c r="S2201" s="1"/>
      <c r="T2201" s="1"/>
    </row>
    <row r="2202" spans="1:20" ht="13.5" customHeight="1" x14ac:dyDescent="0.25">
      <c r="A2202" s="1"/>
      <c r="B2202" s="1" t="s">
        <v>1955</v>
      </c>
      <c r="C2202" s="55" t="s">
        <v>408</v>
      </c>
      <c r="D2202" s="42">
        <v>850</v>
      </c>
      <c r="E2202" s="43">
        <v>0</v>
      </c>
      <c r="F2202" s="45">
        <v>850</v>
      </c>
      <c r="G2202" s="45">
        <v>850</v>
      </c>
      <c r="H2202" s="68">
        <v>750</v>
      </c>
      <c r="I2202" s="47">
        <f t="shared" si="926"/>
        <v>1</v>
      </c>
      <c r="J2202" s="48">
        <v>750</v>
      </c>
      <c r="K2202" s="49">
        <v>750</v>
      </c>
      <c r="L2202" s="50">
        <v>4764.5</v>
      </c>
      <c r="M2202" s="77">
        <v>0</v>
      </c>
      <c r="N2202" s="53" t="s">
        <v>16</v>
      </c>
      <c r="O2202" s="52">
        <v>0</v>
      </c>
      <c r="P2202" s="53">
        <v>0</v>
      </c>
      <c r="Q2202" s="54">
        <v>0</v>
      </c>
      <c r="R2202" s="1"/>
      <c r="S2202" s="1"/>
      <c r="T2202" s="1"/>
    </row>
    <row r="2203" spans="1:20" ht="13.5" customHeight="1" x14ac:dyDescent="0.25">
      <c r="A2203" s="1"/>
      <c r="B2203" s="1" t="s">
        <v>1956</v>
      </c>
      <c r="C2203" s="1" t="s">
        <v>1442</v>
      </c>
      <c r="D2203" s="42">
        <v>500</v>
      </c>
      <c r="E2203" s="43">
        <v>0</v>
      </c>
      <c r="F2203" s="45">
        <v>800</v>
      </c>
      <c r="G2203" s="45">
        <v>800</v>
      </c>
      <c r="H2203" s="74">
        <v>0</v>
      </c>
      <c r="I2203" s="47">
        <f t="shared" si="926"/>
        <v>0</v>
      </c>
      <c r="J2203" s="48">
        <v>1200</v>
      </c>
      <c r="K2203" s="49">
        <v>1200</v>
      </c>
      <c r="L2203" s="50">
        <v>200</v>
      </c>
      <c r="M2203" s="77">
        <v>0</v>
      </c>
      <c r="N2203" s="51">
        <v>592.5</v>
      </c>
      <c r="O2203" s="52">
        <v>20685</v>
      </c>
      <c r="P2203" s="53">
        <v>8000</v>
      </c>
      <c r="Q2203" s="54">
        <v>48709</v>
      </c>
      <c r="R2203" s="1"/>
      <c r="S2203" s="1"/>
      <c r="T2203" s="1"/>
    </row>
    <row r="2204" spans="1:20" ht="13.5" customHeight="1" x14ac:dyDescent="0.25">
      <c r="A2204" s="1"/>
      <c r="B2204" s="1" t="s">
        <v>1957</v>
      </c>
      <c r="C2204" s="1" t="s">
        <v>541</v>
      </c>
      <c r="D2204" s="42">
        <v>0</v>
      </c>
      <c r="E2204" s="43">
        <v>0</v>
      </c>
      <c r="F2204" s="73">
        <v>0</v>
      </c>
      <c r="G2204" s="73">
        <v>0</v>
      </c>
      <c r="H2204" s="74" t="s">
        <v>16</v>
      </c>
      <c r="I2204" s="47"/>
      <c r="J2204" s="75" t="s">
        <v>16</v>
      </c>
      <c r="K2204" s="76" t="s">
        <v>16</v>
      </c>
      <c r="L2204" s="77" t="s">
        <v>16</v>
      </c>
      <c r="M2204" s="50">
        <v>177.5</v>
      </c>
      <c r="N2204" s="53" t="s">
        <v>16</v>
      </c>
      <c r="O2204" s="52">
        <v>81551.33</v>
      </c>
      <c r="P2204" s="53">
        <v>110592</v>
      </c>
      <c r="Q2204" s="54">
        <v>8270</v>
      </c>
      <c r="R2204" s="1"/>
      <c r="S2204" s="1"/>
      <c r="T2204" s="1"/>
    </row>
    <row r="2205" spans="1:20" ht="13.5" customHeight="1" x14ac:dyDescent="0.25">
      <c r="A2205" s="1"/>
      <c r="B2205" s="1"/>
      <c r="C2205" s="1"/>
      <c r="D2205" s="88">
        <v>63450</v>
      </c>
      <c r="E2205" s="89">
        <f t="shared" ref="E2205" si="927">SUM(E2191:E2204)</f>
        <v>28231.5</v>
      </c>
      <c r="F2205" s="90">
        <f>SUM(F2190:F2203)</f>
        <v>65450</v>
      </c>
      <c r="G2205" s="90">
        <v>65450</v>
      </c>
      <c r="H2205" s="91">
        <f>SUM(H2191:H2204)</f>
        <v>63384.53</v>
      </c>
      <c r="I2205" s="91"/>
      <c r="J2205" s="92">
        <f t="shared" ref="J2205:Q2205" si="928">SUM(J2191:J2204)</f>
        <v>65750</v>
      </c>
      <c r="K2205" s="93">
        <f t="shared" si="928"/>
        <v>65750</v>
      </c>
      <c r="L2205" s="94">
        <f t="shared" si="928"/>
        <v>53690.28</v>
      </c>
      <c r="M2205" s="94">
        <f t="shared" si="928"/>
        <v>45882.82</v>
      </c>
      <c r="N2205" s="95">
        <f t="shared" si="928"/>
        <v>40723.769999999997</v>
      </c>
      <c r="O2205" s="96">
        <f t="shared" si="928"/>
        <v>134453.03</v>
      </c>
      <c r="P2205" s="95">
        <f t="shared" si="928"/>
        <v>164918.39999999999</v>
      </c>
      <c r="Q2205" s="97">
        <f t="shared" si="928"/>
        <v>99080.63</v>
      </c>
      <c r="R2205" s="1"/>
      <c r="S2205" s="1"/>
      <c r="T2205" s="1"/>
    </row>
    <row r="2206" spans="1:20" ht="13.5" customHeight="1" x14ac:dyDescent="0.25">
      <c r="A2206" s="1"/>
      <c r="B2206" s="1"/>
      <c r="C2206" s="1"/>
      <c r="D2206" s="72"/>
      <c r="E2206" s="67"/>
      <c r="F2206" s="73"/>
      <c r="G2206" s="73"/>
      <c r="H2206" s="74"/>
      <c r="I2206" s="74"/>
      <c r="J2206" s="75"/>
      <c r="K2206" s="76"/>
      <c r="L2206" s="77"/>
      <c r="M2206" s="50"/>
      <c r="N2206" s="53"/>
      <c r="O2206" s="52"/>
      <c r="P2206" s="53"/>
      <c r="Q2206" s="54"/>
      <c r="R2206" s="1"/>
      <c r="S2206" s="1"/>
      <c r="T2206" s="1"/>
    </row>
    <row r="2207" spans="1:20" ht="13.5" customHeight="1" x14ac:dyDescent="0.25">
      <c r="A2207" s="1"/>
      <c r="B2207" s="1" t="s">
        <v>1958</v>
      </c>
      <c r="C2207" s="1" t="s">
        <v>1154</v>
      </c>
      <c r="D2207" s="42">
        <v>5100</v>
      </c>
      <c r="E2207" s="43">
        <v>2734.51</v>
      </c>
      <c r="F2207" s="45">
        <v>5103</v>
      </c>
      <c r="G2207" s="45">
        <v>5103</v>
      </c>
      <c r="H2207" s="74">
        <v>0</v>
      </c>
      <c r="I2207" s="47">
        <f>H2207/J2207</f>
        <v>0</v>
      </c>
      <c r="J2207" s="48">
        <v>5153</v>
      </c>
      <c r="K2207" s="49">
        <v>5153</v>
      </c>
      <c r="L2207" s="50">
        <v>4260.79</v>
      </c>
      <c r="M2207" s="50">
        <v>7201</v>
      </c>
      <c r="N2207" s="51">
        <v>1736.88</v>
      </c>
      <c r="O2207" s="52">
        <v>500</v>
      </c>
      <c r="P2207" s="53">
        <v>3200</v>
      </c>
      <c r="Q2207" s="54">
        <v>0</v>
      </c>
      <c r="R2207" s="1"/>
      <c r="S2207" s="1"/>
      <c r="T2207" s="1"/>
    </row>
    <row r="2208" spans="1:20" ht="13.5" customHeight="1" x14ac:dyDescent="0.25">
      <c r="A2208" s="1"/>
      <c r="B2208" s="1" t="s">
        <v>1959</v>
      </c>
      <c r="C2208" s="1" t="s">
        <v>1283</v>
      </c>
      <c r="D2208" s="42">
        <v>40000</v>
      </c>
      <c r="E2208" s="70">
        <v>30951</v>
      </c>
      <c r="F2208" s="45">
        <v>40000</v>
      </c>
      <c r="G2208" s="45">
        <v>40000</v>
      </c>
      <c r="H2208" s="74">
        <v>0</v>
      </c>
      <c r="I2208" s="47">
        <v>0</v>
      </c>
      <c r="J2208" s="48">
        <v>0</v>
      </c>
      <c r="K2208" s="49">
        <v>25000</v>
      </c>
      <c r="L2208" s="50">
        <v>20000</v>
      </c>
      <c r="M2208" s="77">
        <v>0</v>
      </c>
      <c r="N2208" s="51">
        <v>162774</v>
      </c>
      <c r="O2208" s="52">
        <v>0</v>
      </c>
      <c r="P2208" s="53">
        <v>0</v>
      </c>
      <c r="Q2208" s="54">
        <v>1996.79</v>
      </c>
      <c r="R2208" s="1"/>
      <c r="S2208" s="1"/>
      <c r="T2208" s="1"/>
    </row>
    <row r="2209" spans="1:20" ht="13.5" customHeight="1" x14ac:dyDescent="0.25">
      <c r="A2209" s="1"/>
      <c r="B2209" s="1" t="s">
        <v>1960</v>
      </c>
      <c r="C2209" s="1" t="s">
        <v>1865</v>
      </c>
      <c r="D2209" s="42">
        <v>120000</v>
      </c>
      <c r="E2209" s="70">
        <v>120050</v>
      </c>
      <c r="F2209" s="45">
        <v>80000</v>
      </c>
      <c r="G2209" s="45">
        <v>80000</v>
      </c>
      <c r="H2209" s="74">
        <v>122467</v>
      </c>
      <c r="I2209" s="47">
        <f t="shared" ref="I2209:I2210" si="929">H2209/J2209</f>
        <v>1</v>
      </c>
      <c r="J2209" s="48">
        <v>122467</v>
      </c>
      <c r="K2209" s="49">
        <v>70000</v>
      </c>
      <c r="L2209" s="50">
        <v>107100</v>
      </c>
      <c r="M2209" s="50">
        <v>166350</v>
      </c>
      <c r="N2209" s="51">
        <v>1500</v>
      </c>
      <c r="O2209" s="52">
        <v>0</v>
      </c>
      <c r="P2209" s="53">
        <v>612</v>
      </c>
      <c r="Q2209" s="54">
        <v>0</v>
      </c>
      <c r="R2209" s="1"/>
      <c r="S2209" s="1"/>
      <c r="T2209" s="1"/>
    </row>
    <row r="2210" spans="1:20" ht="13.5" customHeight="1" x14ac:dyDescent="0.25">
      <c r="A2210" s="1"/>
      <c r="B2210" s="1" t="s">
        <v>1961</v>
      </c>
      <c r="C2210" s="1" t="s">
        <v>414</v>
      </c>
      <c r="D2210" s="42">
        <v>0</v>
      </c>
      <c r="E2210" s="43">
        <v>0</v>
      </c>
      <c r="F2210" s="45">
        <v>0</v>
      </c>
      <c r="G2210" s="45">
        <v>0</v>
      </c>
      <c r="H2210" s="74">
        <v>0</v>
      </c>
      <c r="I2210" s="47">
        <f t="shared" si="929"/>
        <v>0</v>
      </c>
      <c r="J2210" s="48">
        <v>500</v>
      </c>
      <c r="K2210" s="49">
        <v>500</v>
      </c>
      <c r="L2210" s="77">
        <v>0</v>
      </c>
      <c r="M2210" s="77">
        <v>0</v>
      </c>
      <c r="N2210" s="51">
        <v>500</v>
      </c>
      <c r="O2210" s="52"/>
      <c r="P2210" s="53"/>
      <c r="Q2210" s="54"/>
      <c r="R2210" s="1"/>
      <c r="S2210" s="1"/>
      <c r="T2210" s="1"/>
    </row>
    <row r="2211" spans="1:20" ht="13.5" customHeight="1" x14ac:dyDescent="0.25">
      <c r="A2211" s="1"/>
      <c r="B2211" s="1" t="s">
        <v>1962</v>
      </c>
      <c r="C2211" s="1" t="s">
        <v>335</v>
      </c>
      <c r="D2211" s="42">
        <v>0</v>
      </c>
      <c r="E2211" s="43">
        <v>0</v>
      </c>
      <c r="F2211" s="73">
        <v>0</v>
      </c>
      <c r="G2211" s="73">
        <v>0</v>
      </c>
      <c r="H2211" s="74">
        <v>0</v>
      </c>
      <c r="I2211" s="47">
        <v>0</v>
      </c>
      <c r="J2211" s="75">
        <v>0</v>
      </c>
      <c r="K2211" s="76">
        <v>0</v>
      </c>
      <c r="L2211" s="50">
        <v>7450</v>
      </c>
      <c r="M2211" s="77">
        <v>0</v>
      </c>
      <c r="N2211" s="53" t="s">
        <v>16</v>
      </c>
      <c r="O2211" s="52"/>
      <c r="P2211" s="53"/>
      <c r="Q2211" s="54"/>
      <c r="R2211" s="1"/>
      <c r="S2211" s="1"/>
      <c r="T2211" s="1"/>
    </row>
    <row r="2212" spans="1:20" ht="13.5" customHeight="1" x14ac:dyDescent="0.25">
      <c r="A2212" s="1"/>
      <c r="B2212" s="1"/>
      <c r="C2212" s="1"/>
      <c r="D2212" s="56">
        <v>165100</v>
      </c>
      <c r="E2212" s="57">
        <f t="shared" ref="E2212" si="930">SUM(E2207:E2211)</f>
        <v>153735.51</v>
      </c>
      <c r="F2212" s="58">
        <f>SUM(F2206:F2211)</f>
        <v>125103</v>
      </c>
      <c r="G2212" s="58">
        <v>127103</v>
      </c>
      <c r="H2212" s="59">
        <f>SUM(H2207:H2211)</f>
        <v>122467</v>
      </c>
      <c r="I2212" s="59"/>
      <c r="J2212" s="60">
        <f t="shared" ref="J2212:Q2212" si="931">SUM(J2207:J2211)</f>
        <v>128120</v>
      </c>
      <c r="K2212" s="61">
        <f t="shared" si="931"/>
        <v>100653</v>
      </c>
      <c r="L2212" s="62">
        <f t="shared" si="931"/>
        <v>138810.79</v>
      </c>
      <c r="M2212" s="62">
        <f t="shared" si="931"/>
        <v>173551</v>
      </c>
      <c r="N2212" s="63">
        <f t="shared" si="931"/>
        <v>166510.88</v>
      </c>
      <c r="O2212" s="64">
        <f t="shared" si="931"/>
        <v>500</v>
      </c>
      <c r="P2212" s="63">
        <f t="shared" si="931"/>
        <v>3812</v>
      </c>
      <c r="Q2212" s="65">
        <f t="shared" si="931"/>
        <v>1996.79</v>
      </c>
      <c r="R2212" s="1"/>
      <c r="S2212" s="1"/>
      <c r="T2212" s="1"/>
    </row>
    <row r="2213" spans="1:20" ht="13.5" customHeight="1" thickBot="1" x14ac:dyDescent="0.3">
      <c r="A2213" s="1"/>
      <c r="B2213" s="1"/>
      <c r="C2213" s="116" t="s">
        <v>1963</v>
      </c>
      <c r="D2213" s="267">
        <v>1763362.6066000001</v>
      </c>
      <c r="E2213" s="173">
        <f t="shared" ref="E2213" si="932">SUM(E2165+E2176+E2189+E2205+E2212)</f>
        <v>815685.05</v>
      </c>
      <c r="F2213" s="174">
        <f>SUM(F2165,F2176,F2189,F2205,F2212)</f>
        <v>1791649.8744999999</v>
      </c>
      <c r="G2213" s="174">
        <v>1793649.8744999999</v>
      </c>
      <c r="H2213" s="175">
        <f>SUM(H2165+H2176+H2189+H2205+H2212)</f>
        <v>1733953.81</v>
      </c>
      <c r="I2213" s="175"/>
      <c r="J2213" s="176">
        <f t="shared" ref="J2213:Q2213" si="933">SUM(J2165+J2176+J2189+J2205+J2212)</f>
        <v>1724450</v>
      </c>
      <c r="K2213" s="177">
        <f t="shared" si="933"/>
        <v>1724450</v>
      </c>
      <c r="L2213" s="178">
        <f t="shared" si="933"/>
        <v>1655000.6500000001</v>
      </c>
      <c r="M2213" s="178">
        <f t="shared" si="933"/>
        <v>1356939.5400000003</v>
      </c>
      <c r="N2213" s="179">
        <f t="shared" si="933"/>
        <v>1521366.77</v>
      </c>
      <c r="O2213" s="180">
        <f t="shared" si="933"/>
        <v>1227318.53</v>
      </c>
      <c r="P2213" s="179">
        <f t="shared" si="933"/>
        <v>1307286.3399999999</v>
      </c>
      <c r="Q2213" s="181">
        <f t="shared" si="933"/>
        <v>1161060.98</v>
      </c>
      <c r="R2213" s="1"/>
      <c r="S2213" s="1"/>
      <c r="T2213" s="1"/>
    </row>
    <row r="2214" spans="1:20" ht="13.5" hidden="1" customHeight="1" x14ac:dyDescent="0.25">
      <c r="A2214" s="1"/>
      <c r="B2214" s="1"/>
      <c r="C2214" s="53" t="e">
        <f>SUM(#REF!+#REF!)</f>
        <v>#REF!</v>
      </c>
      <c r="D2214" s="42"/>
      <c r="E2214" s="67"/>
      <c r="F2214" s="45"/>
      <c r="G2214" s="45"/>
      <c r="H2214" s="74"/>
      <c r="I2214" s="66"/>
      <c r="J2214" s="48"/>
      <c r="K2214" s="49"/>
      <c r="L2214" s="50"/>
      <c r="M2214" s="77"/>
      <c r="N2214" s="53"/>
      <c r="O2214" s="52"/>
      <c r="P2214" s="53"/>
      <c r="Q2214" s="54"/>
      <c r="R2214" s="1"/>
      <c r="S2214" s="1"/>
      <c r="T2214" s="1"/>
    </row>
    <row r="2215" spans="1:20" ht="13.5" customHeight="1" thickTop="1" x14ac:dyDescent="0.25">
      <c r="A2215" s="1"/>
      <c r="B2215" s="1"/>
      <c r="C2215" s="41"/>
      <c r="D2215" s="42"/>
      <c r="E2215" s="67"/>
      <c r="F2215" s="45"/>
      <c r="G2215" s="45"/>
      <c r="H2215" s="74"/>
      <c r="I2215" s="66"/>
      <c r="J2215" s="48"/>
      <c r="K2215" s="49"/>
      <c r="L2215" s="50"/>
      <c r="M2215" s="77"/>
      <c r="N2215" s="53"/>
      <c r="O2215" s="52"/>
      <c r="P2215" s="53"/>
      <c r="Q2215" s="54"/>
      <c r="R2215" s="1"/>
      <c r="S2215" s="1"/>
      <c r="T2215" s="1"/>
    </row>
    <row r="2216" spans="1:20" ht="13.5" customHeight="1" x14ac:dyDescent="0.25">
      <c r="A2216" s="1"/>
      <c r="B2216" s="1"/>
      <c r="C2216" s="41" t="s">
        <v>1964</v>
      </c>
      <c r="D2216" s="42"/>
      <c r="E2216" s="67"/>
      <c r="F2216" s="45"/>
      <c r="G2216" s="45"/>
      <c r="H2216" s="74"/>
      <c r="I2216" s="66"/>
      <c r="J2216" s="48"/>
      <c r="K2216" s="49"/>
      <c r="L2216" s="50"/>
      <c r="M2216" s="77"/>
      <c r="N2216" s="53"/>
      <c r="O2216" s="52"/>
      <c r="P2216" s="53"/>
      <c r="Q2216" s="54"/>
      <c r="R2216" s="1"/>
      <c r="S2216" s="1"/>
      <c r="T2216" s="1"/>
    </row>
    <row r="2217" spans="1:20" ht="13.5" customHeight="1" x14ac:dyDescent="0.25">
      <c r="A2217" s="1"/>
      <c r="B2217" s="1" t="s">
        <v>1965</v>
      </c>
      <c r="C2217" s="1" t="s">
        <v>418</v>
      </c>
      <c r="D2217" s="42">
        <v>69905</v>
      </c>
      <c r="E2217" s="43">
        <v>0</v>
      </c>
      <c r="F2217" s="45">
        <v>72491</v>
      </c>
      <c r="G2217" s="45">
        <v>72491</v>
      </c>
      <c r="H2217" s="46">
        <v>63725.95</v>
      </c>
      <c r="I2217" s="47">
        <f t="shared" ref="I2217:I2220" si="934">H2217/J2217</f>
        <v>0.92526752137993118</v>
      </c>
      <c r="J2217" s="48">
        <v>68873</v>
      </c>
      <c r="K2217" s="49">
        <v>68873</v>
      </c>
      <c r="L2217" s="50">
        <v>67603.679999999993</v>
      </c>
      <c r="M2217" s="50">
        <v>66154.990000000005</v>
      </c>
      <c r="N2217" s="51">
        <v>65112.08</v>
      </c>
      <c r="O2217" s="52">
        <v>62842.3</v>
      </c>
      <c r="P2217" s="53">
        <v>62740.05</v>
      </c>
      <c r="Q2217" s="54">
        <v>60458.1</v>
      </c>
      <c r="R2217" s="1"/>
      <c r="S2217" s="1"/>
      <c r="T2217" s="1"/>
    </row>
    <row r="2218" spans="1:20" ht="13.5" customHeight="1" x14ac:dyDescent="0.25">
      <c r="A2218" s="1"/>
      <c r="B2218" s="1" t="s">
        <v>1966</v>
      </c>
      <c r="C2218" s="1" t="s">
        <v>420</v>
      </c>
      <c r="D2218" s="42">
        <v>374019</v>
      </c>
      <c r="E2218" s="43">
        <v>205174.96</v>
      </c>
      <c r="F2218" s="45">
        <v>368910</v>
      </c>
      <c r="G2218" s="45">
        <v>368910</v>
      </c>
      <c r="H2218" s="46">
        <v>342867.22</v>
      </c>
      <c r="I2218" s="47">
        <f t="shared" si="934"/>
        <v>0.94260843507641379</v>
      </c>
      <c r="J2218" s="48">
        <v>363743</v>
      </c>
      <c r="K2218" s="49">
        <v>363743</v>
      </c>
      <c r="L2218" s="50">
        <v>327929.26</v>
      </c>
      <c r="M2218" s="50">
        <v>305306.57</v>
      </c>
      <c r="N2218" s="51">
        <v>289962.09000000003</v>
      </c>
      <c r="O2218" s="52">
        <v>267899.14</v>
      </c>
      <c r="P2218" s="53">
        <v>267236.46999999997</v>
      </c>
      <c r="Q2218" s="54">
        <v>262190.76</v>
      </c>
      <c r="R2218" s="1"/>
      <c r="S2218" s="1"/>
      <c r="T2218" s="1"/>
    </row>
    <row r="2219" spans="1:20" ht="13.5" customHeight="1" x14ac:dyDescent="0.25">
      <c r="A2219" s="1"/>
      <c r="B2219" s="1" t="s">
        <v>1967</v>
      </c>
      <c r="C2219" s="1" t="s">
        <v>237</v>
      </c>
      <c r="D2219" s="42">
        <v>32000</v>
      </c>
      <c r="E2219" s="43">
        <v>1612.8</v>
      </c>
      <c r="F2219" s="45">
        <v>22800</v>
      </c>
      <c r="G2219" s="45">
        <v>22800</v>
      </c>
      <c r="H2219" s="68">
        <v>4032</v>
      </c>
      <c r="I2219" s="47">
        <f t="shared" si="934"/>
        <v>0.17684210526315788</v>
      </c>
      <c r="J2219" s="48">
        <v>22800</v>
      </c>
      <c r="K2219" s="49">
        <v>22800</v>
      </c>
      <c r="L2219" s="50">
        <v>537.6</v>
      </c>
      <c r="M2219" s="50">
        <v>6075</v>
      </c>
      <c r="N2219" s="51">
        <v>10410</v>
      </c>
      <c r="O2219" s="52">
        <v>6140</v>
      </c>
      <c r="P2219" s="53">
        <v>5843.75</v>
      </c>
      <c r="Q2219" s="54">
        <v>0</v>
      </c>
      <c r="R2219" s="1"/>
      <c r="S2219" s="1"/>
      <c r="T2219" s="1"/>
    </row>
    <row r="2220" spans="1:20" ht="13.5" customHeight="1" x14ac:dyDescent="0.25">
      <c r="A2220" s="1"/>
      <c r="B2220" s="1" t="s">
        <v>1968</v>
      </c>
      <c r="C2220" s="1" t="s">
        <v>423</v>
      </c>
      <c r="D2220" s="42">
        <v>0</v>
      </c>
      <c r="E2220" s="43">
        <v>0</v>
      </c>
      <c r="F2220" s="45">
        <v>0</v>
      </c>
      <c r="G2220" s="45">
        <v>0</v>
      </c>
      <c r="H2220" s="46">
        <v>17421.830000000002</v>
      </c>
      <c r="I2220" s="47">
        <f t="shared" si="934"/>
        <v>1.1853197713974692</v>
      </c>
      <c r="J2220" s="48">
        <v>14698</v>
      </c>
      <c r="K2220" s="49">
        <v>14698</v>
      </c>
      <c r="L2220" s="50">
        <v>14628.84</v>
      </c>
      <c r="M2220" s="50">
        <v>16955.09</v>
      </c>
      <c r="N2220" s="51">
        <v>18509.07</v>
      </c>
      <c r="O2220" s="52">
        <v>17085</v>
      </c>
      <c r="P2220" s="53">
        <v>18375.39</v>
      </c>
      <c r="Q2220" s="54">
        <v>17385.72</v>
      </c>
      <c r="R2220" s="1"/>
      <c r="S2220" s="1"/>
      <c r="T2220" s="1"/>
    </row>
    <row r="2221" spans="1:20" ht="13.5" hidden="1" customHeight="1" x14ac:dyDescent="0.25">
      <c r="A2221" s="1"/>
      <c r="B2221" s="1" t="s">
        <v>1969</v>
      </c>
      <c r="C2221" s="1" t="s">
        <v>1923</v>
      </c>
      <c r="D2221" s="42">
        <v>0</v>
      </c>
      <c r="E2221" s="43">
        <v>0</v>
      </c>
      <c r="F2221" s="73">
        <v>0</v>
      </c>
      <c r="G2221" s="73">
        <v>0</v>
      </c>
      <c r="H2221" s="74" t="s">
        <v>16</v>
      </c>
      <c r="I2221" s="47"/>
      <c r="J2221" s="75" t="s">
        <v>16</v>
      </c>
      <c r="K2221" s="76" t="s">
        <v>16</v>
      </c>
      <c r="L2221" s="50"/>
      <c r="M2221" s="50"/>
      <c r="N2221" s="51">
        <v>49.95</v>
      </c>
      <c r="O2221" s="52">
        <v>0</v>
      </c>
      <c r="P2221" s="53">
        <v>1400.94</v>
      </c>
      <c r="Q2221" s="54">
        <v>0</v>
      </c>
      <c r="R2221" s="1"/>
      <c r="S2221" s="1"/>
      <c r="T2221" s="1"/>
    </row>
    <row r="2222" spans="1:20" ht="13.5" customHeight="1" x14ac:dyDescent="0.25">
      <c r="A2222" s="1"/>
      <c r="B2222" s="1" t="s">
        <v>1970</v>
      </c>
      <c r="C2222" s="1" t="s">
        <v>1042</v>
      </c>
      <c r="D2222" s="42">
        <v>11257</v>
      </c>
      <c r="E2222" s="43">
        <v>0</v>
      </c>
      <c r="F2222" s="45">
        <v>11257</v>
      </c>
      <c r="G2222" s="45">
        <v>11257</v>
      </c>
      <c r="H2222" s="68">
        <v>67.64</v>
      </c>
      <c r="I2222" s="47">
        <f>H2222/J2222</f>
        <v>6.0087056942346988E-3</v>
      </c>
      <c r="J2222" s="48">
        <v>11257</v>
      </c>
      <c r="K2222" s="49">
        <v>11257</v>
      </c>
      <c r="L2222" s="50">
        <f>32.89+113.8</f>
        <v>146.69</v>
      </c>
      <c r="M2222" s="50">
        <f>853.62+260.41</f>
        <v>1114.03</v>
      </c>
      <c r="N2222" s="51">
        <v>1914.28</v>
      </c>
      <c r="O2222" s="52">
        <v>1261.28</v>
      </c>
      <c r="P2222" s="53">
        <v>1610.46</v>
      </c>
      <c r="Q2222" s="54">
        <v>2589.38</v>
      </c>
      <c r="R2222" s="1"/>
      <c r="S2222" s="1"/>
      <c r="T2222" s="1"/>
    </row>
    <row r="2223" spans="1:20" ht="13.5" customHeight="1" x14ac:dyDescent="0.25">
      <c r="A2223" s="1"/>
      <c r="B2223" s="1"/>
      <c r="C2223" s="1"/>
      <c r="D2223" s="56">
        <v>487181</v>
      </c>
      <c r="E2223" s="57">
        <f t="shared" ref="E2223" si="935">SUM(E2217:E2222)</f>
        <v>206787.75999999998</v>
      </c>
      <c r="F2223" s="58">
        <f>SUM(F2216:F2222)</f>
        <v>475458</v>
      </c>
      <c r="G2223" s="58">
        <v>475458</v>
      </c>
      <c r="H2223" s="59">
        <f>SUM(H2217:H2222)</f>
        <v>428114.64</v>
      </c>
      <c r="I2223" s="59"/>
      <c r="J2223" s="60">
        <f t="shared" ref="J2223:Q2223" si="936">SUM(J2217:J2222)</f>
        <v>481371</v>
      </c>
      <c r="K2223" s="61">
        <f t="shared" si="936"/>
        <v>481371</v>
      </c>
      <c r="L2223" s="62">
        <f t="shared" si="936"/>
        <v>410846.07</v>
      </c>
      <c r="M2223" s="62">
        <f t="shared" si="936"/>
        <v>395605.68000000005</v>
      </c>
      <c r="N2223" s="63">
        <f t="shared" si="936"/>
        <v>385957.47000000009</v>
      </c>
      <c r="O2223" s="64">
        <f t="shared" si="936"/>
        <v>355227.72000000003</v>
      </c>
      <c r="P2223" s="63">
        <f t="shared" si="936"/>
        <v>357207.06</v>
      </c>
      <c r="Q2223" s="65">
        <f t="shared" si="936"/>
        <v>342623.95999999996</v>
      </c>
      <c r="R2223" s="1"/>
      <c r="S2223" s="1"/>
      <c r="T2223" s="1"/>
    </row>
    <row r="2224" spans="1:20" ht="13.5" customHeight="1" x14ac:dyDescent="0.25">
      <c r="A2224" s="1"/>
      <c r="B2224" s="1"/>
      <c r="C2224" s="1"/>
      <c r="D2224" s="42"/>
      <c r="E2224" s="67"/>
      <c r="F2224" s="45"/>
      <c r="G2224" s="45"/>
      <c r="H2224" s="74"/>
      <c r="I2224" s="66"/>
      <c r="J2224" s="48"/>
      <c r="K2224" s="49"/>
      <c r="L2224" s="50"/>
      <c r="M2224" s="50"/>
      <c r="N2224" s="51"/>
      <c r="O2224" s="52"/>
      <c r="P2224" s="53"/>
      <c r="Q2224" s="54"/>
      <c r="R2224" s="1"/>
      <c r="S2224" s="1"/>
      <c r="T2224" s="1"/>
    </row>
    <row r="2225" spans="1:20" ht="13.5" customHeight="1" x14ac:dyDescent="0.25">
      <c r="A2225" s="1"/>
      <c r="B2225" s="1" t="s">
        <v>1971</v>
      </c>
      <c r="C2225" s="1" t="s">
        <v>247</v>
      </c>
      <c r="D2225" s="42">
        <v>37636.546500000004</v>
      </c>
      <c r="E2225" s="43">
        <v>14487.05</v>
      </c>
      <c r="F2225" s="45">
        <v>36739.737000000001</v>
      </c>
      <c r="G2225" s="45">
        <v>36739.737000000001</v>
      </c>
      <c r="H2225" s="46">
        <v>29536.41</v>
      </c>
      <c r="I2225" s="47">
        <f t="shared" ref="I2225:I2233" si="937">H2225/J2225</f>
        <v>0.82052421035086254</v>
      </c>
      <c r="J2225" s="48">
        <v>35997</v>
      </c>
      <c r="K2225" s="49">
        <v>35997</v>
      </c>
      <c r="L2225" s="50">
        <v>28203.51</v>
      </c>
      <c r="M2225" s="50">
        <v>27366.03</v>
      </c>
      <c r="N2225" s="51">
        <v>26640.83</v>
      </c>
      <c r="O2225" s="52">
        <v>355227.72</v>
      </c>
      <c r="P2225" s="53">
        <v>357207.06</v>
      </c>
      <c r="Q2225" s="54">
        <v>342623.96</v>
      </c>
      <c r="R2225" s="1"/>
      <c r="S2225" s="1"/>
      <c r="T2225" s="1"/>
    </row>
    <row r="2226" spans="1:20" ht="13.5" customHeight="1" x14ac:dyDescent="0.25">
      <c r="A2226" s="1"/>
      <c r="B2226" s="1" t="s">
        <v>1972</v>
      </c>
      <c r="C2226" s="1" t="s">
        <v>249</v>
      </c>
      <c r="D2226" s="42">
        <v>104634.34800000001</v>
      </c>
      <c r="E2226" s="43">
        <v>46973.64</v>
      </c>
      <c r="F2226" s="45">
        <v>104632.736</v>
      </c>
      <c r="G2226" s="45">
        <v>104632.736</v>
      </c>
      <c r="H2226" s="46">
        <v>101760.6</v>
      </c>
      <c r="I2226" s="47">
        <f t="shared" si="937"/>
        <v>0.99460088160839777</v>
      </c>
      <c r="J2226" s="48">
        <v>102313</v>
      </c>
      <c r="K2226" s="49">
        <v>102313</v>
      </c>
      <c r="L2226" s="50">
        <v>101399.75</v>
      </c>
      <c r="M2226" s="50">
        <v>91250.14</v>
      </c>
      <c r="N2226" s="51">
        <v>91490.4</v>
      </c>
      <c r="O2226" s="52"/>
      <c r="P2226" s="53"/>
      <c r="Q2226" s="54"/>
      <c r="R2226" s="1"/>
      <c r="S2226" s="1"/>
      <c r="T2226" s="1"/>
    </row>
    <row r="2227" spans="1:20" ht="13.5" customHeight="1" x14ac:dyDescent="0.25">
      <c r="A2227" s="1"/>
      <c r="B2227" s="1" t="s">
        <v>1973</v>
      </c>
      <c r="C2227" s="1" t="s">
        <v>251</v>
      </c>
      <c r="D2227" s="42">
        <v>73805.426199999987</v>
      </c>
      <c r="E2227" s="43">
        <v>31093.89</v>
      </c>
      <c r="F2227" s="45">
        <v>72044.631600000008</v>
      </c>
      <c r="G2227" s="45">
        <v>72044.631600000008</v>
      </c>
      <c r="H2227" s="46">
        <v>62271.89</v>
      </c>
      <c r="I2227" s="47">
        <f t="shared" si="937"/>
        <v>0.87803347339330529</v>
      </c>
      <c r="J2227" s="48">
        <v>70922</v>
      </c>
      <c r="K2227" s="49">
        <v>70922</v>
      </c>
      <c r="L2227" s="50">
        <v>59773.34</v>
      </c>
      <c r="M2227" s="50">
        <v>54274.04</v>
      </c>
      <c r="N2227" s="51">
        <v>51601.42</v>
      </c>
      <c r="O2227" s="52">
        <v>24537.18</v>
      </c>
      <c r="P2227" s="53">
        <v>24258.93</v>
      </c>
      <c r="Q2227" s="54">
        <v>23409.14</v>
      </c>
      <c r="R2227" s="1"/>
      <c r="S2227" s="1"/>
      <c r="T2227" s="1"/>
    </row>
    <row r="2228" spans="1:20" ht="13.5" customHeight="1" x14ac:dyDescent="0.25">
      <c r="A2228" s="1"/>
      <c r="B2228" s="1" t="s">
        <v>1974</v>
      </c>
      <c r="C2228" s="1" t="s">
        <v>1822</v>
      </c>
      <c r="D2228" s="42">
        <v>10000</v>
      </c>
      <c r="E2228" s="43">
        <v>6396</v>
      </c>
      <c r="F2228" s="45">
        <v>10000</v>
      </c>
      <c r="G2228" s="45">
        <v>10000</v>
      </c>
      <c r="H2228" s="46">
        <v>9195.7999999999993</v>
      </c>
      <c r="I2228" s="47">
        <f t="shared" si="937"/>
        <v>0.91957999999999995</v>
      </c>
      <c r="J2228" s="48">
        <v>10000</v>
      </c>
      <c r="K2228" s="49">
        <v>10000</v>
      </c>
      <c r="L2228" s="50">
        <v>9534.36</v>
      </c>
      <c r="M2228" s="50">
        <v>8095.92</v>
      </c>
      <c r="N2228" s="51">
        <v>9278</v>
      </c>
      <c r="O2228" s="52">
        <v>84374.24</v>
      </c>
      <c r="P2228" s="53">
        <v>86483.4</v>
      </c>
      <c r="Q2228" s="54">
        <v>86551.2</v>
      </c>
      <c r="R2228" s="1"/>
      <c r="S2228" s="1"/>
      <c r="T2228" s="1"/>
    </row>
    <row r="2229" spans="1:20" ht="13.5" customHeight="1" x14ac:dyDescent="0.25">
      <c r="A2229" s="1"/>
      <c r="B2229" s="1" t="s">
        <v>1975</v>
      </c>
      <c r="C2229" s="1" t="s">
        <v>253</v>
      </c>
      <c r="D2229" s="42">
        <v>786.20960000000014</v>
      </c>
      <c r="E2229" s="43">
        <v>331.22</v>
      </c>
      <c r="F2229" s="45">
        <v>767.45279999999991</v>
      </c>
      <c r="G2229" s="45">
        <v>767.45279999999991</v>
      </c>
      <c r="H2229" s="46">
        <v>685.64</v>
      </c>
      <c r="I2229" s="47">
        <f t="shared" si="937"/>
        <v>0.8767774936061381</v>
      </c>
      <c r="J2229" s="48">
        <v>782</v>
      </c>
      <c r="K2229" s="49">
        <v>782</v>
      </c>
      <c r="L2229" s="50">
        <v>754.98</v>
      </c>
      <c r="M2229" s="50">
        <v>739.86</v>
      </c>
      <c r="N2229" s="51">
        <v>897.05</v>
      </c>
      <c r="O2229" s="52">
        <v>47771.16</v>
      </c>
      <c r="P2229" s="53">
        <v>47699.53</v>
      </c>
      <c r="Q2229" s="54">
        <v>43806.19</v>
      </c>
      <c r="R2229" s="1"/>
      <c r="S2229" s="1"/>
      <c r="T2229" s="1"/>
    </row>
    <row r="2230" spans="1:20" ht="13.5" customHeight="1" x14ac:dyDescent="0.25">
      <c r="A2230" s="1"/>
      <c r="B2230" s="1" t="s">
        <v>1976</v>
      </c>
      <c r="C2230" s="1" t="s">
        <v>287</v>
      </c>
      <c r="D2230" s="42">
        <v>250.36559999999994</v>
      </c>
      <c r="E2230" s="43">
        <v>68.319999999999993</v>
      </c>
      <c r="F2230" s="45">
        <v>282.07689999999997</v>
      </c>
      <c r="G2230" s="45">
        <v>282.07689999999997</v>
      </c>
      <c r="H2230" s="46">
        <v>300.7</v>
      </c>
      <c r="I2230" s="47">
        <f t="shared" si="937"/>
        <v>0.38063291139240507</v>
      </c>
      <c r="J2230" s="48">
        <v>790</v>
      </c>
      <c r="K2230" s="49">
        <v>790</v>
      </c>
      <c r="L2230" s="50">
        <v>377.02</v>
      </c>
      <c r="M2230" s="50">
        <v>655.25</v>
      </c>
      <c r="N2230" s="51">
        <v>726.89</v>
      </c>
      <c r="O2230" s="52">
        <v>10625.05</v>
      </c>
      <c r="P2230" s="53">
        <v>13668</v>
      </c>
      <c r="Q2230" s="54">
        <v>18941.400000000001</v>
      </c>
      <c r="R2230" s="1"/>
      <c r="S2230" s="1"/>
      <c r="T2230" s="1"/>
    </row>
    <row r="2231" spans="1:20" ht="13.5" customHeight="1" x14ac:dyDescent="0.25">
      <c r="A2231" s="1"/>
      <c r="B2231" s="1" t="s">
        <v>1977</v>
      </c>
      <c r="C2231" s="1" t="s">
        <v>255</v>
      </c>
      <c r="D2231" s="42">
        <v>3511.1999999999994</v>
      </c>
      <c r="E2231" s="43">
        <v>1505.52</v>
      </c>
      <c r="F2231" s="45">
        <v>3350</v>
      </c>
      <c r="G2231" s="45">
        <v>3350</v>
      </c>
      <c r="H2231" s="46">
        <v>3239.6</v>
      </c>
      <c r="I2231" s="47">
        <f t="shared" si="937"/>
        <v>1.0060869565217392</v>
      </c>
      <c r="J2231" s="48">
        <v>3220</v>
      </c>
      <c r="K2231" s="49">
        <v>3220</v>
      </c>
      <c r="L2231" s="50">
        <v>3132.4</v>
      </c>
      <c r="M2231" s="50">
        <v>2720.96</v>
      </c>
      <c r="N2231" s="51">
        <v>2965.86</v>
      </c>
      <c r="O2231" s="52">
        <v>938.94</v>
      </c>
      <c r="P2231" s="53">
        <v>869.29</v>
      </c>
      <c r="Q2231" s="54">
        <v>819.83</v>
      </c>
      <c r="R2231" s="1"/>
      <c r="S2231" s="1"/>
      <c r="T2231" s="1"/>
    </row>
    <row r="2232" spans="1:20" ht="13.5" customHeight="1" x14ac:dyDescent="0.25">
      <c r="A2232" s="1"/>
      <c r="B2232" s="1" t="s">
        <v>1978</v>
      </c>
      <c r="C2232" s="1" t="s">
        <v>257</v>
      </c>
      <c r="D2232" s="42">
        <v>0</v>
      </c>
      <c r="E2232" s="43">
        <v>0</v>
      </c>
      <c r="F2232" s="45">
        <v>600</v>
      </c>
      <c r="G2232" s="45">
        <v>600</v>
      </c>
      <c r="H2232" s="46">
        <v>575</v>
      </c>
      <c r="I2232" s="47">
        <f t="shared" si="937"/>
        <v>0.95833333333333337</v>
      </c>
      <c r="J2232" s="48">
        <v>600</v>
      </c>
      <c r="K2232" s="49">
        <v>600</v>
      </c>
      <c r="L2232" s="50">
        <v>600</v>
      </c>
      <c r="M2232" s="50">
        <v>600</v>
      </c>
      <c r="N2232" s="51">
        <v>600</v>
      </c>
      <c r="O2232" s="52">
        <v>863.41</v>
      </c>
      <c r="P2232" s="53">
        <v>907.65</v>
      </c>
      <c r="Q2232" s="54">
        <v>870.53</v>
      </c>
      <c r="R2232" s="1"/>
      <c r="S2232" s="1"/>
      <c r="T2232" s="1"/>
    </row>
    <row r="2233" spans="1:20" ht="13.5" customHeight="1" x14ac:dyDescent="0.25">
      <c r="A2233" s="1"/>
      <c r="B2233" s="1" t="s">
        <v>1979</v>
      </c>
      <c r="C2233" s="1" t="s">
        <v>1402</v>
      </c>
      <c r="D2233" s="42">
        <v>4200</v>
      </c>
      <c r="E2233" s="43">
        <v>1841.58</v>
      </c>
      <c r="F2233" s="45">
        <v>4200</v>
      </c>
      <c r="G2233" s="45">
        <v>4200</v>
      </c>
      <c r="H2233" s="46">
        <v>3990.08</v>
      </c>
      <c r="I2233" s="47">
        <f t="shared" si="937"/>
        <v>0.95001904761904765</v>
      </c>
      <c r="J2233" s="48">
        <v>4200</v>
      </c>
      <c r="K2233" s="49">
        <v>4200</v>
      </c>
      <c r="L2233" s="50">
        <v>4200.04</v>
      </c>
      <c r="M2233" s="50">
        <v>4200.04</v>
      </c>
      <c r="N2233" s="51">
        <v>4200.04</v>
      </c>
      <c r="O2233" s="52">
        <v>2795</v>
      </c>
      <c r="P2233" s="53">
        <v>2906.8</v>
      </c>
      <c r="Q2233" s="54">
        <v>2882.7</v>
      </c>
      <c r="R2233" s="1"/>
      <c r="S2233" s="1"/>
      <c r="T2233" s="1"/>
    </row>
    <row r="2234" spans="1:20" ht="13.5" customHeight="1" x14ac:dyDescent="0.25">
      <c r="A2234" s="1"/>
      <c r="B2234" s="1"/>
      <c r="C2234" s="1"/>
      <c r="D2234" s="56">
        <v>234824.09590000001</v>
      </c>
      <c r="E2234" s="57">
        <f t="shared" ref="E2234" si="938">SUM(E2225:E2233)</f>
        <v>102697.22000000002</v>
      </c>
      <c r="F2234" s="58">
        <f>SUM(F2224:F2233)</f>
        <v>232616.63430000001</v>
      </c>
      <c r="G2234" s="58">
        <v>232616.63430000001</v>
      </c>
      <c r="H2234" s="59">
        <f>SUM(H2225:H2233)</f>
        <v>211555.72000000003</v>
      </c>
      <c r="I2234" s="59"/>
      <c r="J2234" s="60">
        <f t="shared" ref="J2234:Q2234" si="939">SUM(J2225:J2233)</f>
        <v>228824</v>
      </c>
      <c r="K2234" s="61">
        <f t="shared" si="939"/>
        <v>228824</v>
      </c>
      <c r="L2234" s="62">
        <f t="shared" si="939"/>
        <v>207975.39999999997</v>
      </c>
      <c r="M2234" s="62">
        <f t="shared" si="939"/>
        <v>189902.24</v>
      </c>
      <c r="N2234" s="63">
        <f t="shared" si="939"/>
        <v>188400.49</v>
      </c>
      <c r="O2234" s="64">
        <f t="shared" si="939"/>
        <v>527132.69999999995</v>
      </c>
      <c r="P2234" s="63">
        <f t="shared" si="939"/>
        <v>534000.66000000015</v>
      </c>
      <c r="Q2234" s="65">
        <f t="shared" si="939"/>
        <v>519904.95000000013</v>
      </c>
      <c r="R2234" s="1"/>
      <c r="S2234" s="1"/>
      <c r="T2234" s="1"/>
    </row>
    <row r="2235" spans="1:20" ht="13.5" customHeight="1" x14ac:dyDescent="0.25">
      <c r="A2235" s="1"/>
      <c r="B2235" s="1"/>
      <c r="C2235" s="1"/>
      <c r="D2235" s="42"/>
      <c r="E2235" s="44"/>
      <c r="F2235" s="45"/>
      <c r="G2235" s="45"/>
      <c r="H2235" s="66"/>
      <c r="I2235" s="66"/>
      <c r="J2235" s="48"/>
      <c r="K2235" s="49"/>
      <c r="L2235" s="50"/>
      <c r="M2235" s="50"/>
      <c r="N2235" s="51"/>
      <c r="O2235" s="52"/>
      <c r="P2235" s="53"/>
      <c r="Q2235" s="54"/>
      <c r="R2235" s="1"/>
      <c r="S2235" s="1"/>
      <c r="T2235" s="1"/>
    </row>
    <row r="2236" spans="1:20" ht="13.5" customHeight="1" x14ac:dyDescent="0.25">
      <c r="A2236" s="1"/>
      <c r="B2236" s="1" t="s">
        <v>1980</v>
      </c>
      <c r="C2236" s="1" t="s">
        <v>259</v>
      </c>
      <c r="D2236" s="42">
        <v>2500</v>
      </c>
      <c r="E2236" s="43">
        <v>195.82</v>
      </c>
      <c r="F2236" s="45">
        <v>2500</v>
      </c>
      <c r="G2236" s="45">
        <v>2500</v>
      </c>
      <c r="H2236" s="46">
        <v>763.79</v>
      </c>
      <c r="I2236" s="47">
        <f t="shared" ref="I2236:I2247" si="940">H2236/J2236</f>
        <v>0.43645142857142855</v>
      </c>
      <c r="J2236" s="48">
        <v>1750</v>
      </c>
      <c r="K2236" s="49">
        <v>1750</v>
      </c>
      <c r="L2236" s="50">
        <v>698.22</v>
      </c>
      <c r="M2236" s="50">
        <v>1528.58</v>
      </c>
      <c r="N2236" s="51">
        <v>1478</v>
      </c>
      <c r="O2236" s="52">
        <v>647.9</v>
      </c>
      <c r="P2236" s="53">
        <v>331.76</v>
      </c>
      <c r="Q2236" s="54">
        <v>1507.54</v>
      </c>
      <c r="R2236" s="1"/>
      <c r="S2236" s="1"/>
      <c r="T2236" s="1"/>
    </row>
    <row r="2237" spans="1:20" ht="13.5" customHeight="1" x14ac:dyDescent="0.25">
      <c r="A2237" s="1"/>
      <c r="B2237" s="1" t="s">
        <v>1981</v>
      </c>
      <c r="C2237" s="1" t="s">
        <v>261</v>
      </c>
      <c r="D2237" s="42">
        <v>25</v>
      </c>
      <c r="E2237" s="43">
        <v>0</v>
      </c>
      <c r="F2237" s="45">
        <v>25</v>
      </c>
      <c r="G2237" s="45">
        <v>25</v>
      </c>
      <c r="H2237" s="68">
        <v>66.55</v>
      </c>
      <c r="I2237" s="47">
        <f t="shared" si="940"/>
        <v>2.6619999999999999</v>
      </c>
      <c r="J2237" s="48">
        <v>25</v>
      </c>
      <c r="K2237" s="49">
        <v>25</v>
      </c>
      <c r="L2237" s="50">
        <v>22.83</v>
      </c>
      <c r="M2237" s="50">
        <v>59.92</v>
      </c>
      <c r="N2237" s="51">
        <v>31.78</v>
      </c>
      <c r="O2237" s="52">
        <v>0</v>
      </c>
      <c r="P2237" s="53">
        <v>0</v>
      </c>
      <c r="Q2237" s="54">
        <v>15.06</v>
      </c>
      <c r="R2237" s="1"/>
      <c r="S2237" s="1"/>
      <c r="T2237" s="1"/>
    </row>
    <row r="2238" spans="1:20" ht="13.5" customHeight="1" x14ac:dyDescent="0.25">
      <c r="A2238" s="1"/>
      <c r="B2238" s="1" t="s">
        <v>1982</v>
      </c>
      <c r="C2238" s="1" t="s">
        <v>471</v>
      </c>
      <c r="D2238" s="42">
        <v>55000</v>
      </c>
      <c r="E2238" s="43">
        <v>14396.7</v>
      </c>
      <c r="F2238" s="45">
        <v>55000</v>
      </c>
      <c r="G2238" s="45">
        <v>55000</v>
      </c>
      <c r="H2238" s="46">
        <v>54006.65</v>
      </c>
      <c r="I2238" s="47">
        <f t="shared" si="940"/>
        <v>0.98193909090909093</v>
      </c>
      <c r="J2238" s="48">
        <v>55000</v>
      </c>
      <c r="K2238" s="49">
        <v>55000</v>
      </c>
      <c r="L2238" s="50">
        <v>53069.69</v>
      </c>
      <c r="M2238" s="50">
        <v>46697.74</v>
      </c>
      <c r="N2238" s="51">
        <v>44070.93</v>
      </c>
      <c r="O2238" s="52">
        <v>47311.99</v>
      </c>
      <c r="P2238" s="53">
        <v>60315.93</v>
      </c>
      <c r="Q2238" s="54">
        <v>60315.62</v>
      </c>
      <c r="R2238" s="1"/>
      <c r="S2238" s="1"/>
      <c r="T2238" s="1"/>
    </row>
    <row r="2239" spans="1:20" ht="13.5" customHeight="1" x14ac:dyDescent="0.25">
      <c r="A2239" s="1"/>
      <c r="B2239" s="1" t="s">
        <v>1983</v>
      </c>
      <c r="C2239" s="1" t="s">
        <v>1118</v>
      </c>
      <c r="D2239" s="42">
        <v>6000</v>
      </c>
      <c r="E2239" s="43">
        <v>2276.63</v>
      </c>
      <c r="F2239" s="45">
        <v>6000</v>
      </c>
      <c r="G2239" s="45">
        <v>6000</v>
      </c>
      <c r="H2239" s="46">
        <v>5933.41</v>
      </c>
      <c r="I2239" s="47">
        <f t="shared" si="940"/>
        <v>1.0788018181818182</v>
      </c>
      <c r="J2239" s="48">
        <v>5500</v>
      </c>
      <c r="K2239" s="49">
        <v>5500</v>
      </c>
      <c r="L2239" s="50">
        <v>5985.74</v>
      </c>
      <c r="M2239" s="50">
        <v>5774.1</v>
      </c>
      <c r="N2239" s="51">
        <v>4731.9399999999996</v>
      </c>
      <c r="O2239" s="52">
        <v>3770.95</v>
      </c>
      <c r="P2239" s="53">
        <v>3228.18</v>
      </c>
      <c r="Q2239" s="54">
        <v>3516.41</v>
      </c>
      <c r="R2239" s="1"/>
      <c r="S2239" s="1"/>
      <c r="T2239" s="1"/>
    </row>
    <row r="2240" spans="1:20" ht="13.5" customHeight="1" x14ac:dyDescent="0.25">
      <c r="A2240" s="1"/>
      <c r="B2240" s="1" t="s">
        <v>1984</v>
      </c>
      <c r="C2240" s="1" t="s">
        <v>1833</v>
      </c>
      <c r="D2240" s="42">
        <v>650230.15</v>
      </c>
      <c r="E2240" s="43">
        <v>110888.87</v>
      </c>
      <c r="F2240" s="45">
        <v>729847.88</v>
      </c>
      <c r="G2240" s="45">
        <v>729847.88</v>
      </c>
      <c r="H2240" s="46">
        <v>421179.62</v>
      </c>
      <c r="I2240" s="47">
        <f t="shared" si="940"/>
        <v>0.83368557527484055</v>
      </c>
      <c r="J2240" s="48">
        <v>505202</v>
      </c>
      <c r="K2240" s="49">
        <v>730930</v>
      </c>
      <c r="L2240" s="50">
        <v>602112.5</v>
      </c>
      <c r="M2240" s="50">
        <v>707110.95</v>
      </c>
      <c r="N2240" s="51">
        <v>741924.85</v>
      </c>
      <c r="O2240" s="52">
        <v>289735.23</v>
      </c>
      <c r="P2240" s="53">
        <v>466319.2</v>
      </c>
      <c r="Q2240" s="54">
        <v>383687.5</v>
      </c>
      <c r="R2240" s="1"/>
      <c r="S2240" s="1"/>
      <c r="T2240" s="1"/>
    </row>
    <row r="2241" spans="1:20" ht="13.5" customHeight="1" x14ac:dyDescent="0.25">
      <c r="A2241" s="1"/>
      <c r="B2241" s="1" t="s">
        <v>1985</v>
      </c>
      <c r="C2241" s="1" t="s">
        <v>1835</v>
      </c>
      <c r="D2241" s="42">
        <v>30000</v>
      </c>
      <c r="E2241" s="43">
        <v>7194.4</v>
      </c>
      <c r="F2241" s="45">
        <v>30000</v>
      </c>
      <c r="G2241" s="45">
        <v>30000</v>
      </c>
      <c r="H2241" s="46">
        <v>88667.75</v>
      </c>
      <c r="I2241" s="47">
        <f t="shared" si="940"/>
        <v>1.5444114470842332</v>
      </c>
      <c r="J2241" s="48">
        <v>57412</v>
      </c>
      <c r="K2241" s="49">
        <v>35000</v>
      </c>
      <c r="L2241" s="50">
        <v>19306.95</v>
      </c>
      <c r="M2241" s="50">
        <v>32418.1</v>
      </c>
      <c r="N2241" s="51">
        <v>34673.279999999999</v>
      </c>
      <c r="O2241" s="52">
        <v>46986.2</v>
      </c>
      <c r="P2241" s="53">
        <v>21073.13</v>
      </c>
      <c r="Q2241" s="54">
        <v>19273.080000000002</v>
      </c>
      <c r="R2241" s="1"/>
      <c r="S2241" s="1"/>
      <c r="T2241" s="1"/>
    </row>
    <row r="2242" spans="1:20" ht="13.5" customHeight="1" x14ac:dyDescent="0.25">
      <c r="A2242" s="1"/>
      <c r="B2242" s="1" t="s">
        <v>1986</v>
      </c>
      <c r="C2242" s="1" t="s">
        <v>473</v>
      </c>
      <c r="D2242" s="42">
        <v>10000</v>
      </c>
      <c r="E2242" s="43">
        <v>5052.08</v>
      </c>
      <c r="F2242" s="45">
        <v>10000</v>
      </c>
      <c r="G2242" s="45">
        <v>10000</v>
      </c>
      <c r="H2242" s="46">
        <v>12398.68</v>
      </c>
      <c r="I2242" s="47">
        <f t="shared" si="940"/>
        <v>1.239868</v>
      </c>
      <c r="J2242" s="48">
        <v>10000</v>
      </c>
      <c r="K2242" s="49">
        <v>10000</v>
      </c>
      <c r="L2242" s="50">
        <v>15498.88</v>
      </c>
      <c r="M2242" s="50">
        <v>11445.82</v>
      </c>
      <c r="N2242" s="51">
        <v>14272.84</v>
      </c>
      <c r="O2242" s="52">
        <v>8776.74</v>
      </c>
      <c r="P2242" s="53">
        <v>6991.5</v>
      </c>
      <c r="Q2242" s="54">
        <v>8049</v>
      </c>
      <c r="R2242" s="1"/>
      <c r="S2242" s="1"/>
      <c r="T2242" s="1"/>
    </row>
    <row r="2243" spans="1:20" ht="13.5" customHeight="1" x14ac:dyDescent="0.25">
      <c r="A2243" s="1"/>
      <c r="B2243" s="1" t="s">
        <v>1987</v>
      </c>
      <c r="C2243" s="1" t="s">
        <v>1121</v>
      </c>
      <c r="D2243" s="42">
        <v>7500</v>
      </c>
      <c r="E2243" s="43">
        <v>2283.4299999999998</v>
      </c>
      <c r="F2243" s="45">
        <v>7500</v>
      </c>
      <c r="G2243" s="45">
        <v>7500</v>
      </c>
      <c r="H2243" s="46">
        <v>5743.38</v>
      </c>
      <c r="I2243" s="47">
        <f t="shared" si="940"/>
        <v>0.76578400000000002</v>
      </c>
      <c r="J2243" s="48">
        <v>7500</v>
      </c>
      <c r="K2243" s="49">
        <v>7500</v>
      </c>
      <c r="L2243" s="50">
        <v>9451.76</v>
      </c>
      <c r="M2243" s="50">
        <v>4678.72</v>
      </c>
      <c r="N2243" s="51">
        <v>6074.71</v>
      </c>
      <c r="O2243" s="52">
        <v>4205.92</v>
      </c>
      <c r="P2243" s="53">
        <v>5924.69</v>
      </c>
      <c r="Q2243" s="54">
        <v>5778.46</v>
      </c>
      <c r="R2243" s="1"/>
      <c r="S2243" s="1"/>
      <c r="T2243" s="1"/>
    </row>
    <row r="2244" spans="1:20" ht="13.5" customHeight="1" x14ac:dyDescent="0.25">
      <c r="A2244" s="1"/>
      <c r="B2244" s="1" t="s">
        <v>1988</v>
      </c>
      <c r="C2244" s="1" t="s">
        <v>1839</v>
      </c>
      <c r="D2244" s="42">
        <v>7000</v>
      </c>
      <c r="E2244" s="43">
        <v>1278.5</v>
      </c>
      <c r="F2244" s="45">
        <v>7000</v>
      </c>
      <c r="G2244" s="45">
        <v>7000</v>
      </c>
      <c r="H2244" s="66">
        <v>2158.35</v>
      </c>
      <c r="I2244" s="47">
        <f t="shared" si="940"/>
        <v>0.32951908396946561</v>
      </c>
      <c r="J2244" s="48">
        <v>6550</v>
      </c>
      <c r="K2244" s="49">
        <v>7000</v>
      </c>
      <c r="L2244" s="50">
        <v>19055.62</v>
      </c>
      <c r="M2244" s="50">
        <v>5009.18</v>
      </c>
      <c r="N2244" s="51">
        <v>7326.94</v>
      </c>
      <c r="O2244" s="52">
        <v>7329.47</v>
      </c>
      <c r="P2244" s="53">
        <v>6518.72</v>
      </c>
      <c r="Q2244" s="54">
        <v>5929.39</v>
      </c>
      <c r="R2244" s="1"/>
      <c r="S2244" s="1"/>
      <c r="T2244" s="1"/>
    </row>
    <row r="2245" spans="1:20" ht="13.5" customHeight="1" x14ac:dyDescent="0.25">
      <c r="A2245" s="1"/>
      <c r="B2245" s="1" t="s">
        <v>1989</v>
      </c>
      <c r="C2245" s="1" t="s">
        <v>1413</v>
      </c>
      <c r="D2245" s="42">
        <v>250</v>
      </c>
      <c r="E2245" s="43">
        <v>0</v>
      </c>
      <c r="F2245" s="45">
        <v>250</v>
      </c>
      <c r="G2245" s="45">
        <v>250</v>
      </c>
      <c r="H2245" s="46">
        <v>1034.54</v>
      </c>
      <c r="I2245" s="47">
        <f t="shared" si="940"/>
        <v>0.99666666666666659</v>
      </c>
      <c r="J2245" s="48">
        <v>1038</v>
      </c>
      <c r="K2245" s="76">
        <v>0</v>
      </c>
      <c r="L2245" s="77">
        <v>0</v>
      </c>
      <c r="M2245" s="77" t="s">
        <v>16</v>
      </c>
      <c r="N2245" s="53" t="s">
        <v>16</v>
      </c>
      <c r="O2245" s="52">
        <v>10677.34</v>
      </c>
      <c r="P2245" s="53">
        <v>5900</v>
      </c>
      <c r="Q2245" s="54">
        <v>0</v>
      </c>
      <c r="R2245" s="1"/>
      <c r="S2245" s="1"/>
      <c r="T2245" s="1"/>
    </row>
    <row r="2246" spans="1:20" ht="13.5" customHeight="1" x14ac:dyDescent="0.25">
      <c r="A2246" s="1"/>
      <c r="B2246" s="1" t="s">
        <v>1990</v>
      </c>
      <c r="C2246" s="55" t="s">
        <v>265</v>
      </c>
      <c r="D2246" s="42">
        <v>3000</v>
      </c>
      <c r="E2246" s="43">
        <v>5192.4799999999996</v>
      </c>
      <c r="F2246" s="45">
        <v>3000</v>
      </c>
      <c r="G2246" s="45">
        <v>3000</v>
      </c>
      <c r="H2246" s="46">
        <v>5159.09</v>
      </c>
      <c r="I2246" s="47">
        <f t="shared" si="940"/>
        <v>1.1195941840277779</v>
      </c>
      <c r="J2246" s="48">
        <v>4608</v>
      </c>
      <c r="K2246" s="49">
        <v>3000</v>
      </c>
      <c r="L2246" s="50">
        <v>2460.31</v>
      </c>
      <c r="M2246" s="77" t="s">
        <v>16</v>
      </c>
      <c r="N2246" s="51">
        <v>4580.46</v>
      </c>
      <c r="O2246" s="52">
        <v>572.98</v>
      </c>
      <c r="P2246" s="53">
        <v>853.21</v>
      </c>
      <c r="Q2246" s="54">
        <v>2511.6999999999998</v>
      </c>
      <c r="R2246" s="1"/>
      <c r="S2246" s="1"/>
      <c r="T2246" s="1"/>
    </row>
    <row r="2247" spans="1:20" ht="13.5" customHeight="1" x14ac:dyDescent="0.25">
      <c r="A2247" s="1"/>
      <c r="B2247" s="1" t="s">
        <v>1991</v>
      </c>
      <c r="C2247" s="1" t="s">
        <v>267</v>
      </c>
      <c r="D2247" s="42">
        <v>2500</v>
      </c>
      <c r="E2247" s="43">
        <v>0</v>
      </c>
      <c r="F2247" s="45">
        <v>2500</v>
      </c>
      <c r="G2247" s="45">
        <v>2500</v>
      </c>
      <c r="H2247" s="46">
        <v>2711.61</v>
      </c>
      <c r="I2247" s="47">
        <f t="shared" si="940"/>
        <v>1.0846439999999999</v>
      </c>
      <c r="J2247" s="48">
        <v>2500</v>
      </c>
      <c r="K2247" s="49">
        <v>2500</v>
      </c>
      <c r="L2247" s="50">
        <v>6861.13</v>
      </c>
      <c r="M2247" s="50">
        <v>299.64999999999998</v>
      </c>
      <c r="N2247" s="51">
        <v>2237.14</v>
      </c>
      <c r="O2247" s="52"/>
      <c r="P2247" s="53"/>
      <c r="Q2247" s="54"/>
      <c r="R2247" s="1"/>
      <c r="S2247" s="1"/>
      <c r="T2247" s="1"/>
    </row>
    <row r="2248" spans="1:20" ht="13.5" customHeight="1" x14ac:dyDescent="0.25">
      <c r="A2248" s="1"/>
      <c r="B2248" s="1"/>
      <c r="C2248" s="1"/>
      <c r="D2248" s="56">
        <v>774005.15</v>
      </c>
      <c r="E2248" s="57">
        <f t="shared" ref="E2248" si="941">SUM(E2236:E2247)</f>
        <v>148758.90999999997</v>
      </c>
      <c r="F2248" s="58">
        <f>SUM(F2235:F2247)</f>
        <v>853622.88</v>
      </c>
      <c r="G2248" s="58">
        <v>853622.88</v>
      </c>
      <c r="H2248" s="59">
        <f>SUM(H2236:H2247)</f>
        <v>599823.42000000004</v>
      </c>
      <c r="I2248" s="59"/>
      <c r="J2248" s="60">
        <f t="shared" ref="J2248:Q2248" si="942">SUM(J2236:J2247)</f>
        <v>657085</v>
      </c>
      <c r="K2248" s="61">
        <f t="shared" si="942"/>
        <v>858205</v>
      </c>
      <c r="L2248" s="62">
        <f t="shared" si="942"/>
        <v>734523.63</v>
      </c>
      <c r="M2248" s="62">
        <f t="shared" si="942"/>
        <v>815022.75999999989</v>
      </c>
      <c r="N2248" s="63">
        <f t="shared" si="942"/>
        <v>861402.86999999988</v>
      </c>
      <c r="O2248" s="64">
        <f t="shared" si="942"/>
        <v>420014.71999999991</v>
      </c>
      <c r="P2248" s="63">
        <f t="shared" si="942"/>
        <v>577456.31999999995</v>
      </c>
      <c r="Q2248" s="65">
        <f t="shared" si="942"/>
        <v>490583.76000000007</v>
      </c>
      <c r="R2248" s="1"/>
      <c r="S2248" s="1"/>
      <c r="T2248" s="1"/>
    </row>
    <row r="2249" spans="1:20" ht="13.5" customHeight="1" x14ac:dyDescent="0.25">
      <c r="A2249" s="1"/>
      <c r="B2249" s="1"/>
      <c r="C2249" s="1"/>
      <c r="D2249" s="42"/>
      <c r="E2249" s="44"/>
      <c r="F2249" s="45"/>
      <c r="G2249" s="45"/>
      <c r="H2249" s="66"/>
      <c r="I2249" s="66"/>
      <c r="J2249" s="48"/>
      <c r="K2249" s="49"/>
      <c r="L2249" s="50"/>
      <c r="M2249" s="50"/>
      <c r="N2249" s="51"/>
      <c r="O2249" s="52"/>
      <c r="P2249" s="53"/>
      <c r="Q2249" s="54"/>
      <c r="R2249" s="1"/>
      <c r="S2249" s="1"/>
      <c r="T2249" s="1"/>
    </row>
    <row r="2250" spans="1:20" ht="13.5" customHeight="1" x14ac:dyDescent="0.25">
      <c r="A2250" s="1"/>
      <c r="B2250" s="1" t="s">
        <v>1992</v>
      </c>
      <c r="C2250" s="1" t="s">
        <v>306</v>
      </c>
      <c r="D2250" s="42">
        <v>800</v>
      </c>
      <c r="E2250" s="43">
        <v>0</v>
      </c>
      <c r="F2250" s="45">
        <v>800</v>
      </c>
      <c r="G2250" s="45">
        <v>800</v>
      </c>
      <c r="H2250" s="74">
        <v>0</v>
      </c>
      <c r="I2250" s="47">
        <f>H2250/J2250</f>
        <v>0</v>
      </c>
      <c r="J2250" s="48">
        <v>800</v>
      </c>
      <c r="K2250" s="49">
        <v>800</v>
      </c>
      <c r="L2250" s="77">
        <v>0</v>
      </c>
      <c r="M2250" s="77" t="s">
        <v>16</v>
      </c>
      <c r="N2250" s="53" t="s">
        <v>16</v>
      </c>
      <c r="O2250" s="52">
        <v>350</v>
      </c>
      <c r="P2250" s="53">
        <v>418.5</v>
      </c>
      <c r="Q2250" s="54">
        <v>0</v>
      </c>
      <c r="R2250" s="1"/>
      <c r="S2250" s="1"/>
      <c r="T2250" s="1"/>
    </row>
    <row r="2251" spans="1:20" ht="13.5" customHeight="1" x14ac:dyDescent="0.25">
      <c r="A2251" s="1"/>
      <c r="B2251" s="1" t="s">
        <v>1993</v>
      </c>
      <c r="C2251" s="1" t="s">
        <v>1422</v>
      </c>
      <c r="D2251" s="42">
        <v>0</v>
      </c>
      <c r="E2251" s="43">
        <v>0</v>
      </c>
      <c r="F2251" s="73" t="s">
        <v>16</v>
      </c>
      <c r="G2251" s="73" t="s">
        <v>16</v>
      </c>
      <c r="H2251" s="74" t="s">
        <v>16</v>
      </c>
      <c r="I2251" s="47"/>
      <c r="J2251" s="75" t="s">
        <v>16</v>
      </c>
      <c r="K2251" s="76" t="s">
        <v>16</v>
      </c>
      <c r="L2251" s="77" t="s">
        <v>16</v>
      </c>
      <c r="M2251" s="77" t="s">
        <v>16</v>
      </c>
      <c r="N2251" s="51">
        <v>125</v>
      </c>
      <c r="O2251" s="52">
        <v>4050</v>
      </c>
      <c r="P2251" s="53">
        <v>0</v>
      </c>
      <c r="Q2251" s="54">
        <v>0</v>
      </c>
      <c r="R2251" s="1"/>
      <c r="S2251" s="1"/>
      <c r="T2251" s="1"/>
    </row>
    <row r="2252" spans="1:20" ht="13.5" customHeight="1" x14ac:dyDescent="0.25">
      <c r="A2252" s="1"/>
      <c r="B2252" s="1" t="s">
        <v>1994</v>
      </c>
      <c r="C2252" s="1" t="s">
        <v>318</v>
      </c>
      <c r="D2252" s="42">
        <v>1000</v>
      </c>
      <c r="E2252" s="43">
        <v>204.11</v>
      </c>
      <c r="F2252" s="45">
        <v>1000</v>
      </c>
      <c r="G2252" s="45">
        <v>1000</v>
      </c>
      <c r="H2252" s="46">
        <v>798.03</v>
      </c>
      <c r="I2252" s="47">
        <f t="shared" ref="I2252:I2263" si="943">H2252/J2252</f>
        <v>0.79803000000000002</v>
      </c>
      <c r="J2252" s="48">
        <v>1000</v>
      </c>
      <c r="K2252" s="49">
        <v>1000</v>
      </c>
      <c r="L2252" s="50">
        <v>1060.3800000000001</v>
      </c>
      <c r="M2252" s="50">
        <v>926.7</v>
      </c>
      <c r="N2252" s="51">
        <v>849.43</v>
      </c>
      <c r="O2252" s="52">
        <v>1082.57</v>
      </c>
      <c r="P2252" s="53">
        <v>1495.67</v>
      </c>
      <c r="Q2252" s="54">
        <v>1393.98</v>
      </c>
      <c r="R2252" s="1"/>
      <c r="S2252" s="1"/>
      <c r="T2252" s="1"/>
    </row>
    <row r="2253" spans="1:20" ht="13.5" customHeight="1" x14ac:dyDescent="0.25">
      <c r="A2253" s="1"/>
      <c r="B2253" s="1" t="s">
        <v>1995</v>
      </c>
      <c r="C2253" s="1" t="s">
        <v>404</v>
      </c>
      <c r="D2253" s="42">
        <v>1400</v>
      </c>
      <c r="E2253" s="43">
        <v>0</v>
      </c>
      <c r="F2253" s="45">
        <v>1000</v>
      </c>
      <c r="G2253" s="45">
        <v>1000</v>
      </c>
      <c r="H2253" s="46">
        <v>1410.06</v>
      </c>
      <c r="I2253" s="47">
        <f t="shared" si="943"/>
        <v>1.4100599999999999</v>
      </c>
      <c r="J2253" s="48">
        <v>1000</v>
      </c>
      <c r="K2253" s="49">
        <v>1000</v>
      </c>
      <c r="L2253" s="50">
        <v>2460</v>
      </c>
      <c r="M2253" s="50">
        <v>1256.25</v>
      </c>
      <c r="N2253" s="51">
        <v>574.37</v>
      </c>
      <c r="O2253" s="52">
        <v>535.37</v>
      </c>
      <c r="P2253" s="53">
        <v>461.22</v>
      </c>
      <c r="Q2253" s="54">
        <v>478.42</v>
      </c>
      <c r="R2253" s="1"/>
      <c r="S2253" s="1"/>
      <c r="T2253" s="1"/>
    </row>
    <row r="2254" spans="1:20" ht="13.5" customHeight="1" x14ac:dyDescent="0.25">
      <c r="A2254" s="1"/>
      <c r="B2254" s="1" t="s">
        <v>1996</v>
      </c>
      <c r="C2254" s="1" t="s">
        <v>1143</v>
      </c>
      <c r="D2254" s="42">
        <v>3200</v>
      </c>
      <c r="E2254" s="43">
        <v>1061.98</v>
      </c>
      <c r="F2254" s="45">
        <v>3200</v>
      </c>
      <c r="G2254" s="45">
        <v>3200</v>
      </c>
      <c r="H2254" s="46">
        <v>3301.08</v>
      </c>
      <c r="I2254" s="47">
        <f t="shared" si="943"/>
        <v>1.3204320000000001</v>
      </c>
      <c r="J2254" s="48">
        <v>2500</v>
      </c>
      <c r="K2254" s="49">
        <v>2500</v>
      </c>
      <c r="L2254" s="50">
        <v>3101.17</v>
      </c>
      <c r="M2254" s="50">
        <v>2147.27</v>
      </c>
      <c r="N2254" s="51">
        <v>2459.52</v>
      </c>
      <c r="O2254" s="52">
        <v>1919.89</v>
      </c>
      <c r="P2254" s="53">
        <v>1780.88</v>
      </c>
      <c r="Q2254" s="54">
        <v>2175.31</v>
      </c>
      <c r="R2254" s="1"/>
      <c r="S2254" s="1"/>
      <c r="T2254" s="1"/>
    </row>
    <row r="2255" spans="1:20" ht="13.5" customHeight="1" x14ac:dyDescent="0.25">
      <c r="A2255" s="1"/>
      <c r="B2255" s="1" t="s">
        <v>1997</v>
      </c>
      <c r="C2255" s="1" t="s">
        <v>1145</v>
      </c>
      <c r="D2255" s="42">
        <v>1000</v>
      </c>
      <c r="E2255" s="43">
        <v>297.88</v>
      </c>
      <c r="F2255" s="45">
        <v>1000</v>
      </c>
      <c r="G2255" s="45">
        <v>1000</v>
      </c>
      <c r="H2255" s="46">
        <v>768.39</v>
      </c>
      <c r="I2255" s="47">
        <f t="shared" si="943"/>
        <v>1.0245199999999999</v>
      </c>
      <c r="J2255" s="48">
        <v>750</v>
      </c>
      <c r="K2255" s="49">
        <v>750</v>
      </c>
      <c r="L2255" s="50">
        <v>807.3</v>
      </c>
      <c r="M2255" s="50">
        <v>600</v>
      </c>
      <c r="N2255" s="51">
        <v>903.35</v>
      </c>
      <c r="O2255" s="52">
        <v>818.4</v>
      </c>
      <c r="P2255" s="53">
        <v>1213.55</v>
      </c>
      <c r="Q2255" s="54">
        <v>480</v>
      </c>
      <c r="R2255" s="1"/>
      <c r="S2255" s="1"/>
      <c r="T2255" s="1"/>
    </row>
    <row r="2256" spans="1:20" ht="13.5" customHeight="1" x14ac:dyDescent="0.25">
      <c r="A2256" s="1"/>
      <c r="B2256" s="1" t="s">
        <v>1998</v>
      </c>
      <c r="C2256" s="1" t="s">
        <v>1147</v>
      </c>
      <c r="D2256" s="42">
        <v>450</v>
      </c>
      <c r="E2256" s="43">
        <v>249.71</v>
      </c>
      <c r="F2256" s="45">
        <v>450</v>
      </c>
      <c r="G2256" s="45">
        <v>450</v>
      </c>
      <c r="H2256" s="46">
        <v>443.68</v>
      </c>
      <c r="I2256" s="47">
        <f t="shared" si="943"/>
        <v>1.2676571428571428</v>
      </c>
      <c r="J2256" s="48">
        <v>350</v>
      </c>
      <c r="K2256" s="49">
        <v>350</v>
      </c>
      <c r="L2256" s="50">
        <v>580.63</v>
      </c>
      <c r="M2256" s="50">
        <v>537.49</v>
      </c>
      <c r="N2256" s="51">
        <v>365.01</v>
      </c>
      <c r="O2256" s="52">
        <v>840.04</v>
      </c>
      <c r="P2256" s="53">
        <v>272.62</v>
      </c>
      <c r="Q2256" s="54">
        <v>242.62</v>
      </c>
      <c r="R2256" s="1"/>
      <c r="S2256" s="1"/>
      <c r="T2256" s="1"/>
    </row>
    <row r="2257" spans="1:20" ht="13.5" customHeight="1" x14ac:dyDescent="0.25">
      <c r="A2257" s="1"/>
      <c r="B2257" s="1" t="s">
        <v>1999</v>
      </c>
      <c r="C2257" s="1" t="s">
        <v>1851</v>
      </c>
      <c r="D2257" s="42">
        <v>1500</v>
      </c>
      <c r="E2257" s="43">
        <v>1403.2</v>
      </c>
      <c r="F2257" s="45">
        <v>1500</v>
      </c>
      <c r="G2257" s="45">
        <v>1500</v>
      </c>
      <c r="H2257" s="46">
        <v>3162</v>
      </c>
      <c r="I2257" s="47">
        <f t="shared" si="943"/>
        <v>1</v>
      </c>
      <c r="J2257" s="48">
        <v>3162</v>
      </c>
      <c r="K2257" s="49">
        <v>1200</v>
      </c>
      <c r="L2257" s="50">
        <v>1671</v>
      </c>
      <c r="M2257" s="50">
        <v>201.9</v>
      </c>
      <c r="N2257" s="51">
        <v>65</v>
      </c>
      <c r="O2257" s="52">
        <v>1200</v>
      </c>
      <c r="P2257" s="53">
        <v>67.44</v>
      </c>
      <c r="Q2257" s="54">
        <v>0</v>
      </c>
      <c r="R2257" s="1"/>
      <c r="S2257" s="1"/>
      <c r="T2257" s="1"/>
    </row>
    <row r="2258" spans="1:20" ht="13.5" customHeight="1" x14ac:dyDescent="0.25">
      <c r="A2258" s="1"/>
      <c r="B2258" s="1" t="s">
        <v>2000</v>
      </c>
      <c r="C2258" s="1" t="s">
        <v>1853</v>
      </c>
      <c r="D2258" s="42">
        <v>2500</v>
      </c>
      <c r="E2258" s="43">
        <v>6806.4</v>
      </c>
      <c r="F2258" s="45">
        <v>2500</v>
      </c>
      <c r="G2258" s="45">
        <v>2500</v>
      </c>
      <c r="H2258" s="66">
        <v>3544.02</v>
      </c>
      <c r="I2258" s="47">
        <f t="shared" si="943"/>
        <v>0.99972355430183357</v>
      </c>
      <c r="J2258" s="48">
        <v>3545</v>
      </c>
      <c r="K2258" s="49">
        <v>2500</v>
      </c>
      <c r="L2258" s="50">
        <v>2212.62</v>
      </c>
      <c r="M2258" s="50">
        <v>822.6</v>
      </c>
      <c r="N2258" s="51">
        <v>136.1</v>
      </c>
      <c r="O2258" s="52">
        <v>803.92</v>
      </c>
      <c r="P2258" s="53">
        <v>3131.73</v>
      </c>
      <c r="Q2258" s="54">
        <v>441.35</v>
      </c>
      <c r="R2258" s="1"/>
      <c r="S2258" s="1"/>
      <c r="T2258" s="1"/>
    </row>
    <row r="2259" spans="1:20" ht="13.5" customHeight="1" x14ac:dyDescent="0.25">
      <c r="A2259" s="1"/>
      <c r="B2259" s="1" t="s">
        <v>2001</v>
      </c>
      <c r="C2259" s="1" t="s">
        <v>1855</v>
      </c>
      <c r="D2259" s="42">
        <v>25000</v>
      </c>
      <c r="E2259" s="43">
        <v>11142.99</v>
      </c>
      <c r="F2259" s="45">
        <v>25000</v>
      </c>
      <c r="G2259" s="45">
        <v>25000</v>
      </c>
      <c r="H2259" s="46">
        <v>21006.33</v>
      </c>
      <c r="I2259" s="47">
        <f t="shared" si="943"/>
        <v>0.92907253427686876</v>
      </c>
      <c r="J2259" s="48">
        <v>22610</v>
      </c>
      <c r="K2259" s="49">
        <v>25000</v>
      </c>
      <c r="L2259" s="50">
        <v>20564.990000000002</v>
      </c>
      <c r="M2259" s="50">
        <v>21739.97</v>
      </c>
      <c r="N2259" s="51">
        <v>19707.34</v>
      </c>
      <c r="O2259" s="52">
        <v>17936.63</v>
      </c>
      <c r="P2259" s="53">
        <v>13913.32</v>
      </c>
      <c r="Q2259" s="54">
        <v>22691.17</v>
      </c>
      <c r="R2259" s="1"/>
      <c r="S2259" s="1"/>
      <c r="T2259" s="1"/>
    </row>
    <row r="2260" spans="1:20" ht="13.5" customHeight="1" x14ac:dyDescent="0.25">
      <c r="A2260" s="1"/>
      <c r="B2260" s="1" t="s">
        <v>2002</v>
      </c>
      <c r="C2260" s="1" t="s">
        <v>1128</v>
      </c>
      <c r="D2260" s="42">
        <v>2500</v>
      </c>
      <c r="E2260" s="43">
        <v>76.989999999999995</v>
      </c>
      <c r="F2260" s="45">
        <v>2500</v>
      </c>
      <c r="G2260" s="45">
        <v>2500</v>
      </c>
      <c r="H2260" s="46">
        <v>2327.6999999999998</v>
      </c>
      <c r="I2260" s="47">
        <f t="shared" si="943"/>
        <v>0.93107999999999991</v>
      </c>
      <c r="J2260" s="48">
        <v>2500</v>
      </c>
      <c r="K2260" s="49">
        <v>2500</v>
      </c>
      <c r="L2260" s="50">
        <v>96.72</v>
      </c>
      <c r="M2260" s="50">
        <v>102.51</v>
      </c>
      <c r="N2260" s="51">
        <v>52.49</v>
      </c>
      <c r="O2260" s="52">
        <v>582.09</v>
      </c>
      <c r="P2260" s="53">
        <v>617.91999999999996</v>
      </c>
      <c r="Q2260" s="54">
        <v>944.14</v>
      </c>
      <c r="R2260" s="1"/>
      <c r="S2260" s="1"/>
      <c r="T2260" s="1"/>
    </row>
    <row r="2261" spans="1:20" ht="13.5" customHeight="1" x14ac:dyDescent="0.25">
      <c r="A2261" s="1"/>
      <c r="B2261" s="1" t="s">
        <v>2003</v>
      </c>
      <c r="C2261" s="1" t="s">
        <v>489</v>
      </c>
      <c r="D2261" s="42">
        <v>25000</v>
      </c>
      <c r="E2261" s="43">
        <v>15893.28</v>
      </c>
      <c r="F2261" s="45">
        <v>25000</v>
      </c>
      <c r="G2261" s="45">
        <v>25000</v>
      </c>
      <c r="H2261" s="46">
        <v>17356.39</v>
      </c>
      <c r="I2261" s="47">
        <f t="shared" si="943"/>
        <v>0.72681700167504182</v>
      </c>
      <c r="J2261" s="48">
        <v>23880</v>
      </c>
      <c r="K2261" s="49">
        <v>25000</v>
      </c>
      <c r="L2261" s="50">
        <v>15411.67</v>
      </c>
      <c r="M2261" s="50">
        <v>23199.17</v>
      </c>
      <c r="N2261" s="51">
        <v>16314.62</v>
      </c>
      <c r="O2261" s="52">
        <v>16016.53</v>
      </c>
      <c r="P2261" s="53">
        <v>17534.419999999998</v>
      </c>
      <c r="Q2261" s="54">
        <v>16862.38</v>
      </c>
      <c r="R2261" s="1"/>
      <c r="S2261" s="1"/>
      <c r="T2261" s="1"/>
    </row>
    <row r="2262" spans="1:20" ht="13.5" customHeight="1" x14ac:dyDescent="0.25">
      <c r="A2262" s="1"/>
      <c r="B2262" s="1" t="s">
        <v>2004</v>
      </c>
      <c r="C2262" s="1" t="s">
        <v>1150</v>
      </c>
      <c r="D2262" s="42">
        <v>500</v>
      </c>
      <c r="E2262" s="43">
        <v>0</v>
      </c>
      <c r="F2262" s="45">
        <v>500</v>
      </c>
      <c r="G2262" s="45">
        <v>500</v>
      </c>
      <c r="H2262" s="68">
        <v>67.2</v>
      </c>
      <c r="I2262" s="47">
        <f t="shared" si="943"/>
        <v>0.13440000000000002</v>
      </c>
      <c r="J2262" s="48">
        <v>500</v>
      </c>
      <c r="K2262" s="49">
        <v>500</v>
      </c>
      <c r="L2262" s="77">
        <v>0</v>
      </c>
      <c r="M2262" s="77">
        <v>0</v>
      </c>
      <c r="N2262" s="53" t="s">
        <v>16</v>
      </c>
      <c r="O2262" s="52">
        <v>0</v>
      </c>
      <c r="P2262" s="53">
        <v>0</v>
      </c>
      <c r="Q2262" s="54">
        <v>447.5</v>
      </c>
      <c r="R2262" s="1"/>
      <c r="S2262" s="1"/>
      <c r="T2262" s="1"/>
    </row>
    <row r="2263" spans="1:20" ht="13.5" customHeight="1" x14ac:dyDescent="0.25">
      <c r="A2263" s="1"/>
      <c r="B2263" s="1" t="s">
        <v>2005</v>
      </c>
      <c r="C2263" s="55" t="s">
        <v>408</v>
      </c>
      <c r="D2263" s="42">
        <v>850</v>
      </c>
      <c r="E2263" s="70">
        <v>100</v>
      </c>
      <c r="F2263" s="45">
        <v>850</v>
      </c>
      <c r="G2263" s="45">
        <v>850</v>
      </c>
      <c r="H2263" s="68">
        <v>750</v>
      </c>
      <c r="I2263" s="47">
        <f t="shared" si="943"/>
        <v>1</v>
      </c>
      <c r="J2263" s="48">
        <v>750</v>
      </c>
      <c r="K2263" s="49">
        <v>750</v>
      </c>
      <c r="L2263" s="50">
        <v>5539.05</v>
      </c>
      <c r="M2263" s="77">
        <v>0</v>
      </c>
      <c r="N2263" s="53" t="s">
        <v>16</v>
      </c>
      <c r="O2263" s="52">
        <v>0</v>
      </c>
      <c r="P2263" s="53">
        <v>0</v>
      </c>
      <c r="Q2263" s="54">
        <v>0</v>
      </c>
      <c r="R2263" s="1"/>
      <c r="S2263" s="1"/>
      <c r="T2263" s="1"/>
    </row>
    <row r="2264" spans="1:20" ht="13.5" customHeight="1" x14ac:dyDescent="0.25">
      <c r="A2264" s="1"/>
      <c r="B2264" s="1" t="s">
        <v>2006</v>
      </c>
      <c r="C2264" s="1" t="s">
        <v>814</v>
      </c>
      <c r="D2264" s="42">
        <v>420</v>
      </c>
      <c r="E2264" s="43">
        <v>333.1</v>
      </c>
      <c r="F2264" s="45">
        <v>420</v>
      </c>
      <c r="G2264" s="45">
        <v>420</v>
      </c>
      <c r="H2264" s="46">
        <v>176.1</v>
      </c>
      <c r="I2264" s="47">
        <v>0</v>
      </c>
      <c r="J2264" s="75">
        <v>325</v>
      </c>
      <c r="K2264" s="76">
        <v>0</v>
      </c>
      <c r="L2264" s="77">
        <v>0</v>
      </c>
      <c r="M2264" s="77">
        <v>0</v>
      </c>
      <c r="N2264" s="53" t="s">
        <v>16</v>
      </c>
      <c r="O2264" s="52">
        <v>254.19</v>
      </c>
      <c r="P2264" s="53">
        <v>287.04000000000002</v>
      </c>
      <c r="Q2264" s="54">
        <v>278.38</v>
      </c>
      <c r="R2264" s="1"/>
      <c r="S2264" s="1"/>
      <c r="T2264" s="1"/>
    </row>
    <row r="2265" spans="1:20" ht="13.5" customHeight="1" x14ac:dyDescent="0.25">
      <c r="A2265" s="1"/>
      <c r="B2265" s="1" t="s">
        <v>2007</v>
      </c>
      <c r="C2265" s="1" t="s">
        <v>1442</v>
      </c>
      <c r="D2265" s="42">
        <v>1200</v>
      </c>
      <c r="E2265" s="43">
        <v>0</v>
      </c>
      <c r="F2265" s="45">
        <v>1200</v>
      </c>
      <c r="G2265" s="45">
        <v>1200</v>
      </c>
      <c r="H2265" s="68">
        <v>35.159999999999997</v>
      </c>
      <c r="I2265" s="47">
        <f t="shared" ref="I2265:I2266" si="944">H2265/J2265</f>
        <v>2.9299999999999996E-2</v>
      </c>
      <c r="J2265" s="48">
        <v>1200</v>
      </c>
      <c r="K2265" s="49">
        <v>1200</v>
      </c>
      <c r="L2265" s="50">
        <v>206.91</v>
      </c>
      <c r="M2265" s="50">
        <v>188.47</v>
      </c>
      <c r="N2265" s="51">
        <v>2471.1799999999998</v>
      </c>
      <c r="O2265" s="52">
        <v>177.5</v>
      </c>
      <c r="P2265" s="53">
        <v>0</v>
      </c>
      <c r="Q2265" s="54">
        <v>0</v>
      </c>
      <c r="R2265" s="1"/>
      <c r="S2265" s="1"/>
      <c r="T2265" s="1"/>
    </row>
    <row r="2266" spans="1:20" ht="13.5" customHeight="1" x14ac:dyDescent="0.25">
      <c r="A2266" s="1"/>
      <c r="B2266" s="1" t="s">
        <v>2008</v>
      </c>
      <c r="C2266" s="1" t="s">
        <v>541</v>
      </c>
      <c r="D2266" s="42">
        <v>0</v>
      </c>
      <c r="E2266" s="43">
        <v>92.5</v>
      </c>
      <c r="F2266" s="73">
        <v>0</v>
      </c>
      <c r="G2266" s="73">
        <v>0</v>
      </c>
      <c r="H2266" s="66">
        <v>177.5</v>
      </c>
      <c r="I2266" s="47">
        <f t="shared" si="944"/>
        <v>0.9971910112359551</v>
      </c>
      <c r="J2266" s="48">
        <v>178</v>
      </c>
      <c r="K2266" s="76" t="s">
        <v>16</v>
      </c>
      <c r="L2266" s="77" t="s">
        <v>16</v>
      </c>
      <c r="M2266" s="77" t="s">
        <v>16</v>
      </c>
      <c r="N2266" s="53" t="s">
        <v>16</v>
      </c>
      <c r="O2266" s="52"/>
      <c r="P2266" s="53"/>
      <c r="Q2266" s="54"/>
      <c r="R2266" s="1"/>
      <c r="S2266" s="1"/>
      <c r="T2266" s="1"/>
    </row>
    <row r="2267" spans="1:20" ht="13.5" customHeight="1" x14ac:dyDescent="0.25">
      <c r="A2267" s="1"/>
      <c r="B2267" s="1"/>
      <c r="C2267" s="1"/>
      <c r="D2267" s="88">
        <v>67320</v>
      </c>
      <c r="E2267" s="89">
        <f t="shared" ref="E2267" si="945">SUM(E2250:E2266)</f>
        <v>37662.14</v>
      </c>
      <c r="F2267" s="90">
        <f>SUM(F2249:F2266)</f>
        <v>66920</v>
      </c>
      <c r="G2267" s="90">
        <v>66920</v>
      </c>
      <c r="H2267" s="91">
        <f>SUM(H2250:H2266)</f>
        <v>55323.64</v>
      </c>
      <c r="I2267" s="91"/>
      <c r="J2267" s="92">
        <f t="shared" ref="J2267:Q2267" si="946">SUM(J2250:J2266)</f>
        <v>65050</v>
      </c>
      <c r="K2267" s="93">
        <f t="shared" si="946"/>
        <v>65050</v>
      </c>
      <c r="L2267" s="94">
        <f t="shared" si="946"/>
        <v>53712.44000000001</v>
      </c>
      <c r="M2267" s="94">
        <f t="shared" si="946"/>
        <v>51722.33</v>
      </c>
      <c r="N2267" s="95">
        <f t="shared" si="946"/>
        <v>44023.41</v>
      </c>
      <c r="O2267" s="96">
        <f t="shared" si="946"/>
        <v>46567.130000000005</v>
      </c>
      <c r="P2267" s="95">
        <f t="shared" si="946"/>
        <v>41194.31</v>
      </c>
      <c r="Q2267" s="97">
        <f t="shared" si="946"/>
        <v>46435.249999999993</v>
      </c>
      <c r="R2267" s="1"/>
      <c r="S2267" s="1"/>
      <c r="T2267" s="1"/>
    </row>
    <row r="2268" spans="1:20" ht="13.5" customHeight="1" x14ac:dyDescent="0.25">
      <c r="A2268" s="1"/>
      <c r="B2268" s="1"/>
      <c r="C2268" s="1"/>
      <c r="D2268" s="72"/>
      <c r="E2268" s="44"/>
      <c r="F2268" s="73"/>
      <c r="G2268" s="73"/>
      <c r="H2268" s="66"/>
      <c r="I2268" s="66"/>
      <c r="J2268" s="48"/>
      <c r="K2268" s="76"/>
      <c r="L2268" s="77"/>
      <c r="M2268" s="77"/>
      <c r="N2268" s="53"/>
      <c r="O2268" s="52"/>
      <c r="P2268" s="53"/>
      <c r="Q2268" s="54"/>
      <c r="R2268" s="1"/>
      <c r="S2268" s="1"/>
      <c r="T2268" s="1"/>
    </row>
    <row r="2269" spans="1:20" ht="13.5" customHeight="1" x14ac:dyDescent="0.25">
      <c r="A2269" s="1"/>
      <c r="B2269" s="1" t="s">
        <v>2009</v>
      </c>
      <c r="C2269" s="1" t="s">
        <v>1154</v>
      </c>
      <c r="D2269" s="42">
        <v>7500</v>
      </c>
      <c r="E2269" s="70">
        <v>225</v>
      </c>
      <c r="F2269" s="45">
        <v>7500</v>
      </c>
      <c r="G2269" s="45">
        <v>7500</v>
      </c>
      <c r="H2269" s="74">
        <v>0</v>
      </c>
      <c r="I2269" s="47">
        <v>0</v>
      </c>
      <c r="J2269" s="75">
        <v>0</v>
      </c>
      <c r="K2269" s="49">
        <v>7500</v>
      </c>
      <c r="L2269" s="77">
        <v>0</v>
      </c>
      <c r="M2269" s="77">
        <v>0</v>
      </c>
      <c r="N2269" s="53" t="s">
        <v>16</v>
      </c>
      <c r="O2269" s="52">
        <v>500.84</v>
      </c>
      <c r="P2269" s="53">
        <v>1050</v>
      </c>
      <c r="Q2269" s="54">
        <v>0</v>
      </c>
      <c r="R2269" s="1"/>
      <c r="S2269" s="1"/>
      <c r="T2269" s="1"/>
    </row>
    <row r="2270" spans="1:20" ht="13.5" customHeight="1" x14ac:dyDescent="0.25">
      <c r="A2270" s="1"/>
      <c r="B2270" s="1" t="s">
        <v>2010</v>
      </c>
      <c r="C2270" s="1" t="s">
        <v>1283</v>
      </c>
      <c r="D2270" s="42">
        <v>50000</v>
      </c>
      <c r="E2270" s="70">
        <v>32951</v>
      </c>
      <c r="F2270" s="45">
        <v>50000</v>
      </c>
      <c r="G2270" s="45">
        <v>50000</v>
      </c>
      <c r="H2270" s="74">
        <v>0</v>
      </c>
      <c r="I2270" s="47">
        <v>0</v>
      </c>
      <c r="J2270" s="75">
        <v>0</v>
      </c>
      <c r="K2270" s="49">
        <v>30000</v>
      </c>
      <c r="L2270" s="50">
        <v>60644</v>
      </c>
      <c r="M2270" s="50">
        <v>2505</v>
      </c>
      <c r="N2270" s="51">
        <v>9340</v>
      </c>
      <c r="O2270" s="52">
        <v>19200</v>
      </c>
      <c r="P2270" s="53">
        <v>10500</v>
      </c>
      <c r="Q2270" s="54">
        <v>0</v>
      </c>
      <c r="R2270" s="1"/>
      <c r="S2270" s="1"/>
      <c r="T2270" s="1"/>
    </row>
    <row r="2271" spans="1:20" ht="13.5" customHeight="1" x14ac:dyDescent="0.25">
      <c r="A2271" s="1"/>
      <c r="B2271" s="1" t="s">
        <v>2011</v>
      </c>
      <c r="C2271" s="1" t="s">
        <v>1865</v>
      </c>
      <c r="D2271" s="42">
        <v>142532.35999999999</v>
      </c>
      <c r="E2271" s="43">
        <v>105450</v>
      </c>
      <c r="F2271" s="45">
        <v>107532.36</v>
      </c>
      <c r="G2271" s="45">
        <v>107532.36</v>
      </c>
      <c r="H2271" s="46">
        <v>459652.36</v>
      </c>
      <c r="I2271" s="47">
        <f t="shared" ref="I2271:I2272" si="947">H2271/J2271</f>
        <v>1.5654667938151352</v>
      </c>
      <c r="J2271" s="48">
        <v>293620</v>
      </c>
      <c r="K2271" s="49">
        <v>55000</v>
      </c>
      <c r="L2271" s="50">
        <v>123214.63</v>
      </c>
      <c r="M2271" s="50">
        <v>94445.61</v>
      </c>
      <c r="N2271" s="51">
        <v>223773.54</v>
      </c>
      <c r="O2271" s="52">
        <v>379463.02</v>
      </c>
      <c r="P2271" s="53">
        <v>128709.66</v>
      </c>
      <c r="Q2271" s="54">
        <v>82331.41</v>
      </c>
      <c r="R2271" s="1"/>
      <c r="S2271" s="1"/>
      <c r="T2271" s="1"/>
    </row>
    <row r="2272" spans="1:20" ht="13.5" customHeight="1" x14ac:dyDescent="0.25">
      <c r="A2272" s="1"/>
      <c r="B2272" s="1" t="s">
        <v>2012</v>
      </c>
      <c r="C2272" s="1" t="s">
        <v>414</v>
      </c>
      <c r="D2272" s="42">
        <v>0</v>
      </c>
      <c r="E2272" s="43">
        <v>0</v>
      </c>
      <c r="F2272" s="45">
        <v>0</v>
      </c>
      <c r="G2272" s="45">
        <v>0</v>
      </c>
      <c r="H2272" s="74" t="s">
        <v>16</v>
      </c>
      <c r="I2272" s="47" t="e">
        <f t="shared" si="947"/>
        <v>#VALUE!</v>
      </c>
      <c r="J2272" s="48">
        <v>500</v>
      </c>
      <c r="K2272" s="49">
        <v>500</v>
      </c>
      <c r="L2272" s="77" t="s">
        <v>16</v>
      </c>
      <c r="M2272" s="77" t="s">
        <v>16</v>
      </c>
      <c r="N2272" s="51">
        <v>500</v>
      </c>
      <c r="O2272" s="52">
        <v>500</v>
      </c>
      <c r="P2272" s="53">
        <v>500</v>
      </c>
      <c r="Q2272" s="54">
        <v>0</v>
      </c>
      <c r="R2272" s="1"/>
      <c r="S2272" s="1"/>
      <c r="T2272" s="1"/>
    </row>
    <row r="2273" spans="1:20" ht="13.5" customHeight="1" x14ac:dyDescent="0.25">
      <c r="A2273" s="1"/>
      <c r="B2273" s="1"/>
      <c r="C2273" s="1"/>
      <c r="D2273" s="56">
        <v>200032.36</v>
      </c>
      <c r="E2273" s="57">
        <f t="shared" ref="E2273" si="948">SUM(E2269:E2272)</f>
        <v>138626</v>
      </c>
      <c r="F2273" s="58">
        <f>SUM(F2268:F2271)</f>
        <v>165032.35999999999</v>
      </c>
      <c r="G2273" s="58">
        <v>165032.35999999999</v>
      </c>
      <c r="H2273" s="59">
        <f>SUM(H2269:H2272)</f>
        <v>459652.36</v>
      </c>
      <c r="I2273" s="59"/>
      <c r="J2273" s="60">
        <f t="shared" ref="J2273:Q2273" si="949">SUM(J2269:J2272)</f>
        <v>294120</v>
      </c>
      <c r="K2273" s="61">
        <f t="shared" si="949"/>
        <v>93000</v>
      </c>
      <c r="L2273" s="62">
        <f t="shared" si="949"/>
        <v>183858.63</v>
      </c>
      <c r="M2273" s="62">
        <f t="shared" si="949"/>
        <v>96950.61</v>
      </c>
      <c r="N2273" s="63">
        <f t="shared" si="949"/>
        <v>233613.54</v>
      </c>
      <c r="O2273" s="64">
        <f t="shared" si="949"/>
        <v>399663.86000000004</v>
      </c>
      <c r="P2273" s="63">
        <f t="shared" si="949"/>
        <v>140759.66</v>
      </c>
      <c r="Q2273" s="65">
        <f t="shared" si="949"/>
        <v>82331.41</v>
      </c>
      <c r="R2273" s="1"/>
      <c r="S2273" s="1"/>
      <c r="T2273" s="1"/>
    </row>
    <row r="2274" spans="1:20" ht="13.5" customHeight="1" thickBot="1" x14ac:dyDescent="0.3">
      <c r="A2274" s="1"/>
      <c r="B2274" s="1"/>
      <c r="C2274" s="116" t="s">
        <v>2013</v>
      </c>
      <c r="D2274" s="267">
        <v>1763362.6058999998</v>
      </c>
      <c r="E2274" s="173">
        <f t="shared" ref="E2274" si="950">SUM(E2223+E2234+E2248+E2267+E2273)</f>
        <v>634532.03</v>
      </c>
      <c r="F2274" s="174">
        <f>SUM(F2223,F2234,F2248,F2267,F2273)</f>
        <v>1793649.8742999998</v>
      </c>
      <c r="G2274" s="174">
        <v>1793649.8742999998</v>
      </c>
      <c r="H2274" s="175">
        <f>SUM(H2223+H2234+H2248+H2267+H2273)</f>
        <v>1754469.7800000003</v>
      </c>
      <c r="I2274" s="175"/>
      <c r="J2274" s="176">
        <f t="shared" ref="J2274:Q2274" si="951">SUM(J2223+J2234+J2248+J2267+J2273)</f>
        <v>1726450</v>
      </c>
      <c r="K2274" s="177">
        <f t="shared" si="951"/>
        <v>1726450</v>
      </c>
      <c r="L2274" s="178">
        <f t="shared" si="951"/>
        <v>1590916.17</v>
      </c>
      <c r="M2274" s="178">
        <f t="shared" si="951"/>
        <v>1549203.62</v>
      </c>
      <c r="N2274" s="179">
        <f t="shared" si="951"/>
        <v>1713397.78</v>
      </c>
      <c r="O2274" s="180">
        <f t="shared" si="951"/>
        <v>1748606.1300000001</v>
      </c>
      <c r="P2274" s="179">
        <f t="shared" si="951"/>
        <v>1650618.01</v>
      </c>
      <c r="Q2274" s="181">
        <f t="shared" si="951"/>
        <v>1481879.33</v>
      </c>
      <c r="R2274" s="1"/>
      <c r="S2274" s="1"/>
      <c r="T2274" s="1"/>
    </row>
    <row r="2275" spans="1:20" ht="13.5" customHeight="1" thickTop="1" x14ac:dyDescent="0.25">
      <c r="A2275" s="1"/>
      <c r="B2275" s="1"/>
      <c r="C2275" s="53" t="e">
        <f>SUM(#REF!+#REF!)</f>
        <v>#REF!</v>
      </c>
      <c r="D2275" s="42"/>
      <c r="E2275" s="67"/>
      <c r="F2275" s="45"/>
      <c r="G2275" s="45"/>
      <c r="H2275" s="74"/>
      <c r="I2275" s="66"/>
      <c r="J2275" s="48"/>
      <c r="K2275" s="49"/>
      <c r="L2275" s="77"/>
      <c r="M2275" s="77"/>
      <c r="N2275" s="51"/>
      <c r="O2275" s="52"/>
      <c r="P2275" s="53"/>
      <c r="Q2275" s="54"/>
      <c r="R2275" s="1"/>
      <c r="S2275" s="1"/>
      <c r="T2275" s="1"/>
    </row>
    <row r="2276" spans="1:20" ht="13.5" customHeight="1" x14ac:dyDescent="0.25">
      <c r="A2276" s="1"/>
      <c r="B2276" s="1"/>
      <c r="C2276" s="41"/>
      <c r="D2276" s="42"/>
      <c r="E2276" s="67"/>
      <c r="F2276" s="45"/>
      <c r="G2276" s="45"/>
      <c r="H2276" s="74"/>
      <c r="I2276" s="66"/>
      <c r="J2276" s="48"/>
      <c r="K2276" s="49"/>
      <c r="L2276" s="77"/>
      <c r="M2276" s="77"/>
      <c r="N2276" s="51"/>
      <c r="O2276" s="52"/>
      <c r="P2276" s="53"/>
      <c r="Q2276" s="54"/>
      <c r="R2276" s="1"/>
      <c r="S2276" s="1"/>
      <c r="T2276" s="1"/>
    </row>
    <row r="2277" spans="1:20" ht="13.5" customHeight="1" x14ac:dyDescent="0.25">
      <c r="A2277" s="1"/>
      <c r="B2277" s="1"/>
      <c r="C2277" s="41"/>
      <c r="D2277" s="42"/>
      <c r="E2277" s="67"/>
      <c r="F2277" s="45"/>
      <c r="G2277" s="45"/>
      <c r="H2277" s="74"/>
      <c r="I2277" s="66"/>
      <c r="J2277" s="48"/>
      <c r="K2277" s="49"/>
      <c r="L2277" s="77"/>
      <c r="M2277" s="77"/>
      <c r="N2277" s="51"/>
      <c r="O2277" s="52"/>
      <c r="P2277" s="53"/>
      <c r="Q2277" s="54"/>
      <c r="R2277" s="1"/>
      <c r="S2277" s="1"/>
      <c r="T2277" s="1"/>
    </row>
    <row r="2278" spans="1:20" ht="13.5" customHeight="1" x14ac:dyDescent="0.25">
      <c r="A2278" s="1"/>
      <c r="B2278" s="1"/>
      <c r="C2278" s="41" t="s">
        <v>2014</v>
      </c>
      <c r="D2278" s="42"/>
      <c r="E2278" s="67"/>
      <c r="F2278" s="45"/>
      <c r="G2278" s="45"/>
      <c r="H2278" s="74"/>
      <c r="I2278" s="66"/>
      <c r="J2278" s="48"/>
      <c r="K2278" s="49"/>
      <c r="L2278" s="77"/>
      <c r="M2278" s="77"/>
      <c r="N2278" s="51"/>
      <c r="O2278" s="52"/>
      <c r="P2278" s="53"/>
      <c r="Q2278" s="54"/>
      <c r="R2278" s="1"/>
      <c r="S2278" s="1"/>
      <c r="T2278" s="1"/>
    </row>
    <row r="2279" spans="1:20" ht="13.5" customHeight="1" thickBot="1" x14ac:dyDescent="0.3">
      <c r="A2279" s="1"/>
      <c r="B2279" s="1" t="s">
        <v>2015</v>
      </c>
      <c r="C2279" s="1" t="s">
        <v>1833</v>
      </c>
      <c r="D2279" s="266">
        <v>13000</v>
      </c>
      <c r="E2279" s="173">
        <v>13000</v>
      </c>
      <c r="F2279" s="174">
        <v>13000</v>
      </c>
      <c r="G2279" s="174">
        <v>13000</v>
      </c>
      <c r="H2279" s="187">
        <v>0</v>
      </c>
      <c r="I2279" s="175"/>
      <c r="J2279" s="176">
        <v>13000</v>
      </c>
      <c r="K2279" s="177">
        <v>13000</v>
      </c>
      <c r="L2279" s="190">
        <v>0</v>
      </c>
      <c r="M2279" s="190">
        <v>0</v>
      </c>
      <c r="N2279" s="191">
        <v>0</v>
      </c>
      <c r="O2279" s="192">
        <v>0</v>
      </c>
      <c r="P2279" s="191">
        <v>0</v>
      </c>
      <c r="Q2279" s="193">
        <v>0</v>
      </c>
      <c r="R2279" s="1"/>
      <c r="S2279" s="1"/>
      <c r="T2279" s="1"/>
    </row>
    <row r="2280" spans="1:20" ht="13.5" customHeight="1" thickTop="1" x14ac:dyDescent="0.25">
      <c r="A2280" s="1"/>
      <c r="B2280" s="1"/>
      <c r="C2280" s="1"/>
      <c r="D2280" s="42"/>
      <c r="E2280" s="67"/>
      <c r="F2280" s="45"/>
      <c r="G2280" s="45"/>
      <c r="H2280" s="74"/>
      <c r="I2280" s="66"/>
      <c r="J2280" s="48"/>
      <c r="K2280" s="49"/>
      <c r="L2280" s="77"/>
      <c r="M2280" s="77"/>
      <c r="N2280" s="53"/>
      <c r="O2280" s="52"/>
      <c r="P2280" s="53"/>
      <c r="Q2280" s="54"/>
      <c r="R2280" s="1"/>
      <c r="S2280" s="1"/>
      <c r="T2280" s="1"/>
    </row>
    <row r="2281" spans="1:20" ht="13.5" customHeight="1" x14ac:dyDescent="0.25">
      <c r="A2281" s="1"/>
      <c r="B2281" s="1"/>
      <c r="C2281" s="41" t="s">
        <v>2016</v>
      </c>
      <c r="D2281" s="42"/>
      <c r="E2281" s="67"/>
      <c r="F2281" s="45"/>
      <c r="G2281" s="45"/>
      <c r="H2281" s="74"/>
      <c r="I2281" s="66"/>
      <c r="J2281" s="48"/>
      <c r="K2281" s="49"/>
      <c r="L2281" s="77"/>
      <c r="M2281" s="77"/>
      <c r="N2281" s="53"/>
      <c r="O2281" s="52"/>
      <c r="P2281" s="53"/>
      <c r="Q2281" s="54"/>
      <c r="R2281" s="1"/>
      <c r="S2281" s="1"/>
      <c r="T2281" s="1"/>
    </row>
    <row r="2282" spans="1:20" ht="13.5" customHeight="1" thickBot="1" x14ac:dyDescent="0.3">
      <c r="A2282" s="1"/>
      <c r="B2282" s="1" t="s">
        <v>2017</v>
      </c>
      <c r="C2282" s="1" t="s">
        <v>1833</v>
      </c>
      <c r="D2282" s="266">
        <v>13000</v>
      </c>
      <c r="E2282" s="173">
        <v>13000</v>
      </c>
      <c r="F2282" s="174">
        <v>13000</v>
      </c>
      <c r="G2282" s="174">
        <v>13000</v>
      </c>
      <c r="H2282" s="187">
        <v>0</v>
      </c>
      <c r="I2282" s="175"/>
      <c r="J2282" s="176">
        <v>13000</v>
      </c>
      <c r="K2282" s="177">
        <v>13000</v>
      </c>
      <c r="L2282" s="178">
        <v>59781.440000000002</v>
      </c>
      <c r="M2282" s="190">
        <v>0</v>
      </c>
      <c r="N2282" s="191">
        <v>0</v>
      </c>
      <c r="O2282" s="192">
        <v>0</v>
      </c>
      <c r="P2282" s="191">
        <v>39535.46</v>
      </c>
      <c r="Q2282" s="193">
        <v>7945.53</v>
      </c>
      <c r="R2282" s="1"/>
      <c r="S2282" s="1"/>
      <c r="T2282" s="1"/>
    </row>
    <row r="2283" spans="1:20" ht="13.5" customHeight="1" thickTop="1" x14ac:dyDescent="0.25">
      <c r="A2283" s="1"/>
      <c r="B2283" s="1"/>
      <c r="C2283" s="1"/>
      <c r="D2283" s="42"/>
      <c r="E2283" s="67"/>
      <c r="F2283" s="45"/>
      <c r="G2283" s="45"/>
      <c r="H2283" s="74"/>
      <c r="I2283" s="66"/>
      <c r="J2283" s="48"/>
      <c r="K2283" s="49"/>
      <c r="L2283" s="50"/>
      <c r="M2283" s="77"/>
      <c r="N2283" s="53"/>
      <c r="O2283" s="52"/>
      <c r="P2283" s="53"/>
      <c r="Q2283" s="54"/>
      <c r="R2283" s="1"/>
      <c r="S2283" s="1"/>
      <c r="T2283" s="1"/>
    </row>
    <row r="2284" spans="1:20" ht="13.5" customHeight="1" x14ac:dyDescent="0.25">
      <c r="A2284" s="1"/>
      <c r="B2284" s="1"/>
      <c r="C2284" s="41" t="s">
        <v>2018</v>
      </c>
      <c r="D2284" s="42"/>
      <c r="E2284" s="67"/>
      <c r="F2284" s="45"/>
      <c r="G2284" s="45"/>
      <c r="H2284" s="74"/>
      <c r="I2284" s="66"/>
      <c r="J2284" s="48"/>
      <c r="K2284" s="49"/>
      <c r="L2284" s="50"/>
      <c r="M2284" s="77"/>
      <c r="N2284" s="53"/>
      <c r="O2284" s="52"/>
      <c r="P2284" s="53"/>
      <c r="Q2284" s="54"/>
      <c r="R2284" s="1"/>
      <c r="S2284" s="1"/>
      <c r="T2284" s="1"/>
    </row>
    <row r="2285" spans="1:20" ht="13.5" customHeight="1" thickBot="1" x14ac:dyDescent="0.3">
      <c r="A2285" s="1"/>
      <c r="B2285" s="1" t="s">
        <v>2019</v>
      </c>
      <c r="C2285" s="1" t="s">
        <v>1833</v>
      </c>
      <c r="D2285" s="266">
        <v>13000</v>
      </c>
      <c r="E2285" s="173">
        <v>13000</v>
      </c>
      <c r="F2285" s="174">
        <v>13000</v>
      </c>
      <c r="G2285" s="174">
        <v>13000</v>
      </c>
      <c r="H2285" s="268">
        <v>20357.75</v>
      </c>
      <c r="I2285" s="175"/>
      <c r="J2285" s="176">
        <v>13000</v>
      </c>
      <c r="K2285" s="177">
        <v>13000</v>
      </c>
      <c r="L2285" s="190">
        <v>0</v>
      </c>
      <c r="M2285" s="190">
        <v>0</v>
      </c>
      <c r="N2285" s="191">
        <v>0</v>
      </c>
      <c r="O2285" s="192">
        <v>0</v>
      </c>
      <c r="P2285" s="191">
        <v>0</v>
      </c>
      <c r="Q2285" s="193">
        <v>11109.18</v>
      </c>
      <c r="R2285" s="1"/>
      <c r="S2285" s="1"/>
      <c r="T2285" s="1"/>
    </row>
    <row r="2286" spans="1:20" ht="13.5" customHeight="1" thickTop="1" x14ac:dyDescent="0.25">
      <c r="A2286" s="1"/>
      <c r="B2286" s="1"/>
      <c r="C2286" s="1"/>
      <c r="D2286" s="42"/>
      <c r="E2286" s="67"/>
      <c r="F2286" s="45"/>
      <c r="G2286" s="45"/>
      <c r="H2286" s="74"/>
      <c r="I2286" s="66"/>
      <c r="J2286" s="48"/>
      <c r="K2286" s="49"/>
      <c r="L2286" s="77"/>
      <c r="M2286" s="77"/>
      <c r="N2286" s="53"/>
      <c r="O2286" s="52"/>
      <c r="P2286" s="53"/>
      <c r="Q2286" s="54"/>
      <c r="R2286" s="1"/>
      <c r="S2286" s="1"/>
      <c r="T2286" s="1"/>
    </row>
    <row r="2287" spans="1:20" ht="13.5" customHeight="1" x14ac:dyDescent="0.25">
      <c r="A2287" s="1"/>
      <c r="B2287" s="1"/>
      <c r="C2287" s="41" t="s">
        <v>2020</v>
      </c>
      <c r="D2287" s="42"/>
      <c r="E2287" s="67"/>
      <c r="F2287" s="45"/>
      <c r="G2287" s="45"/>
      <c r="H2287" s="74"/>
      <c r="I2287" s="66"/>
      <c r="J2287" s="48"/>
      <c r="K2287" s="49"/>
      <c r="L2287" s="77"/>
      <c r="M2287" s="77"/>
      <c r="N2287" s="53"/>
      <c r="O2287" s="52"/>
      <c r="P2287" s="53"/>
      <c r="Q2287" s="54"/>
      <c r="R2287" s="1"/>
      <c r="S2287" s="1"/>
      <c r="T2287" s="1"/>
    </row>
    <row r="2288" spans="1:20" ht="13.5" customHeight="1" thickBot="1" x14ac:dyDescent="0.3">
      <c r="A2288" s="1"/>
      <c r="B2288" s="1" t="s">
        <v>2021</v>
      </c>
      <c r="C2288" s="1" t="s">
        <v>1833</v>
      </c>
      <c r="D2288" s="266">
        <v>13000</v>
      </c>
      <c r="E2288" s="173">
        <v>13000</v>
      </c>
      <c r="F2288" s="174">
        <v>13000</v>
      </c>
      <c r="G2288" s="174">
        <v>13000</v>
      </c>
      <c r="H2288" s="187">
        <v>0</v>
      </c>
      <c r="I2288" s="175"/>
      <c r="J2288" s="176">
        <v>13000</v>
      </c>
      <c r="K2288" s="177">
        <v>13000</v>
      </c>
      <c r="L2288" s="190">
        <v>0</v>
      </c>
      <c r="M2288" s="190">
        <v>0</v>
      </c>
      <c r="N2288" s="191">
        <v>0</v>
      </c>
      <c r="O2288" s="192">
        <v>0</v>
      </c>
      <c r="P2288" s="191">
        <v>12428.9</v>
      </c>
      <c r="Q2288" s="193">
        <v>8192.06</v>
      </c>
      <c r="R2288" s="1"/>
      <c r="S2288" s="1"/>
      <c r="T2288" s="1"/>
    </row>
    <row r="2289" spans="1:20" ht="13.5" customHeight="1" thickTop="1" x14ac:dyDescent="0.25">
      <c r="A2289" s="1"/>
      <c r="B2289" s="1"/>
      <c r="C2289" s="1"/>
      <c r="D2289" s="42"/>
      <c r="E2289" s="67"/>
      <c r="F2289" s="45"/>
      <c r="G2289" s="45"/>
      <c r="H2289" s="74"/>
      <c r="I2289" s="66"/>
      <c r="J2289" s="48"/>
      <c r="K2289" s="49"/>
      <c r="L2289" s="77"/>
      <c r="M2289" s="77"/>
      <c r="N2289" s="53"/>
      <c r="O2289" s="52"/>
      <c r="P2289" s="53"/>
      <c r="Q2289" s="54"/>
      <c r="R2289" s="1"/>
      <c r="S2289" s="1"/>
      <c r="T2289" s="1"/>
    </row>
    <row r="2290" spans="1:20" ht="13.5" customHeight="1" x14ac:dyDescent="0.25">
      <c r="A2290" s="1"/>
      <c r="B2290" s="1"/>
      <c r="C2290" s="1"/>
      <c r="D2290" s="42"/>
      <c r="E2290" s="67"/>
      <c r="F2290" s="45"/>
      <c r="G2290" s="45"/>
      <c r="H2290" s="74"/>
      <c r="I2290" s="66"/>
      <c r="J2290" s="48"/>
      <c r="K2290" s="49"/>
      <c r="L2290" s="77"/>
      <c r="M2290" s="77"/>
      <c r="N2290" s="53"/>
      <c r="O2290" s="52"/>
      <c r="P2290" s="53"/>
      <c r="Q2290" s="54"/>
      <c r="R2290" s="1"/>
      <c r="S2290" s="1"/>
      <c r="T2290" s="1"/>
    </row>
    <row r="2291" spans="1:20" ht="13.5" customHeight="1" x14ac:dyDescent="0.25">
      <c r="A2291" s="1"/>
      <c r="B2291" s="1"/>
      <c r="C2291" s="1"/>
      <c r="D2291" s="42"/>
      <c r="E2291" s="67"/>
      <c r="F2291" s="45"/>
      <c r="G2291" s="45"/>
      <c r="H2291" s="74"/>
      <c r="I2291" s="66"/>
      <c r="J2291" s="48"/>
      <c r="K2291" s="49"/>
      <c r="L2291" s="77"/>
      <c r="M2291" s="77"/>
      <c r="N2291" s="53"/>
      <c r="O2291" s="52"/>
      <c r="P2291" s="53"/>
      <c r="Q2291" s="54"/>
      <c r="R2291" s="1"/>
      <c r="S2291" s="1"/>
      <c r="T2291" s="1"/>
    </row>
    <row r="2292" spans="1:20" ht="13.5" customHeight="1" x14ac:dyDescent="0.25">
      <c r="A2292" s="1"/>
      <c r="B2292" s="1"/>
      <c r="C2292" s="41" t="s">
        <v>2022</v>
      </c>
      <c r="D2292" s="42"/>
      <c r="E2292" s="67"/>
      <c r="F2292" s="45"/>
      <c r="G2292" s="45"/>
      <c r="H2292" s="74"/>
      <c r="I2292" s="66"/>
      <c r="J2292" s="48"/>
      <c r="K2292" s="49"/>
      <c r="L2292" s="77"/>
      <c r="M2292" s="77"/>
      <c r="N2292" s="53"/>
      <c r="O2292" s="52"/>
      <c r="P2292" s="53"/>
      <c r="Q2292" s="54"/>
      <c r="R2292" s="1"/>
      <c r="S2292" s="1"/>
      <c r="T2292" s="1"/>
    </row>
    <row r="2293" spans="1:20" ht="13.5" customHeight="1" x14ac:dyDescent="0.25">
      <c r="A2293" s="1"/>
      <c r="B2293" s="1" t="s">
        <v>2023</v>
      </c>
      <c r="C2293" s="1" t="s">
        <v>237</v>
      </c>
      <c r="D2293" s="42">
        <v>81120</v>
      </c>
      <c r="E2293" s="43">
        <v>33888.949999999997</v>
      </c>
      <c r="F2293" s="45">
        <v>66404</v>
      </c>
      <c r="G2293" s="45">
        <v>66404</v>
      </c>
      <c r="H2293" s="46">
        <v>69511.899999999994</v>
      </c>
      <c r="I2293" s="47">
        <f>H2293/J2293</f>
        <v>1.0468029034395518</v>
      </c>
      <c r="J2293" s="48">
        <v>66404</v>
      </c>
      <c r="K2293" s="49">
        <v>66404</v>
      </c>
      <c r="L2293" s="50">
        <v>63748.42</v>
      </c>
      <c r="M2293" s="50">
        <v>65828.41</v>
      </c>
      <c r="N2293" s="51">
        <v>65268.2</v>
      </c>
      <c r="O2293" s="52">
        <v>59502.04</v>
      </c>
      <c r="P2293" s="53">
        <v>61174.48</v>
      </c>
      <c r="Q2293" s="54">
        <v>61463.38</v>
      </c>
      <c r="R2293" s="1"/>
      <c r="S2293" s="1"/>
      <c r="T2293" s="1"/>
    </row>
    <row r="2294" spans="1:20" ht="13.5" customHeight="1" x14ac:dyDescent="0.25">
      <c r="A2294" s="1"/>
      <c r="B2294" s="1"/>
      <c r="C2294" s="1"/>
      <c r="D2294" s="56">
        <v>81120</v>
      </c>
      <c r="E2294" s="57">
        <f t="shared" ref="E2294" si="952">SUM(E2293)</f>
        <v>33888.949999999997</v>
      </c>
      <c r="F2294" s="58">
        <f>SUM(F2292:F2293)</f>
        <v>66404</v>
      </c>
      <c r="G2294" s="58">
        <v>66404</v>
      </c>
      <c r="H2294" s="59">
        <f>SUM(H2293)</f>
        <v>69511.899999999994</v>
      </c>
      <c r="I2294" s="59"/>
      <c r="J2294" s="60">
        <f t="shared" ref="J2294:Q2294" si="953">SUM(J2293)</f>
        <v>66404</v>
      </c>
      <c r="K2294" s="61">
        <f t="shared" si="953"/>
        <v>66404</v>
      </c>
      <c r="L2294" s="62">
        <f t="shared" si="953"/>
        <v>63748.42</v>
      </c>
      <c r="M2294" s="62">
        <f t="shared" si="953"/>
        <v>65828.41</v>
      </c>
      <c r="N2294" s="63">
        <f t="shared" si="953"/>
        <v>65268.2</v>
      </c>
      <c r="O2294" s="64">
        <f t="shared" si="953"/>
        <v>59502.04</v>
      </c>
      <c r="P2294" s="63">
        <f t="shared" si="953"/>
        <v>61174.48</v>
      </c>
      <c r="Q2294" s="65">
        <f t="shared" si="953"/>
        <v>61463.38</v>
      </c>
      <c r="R2294" s="1"/>
      <c r="S2294" s="1"/>
      <c r="T2294" s="1"/>
    </row>
    <row r="2295" spans="1:20" ht="13.5" customHeight="1" x14ac:dyDescent="0.25">
      <c r="A2295" s="1"/>
      <c r="B2295" s="1"/>
      <c r="C2295" s="1"/>
      <c r="D2295" s="42"/>
      <c r="E2295" s="44"/>
      <c r="F2295" s="45"/>
      <c r="G2295" s="45"/>
      <c r="H2295" s="66"/>
      <c r="I2295" s="66"/>
      <c r="J2295" s="48"/>
      <c r="K2295" s="49"/>
      <c r="L2295" s="50"/>
      <c r="M2295" s="50"/>
      <c r="N2295" s="51"/>
      <c r="O2295" s="52"/>
      <c r="P2295" s="53"/>
      <c r="Q2295" s="54"/>
      <c r="R2295" s="1"/>
      <c r="S2295" s="1"/>
      <c r="T2295" s="1"/>
    </row>
    <row r="2296" spans="1:20" ht="13.5" customHeight="1" x14ac:dyDescent="0.25">
      <c r="A2296" s="1"/>
      <c r="B2296" s="1" t="s">
        <v>2024</v>
      </c>
      <c r="C2296" s="1" t="s">
        <v>247</v>
      </c>
      <c r="D2296" s="42">
        <v>6205.6799999999994</v>
      </c>
      <c r="E2296" s="43">
        <v>2592.5</v>
      </c>
      <c r="F2296" s="45">
        <v>5079.9059999999999</v>
      </c>
      <c r="G2296" s="45">
        <v>5079.9059999999999</v>
      </c>
      <c r="H2296" s="46">
        <v>5317.65</v>
      </c>
      <c r="I2296" s="47">
        <f t="shared" ref="I2296:I2300" si="954">H2296/J2296</f>
        <v>1.046781496062992</v>
      </c>
      <c r="J2296" s="48">
        <v>5080</v>
      </c>
      <c r="K2296" s="49">
        <v>5080</v>
      </c>
      <c r="L2296" s="50">
        <v>4876.74</v>
      </c>
      <c r="M2296" s="50">
        <v>5040.01</v>
      </c>
      <c r="N2296" s="51">
        <v>4993.16</v>
      </c>
      <c r="O2296" s="52">
        <v>4499.08</v>
      </c>
      <c r="P2296" s="53">
        <v>4732.47</v>
      </c>
      <c r="Q2296" s="54">
        <v>4683.71</v>
      </c>
      <c r="R2296" s="1"/>
      <c r="S2296" s="1"/>
      <c r="T2296" s="1"/>
    </row>
    <row r="2297" spans="1:20" ht="13.5" customHeight="1" x14ac:dyDescent="0.25">
      <c r="A2297" s="1"/>
      <c r="B2297" s="1" t="s">
        <v>2025</v>
      </c>
      <c r="C2297" s="1" t="s">
        <v>251</v>
      </c>
      <c r="D2297" s="42">
        <v>12184.224</v>
      </c>
      <c r="E2297" s="43">
        <v>5090.12</v>
      </c>
      <c r="F2297" s="45">
        <v>9973.8808000000008</v>
      </c>
      <c r="G2297" s="45">
        <v>9973.8808000000008</v>
      </c>
      <c r="H2297" s="46">
        <v>10007.25</v>
      </c>
      <c r="I2297" s="47">
        <f t="shared" si="954"/>
        <v>1.0378811449906657</v>
      </c>
      <c r="J2297" s="48">
        <v>9642</v>
      </c>
      <c r="K2297" s="49">
        <v>9642</v>
      </c>
      <c r="L2297" s="50">
        <v>9138.27</v>
      </c>
      <c r="M2297" s="50">
        <v>8543.2999999999993</v>
      </c>
      <c r="N2297" s="51">
        <v>8163.68</v>
      </c>
      <c r="O2297" s="52">
        <v>7114.24</v>
      </c>
      <c r="P2297" s="53">
        <v>8328.06</v>
      </c>
      <c r="Q2297" s="54">
        <v>7234.51</v>
      </c>
      <c r="R2297" s="1"/>
      <c r="S2297" s="1"/>
      <c r="T2297" s="1"/>
    </row>
    <row r="2298" spans="1:20" ht="13.5" customHeight="1" x14ac:dyDescent="0.25">
      <c r="A2298" s="1"/>
      <c r="B2298" s="1" t="s">
        <v>2026</v>
      </c>
      <c r="C2298" s="1" t="s">
        <v>1822</v>
      </c>
      <c r="D2298" s="42">
        <v>1850</v>
      </c>
      <c r="E2298" s="43">
        <v>681</v>
      </c>
      <c r="F2298" s="45">
        <v>1850</v>
      </c>
      <c r="G2298" s="45">
        <v>1850</v>
      </c>
      <c r="H2298" s="46">
        <v>985.16</v>
      </c>
      <c r="I2298" s="47">
        <f t="shared" si="954"/>
        <v>0.53251891891891889</v>
      </c>
      <c r="J2298" s="48">
        <v>1850</v>
      </c>
      <c r="K2298" s="49">
        <v>1850</v>
      </c>
      <c r="L2298" s="50">
        <v>1100.8</v>
      </c>
      <c r="M2298" s="50">
        <v>1415.2</v>
      </c>
      <c r="N2298" s="51">
        <v>1475</v>
      </c>
      <c r="O2298" s="52">
        <v>1787.1</v>
      </c>
      <c r="P2298" s="53">
        <v>1635</v>
      </c>
      <c r="Q2298" s="54">
        <v>2266</v>
      </c>
      <c r="R2298" s="1"/>
      <c r="S2298" s="1"/>
      <c r="T2298" s="1"/>
    </row>
    <row r="2299" spans="1:20" ht="13.5" customHeight="1" x14ac:dyDescent="0.25">
      <c r="A2299" s="1"/>
      <c r="B2299" s="1" t="s">
        <v>2027</v>
      </c>
      <c r="C2299" s="1" t="s">
        <v>253</v>
      </c>
      <c r="D2299" s="42">
        <v>129.792</v>
      </c>
      <c r="E2299" s="43">
        <v>54.23</v>
      </c>
      <c r="F2299" s="45">
        <v>106.24640000000001</v>
      </c>
      <c r="G2299" s="45">
        <v>106.24640000000001</v>
      </c>
      <c r="H2299" s="46">
        <v>110.14</v>
      </c>
      <c r="I2299" s="47">
        <f t="shared" si="954"/>
        <v>1.0293457943925233</v>
      </c>
      <c r="J2299" s="48">
        <v>107</v>
      </c>
      <c r="K2299" s="49">
        <v>107</v>
      </c>
      <c r="L2299" s="50">
        <v>115.43</v>
      </c>
      <c r="M2299" s="50">
        <v>116.58</v>
      </c>
      <c r="N2299" s="51">
        <v>141.85</v>
      </c>
      <c r="O2299" s="52">
        <v>139.12</v>
      </c>
      <c r="P2299" s="53">
        <v>146.68</v>
      </c>
      <c r="Q2299" s="54">
        <v>142.49</v>
      </c>
      <c r="R2299" s="1"/>
      <c r="S2299" s="1"/>
      <c r="T2299" s="1"/>
    </row>
    <row r="2300" spans="1:20" ht="13.5" customHeight="1" x14ac:dyDescent="0.25">
      <c r="A2300" s="1"/>
      <c r="B2300" s="1" t="s">
        <v>2028</v>
      </c>
      <c r="C2300" s="1" t="s">
        <v>287</v>
      </c>
      <c r="D2300" s="42">
        <v>48.671999999999997</v>
      </c>
      <c r="E2300" s="43">
        <v>11.41</v>
      </c>
      <c r="F2300" s="45">
        <v>46.482799999999997</v>
      </c>
      <c r="G2300" s="45">
        <v>46.482799999999997</v>
      </c>
      <c r="H2300" s="46">
        <v>57.8</v>
      </c>
      <c r="I2300" s="47">
        <f t="shared" si="954"/>
        <v>0.42814814814814811</v>
      </c>
      <c r="J2300" s="48">
        <v>135</v>
      </c>
      <c r="K2300" s="49">
        <v>135</v>
      </c>
      <c r="L2300" s="50">
        <v>71.87</v>
      </c>
      <c r="M2300" s="50">
        <v>131.66999999999999</v>
      </c>
      <c r="N2300" s="51">
        <v>148.38999999999999</v>
      </c>
      <c r="O2300" s="52">
        <v>174.06</v>
      </c>
      <c r="P2300" s="53">
        <v>191.61</v>
      </c>
      <c r="Q2300" s="54">
        <v>188.44</v>
      </c>
      <c r="R2300" s="1"/>
      <c r="S2300" s="1"/>
      <c r="T2300" s="1"/>
    </row>
    <row r="2301" spans="1:20" ht="13.5" customHeight="1" x14ac:dyDescent="0.25">
      <c r="A2301" s="1"/>
      <c r="B2301" s="1"/>
      <c r="C2301" s="1"/>
      <c r="D2301" s="56">
        <v>20418.367999999999</v>
      </c>
      <c r="E2301" s="57">
        <f t="shared" ref="E2301" si="955">SUM(E2296:E2300)</f>
        <v>8429.2599999999984</v>
      </c>
      <c r="F2301" s="58">
        <f>SUM(F2295:F2300)</f>
        <v>17056.516000000003</v>
      </c>
      <c r="G2301" s="58">
        <v>17056.516000000003</v>
      </c>
      <c r="H2301" s="59">
        <f>SUM(H2296:H2300)</f>
        <v>16478</v>
      </c>
      <c r="I2301" s="59"/>
      <c r="J2301" s="60">
        <f t="shared" ref="J2301:Q2301" si="956">SUM(J2296:J2300)</f>
        <v>16814</v>
      </c>
      <c r="K2301" s="61">
        <f t="shared" si="956"/>
        <v>16814</v>
      </c>
      <c r="L2301" s="62">
        <f t="shared" si="956"/>
        <v>15303.11</v>
      </c>
      <c r="M2301" s="62">
        <f t="shared" si="956"/>
        <v>15246.76</v>
      </c>
      <c r="N2301" s="63">
        <f t="shared" si="956"/>
        <v>14922.08</v>
      </c>
      <c r="O2301" s="64">
        <f t="shared" si="956"/>
        <v>13713.6</v>
      </c>
      <c r="P2301" s="63">
        <f t="shared" si="956"/>
        <v>15033.82</v>
      </c>
      <c r="Q2301" s="65">
        <f t="shared" si="956"/>
        <v>14515.150000000001</v>
      </c>
      <c r="R2301" s="1"/>
      <c r="S2301" s="1"/>
      <c r="T2301" s="1"/>
    </row>
    <row r="2302" spans="1:20" ht="13.5" customHeight="1" x14ac:dyDescent="0.25">
      <c r="A2302" s="1"/>
      <c r="B2302" s="1"/>
      <c r="C2302" s="1"/>
      <c r="D2302" s="42"/>
      <c r="E2302" s="44"/>
      <c r="F2302" s="45"/>
      <c r="G2302" s="45"/>
      <c r="H2302" s="66"/>
      <c r="I2302" s="66"/>
      <c r="J2302" s="48"/>
      <c r="K2302" s="49"/>
      <c r="L2302" s="50"/>
      <c r="M2302" s="50"/>
      <c r="N2302" s="51"/>
      <c r="O2302" s="52"/>
      <c r="P2302" s="53"/>
      <c r="Q2302" s="54"/>
      <c r="R2302" s="1"/>
      <c r="S2302" s="1"/>
      <c r="T2302" s="1"/>
    </row>
    <row r="2303" spans="1:20" ht="13.5" customHeight="1" x14ac:dyDescent="0.25">
      <c r="A2303" s="1"/>
      <c r="B2303" s="1" t="s">
        <v>2029</v>
      </c>
      <c r="C2303" s="1" t="s">
        <v>259</v>
      </c>
      <c r="D2303" s="42">
        <v>1739</v>
      </c>
      <c r="E2303" s="43">
        <v>2479</v>
      </c>
      <c r="F2303" s="45">
        <v>1739</v>
      </c>
      <c r="G2303" s="45">
        <v>1739</v>
      </c>
      <c r="H2303" s="46">
        <v>2222</v>
      </c>
      <c r="I2303" s="47">
        <f>H2303/J2303</f>
        <v>1.2777458309373202</v>
      </c>
      <c r="J2303" s="48">
        <v>1739</v>
      </c>
      <c r="K2303" s="49">
        <v>1739</v>
      </c>
      <c r="L2303" s="50">
        <v>2614</v>
      </c>
      <c r="M2303" s="50">
        <v>1240</v>
      </c>
      <c r="N2303" s="51">
        <v>2617</v>
      </c>
      <c r="O2303" s="52">
        <v>13713.6</v>
      </c>
      <c r="P2303" s="53">
        <v>15033.82</v>
      </c>
      <c r="Q2303" s="54">
        <v>14515.15</v>
      </c>
      <c r="R2303" s="1"/>
      <c r="S2303" s="1"/>
      <c r="T2303" s="1"/>
    </row>
    <row r="2304" spans="1:20" ht="13.5" customHeight="1" x14ac:dyDescent="0.25">
      <c r="A2304" s="1"/>
      <c r="B2304" s="1"/>
      <c r="C2304" s="1"/>
      <c r="D2304" s="56">
        <v>1739</v>
      </c>
      <c r="E2304" s="57">
        <f t="shared" ref="E2304" si="957">SUM(E2303)</f>
        <v>2479</v>
      </c>
      <c r="F2304" s="58">
        <f>SUM(F2302:F2303)</f>
        <v>1739</v>
      </c>
      <c r="G2304" s="58">
        <v>1739</v>
      </c>
      <c r="H2304" s="59">
        <f>SUM(H2303)</f>
        <v>2222</v>
      </c>
      <c r="I2304" s="59"/>
      <c r="J2304" s="60">
        <f t="shared" ref="J2304:Q2304" si="958">SUM(J2303)</f>
        <v>1739</v>
      </c>
      <c r="K2304" s="61">
        <f t="shared" si="958"/>
        <v>1739</v>
      </c>
      <c r="L2304" s="62">
        <f t="shared" si="958"/>
        <v>2614</v>
      </c>
      <c r="M2304" s="62">
        <f t="shared" si="958"/>
        <v>1240</v>
      </c>
      <c r="N2304" s="63">
        <f t="shared" si="958"/>
        <v>2617</v>
      </c>
      <c r="O2304" s="64">
        <f t="shared" si="958"/>
        <v>13713.6</v>
      </c>
      <c r="P2304" s="63">
        <f t="shared" si="958"/>
        <v>15033.82</v>
      </c>
      <c r="Q2304" s="65">
        <f t="shared" si="958"/>
        <v>14515.15</v>
      </c>
      <c r="R2304" s="1"/>
      <c r="S2304" s="1"/>
      <c r="T2304" s="1"/>
    </row>
    <row r="2305" spans="1:20" ht="13.5" customHeight="1" x14ac:dyDescent="0.25">
      <c r="A2305" s="1"/>
      <c r="B2305" s="1"/>
      <c r="C2305" s="1"/>
      <c r="D2305" s="42"/>
      <c r="E2305" s="44"/>
      <c r="F2305" s="45"/>
      <c r="G2305" s="45"/>
      <c r="H2305" s="66"/>
      <c r="I2305" s="66"/>
      <c r="J2305" s="48"/>
      <c r="K2305" s="49"/>
      <c r="L2305" s="50"/>
      <c r="M2305" s="50"/>
      <c r="N2305" s="51"/>
      <c r="O2305" s="52"/>
      <c r="P2305" s="53"/>
      <c r="Q2305" s="54"/>
      <c r="R2305" s="1"/>
      <c r="S2305" s="1"/>
      <c r="T2305" s="1"/>
    </row>
    <row r="2306" spans="1:20" ht="13.5" customHeight="1" x14ac:dyDescent="0.25">
      <c r="A2306" s="1"/>
      <c r="B2306" s="1" t="s">
        <v>2030</v>
      </c>
      <c r="C2306" s="1" t="s">
        <v>1422</v>
      </c>
      <c r="D2306" s="42">
        <v>0</v>
      </c>
      <c r="E2306" s="43">
        <v>425.25</v>
      </c>
      <c r="F2306" s="73">
        <v>0</v>
      </c>
      <c r="G2306" s="73">
        <v>0</v>
      </c>
      <c r="H2306" s="46">
        <v>1071</v>
      </c>
      <c r="I2306" s="47">
        <f t="shared" ref="I2306:I2309" si="959">H2306/J2306</f>
        <v>11.9</v>
      </c>
      <c r="J2306" s="48">
        <v>90</v>
      </c>
      <c r="K2306" s="76">
        <v>0</v>
      </c>
      <c r="L2306" s="50">
        <v>849.81</v>
      </c>
      <c r="M2306" s="77">
        <v>0</v>
      </c>
      <c r="N2306" s="53" t="s">
        <v>16</v>
      </c>
      <c r="O2306" s="52">
        <v>1277</v>
      </c>
      <c r="P2306" s="53">
        <v>1951.79</v>
      </c>
      <c r="Q2306" s="54">
        <v>657</v>
      </c>
      <c r="R2306" s="1"/>
      <c r="S2306" s="1"/>
      <c r="T2306" s="1"/>
    </row>
    <row r="2307" spans="1:20" ht="13.5" customHeight="1" x14ac:dyDescent="0.25">
      <c r="A2307" s="1"/>
      <c r="B2307" s="1" t="s">
        <v>2031</v>
      </c>
      <c r="C2307" s="1" t="s">
        <v>318</v>
      </c>
      <c r="D2307" s="42">
        <v>523</v>
      </c>
      <c r="E2307" s="43">
        <v>120.25</v>
      </c>
      <c r="F2307" s="45">
        <v>523</v>
      </c>
      <c r="G2307" s="45">
        <v>523</v>
      </c>
      <c r="H2307" s="46">
        <v>292.43</v>
      </c>
      <c r="I2307" s="47">
        <f t="shared" si="959"/>
        <v>0.55913957934990444</v>
      </c>
      <c r="J2307" s="48">
        <v>523</v>
      </c>
      <c r="K2307" s="49">
        <v>523</v>
      </c>
      <c r="L2307" s="50">
        <v>443.48</v>
      </c>
      <c r="M2307" s="50">
        <v>666.04</v>
      </c>
      <c r="N2307" s="51">
        <v>596.92999999999995</v>
      </c>
      <c r="O2307" s="52">
        <v>573.67999999999995</v>
      </c>
      <c r="P2307" s="53">
        <v>564.44000000000005</v>
      </c>
      <c r="Q2307" s="54">
        <v>585.24</v>
      </c>
      <c r="R2307" s="1"/>
      <c r="S2307" s="1"/>
      <c r="T2307" s="1"/>
    </row>
    <row r="2308" spans="1:20" ht="13.5" customHeight="1" x14ac:dyDescent="0.25">
      <c r="A2308" s="1"/>
      <c r="B2308" s="1" t="s">
        <v>2032</v>
      </c>
      <c r="C2308" s="1" t="s">
        <v>1143</v>
      </c>
      <c r="D2308" s="42">
        <v>1421</v>
      </c>
      <c r="E2308" s="43">
        <v>462.75</v>
      </c>
      <c r="F2308" s="45">
        <v>1421</v>
      </c>
      <c r="G2308" s="45">
        <v>1421</v>
      </c>
      <c r="H2308" s="46">
        <v>968.29</v>
      </c>
      <c r="I2308" s="47">
        <f t="shared" si="959"/>
        <v>0.68141449683321598</v>
      </c>
      <c r="J2308" s="48">
        <v>1421</v>
      </c>
      <c r="K2308" s="49">
        <v>1421</v>
      </c>
      <c r="L2308" s="50">
        <v>1195.23</v>
      </c>
      <c r="M2308" s="50">
        <v>1114.31</v>
      </c>
      <c r="N2308" s="51">
        <v>1246.5999999999999</v>
      </c>
      <c r="O2308" s="52">
        <v>1988.87</v>
      </c>
      <c r="P2308" s="53">
        <v>2030.45</v>
      </c>
      <c r="Q2308" s="54">
        <v>2549.4</v>
      </c>
      <c r="R2308" s="1"/>
      <c r="S2308" s="1"/>
      <c r="T2308" s="1"/>
    </row>
    <row r="2309" spans="1:20" ht="13.5" customHeight="1" x14ac:dyDescent="0.25">
      <c r="A2309" s="1"/>
      <c r="B2309" s="1" t="s">
        <v>2033</v>
      </c>
      <c r="C2309" s="1" t="s">
        <v>1205</v>
      </c>
      <c r="D2309" s="42">
        <v>246300</v>
      </c>
      <c r="E2309" s="43">
        <v>133572.26999999999</v>
      </c>
      <c r="F2309" s="45">
        <v>246300</v>
      </c>
      <c r="G2309" s="45">
        <v>246300</v>
      </c>
      <c r="H2309" s="46">
        <v>277121.83</v>
      </c>
      <c r="I2309" s="47">
        <f t="shared" si="959"/>
        <v>1.1251393828664231</v>
      </c>
      <c r="J2309" s="48">
        <v>246300</v>
      </c>
      <c r="K2309" s="49">
        <v>246300</v>
      </c>
      <c r="L2309" s="50">
        <v>260679.51</v>
      </c>
      <c r="M2309" s="50">
        <v>265915.67</v>
      </c>
      <c r="N2309" s="51">
        <v>246970.75</v>
      </c>
      <c r="O2309" s="52">
        <v>240883.45</v>
      </c>
      <c r="P2309" s="53">
        <v>220733.5</v>
      </c>
      <c r="Q2309" s="54">
        <v>186892.79</v>
      </c>
      <c r="R2309" s="1"/>
      <c r="S2309" s="1"/>
      <c r="T2309" s="1"/>
    </row>
    <row r="2310" spans="1:20" ht="13.5" customHeight="1" x14ac:dyDescent="0.25">
      <c r="A2310" s="1"/>
      <c r="B2310" s="1" t="s">
        <v>2034</v>
      </c>
      <c r="C2310" s="1" t="s">
        <v>279</v>
      </c>
      <c r="D2310" s="42">
        <v>90</v>
      </c>
      <c r="E2310" s="43">
        <v>0</v>
      </c>
      <c r="F2310" s="45">
        <v>90</v>
      </c>
      <c r="G2310" s="45">
        <v>90</v>
      </c>
      <c r="H2310" s="68">
        <v>86.47</v>
      </c>
      <c r="I2310" s="47">
        <v>0</v>
      </c>
      <c r="J2310" s="75">
        <v>0</v>
      </c>
      <c r="K2310" s="49">
        <v>90</v>
      </c>
      <c r="L2310" s="50">
        <v>86.47</v>
      </c>
      <c r="M2310" s="50">
        <v>86.47</v>
      </c>
      <c r="N2310" s="51">
        <v>86.47</v>
      </c>
      <c r="O2310" s="52">
        <v>86.47</v>
      </c>
      <c r="P2310" s="53">
        <v>86.47</v>
      </c>
      <c r="Q2310" s="54">
        <v>172.94</v>
      </c>
      <c r="R2310" s="1"/>
      <c r="S2310" s="1"/>
      <c r="T2310" s="1"/>
    </row>
    <row r="2311" spans="1:20" ht="13.5" customHeight="1" x14ac:dyDescent="0.25">
      <c r="A2311" s="1"/>
      <c r="B2311" s="1"/>
      <c r="C2311" s="1"/>
      <c r="D2311" s="56">
        <v>248334</v>
      </c>
      <c r="E2311" s="57">
        <f t="shared" ref="E2311" si="960">SUM(E2306:E2310)</f>
        <v>134580.51999999999</v>
      </c>
      <c r="F2311" s="58">
        <f>SUM(F2305:F2310)</f>
        <v>248334</v>
      </c>
      <c r="G2311" s="58">
        <v>248334</v>
      </c>
      <c r="H2311" s="59">
        <f>SUM(H2306:H2310)</f>
        <v>279540.01999999996</v>
      </c>
      <c r="I2311" s="59"/>
      <c r="J2311" s="60">
        <f t="shared" ref="J2311:Q2311" si="961">SUM(J2306:J2310)</f>
        <v>248334</v>
      </c>
      <c r="K2311" s="61">
        <f t="shared" si="961"/>
        <v>248334</v>
      </c>
      <c r="L2311" s="62">
        <f t="shared" si="961"/>
        <v>263254.5</v>
      </c>
      <c r="M2311" s="62">
        <f t="shared" si="961"/>
        <v>267782.48999999993</v>
      </c>
      <c r="N2311" s="63">
        <f t="shared" si="961"/>
        <v>248900.75</v>
      </c>
      <c r="O2311" s="64">
        <f t="shared" si="961"/>
        <v>244809.47</v>
      </c>
      <c r="P2311" s="63">
        <f t="shared" si="961"/>
        <v>225366.65</v>
      </c>
      <c r="Q2311" s="65">
        <f t="shared" si="961"/>
        <v>190857.37000000002</v>
      </c>
      <c r="R2311" s="1"/>
      <c r="S2311" s="1"/>
      <c r="T2311" s="1"/>
    </row>
    <row r="2312" spans="1:20" ht="13.5" customHeight="1" thickBot="1" x14ac:dyDescent="0.3">
      <c r="A2312" s="1"/>
      <c r="B2312" s="1"/>
      <c r="C2312" s="116" t="s">
        <v>2035</v>
      </c>
      <c r="D2312" s="267">
        <v>351611.36800000002</v>
      </c>
      <c r="E2312" s="173">
        <f t="shared" ref="E2312" si="962">SUM(E2294+E2301+E2304+E2311)</f>
        <v>179377.72999999998</v>
      </c>
      <c r="F2312" s="174">
        <f>SUM(F2294,F2301,F2304,F2311)</f>
        <v>333533.516</v>
      </c>
      <c r="G2312" s="174">
        <v>333533.516</v>
      </c>
      <c r="H2312" s="175">
        <f>SUM(H2294+H2301+H2304+H2311)</f>
        <v>367751.91999999993</v>
      </c>
      <c r="I2312" s="175"/>
      <c r="J2312" s="176">
        <f t="shared" ref="J2312:Q2312" si="963">SUM(J2294+J2301+J2304+J2311)</f>
        <v>333291</v>
      </c>
      <c r="K2312" s="177">
        <f t="shared" si="963"/>
        <v>333291</v>
      </c>
      <c r="L2312" s="178">
        <f t="shared" si="963"/>
        <v>344920.03</v>
      </c>
      <c r="M2312" s="178">
        <f t="shared" si="963"/>
        <v>350097.65999999992</v>
      </c>
      <c r="N2312" s="179">
        <f t="shared" si="963"/>
        <v>331708.03000000003</v>
      </c>
      <c r="O2312" s="180">
        <f t="shared" si="963"/>
        <v>331738.71000000002</v>
      </c>
      <c r="P2312" s="179">
        <f t="shared" si="963"/>
        <v>316608.77</v>
      </c>
      <c r="Q2312" s="181">
        <f t="shared" si="963"/>
        <v>281351.05000000005</v>
      </c>
      <c r="R2312" s="1"/>
      <c r="S2312" s="1"/>
      <c r="T2312" s="1"/>
    </row>
    <row r="2313" spans="1:20" ht="13.5" customHeight="1" thickTop="1" x14ac:dyDescent="0.25">
      <c r="A2313" s="1"/>
      <c r="B2313" s="1"/>
      <c r="C2313" s="1"/>
      <c r="D2313" s="42"/>
      <c r="E2313" s="44"/>
      <c r="F2313" s="45"/>
      <c r="G2313" s="45"/>
      <c r="H2313" s="74"/>
      <c r="I2313" s="74"/>
      <c r="J2313" s="75"/>
      <c r="K2313" s="49"/>
      <c r="L2313" s="50"/>
      <c r="M2313" s="50"/>
      <c r="N2313" s="51"/>
      <c r="O2313" s="52"/>
      <c r="P2313" s="53"/>
      <c r="Q2313" s="54"/>
      <c r="R2313" s="1"/>
      <c r="S2313" s="1"/>
      <c r="T2313" s="1"/>
    </row>
    <row r="2314" spans="1:20" ht="13.5" customHeight="1" thickBot="1" x14ac:dyDescent="0.3">
      <c r="A2314" s="1"/>
      <c r="B2314" s="78"/>
      <c r="C2314" s="250" t="s">
        <v>2036</v>
      </c>
      <c r="D2314" s="252">
        <v>7505786.7979999995</v>
      </c>
      <c r="E2314" s="253">
        <f t="shared" ref="E2314" si="964">+E2312+E2288+E2285+E2282+E2279+E2274+E2213+E2156+E2096+E2038</f>
        <v>3341292.33</v>
      </c>
      <c r="F2314" s="254">
        <f>SUM(F2038,F2096,F2156,F2213,F2274,F2279,F2282,F2285,F2288,F2312)</f>
        <v>7603858.0027999999</v>
      </c>
      <c r="G2314" s="254">
        <v>7605858.002799999</v>
      </c>
      <c r="H2314" s="255">
        <f>+H2312+H2288+H2285+H2282+H2279+H2274+H2213+H2156+H2096+H2038</f>
        <v>7308996.3800000008</v>
      </c>
      <c r="I2314" s="255"/>
      <c r="J2314" s="256">
        <f t="shared" ref="J2314:Q2314" si="965">+J2312+J2288+J2285+J2282+J2279+J2274+J2213+J2156+J2096+J2038</f>
        <v>7424860</v>
      </c>
      <c r="K2314" s="257">
        <f t="shared" si="965"/>
        <v>7336060</v>
      </c>
      <c r="L2314" s="258">
        <f t="shared" si="965"/>
        <v>6787154.4699999988</v>
      </c>
      <c r="M2314" s="258">
        <f t="shared" si="965"/>
        <v>6114419.7600000007</v>
      </c>
      <c r="N2314" s="259">
        <f t="shared" si="965"/>
        <v>6747269.4300000006</v>
      </c>
      <c r="O2314" s="260">
        <f t="shared" si="965"/>
        <v>5867396.5</v>
      </c>
      <c r="P2314" s="259">
        <f t="shared" si="965"/>
        <v>6199954.9700000007</v>
      </c>
      <c r="Q2314" s="261">
        <f t="shared" si="965"/>
        <v>5383912.4499999993</v>
      </c>
      <c r="R2314" s="1"/>
      <c r="S2314" s="1"/>
      <c r="T2314" s="1"/>
    </row>
    <row r="2315" spans="1:20" ht="13.5" customHeight="1" thickTop="1" x14ac:dyDescent="0.25">
      <c r="A2315" s="1"/>
      <c r="B2315" s="1"/>
      <c r="C2315" s="1"/>
      <c r="D2315" s="42"/>
      <c r="E2315" s="67"/>
      <c r="F2315" s="45"/>
      <c r="G2315" s="45"/>
      <c r="H2315" s="68" t="s">
        <v>3</v>
      </c>
      <c r="I2315" s="74"/>
      <c r="J2315" s="75"/>
      <c r="K2315" s="49"/>
      <c r="L2315" s="50"/>
      <c r="M2315" s="50"/>
      <c r="N2315" s="51"/>
      <c r="O2315" s="52"/>
      <c r="P2315" s="53"/>
      <c r="Q2315" s="54"/>
      <c r="R2315" s="1"/>
      <c r="S2315" s="1"/>
      <c r="T2315" s="1"/>
    </row>
    <row r="2316" spans="1:20" ht="17.25" customHeight="1" x14ac:dyDescent="0.25">
      <c r="A2316" s="1"/>
      <c r="B2316" s="262" t="s">
        <v>2037</v>
      </c>
      <c r="C2316" s="262" t="s">
        <v>2038</v>
      </c>
      <c r="D2316" s="42"/>
      <c r="E2316" s="67"/>
      <c r="F2316" s="45"/>
      <c r="G2316" s="45"/>
      <c r="H2316" s="68" t="s">
        <v>3</v>
      </c>
      <c r="I2316" s="74"/>
      <c r="J2316" s="75"/>
      <c r="K2316" s="49"/>
      <c r="L2316" s="50"/>
      <c r="M2316" s="50"/>
      <c r="N2316" s="51"/>
      <c r="O2316" s="52"/>
      <c r="P2316" s="53"/>
      <c r="Q2316" s="54"/>
      <c r="R2316" s="1"/>
      <c r="S2316" s="1"/>
      <c r="T2316" s="1"/>
    </row>
    <row r="2317" spans="1:20" ht="11.25" customHeight="1" x14ac:dyDescent="0.25">
      <c r="A2317" s="1"/>
      <c r="B2317" s="1"/>
      <c r="C2317" s="1"/>
      <c r="D2317" s="42"/>
      <c r="E2317" s="67"/>
      <c r="F2317" s="45"/>
      <c r="G2317" s="45"/>
      <c r="H2317" s="74"/>
      <c r="I2317" s="74"/>
      <c r="J2317" s="75"/>
      <c r="K2317" s="49"/>
      <c r="L2317" s="50"/>
      <c r="M2317" s="50"/>
      <c r="N2317" s="51"/>
      <c r="O2317" s="52"/>
      <c r="P2317" s="53"/>
      <c r="Q2317" s="54"/>
      <c r="R2317" s="1"/>
      <c r="S2317" s="1"/>
      <c r="T2317" s="1"/>
    </row>
    <row r="2318" spans="1:20" ht="13.5" customHeight="1" x14ac:dyDescent="0.25">
      <c r="A2318" s="41" t="s">
        <v>17</v>
      </c>
      <c r="B2318" s="1"/>
      <c r="C2318" s="1"/>
      <c r="D2318" s="42"/>
      <c r="E2318" s="44"/>
      <c r="F2318" s="45"/>
      <c r="G2318" s="45"/>
      <c r="H2318" s="66"/>
      <c r="I2318" s="66"/>
      <c r="J2318" s="48"/>
      <c r="K2318" s="49"/>
      <c r="L2318" s="50"/>
      <c r="M2318" s="50"/>
      <c r="N2318" s="51"/>
      <c r="O2318" s="52"/>
      <c r="P2318" s="53"/>
      <c r="Q2318" s="54"/>
      <c r="R2318" s="1"/>
      <c r="S2318" s="1"/>
      <c r="T2318" s="1"/>
    </row>
    <row r="2319" spans="1:20" ht="13.5" customHeight="1" x14ac:dyDescent="0.25">
      <c r="A2319" s="1"/>
      <c r="B2319" s="1" t="s">
        <v>2039</v>
      </c>
      <c r="C2319" s="1" t="s">
        <v>2040</v>
      </c>
      <c r="D2319" s="42">
        <v>-14100</v>
      </c>
      <c r="E2319" s="43">
        <v>-3321.54</v>
      </c>
      <c r="F2319" s="45">
        <v>-14100</v>
      </c>
      <c r="G2319" s="45">
        <v>-14100</v>
      </c>
      <c r="H2319" s="46">
        <v>-13521.53</v>
      </c>
      <c r="I2319" s="47">
        <f t="shared" ref="I2319:I2320" si="966">H2319/J2319</f>
        <v>0.95897375886524827</v>
      </c>
      <c r="J2319" s="48">
        <v>-14100</v>
      </c>
      <c r="K2319" s="49">
        <v>-14100</v>
      </c>
      <c r="L2319" s="50">
        <v>-11352.57</v>
      </c>
      <c r="M2319" s="50">
        <v>-9869.5400000000009</v>
      </c>
      <c r="N2319" s="51">
        <v>-12322.89</v>
      </c>
      <c r="O2319" s="52">
        <v>10792.31</v>
      </c>
      <c r="P2319" s="53">
        <v>9495.4699999999993</v>
      </c>
      <c r="Q2319" s="54">
        <v>9216.51</v>
      </c>
      <c r="R2319" s="1"/>
      <c r="S2319" s="1"/>
      <c r="T2319" s="1"/>
    </row>
    <row r="2320" spans="1:20" ht="13.5" customHeight="1" x14ac:dyDescent="0.25">
      <c r="A2320" s="1"/>
      <c r="B2320" s="1" t="s">
        <v>2041</v>
      </c>
      <c r="C2320" s="1" t="s">
        <v>2042</v>
      </c>
      <c r="D2320" s="42">
        <v>-15000</v>
      </c>
      <c r="E2320" s="43">
        <v>-13443.85</v>
      </c>
      <c r="F2320" s="45">
        <v>-15000</v>
      </c>
      <c r="G2320" s="45">
        <v>-15000</v>
      </c>
      <c r="H2320" s="46">
        <v>-17456.759999999998</v>
      </c>
      <c r="I2320" s="47">
        <f t="shared" si="966"/>
        <v>1.1637839999999999</v>
      </c>
      <c r="J2320" s="48">
        <v>-15000</v>
      </c>
      <c r="K2320" s="49">
        <v>-15000</v>
      </c>
      <c r="L2320" s="50">
        <v>-18886.04</v>
      </c>
      <c r="M2320" s="50">
        <v>-22989.23</v>
      </c>
      <c r="N2320" s="51">
        <v>-15220.75</v>
      </c>
      <c r="O2320" s="52">
        <v>14533</v>
      </c>
      <c r="P2320" s="53">
        <v>11070.35</v>
      </c>
      <c r="Q2320" s="54">
        <v>8411.16</v>
      </c>
      <c r="R2320" s="1"/>
      <c r="S2320" s="1"/>
      <c r="T2320" s="1"/>
    </row>
    <row r="2321" spans="1:20" ht="13.5" customHeight="1" x14ac:dyDescent="0.25">
      <c r="A2321" s="1"/>
      <c r="B2321" s="1" t="s">
        <v>2043</v>
      </c>
      <c r="C2321" s="1" t="s">
        <v>224</v>
      </c>
      <c r="D2321" s="42">
        <v>0</v>
      </c>
      <c r="E2321" s="43">
        <v>-297</v>
      </c>
      <c r="F2321" s="73">
        <v>0</v>
      </c>
      <c r="G2321" s="73">
        <v>0</v>
      </c>
      <c r="H2321" s="68">
        <v>0</v>
      </c>
      <c r="I2321" s="115" t="s">
        <v>3</v>
      </c>
      <c r="J2321" s="75" t="s">
        <v>16</v>
      </c>
      <c r="K2321" s="76" t="s">
        <v>16</v>
      </c>
      <c r="L2321" s="83">
        <v>0</v>
      </c>
      <c r="M2321" s="50">
        <v>-1060</v>
      </c>
      <c r="N2321" s="53" t="s">
        <v>16</v>
      </c>
      <c r="O2321" s="52"/>
      <c r="P2321" s="53"/>
      <c r="Q2321" s="54"/>
      <c r="R2321" s="1"/>
      <c r="S2321" s="1"/>
      <c r="T2321" s="1"/>
    </row>
    <row r="2322" spans="1:20" ht="13.5" customHeight="1" x14ac:dyDescent="0.25">
      <c r="A2322" s="1"/>
      <c r="B2322" s="1" t="s">
        <v>2044</v>
      </c>
      <c r="C2322" s="1" t="s">
        <v>1795</v>
      </c>
      <c r="D2322" s="42">
        <v>-12000</v>
      </c>
      <c r="E2322" s="43">
        <v>0</v>
      </c>
      <c r="F2322" s="45">
        <v>-12000</v>
      </c>
      <c r="G2322" s="45">
        <v>-12000</v>
      </c>
      <c r="H2322" s="74">
        <v>0</v>
      </c>
      <c r="I2322" s="47">
        <f>H2322/J2322</f>
        <v>0</v>
      </c>
      <c r="J2322" s="48">
        <v>-12000</v>
      </c>
      <c r="K2322" s="49">
        <v>-12000</v>
      </c>
      <c r="L2322" s="77">
        <v>0</v>
      </c>
      <c r="M2322" s="83">
        <v>0</v>
      </c>
      <c r="N2322" s="53" t="s">
        <v>16</v>
      </c>
      <c r="O2322" s="52"/>
      <c r="P2322" s="53"/>
      <c r="Q2322" s="54"/>
      <c r="R2322" s="1"/>
      <c r="S2322" s="1"/>
      <c r="T2322" s="1"/>
    </row>
    <row r="2323" spans="1:20" ht="13.5" customHeight="1" thickBot="1" x14ac:dyDescent="0.3">
      <c r="A2323" s="1"/>
      <c r="B2323" s="1"/>
      <c r="C2323" s="116" t="s">
        <v>2045</v>
      </c>
      <c r="D2323" s="117">
        <v>-41100</v>
      </c>
      <c r="E2323" s="118">
        <f t="shared" ref="E2323" si="967">SUM(E2319:E2322)</f>
        <v>-17062.39</v>
      </c>
      <c r="F2323" s="119">
        <f>SUM(F2318:F2322)</f>
        <v>-41100</v>
      </c>
      <c r="G2323" s="119">
        <v>-41100</v>
      </c>
      <c r="H2323" s="120">
        <f>SUM(H2319:H2322)</f>
        <v>-30978.29</v>
      </c>
      <c r="I2323" s="120"/>
      <c r="J2323" s="121">
        <f t="shared" ref="J2323:Q2323" si="968">SUM(J2319:J2322)</f>
        <v>-41100</v>
      </c>
      <c r="K2323" s="122">
        <f t="shared" si="968"/>
        <v>-41100</v>
      </c>
      <c r="L2323" s="123">
        <f t="shared" si="968"/>
        <v>-30238.61</v>
      </c>
      <c r="M2323" s="123">
        <f t="shared" si="968"/>
        <v>-33918.770000000004</v>
      </c>
      <c r="N2323" s="124">
        <f t="shared" si="968"/>
        <v>-27543.64</v>
      </c>
      <c r="O2323" s="125">
        <f t="shared" si="968"/>
        <v>25325.309999999998</v>
      </c>
      <c r="P2323" s="124">
        <f t="shared" si="968"/>
        <v>20565.82</v>
      </c>
      <c r="Q2323" s="126">
        <f t="shared" si="968"/>
        <v>17627.669999999998</v>
      </c>
      <c r="R2323" s="1"/>
      <c r="S2323" s="1"/>
      <c r="T2323" s="1"/>
    </row>
    <row r="2324" spans="1:20" ht="12" customHeight="1" thickTop="1" x14ac:dyDescent="0.25">
      <c r="A2324" s="1"/>
      <c r="B2324" s="1"/>
      <c r="C2324" s="1"/>
      <c r="D2324" s="42"/>
      <c r="E2324" s="67"/>
      <c r="F2324" s="45"/>
      <c r="G2324" s="45"/>
      <c r="H2324" s="74"/>
      <c r="I2324" s="66"/>
      <c r="J2324" s="48"/>
      <c r="K2324" s="49"/>
      <c r="L2324" s="77"/>
      <c r="M2324" s="77"/>
      <c r="N2324" s="53"/>
      <c r="O2324" s="52"/>
      <c r="P2324" s="53"/>
      <c r="Q2324" s="54"/>
      <c r="R2324" s="1"/>
      <c r="S2324" s="1"/>
      <c r="T2324" s="1"/>
    </row>
    <row r="2325" spans="1:20" ht="13.5" customHeight="1" x14ac:dyDescent="0.25">
      <c r="A2325" s="116" t="s">
        <v>230</v>
      </c>
      <c r="B2325" s="1"/>
      <c r="C2325" s="1"/>
      <c r="D2325" s="42"/>
      <c r="E2325" s="67"/>
      <c r="F2325" s="45"/>
      <c r="G2325" s="45"/>
      <c r="H2325" s="74"/>
      <c r="I2325" s="66"/>
      <c r="J2325" s="48"/>
      <c r="K2325" s="49"/>
      <c r="L2325" s="77"/>
      <c r="M2325" s="77"/>
      <c r="N2325" s="53"/>
      <c r="O2325" s="52"/>
      <c r="P2325" s="53"/>
      <c r="Q2325" s="54"/>
      <c r="R2325" s="1"/>
      <c r="S2325" s="1"/>
      <c r="T2325" s="1"/>
    </row>
    <row r="2326" spans="1:20" ht="13.5" customHeight="1" x14ac:dyDescent="0.25">
      <c r="A2326" s="1"/>
      <c r="B2326" s="1" t="s">
        <v>2046</v>
      </c>
      <c r="C2326" s="1" t="s">
        <v>259</v>
      </c>
      <c r="D2326" s="42">
        <v>3000</v>
      </c>
      <c r="E2326" s="43">
        <v>988.33</v>
      </c>
      <c r="F2326" s="45">
        <v>3000</v>
      </c>
      <c r="G2326" s="45">
        <v>3000</v>
      </c>
      <c r="H2326" s="46">
        <v>2538.61</v>
      </c>
      <c r="I2326" s="47">
        <f t="shared" ref="I2326:I2329" si="969">H2326/J2326</f>
        <v>0.84620333333333342</v>
      </c>
      <c r="J2326" s="48">
        <v>3000</v>
      </c>
      <c r="K2326" s="49">
        <v>3000</v>
      </c>
      <c r="L2326" s="50">
        <v>3295.73</v>
      </c>
      <c r="M2326" s="50">
        <v>2167.6</v>
      </c>
      <c r="N2326" s="51">
        <v>1935.82</v>
      </c>
      <c r="O2326" s="52">
        <v>2591.58</v>
      </c>
      <c r="P2326" s="53">
        <v>1742.57</v>
      </c>
      <c r="Q2326" s="54">
        <v>1917.82</v>
      </c>
      <c r="R2326" s="1"/>
      <c r="S2326" s="1"/>
      <c r="T2326" s="1"/>
    </row>
    <row r="2327" spans="1:20" ht="13.5" customHeight="1" x14ac:dyDescent="0.25">
      <c r="A2327" s="1"/>
      <c r="B2327" s="1" t="s">
        <v>2047</v>
      </c>
      <c r="C2327" s="1" t="s">
        <v>2048</v>
      </c>
      <c r="D2327" s="42">
        <v>3000</v>
      </c>
      <c r="E2327" s="43">
        <v>1626.08</v>
      </c>
      <c r="F2327" s="45">
        <v>3000</v>
      </c>
      <c r="G2327" s="45">
        <v>3000</v>
      </c>
      <c r="H2327" s="46">
        <v>2956.69</v>
      </c>
      <c r="I2327" s="47">
        <f t="shared" si="969"/>
        <v>0.98556333333333335</v>
      </c>
      <c r="J2327" s="48">
        <v>3000</v>
      </c>
      <c r="K2327" s="49">
        <v>3000</v>
      </c>
      <c r="L2327" s="50">
        <v>3051.83</v>
      </c>
      <c r="M2327" s="77">
        <v>0</v>
      </c>
      <c r="N2327" s="53" t="s">
        <v>16</v>
      </c>
      <c r="O2327" s="52">
        <v>0</v>
      </c>
      <c r="P2327" s="53">
        <v>0</v>
      </c>
      <c r="Q2327" s="54">
        <v>0</v>
      </c>
      <c r="R2327" s="1"/>
      <c r="S2327" s="1"/>
      <c r="T2327" s="1"/>
    </row>
    <row r="2328" spans="1:20" ht="13.5" customHeight="1" x14ac:dyDescent="0.25">
      <c r="A2328" s="1"/>
      <c r="B2328" s="1" t="s">
        <v>2049</v>
      </c>
      <c r="C2328" s="1" t="s">
        <v>1525</v>
      </c>
      <c r="D2328" s="42">
        <v>750</v>
      </c>
      <c r="E2328" s="43">
        <v>298</v>
      </c>
      <c r="F2328" s="45">
        <v>750</v>
      </c>
      <c r="G2328" s="45">
        <v>750</v>
      </c>
      <c r="H2328" s="68">
        <v>444</v>
      </c>
      <c r="I2328" s="47">
        <f t="shared" si="969"/>
        <v>0.59199999999999997</v>
      </c>
      <c r="J2328" s="48">
        <v>750</v>
      </c>
      <c r="K2328" s="49">
        <v>750</v>
      </c>
      <c r="L2328" s="77">
        <v>0</v>
      </c>
      <c r="M2328" s="77">
        <v>0</v>
      </c>
      <c r="N2328" s="53" t="s">
        <v>16</v>
      </c>
      <c r="O2328" s="52">
        <v>16455.2</v>
      </c>
      <c r="P2328" s="53">
        <v>17971.12</v>
      </c>
      <c r="Q2328" s="54">
        <v>14376.74</v>
      </c>
      <c r="R2328" s="1"/>
      <c r="S2328" s="1"/>
      <c r="T2328" s="1"/>
    </row>
    <row r="2329" spans="1:20" ht="13.5" customHeight="1" x14ac:dyDescent="0.25">
      <c r="A2329" s="1"/>
      <c r="B2329" s="1" t="s">
        <v>2050</v>
      </c>
      <c r="C2329" s="1" t="s">
        <v>435</v>
      </c>
      <c r="D2329" s="42">
        <v>25360</v>
      </c>
      <c r="E2329" s="43">
        <v>6208.39</v>
      </c>
      <c r="F2329" s="45">
        <v>25360</v>
      </c>
      <c r="G2329" s="45">
        <v>25360</v>
      </c>
      <c r="H2329" s="46">
        <v>24912.69</v>
      </c>
      <c r="I2329" s="47">
        <f t="shared" si="969"/>
        <v>1.0001481392267855</v>
      </c>
      <c r="J2329" s="48">
        <v>24909</v>
      </c>
      <c r="K2329" s="49">
        <v>25360</v>
      </c>
      <c r="L2329" s="50">
        <v>24007.07</v>
      </c>
      <c r="M2329" s="50">
        <v>25918.84</v>
      </c>
      <c r="N2329" s="51">
        <v>18006.560000000001</v>
      </c>
      <c r="O2329" s="52">
        <v>292.98</v>
      </c>
      <c r="P2329" s="53">
        <v>559.85</v>
      </c>
      <c r="Q2329" s="54">
        <v>0</v>
      </c>
      <c r="R2329" s="1"/>
      <c r="S2329" s="1"/>
      <c r="T2329" s="1"/>
    </row>
    <row r="2330" spans="1:20" ht="13.5" customHeight="1" x14ac:dyDescent="0.25">
      <c r="A2330" s="1"/>
      <c r="B2330" s="55" t="s">
        <v>2051</v>
      </c>
      <c r="C2330" s="55" t="s">
        <v>265</v>
      </c>
      <c r="D2330" s="42">
        <v>0</v>
      </c>
      <c r="E2330" s="43">
        <v>0</v>
      </c>
      <c r="F2330" s="71">
        <v>0</v>
      </c>
      <c r="G2330" s="71">
        <v>0</v>
      </c>
      <c r="H2330" s="68">
        <v>866.04</v>
      </c>
      <c r="I2330" s="47"/>
      <c r="J2330" s="48"/>
      <c r="K2330" s="49"/>
      <c r="L2330" s="83">
        <v>0</v>
      </c>
      <c r="M2330" s="83">
        <v>0</v>
      </c>
      <c r="N2330" s="53"/>
      <c r="O2330" s="52"/>
      <c r="P2330" s="53"/>
      <c r="Q2330" s="54"/>
      <c r="R2330" s="1"/>
      <c r="S2330" s="1"/>
      <c r="T2330" s="1"/>
    </row>
    <row r="2331" spans="1:20" ht="13.5" customHeight="1" x14ac:dyDescent="0.25">
      <c r="A2331" s="1"/>
      <c r="B2331" s="1" t="s">
        <v>2052</v>
      </c>
      <c r="C2331" s="55" t="s">
        <v>438</v>
      </c>
      <c r="D2331" s="42">
        <v>6000</v>
      </c>
      <c r="E2331" s="70">
        <v>645.16</v>
      </c>
      <c r="F2331" s="45">
        <v>6000</v>
      </c>
      <c r="G2331" s="45">
        <v>6000</v>
      </c>
      <c r="H2331" s="68">
        <v>0</v>
      </c>
      <c r="I2331" s="47">
        <f t="shared" ref="I2331:I2332" si="970">H2331/J2331</f>
        <v>0</v>
      </c>
      <c r="J2331" s="48">
        <v>6000</v>
      </c>
      <c r="K2331" s="49">
        <v>6000</v>
      </c>
      <c r="L2331" s="77">
        <v>0</v>
      </c>
      <c r="M2331" s="77">
        <v>0</v>
      </c>
      <c r="N2331" s="53" t="s">
        <v>16</v>
      </c>
      <c r="O2331" s="52">
        <v>0</v>
      </c>
      <c r="P2331" s="53">
        <v>0</v>
      </c>
      <c r="Q2331" s="54">
        <v>0</v>
      </c>
      <c r="R2331" s="1"/>
      <c r="S2331" s="1"/>
      <c r="T2331" s="1"/>
    </row>
    <row r="2332" spans="1:20" ht="13.5" customHeight="1" x14ac:dyDescent="0.25">
      <c r="A2332" s="1"/>
      <c r="B2332" s="1" t="s">
        <v>2053</v>
      </c>
      <c r="C2332" s="1" t="s">
        <v>267</v>
      </c>
      <c r="D2332" s="42">
        <v>500</v>
      </c>
      <c r="E2332" s="43">
        <v>143.99</v>
      </c>
      <c r="F2332" s="45">
        <v>500</v>
      </c>
      <c r="G2332" s="45">
        <v>500</v>
      </c>
      <c r="H2332" s="46">
        <v>341.51</v>
      </c>
      <c r="I2332" s="47">
        <f t="shared" si="970"/>
        <v>0.68301999999999996</v>
      </c>
      <c r="J2332" s="48">
        <v>500</v>
      </c>
      <c r="K2332" s="49">
        <v>500</v>
      </c>
      <c r="L2332" s="77">
        <v>0</v>
      </c>
      <c r="M2332" s="77">
        <v>0</v>
      </c>
      <c r="N2332" s="51">
        <v>260.98</v>
      </c>
      <c r="O2332" s="52">
        <v>0</v>
      </c>
      <c r="P2332" s="53">
        <v>0</v>
      </c>
      <c r="Q2332" s="54">
        <v>0</v>
      </c>
      <c r="R2332" s="1"/>
      <c r="S2332" s="1"/>
      <c r="T2332" s="1"/>
    </row>
    <row r="2333" spans="1:20" ht="12.75" customHeight="1" x14ac:dyDescent="0.25">
      <c r="A2333" s="1"/>
      <c r="B2333" s="1"/>
      <c r="C2333" s="1"/>
      <c r="D2333" s="56">
        <v>38610</v>
      </c>
      <c r="E2333" s="57">
        <f t="shared" ref="E2333" si="971">SUM(E2326:E2332)</f>
        <v>9909.9499999999989</v>
      </c>
      <c r="F2333" s="58">
        <f>SUM(F2325:F2332)</f>
        <v>38610</v>
      </c>
      <c r="G2333" s="58">
        <v>38610</v>
      </c>
      <c r="H2333" s="59">
        <f>SUM(H2326:H2332)</f>
        <v>32059.539999999997</v>
      </c>
      <c r="I2333" s="59"/>
      <c r="J2333" s="60">
        <f t="shared" ref="J2333:Q2333" si="972">SUM(J2326:J2332)</f>
        <v>38159</v>
      </c>
      <c r="K2333" s="61">
        <f t="shared" si="972"/>
        <v>38610</v>
      </c>
      <c r="L2333" s="62">
        <f t="shared" si="972"/>
        <v>30354.629999999997</v>
      </c>
      <c r="M2333" s="62">
        <f t="shared" si="972"/>
        <v>28086.44</v>
      </c>
      <c r="N2333" s="63">
        <f t="shared" si="972"/>
        <v>20203.36</v>
      </c>
      <c r="O2333" s="64">
        <f t="shared" si="972"/>
        <v>19339.759999999998</v>
      </c>
      <c r="P2333" s="63">
        <f t="shared" si="972"/>
        <v>20273.539999999997</v>
      </c>
      <c r="Q2333" s="65">
        <f t="shared" si="972"/>
        <v>16294.56</v>
      </c>
      <c r="R2333" s="1"/>
      <c r="S2333" s="1"/>
      <c r="T2333" s="1"/>
    </row>
    <row r="2334" spans="1:20" ht="11.25" customHeight="1" x14ac:dyDescent="0.25">
      <c r="A2334" s="1"/>
      <c r="B2334" s="1"/>
      <c r="C2334" s="1"/>
      <c r="D2334" s="42"/>
      <c r="E2334" s="44"/>
      <c r="F2334" s="45"/>
      <c r="G2334" s="45"/>
      <c r="H2334" s="66"/>
      <c r="I2334" s="66"/>
      <c r="J2334" s="48"/>
      <c r="K2334" s="49"/>
      <c r="L2334" s="77"/>
      <c r="M2334" s="77"/>
      <c r="N2334" s="51"/>
      <c r="O2334" s="52"/>
      <c r="P2334" s="53"/>
      <c r="Q2334" s="54"/>
      <c r="R2334" s="1"/>
      <c r="S2334" s="1"/>
      <c r="T2334" s="1"/>
    </row>
    <row r="2335" spans="1:20" ht="13.5" customHeight="1" x14ac:dyDescent="0.25">
      <c r="A2335" s="1"/>
      <c r="B2335" s="1" t="s">
        <v>2054</v>
      </c>
      <c r="C2335" s="1" t="s">
        <v>404</v>
      </c>
      <c r="D2335" s="42">
        <v>0</v>
      </c>
      <c r="E2335" s="43">
        <v>0</v>
      </c>
      <c r="F2335" s="73">
        <v>0</v>
      </c>
      <c r="G2335" s="73">
        <v>0</v>
      </c>
      <c r="H2335" s="66">
        <v>481.86</v>
      </c>
      <c r="I2335" s="47">
        <v>0</v>
      </c>
      <c r="J2335" s="75">
        <v>0</v>
      </c>
      <c r="K2335" s="76">
        <v>0</v>
      </c>
      <c r="L2335" s="77">
        <v>0</v>
      </c>
      <c r="M2335" s="77">
        <v>0</v>
      </c>
      <c r="N2335" s="53" t="s">
        <v>16</v>
      </c>
      <c r="O2335" s="52">
        <v>0</v>
      </c>
      <c r="P2335" s="53">
        <v>513.79</v>
      </c>
      <c r="Q2335" s="54">
        <v>0</v>
      </c>
      <c r="R2335" s="1"/>
      <c r="S2335" s="1"/>
      <c r="T2335" s="1"/>
    </row>
    <row r="2336" spans="1:20" ht="13.5" customHeight="1" x14ac:dyDescent="0.25">
      <c r="A2336" s="1"/>
      <c r="B2336" s="1" t="s">
        <v>2055</v>
      </c>
      <c r="C2336" s="1" t="s">
        <v>277</v>
      </c>
      <c r="D2336" s="42">
        <v>150</v>
      </c>
      <c r="E2336" s="43">
        <v>0</v>
      </c>
      <c r="F2336" s="45">
        <v>150</v>
      </c>
      <c r="G2336" s="45">
        <v>150</v>
      </c>
      <c r="H2336" s="74">
        <v>0</v>
      </c>
      <c r="I2336" s="47">
        <f t="shared" ref="I2336:I2338" si="973">H2336/J2336</f>
        <v>0</v>
      </c>
      <c r="J2336" s="48">
        <v>150</v>
      </c>
      <c r="K2336" s="49">
        <v>150</v>
      </c>
      <c r="L2336" s="50">
        <v>98</v>
      </c>
      <c r="M2336" s="50">
        <v>31.97</v>
      </c>
      <c r="N2336" s="51">
        <v>21.97</v>
      </c>
      <c r="O2336" s="52">
        <v>101.97</v>
      </c>
      <c r="P2336" s="53">
        <v>44.94</v>
      </c>
      <c r="Q2336" s="54">
        <v>48.97</v>
      </c>
      <c r="R2336" s="1"/>
      <c r="S2336" s="1"/>
      <c r="T2336" s="1"/>
    </row>
    <row r="2337" spans="1:20" ht="13.5" customHeight="1" x14ac:dyDescent="0.25">
      <c r="A2337" s="1"/>
      <c r="B2337" s="1" t="s">
        <v>2056</v>
      </c>
      <c r="C2337" s="1" t="s">
        <v>1203</v>
      </c>
      <c r="D2337" s="42">
        <v>0</v>
      </c>
      <c r="E2337" s="43">
        <v>13.82</v>
      </c>
      <c r="F2337" s="73">
        <v>0</v>
      </c>
      <c r="G2337" s="73">
        <v>0</v>
      </c>
      <c r="H2337" s="46">
        <v>240.21</v>
      </c>
      <c r="I2337" s="47">
        <f t="shared" si="973"/>
        <v>0.53261640798226162</v>
      </c>
      <c r="J2337" s="48">
        <v>451</v>
      </c>
      <c r="K2337" s="76">
        <v>0</v>
      </c>
      <c r="L2337" s="50">
        <v>525.52</v>
      </c>
      <c r="M2337" s="77">
        <v>0</v>
      </c>
      <c r="N2337" s="53" t="s">
        <v>16</v>
      </c>
      <c r="O2337" s="52">
        <v>0</v>
      </c>
      <c r="P2337" s="53">
        <v>0</v>
      </c>
      <c r="Q2337" s="54">
        <v>0</v>
      </c>
      <c r="R2337" s="1"/>
      <c r="S2337" s="1"/>
      <c r="T2337" s="1"/>
    </row>
    <row r="2338" spans="1:20" ht="13.5" customHeight="1" x14ac:dyDescent="0.25">
      <c r="A2338" s="1"/>
      <c r="B2338" s="1" t="s">
        <v>2057</v>
      </c>
      <c r="C2338" s="1" t="s">
        <v>281</v>
      </c>
      <c r="D2338" s="42">
        <v>2340</v>
      </c>
      <c r="E2338" s="43">
        <v>877.55</v>
      </c>
      <c r="F2338" s="45">
        <v>2340</v>
      </c>
      <c r="G2338" s="45">
        <v>2340</v>
      </c>
      <c r="H2338" s="46">
        <v>2351.88</v>
      </c>
      <c r="I2338" s="47">
        <f t="shared" si="973"/>
        <v>1.0050769230769232</v>
      </c>
      <c r="J2338" s="48">
        <v>2340</v>
      </c>
      <c r="K2338" s="49">
        <v>2340</v>
      </c>
      <c r="L2338" s="50">
        <v>1878.95</v>
      </c>
      <c r="M2338" s="50">
        <v>1732.19</v>
      </c>
      <c r="N2338" s="51">
        <v>2158.96</v>
      </c>
      <c r="O2338" s="52">
        <v>2266.69</v>
      </c>
      <c r="P2338" s="53">
        <v>1690.8</v>
      </c>
      <c r="Q2338" s="54">
        <v>1712.62</v>
      </c>
      <c r="R2338" s="1"/>
      <c r="S2338" s="1"/>
      <c r="T2338" s="1"/>
    </row>
    <row r="2339" spans="1:20" ht="13.5" customHeight="1" x14ac:dyDescent="0.25">
      <c r="A2339" s="1"/>
      <c r="B2339" s="1"/>
      <c r="C2339" s="1"/>
      <c r="D2339" s="56">
        <v>2490</v>
      </c>
      <c r="E2339" s="57">
        <f t="shared" ref="E2339" si="974">SUM(E2335:E2338)</f>
        <v>891.37</v>
      </c>
      <c r="F2339" s="58">
        <f>SUM(F2334:F2338)</f>
        <v>2490</v>
      </c>
      <c r="G2339" s="58">
        <v>2490</v>
      </c>
      <c r="H2339" s="59">
        <f>SUM(H2335:H2338)</f>
        <v>3073.9500000000003</v>
      </c>
      <c r="I2339" s="59"/>
      <c r="J2339" s="60">
        <f t="shared" ref="J2339:Q2339" si="975">SUM(J2335:J2338)</f>
        <v>2941</v>
      </c>
      <c r="K2339" s="61">
        <f t="shared" si="975"/>
        <v>2490</v>
      </c>
      <c r="L2339" s="62">
        <f t="shared" si="975"/>
        <v>2502.4700000000003</v>
      </c>
      <c r="M2339" s="62">
        <f t="shared" si="975"/>
        <v>1764.16</v>
      </c>
      <c r="N2339" s="63">
        <f t="shared" si="975"/>
        <v>2180.9299999999998</v>
      </c>
      <c r="O2339" s="64">
        <f t="shared" si="975"/>
        <v>2368.66</v>
      </c>
      <c r="P2339" s="63">
        <f t="shared" si="975"/>
        <v>2249.5299999999997</v>
      </c>
      <c r="Q2339" s="65">
        <f t="shared" si="975"/>
        <v>1761.59</v>
      </c>
      <c r="R2339" s="1"/>
      <c r="S2339" s="1"/>
      <c r="T2339" s="1"/>
    </row>
    <row r="2340" spans="1:20" ht="13.5" customHeight="1" thickBot="1" x14ac:dyDescent="0.3">
      <c r="A2340" s="1"/>
      <c r="B2340" s="78"/>
      <c r="C2340" s="98" t="s">
        <v>2058</v>
      </c>
      <c r="D2340" s="117">
        <v>41100</v>
      </c>
      <c r="E2340" s="118">
        <f t="shared" ref="E2340" si="976">SUM(E2333+E2339)</f>
        <v>10801.32</v>
      </c>
      <c r="F2340" s="119">
        <f>SUM(F2333,F2339)</f>
        <v>41100</v>
      </c>
      <c r="G2340" s="119">
        <v>41100</v>
      </c>
      <c r="H2340" s="120">
        <f>SUM(H2333+H2339)</f>
        <v>35133.49</v>
      </c>
      <c r="I2340" s="120"/>
      <c r="J2340" s="121">
        <f t="shared" ref="J2340:Q2340" si="977">SUM(J2333+J2339)</f>
        <v>41100</v>
      </c>
      <c r="K2340" s="122">
        <f t="shared" si="977"/>
        <v>41100</v>
      </c>
      <c r="L2340" s="123">
        <f t="shared" si="977"/>
        <v>32857.1</v>
      </c>
      <c r="M2340" s="123">
        <f t="shared" si="977"/>
        <v>29850.6</v>
      </c>
      <c r="N2340" s="269">
        <f t="shared" si="977"/>
        <v>22384.29</v>
      </c>
      <c r="O2340" s="125">
        <f t="shared" si="977"/>
        <v>21708.42</v>
      </c>
      <c r="P2340" s="269">
        <f t="shared" si="977"/>
        <v>22523.069999999996</v>
      </c>
      <c r="Q2340" s="126">
        <f t="shared" si="977"/>
        <v>18056.149999999998</v>
      </c>
      <c r="R2340" s="1"/>
      <c r="S2340" s="1"/>
      <c r="T2340" s="1"/>
    </row>
    <row r="2341" spans="1:20" ht="11.25" customHeight="1" thickTop="1" x14ac:dyDescent="0.25">
      <c r="A2341" s="1"/>
      <c r="B2341" s="1"/>
      <c r="C2341" s="116"/>
      <c r="D2341" s="143"/>
      <c r="E2341" s="128"/>
      <c r="F2341" s="144"/>
      <c r="G2341" s="144"/>
      <c r="H2341" s="129"/>
      <c r="I2341" s="129"/>
      <c r="J2341" s="145"/>
      <c r="K2341" s="146"/>
      <c r="L2341" s="147"/>
      <c r="M2341" s="147"/>
      <c r="N2341" s="148"/>
      <c r="O2341" s="149"/>
      <c r="P2341" s="148"/>
      <c r="Q2341" s="150"/>
      <c r="R2341" s="1"/>
      <c r="S2341" s="1"/>
      <c r="T2341" s="1"/>
    </row>
    <row r="2342" spans="1:20" ht="11.25" customHeight="1" x14ac:dyDescent="0.25">
      <c r="A2342" s="1"/>
      <c r="B2342" s="1"/>
      <c r="C2342" s="116"/>
      <c r="D2342" s="143"/>
      <c r="E2342" s="128"/>
      <c r="F2342" s="144"/>
      <c r="G2342" s="144"/>
      <c r="H2342" s="129"/>
      <c r="I2342" s="129"/>
      <c r="J2342" s="145"/>
      <c r="K2342" s="146"/>
      <c r="L2342" s="147"/>
      <c r="M2342" s="147"/>
      <c r="N2342" s="148"/>
      <c r="O2342" s="149"/>
      <c r="P2342" s="148"/>
      <c r="Q2342" s="150"/>
      <c r="R2342" s="1"/>
      <c r="S2342" s="1"/>
      <c r="T2342" s="1"/>
    </row>
    <row r="2343" spans="1:20" ht="13.5" customHeight="1" x14ac:dyDescent="0.25">
      <c r="A2343" s="1"/>
      <c r="B2343" s="262" t="s">
        <v>2059</v>
      </c>
      <c r="C2343" s="262" t="s">
        <v>2060</v>
      </c>
      <c r="D2343" s="143"/>
      <c r="E2343" s="128"/>
      <c r="F2343" s="144"/>
      <c r="G2343" s="144"/>
      <c r="H2343" s="129"/>
      <c r="I2343" s="129"/>
      <c r="J2343" s="145"/>
      <c r="K2343" s="146"/>
      <c r="L2343" s="147"/>
      <c r="M2343" s="147"/>
      <c r="N2343" s="148"/>
      <c r="O2343" s="149"/>
      <c r="P2343" s="148"/>
      <c r="Q2343" s="150"/>
      <c r="R2343" s="1"/>
      <c r="S2343" s="1"/>
      <c r="T2343" s="1"/>
    </row>
    <row r="2344" spans="1:20" ht="11.25" customHeight="1" x14ac:dyDescent="0.25">
      <c r="A2344" s="1"/>
      <c r="B2344" s="1"/>
      <c r="C2344" s="116"/>
      <c r="D2344" s="143"/>
      <c r="E2344" s="128"/>
      <c r="F2344" s="144"/>
      <c r="G2344" s="144"/>
      <c r="H2344" s="129"/>
      <c r="I2344" s="129"/>
      <c r="J2344" s="145"/>
      <c r="K2344" s="146"/>
      <c r="L2344" s="147"/>
      <c r="M2344" s="147"/>
      <c r="N2344" s="148"/>
      <c r="O2344" s="149"/>
      <c r="P2344" s="148"/>
      <c r="Q2344" s="150"/>
      <c r="R2344" s="1"/>
      <c r="S2344" s="1"/>
      <c r="T2344" s="1"/>
    </row>
    <row r="2345" spans="1:20" ht="13.5" customHeight="1" x14ac:dyDescent="0.25">
      <c r="A2345" s="41" t="s">
        <v>17</v>
      </c>
      <c r="B2345" s="1"/>
      <c r="C2345" s="1"/>
      <c r="D2345" s="42"/>
      <c r="E2345" s="44"/>
      <c r="F2345" s="45"/>
      <c r="G2345" s="45"/>
      <c r="H2345" s="66"/>
      <c r="I2345" s="66"/>
      <c r="J2345" s="48"/>
      <c r="K2345" s="49"/>
      <c r="L2345" s="50"/>
      <c r="M2345" s="50"/>
      <c r="N2345" s="51"/>
      <c r="O2345" s="52"/>
      <c r="P2345" s="53"/>
      <c r="Q2345" s="54"/>
      <c r="R2345" s="1"/>
      <c r="S2345" s="1"/>
      <c r="T2345" s="1"/>
    </row>
    <row r="2346" spans="1:20" ht="13.5" customHeight="1" x14ac:dyDescent="0.25">
      <c r="A2346" s="1"/>
      <c r="B2346" s="1" t="s">
        <v>2061</v>
      </c>
      <c r="C2346" s="1" t="s">
        <v>102</v>
      </c>
      <c r="D2346" s="42">
        <v>-15000</v>
      </c>
      <c r="E2346" s="43">
        <v>-3071.59</v>
      </c>
      <c r="F2346" s="45">
        <v>-15000</v>
      </c>
      <c r="G2346" s="45">
        <v>-15000</v>
      </c>
      <c r="H2346" s="46">
        <v>-4720.67</v>
      </c>
      <c r="I2346" s="47">
        <f t="shared" ref="I2346:I2348" si="978">H2346/J2346</f>
        <v>0.31471133333333334</v>
      </c>
      <c r="J2346" s="48">
        <v>-15000</v>
      </c>
      <c r="K2346" s="49">
        <v>-15000</v>
      </c>
      <c r="L2346" s="50">
        <v>-4690.3900000000003</v>
      </c>
      <c r="M2346" s="50">
        <v>-7745.95</v>
      </c>
      <c r="N2346" s="51">
        <v>-9402.15</v>
      </c>
      <c r="O2346" s="52">
        <v>12172.67</v>
      </c>
      <c r="P2346" s="53">
        <v>18802.14</v>
      </c>
      <c r="Q2346" s="54">
        <v>25164.63</v>
      </c>
      <c r="R2346" s="1"/>
      <c r="S2346" s="1"/>
      <c r="T2346" s="1"/>
    </row>
    <row r="2347" spans="1:20" ht="13.5" customHeight="1" x14ac:dyDescent="0.25">
      <c r="A2347" s="1"/>
      <c r="B2347" s="1" t="s">
        <v>2062</v>
      </c>
      <c r="C2347" s="1" t="s">
        <v>224</v>
      </c>
      <c r="D2347" s="42">
        <v>-1260</v>
      </c>
      <c r="E2347" s="43">
        <v>-665.44</v>
      </c>
      <c r="F2347" s="45">
        <v>-1260</v>
      </c>
      <c r="G2347" s="45">
        <v>-1260</v>
      </c>
      <c r="H2347" s="46">
        <v>-1879.58</v>
      </c>
      <c r="I2347" s="47">
        <f t="shared" si="978"/>
        <v>1.4917301587301586</v>
      </c>
      <c r="J2347" s="48">
        <v>-1260</v>
      </c>
      <c r="K2347" s="49">
        <v>-1260</v>
      </c>
      <c r="L2347" s="50">
        <v>-2120.87</v>
      </c>
      <c r="M2347" s="50">
        <v>-2793.44</v>
      </c>
      <c r="N2347" s="51">
        <v>-3391.4</v>
      </c>
      <c r="O2347" s="52">
        <v>1863.15</v>
      </c>
      <c r="P2347" s="53">
        <v>0</v>
      </c>
      <c r="Q2347" s="54">
        <v>2517.86</v>
      </c>
      <c r="R2347" s="1"/>
      <c r="S2347" s="1"/>
      <c r="T2347" s="1"/>
    </row>
    <row r="2348" spans="1:20" ht="13.5" customHeight="1" x14ac:dyDescent="0.25">
      <c r="A2348" s="1"/>
      <c r="B2348" s="1" t="s">
        <v>2063</v>
      </c>
      <c r="C2348" s="1" t="s">
        <v>2064</v>
      </c>
      <c r="D2348" s="42">
        <v>-7736</v>
      </c>
      <c r="E2348" s="43">
        <v>0</v>
      </c>
      <c r="F2348" s="45">
        <v>-7736</v>
      </c>
      <c r="G2348" s="45">
        <v>-7736</v>
      </c>
      <c r="H2348" s="74">
        <v>0</v>
      </c>
      <c r="I2348" s="47">
        <f t="shared" si="978"/>
        <v>0</v>
      </c>
      <c r="J2348" s="48">
        <v>-7985</v>
      </c>
      <c r="K2348" s="49">
        <v>-7985</v>
      </c>
      <c r="L2348" s="77">
        <v>0</v>
      </c>
      <c r="M2348" s="77">
        <v>0</v>
      </c>
      <c r="N2348" s="53" t="s">
        <v>16</v>
      </c>
      <c r="O2348" s="52"/>
      <c r="P2348" s="53"/>
      <c r="Q2348" s="54"/>
      <c r="R2348" s="1"/>
      <c r="S2348" s="1"/>
      <c r="T2348" s="1"/>
    </row>
    <row r="2349" spans="1:20" ht="13.5" customHeight="1" thickBot="1" x14ac:dyDescent="0.3">
      <c r="A2349" s="1"/>
      <c r="B2349" s="1"/>
      <c r="C2349" s="116" t="s">
        <v>2065</v>
      </c>
      <c r="D2349" s="267">
        <v>-23996</v>
      </c>
      <c r="E2349" s="173">
        <f t="shared" ref="E2349" si="979">SUM(E2346:E2348)</f>
        <v>-3737.03</v>
      </c>
      <c r="F2349" s="174">
        <f>SUM(F2345:F2348)</f>
        <v>-23996</v>
      </c>
      <c r="G2349" s="174">
        <v>-23996</v>
      </c>
      <c r="H2349" s="175">
        <f>SUM(H2346:H2348)</f>
        <v>-6600.25</v>
      </c>
      <c r="I2349" s="175"/>
      <c r="J2349" s="176">
        <f t="shared" ref="J2349:Q2349" si="980">SUM(J2346:J2348)</f>
        <v>-24245</v>
      </c>
      <c r="K2349" s="177">
        <f t="shared" si="980"/>
        <v>-24245</v>
      </c>
      <c r="L2349" s="178">
        <f t="shared" si="980"/>
        <v>-6811.26</v>
      </c>
      <c r="M2349" s="178">
        <f t="shared" si="980"/>
        <v>-10539.39</v>
      </c>
      <c r="N2349" s="179">
        <f t="shared" si="980"/>
        <v>-12793.55</v>
      </c>
      <c r="O2349" s="180">
        <f t="shared" si="980"/>
        <v>14035.82</v>
      </c>
      <c r="P2349" s="179">
        <f t="shared" si="980"/>
        <v>18802.14</v>
      </c>
      <c r="Q2349" s="181">
        <f t="shared" si="980"/>
        <v>27682.49</v>
      </c>
      <c r="R2349" s="1"/>
      <c r="S2349" s="1"/>
      <c r="T2349" s="1"/>
    </row>
    <row r="2350" spans="1:20" ht="10.5" customHeight="1" thickTop="1" x14ac:dyDescent="0.25">
      <c r="A2350" s="1"/>
      <c r="B2350" s="1"/>
      <c r="C2350" s="1"/>
      <c r="D2350" s="42"/>
      <c r="E2350" s="67"/>
      <c r="F2350" s="45"/>
      <c r="G2350" s="45"/>
      <c r="H2350" s="74"/>
      <c r="I2350" s="66"/>
      <c r="J2350" s="48"/>
      <c r="K2350" s="49"/>
      <c r="L2350" s="77"/>
      <c r="M2350" s="77"/>
      <c r="N2350" s="53"/>
      <c r="O2350" s="52"/>
      <c r="P2350" s="53"/>
      <c r="Q2350" s="54"/>
      <c r="R2350" s="1"/>
      <c r="S2350" s="1"/>
      <c r="T2350" s="1"/>
    </row>
    <row r="2351" spans="1:20" ht="13.5" customHeight="1" x14ac:dyDescent="0.25">
      <c r="A2351" s="116" t="s">
        <v>230</v>
      </c>
      <c r="B2351" s="1"/>
      <c r="C2351" s="1"/>
      <c r="D2351" s="42"/>
      <c r="E2351" s="67"/>
      <c r="F2351" s="45"/>
      <c r="G2351" s="45"/>
      <c r="H2351" s="74"/>
      <c r="I2351" s="66"/>
      <c r="J2351" s="48"/>
      <c r="K2351" s="49"/>
      <c r="L2351" s="77"/>
      <c r="M2351" s="77"/>
      <c r="N2351" s="53"/>
      <c r="O2351" s="52"/>
      <c r="P2351" s="53"/>
      <c r="Q2351" s="54"/>
      <c r="R2351" s="1"/>
      <c r="S2351" s="1"/>
      <c r="T2351" s="1"/>
    </row>
    <row r="2352" spans="1:20" ht="13.5" customHeight="1" x14ac:dyDescent="0.25">
      <c r="A2352" s="1"/>
      <c r="B2352" s="1" t="s">
        <v>2066</v>
      </c>
      <c r="C2352" s="1" t="s">
        <v>420</v>
      </c>
      <c r="D2352" s="42">
        <v>16900</v>
      </c>
      <c r="E2352" s="43">
        <v>2128.7600000000002</v>
      </c>
      <c r="F2352" s="45">
        <v>16900</v>
      </c>
      <c r="G2352" s="45">
        <v>16900</v>
      </c>
      <c r="H2352" s="46">
        <v>4559.16</v>
      </c>
      <c r="I2352" s="47">
        <f t="shared" ref="I2352:I2362" si="981">H2352/J2352</f>
        <v>0.26977278106508873</v>
      </c>
      <c r="J2352" s="48">
        <v>16900</v>
      </c>
      <c r="K2352" s="49">
        <v>16900</v>
      </c>
      <c r="L2352" s="50">
        <v>8398.01</v>
      </c>
      <c r="M2352" s="50">
        <v>8499.66</v>
      </c>
      <c r="N2352" s="51">
        <v>8663.1200000000008</v>
      </c>
      <c r="O2352" s="52">
        <v>8856.2900000000009</v>
      </c>
      <c r="P2352" s="53">
        <v>7630.46</v>
      </c>
      <c r="Q2352" s="54">
        <v>15826.15</v>
      </c>
      <c r="R2352" s="1"/>
      <c r="S2352" s="1"/>
      <c r="T2352" s="1"/>
    </row>
    <row r="2353" spans="1:20" ht="13.5" customHeight="1" x14ac:dyDescent="0.25">
      <c r="A2353" s="1"/>
      <c r="B2353" s="1" t="s">
        <v>2067</v>
      </c>
      <c r="C2353" s="1" t="s">
        <v>247</v>
      </c>
      <c r="D2353" s="42">
        <v>650.25</v>
      </c>
      <c r="E2353" s="43">
        <v>147.71</v>
      </c>
      <c r="F2353" s="45">
        <v>650</v>
      </c>
      <c r="G2353" s="45">
        <v>650</v>
      </c>
      <c r="H2353" s="46">
        <v>314.98</v>
      </c>
      <c r="I2353" s="47">
        <f t="shared" si="981"/>
        <v>0.33651709401709401</v>
      </c>
      <c r="J2353" s="48">
        <v>936</v>
      </c>
      <c r="K2353" s="49">
        <v>936</v>
      </c>
      <c r="L2353" s="50">
        <v>550.84</v>
      </c>
      <c r="M2353" s="50">
        <v>557.66</v>
      </c>
      <c r="N2353" s="51">
        <v>581.38</v>
      </c>
      <c r="O2353" s="52">
        <v>592.15</v>
      </c>
      <c r="P2353" s="53">
        <v>563.57000000000005</v>
      </c>
      <c r="Q2353" s="54">
        <v>1144.44</v>
      </c>
      <c r="R2353" s="1"/>
      <c r="S2353" s="1"/>
      <c r="T2353" s="1"/>
    </row>
    <row r="2354" spans="1:20" ht="13.5" customHeight="1" x14ac:dyDescent="0.25">
      <c r="A2354" s="1"/>
      <c r="B2354" s="1" t="s">
        <v>2068</v>
      </c>
      <c r="C2354" s="1" t="s">
        <v>251</v>
      </c>
      <c r="D2354" s="42">
        <v>1276.1999999999998</v>
      </c>
      <c r="E2354" s="43">
        <v>319.68</v>
      </c>
      <c r="F2354" s="45">
        <v>1276.6999999999998</v>
      </c>
      <c r="G2354" s="45">
        <v>1276.6999999999998</v>
      </c>
      <c r="H2354" s="46">
        <v>662.6</v>
      </c>
      <c r="I2354" s="47">
        <f t="shared" si="981"/>
        <v>0.53651821862348181</v>
      </c>
      <c r="J2354" s="48">
        <v>1235</v>
      </c>
      <c r="K2354" s="49">
        <v>1235</v>
      </c>
      <c r="L2354" s="50">
        <v>1215.9000000000001</v>
      </c>
      <c r="M2354" s="50">
        <v>1183.92</v>
      </c>
      <c r="N2354" s="51">
        <v>1190.67</v>
      </c>
      <c r="O2354" s="52">
        <v>1178.77</v>
      </c>
      <c r="P2354" s="53">
        <v>1090.3599999999999</v>
      </c>
      <c r="Q2354" s="54">
        <v>1952.11</v>
      </c>
      <c r="R2354" s="1"/>
      <c r="S2354" s="1"/>
      <c r="T2354" s="1"/>
    </row>
    <row r="2355" spans="1:20" ht="13.5" customHeight="1" x14ac:dyDescent="0.25">
      <c r="A2355" s="1"/>
      <c r="B2355" s="1" t="s">
        <v>2069</v>
      </c>
      <c r="C2355" s="1" t="s">
        <v>253</v>
      </c>
      <c r="D2355" s="42">
        <v>13.600000000000001</v>
      </c>
      <c r="E2355" s="43">
        <v>3.32</v>
      </c>
      <c r="F2355" s="45">
        <v>13.600000000000001</v>
      </c>
      <c r="G2355" s="45">
        <v>13.600000000000001</v>
      </c>
      <c r="H2355" s="46">
        <v>7.12</v>
      </c>
      <c r="I2355" s="47">
        <f t="shared" si="981"/>
        <v>0.50857142857142856</v>
      </c>
      <c r="J2355" s="48">
        <v>14</v>
      </c>
      <c r="K2355" s="49">
        <v>14</v>
      </c>
      <c r="L2355" s="50">
        <v>15.22</v>
      </c>
      <c r="M2355" s="50">
        <v>16.12</v>
      </c>
      <c r="N2355" s="51">
        <v>20.28</v>
      </c>
      <c r="O2355" s="52">
        <v>0</v>
      </c>
      <c r="P2355" s="53">
        <v>0</v>
      </c>
      <c r="Q2355" s="54">
        <v>0</v>
      </c>
      <c r="R2355" s="1"/>
      <c r="S2355" s="1"/>
      <c r="T2355" s="1"/>
    </row>
    <row r="2356" spans="1:20" ht="13.5" customHeight="1" x14ac:dyDescent="0.25">
      <c r="A2356" s="1"/>
      <c r="B2356" s="1" t="s">
        <v>2070</v>
      </c>
      <c r="C2356" s="1" t="s">
        <v>287</v>
      </c>
      <c r="D2356" s="42">
        <v>5.9499999999999993</v>
      </c>
      <c r="E2356" s="43">
        <v>0</v>
      </c>
      <c r="F2356" s="45">
        <v>5.6999999999999993</v>
      </c>
      <c r="G2356" s="45">
        <v>5.6999999999999993</v>
      </c>
      <c r="H2356" s="74">
        <v>0</v>
      </c>
      <c r="I2356" s="47">
        <f t="shared" si="981"/>
        <v>0</v>
      </c>
      <c r="J2356" s="48">
        <v>10</v>
      </c>
      <c r="K2356" s="49">
        <v>10</v>
      </c>
      <c r="L2356" s="77">
        <v>0</v>
      </c>
      <c r="M2356" s="77">
        <v>0</v>
      </c>
      <c r="N2356" s="53" t="s">
        <v>16</v>
      </c>
      <c r="O2356" s="52">
        <v>23.45</v>
      </c>
      <c r="P2356" s="53">
        <v>19.7</v>
      </c>
      <c r="Q2356" s="54">
        <v>37.130000000000003</v>
      </c>
      <c r="R2356" s="1"/>
      <c r="S2356" s="1"/>
      <c r="T2356" s="1"/>
    </row>
    <row r="2357" spans="1:20" ht="13.5" customHeight="1" x14ac:dyDescent="0.25">
      <c r="A2357" s="1"/>
      <c r="B2357" s="1" t="s">
        <v>2071</v>
      </c>
      <c r="C2357" s="1" t="s">
        <v>259</v>
      </c>
      <c r="D2357" s="42">
        <v>3000</v>
      </c>
      <c r="E2357" s="43">
        <v>444.64</v>
      </c>
      <c r="F2357" s="45">
        <v>3000</v>
      </c>
      <c r="G2357" s="45">
        <v>3000</v>
      </c>
      <c r="H2357" s="46">
        <v>1742.59</v>
      </c>
      <c r="I2357" s="47">
        <f t="shared" si="981"/>
        <v>0.58086333333333329</v>
      </c>
      <c r="J2357" s="48">
        <v>3000</v>
      </c>
      <c r="K2357" s="49">
        <v>3000</v>
      </c>
      <c r="L2357" s="50">
        <v>1475.03</v>
      </c>
      <c r="M2357" s="50">
        <v>1258.45</v>
      </c>
      <c r="N2357" s="51">
        <v>1077.6500000000001</v>
      </c>
      <c r="O2357" s="52">
        <v>1393.35</v>
      </c>
      <c r="P2357" s="53">
        <v>2188.2600000000002</v>
      </c>
      <c r="Q2357" s="54">
        <v>3099.39</v>
      </c>
      <c r="R2357" s="1"/>
      <c r="S2357" s="1"/>
      <c r="T2357" s="1"/>
    </row>
    <row r="2358" spans="1:20" ht="13.5" customHeight="1" x14ac:dyDescent="0.25">
      <c r="A2358" s="1"/>
      <c r="B2358" s="1" t="s">
        <v>2072</v>
      </c>
      <c r="C2358" s="1" t="s">
        <v>267</v>
      </c>
      <c r="D2358" s="42">
        <v>400</v>
      </c>
      <c r="E2358" s="43">
        <v>0</v>
      </c>
      <c r="F2358" s="45">
        <v>400</v>
      </c>
      <c r="G2358" s="45">
        <v>400</v>
      </c>
      <c r="H2358" s="74">
        <v>0</v>
      </c>
      <c r="I2358" s="47">
        <f t="shared" si="981"/>
        <v>0</v>
      </c>
      <c r="J2358" s="48">
        <v>400</v>
      </c>
      <c r="K2358" s="49">
        <v>400</v>
      </c>
      <c r="L2358" s="77">
        <v>0</v>
      </c>
      <c r="M2358" s="77">
        <v>0</v>
      </c>
      <c r="N2358" s="53" t="s">
        <v>16</v>
      </c>
      <c r="O2358" s="52">
        <v>0</v>
      </c>
      <c r="P2358" s="53">
        <v>1189.0999999999999</v>
      </c>
      <c r="Q2358" s="54">
        <v>1363.94</v>
      </c>
      <c r="R2358" s="1"/>
      <c r="S2358" s="1"/>
      <c r="T2358" s="1"/>
    </row>
    <row r="2359" spans="1:20" ht="13.5" customHeight="1" x14ac:dyDescent="0.25">
      <c r="A2359" s="1"/>
      <c r="B2359" s="1" t="s">
        <v>2073</v>
      </c>
      <c r="C2359" s="1" t="s">
        <v>271</v>
      </c>
      <c r="D2359" s="42">
        <v>100</v>
      </c>
      <c r="E2359" s="43">
        <v>0</v>
      </c>
      <c r="F2359" s="45">
        <v>100</v>
      </c>
      <c r="G2359" s="45">
        <v>100</v>
      </c>
      <c r="H2359" s="68">
        <v>624</v>
      </c>
      <c r="I2359" s="47">
        <f t="shared" si="981"/>
        <v>6.24</v>
      </c>
      <c r="J2359" s="48">
        <v>100</v>
      </c>
      <c r="K2359" s="49">
        <v>100</v>
      </c>
      <c r="L2359" s="50">
        <v>396.55</v>
      </c>
      <c r="M2359" s="77">
        <v>0</v>
      </c>
      <c r="N2359" s="53" t="s">
        <v>16</v>
      </c>
      <c r="O2359" s="52">
        <v>200</v>
      </c>
      <c r="P2359" s="53">
        <v>273.79000000000002</v>
      </c>
      <c r="Q2359" s="54">
        <v>250</v>
      </c>
      <c r="R2359" s="1"/>
      <c r="S2359" s="1"/>
      <c r="T2359" s="1"/>
    </row>
    <row r="2360" spans="1:20" ht="13.5" customHeight="1" x14ac:dyDescent="0.25">
      <c r="A2360" s="1"/>
      <c r="B2360" s="1" t="s">
        <v>2074</v>
      </c>
      <c r="C2360" s="1" t="s">
        <v>404</v>
      </c>
      <c r="D2360" s="42">
        <v>1000</v>
      </c>
      <c r="E2360" s="43">
        <v>0</v>
      </c>
      <c r="F2360" s="45">
        <v>1000</v>
      </c>
      <c r="G2360" s="45">
        <v>1000</v>
      </c>
      <c r="H2360" s="74">
        <v>0</v>
      </c>
      <c r="I2360" s="47">
        <f t="shared" si="981"/>
        <v>0</v>
      </c>
      <c r="J2360" s="48">
        <v>1000</v>
      </c>
      <c r="K2360" s="49">
        <v>1000</v>
      </c>
      <c r="L2360" s="50">
        <v>512</v>
      </c>
      <c r="M2360" s="77">
        <v>0</v>
      </c>
      <c r="N2360" s="53" t="s">
        <v>16</v>
      </c>
      <c r="O2360" s="52">
        <v>0</v>
      </c>
      <c r="P2360" s="53">
        <v>37.25</v>
      </c>
      <c r="Q2360" s="54">
        <v>153.44999999999999</v>
      </c>
      <c r="R2360" s="1"/>
      <c r="S2360" s="1"/>
      <c r="T2360" s="1"/>
    </row>
    <row r="2361" spans="1:20" ht="13.5" customHeight="1" x14ac:dyDescent="0.25">
      <c r="A2361" s="1"/>
      <c r="B2361" s="1" t="s">
        <v>2075</v>
      </c>
      <c r="C2361" s="1" t="s">
        <v>482</v>
      </c>
      <c r="D2361" s="42">
        <v>150</v>
      </c>
      <c r="E2361" s="43">
        <v>214.88</v>
      </c>
      <c r="F2361" s="45">
        <v>150</v>
      </c>
      <c r="G2361" s="45">
        <v>150</v>
      </c>
      <c r="H2361" s="66">
        <v>243.88</v>
      </c>
      <c r="I2361" s="47">
        <f t="shared" si="981"/>
        <v>1.6258666666666666</v>
      </c>
      <c r="J2361" s="48">
        <v>150</v>
      </c>
      <c r="K2361" s="49">
        <v>150</v>
      </c>
      <c r="L2361" s="50">
        <v>258.88</v>
      </c>
      <c r="M2361" s="50">
        <v>243.88</v>
      </c>
      <c r="N2361" s="51">
        <v>199.88</v>
      </c>
      <c r="O2361" s="52">
        <v>234.88</v>
      </c>
      <c r="P2361" s="53">
        <v>177</v>
      </c>
      <c r="Q2361" s="54">
        <v>177</v>
      </c>
      <c r="R2361" s="1"/>
      <c r="S2361" s="1"/>
      <c r="T2361" s="1"/>
    </row>
    <row r="2362" spans="1:20" ht="13.5" customHeight="1" x14ac:dyDescent="0.25">
      <c r="A2362" s="1"/>
      <c r="B2362" s="1" t="s">
        <v>2076</v>
      </c>
      <c r="C2362" s="1" t="s">
        <v>1451</v>
      </c>
      <c r="D2362" s="42">
        <v>500</v>
      </c>
      <c r="E2362" s="43">
        <v>0</v>
      </c>
      <c r="F2362" s="45">
        <v>500</v>
      </c>
      <c r="G2362" s="45">
        <v>500</v>
      </c>
      <c r="H2362" s="74">
        <v>0</v>
      </c>
      <c r="I2362" s="47">
        <f t="shared" si="981"/>
        <v>0</v>
      </c>
      <c r="J2362" s="48">
        <v>500</v>
      </c>
      <c r="K2362" s="49">
        <v>500</v>
      </c>
      <c r="L2362" s="50">
        <v>137</v>
      </c>
      <c r="M2362" s="77">
        <v>0</v>
      </c>
      <c r="N2362" s="53" t="s">
        <v>16</v>
      </c>
      <c r="O2362" s="52">
        <v>0</v>
      </c>
      <c r="P2362" s="53">
        <v>0</v>
      </c>
      <c r="Q2362" s="54">
        <v>0</v>
      </c>
      <c r="R2362" s="1"/>
      <c r="S2362" s="1"/>
      <c r="T2362" s="1"/>
    </row>
    <row r="2363" spans="1:20" ht="13.5" customHeight="1" thickBot="1" x14ac:dyDescent="0.3">
      <c r="A2363" s="1"/>
      <c r="B2363" s="78"/>
      <c r="C2363" s="98" t="s">
        <v>2077</v>
      </c>
      <c r="D2363" s="267">
        <v>23996</v>
      </c>
      <c r="E2363" s="173">
        <f t="shared" ref="E2363" si="982">SUM(E2352:E2362)</f>
        <v>3258.9900000000002</v>
      </c>
      <c r="F2363" s="174">
        <f>SUM(F2351:F2362)</f>
        <v>23996</v>
      </c>
      <c r="G2363" s="174">
        <v>23996</v>
      </c>
      <c r="H2363" s="175">
        <f>SUM(H2352:H2362)</f>
        <v>8154.33</v>
      </c>
      <c r="I2363" s="175"/>
      <c r="J2363" s="176">
        <f t="shared" ref="J2363:Q2363" si="983">SUM(J2352:J2362)</f>
        <v>24245</v>
      </c>
      <c r="K2363" s="177">
        <f t="shared" si="983"/>
        <v>24245</v>
      </c>
      <c r="L2363" s="178">
        <f t="shared" si="983"/>
        <v>12959.429999999998</v>
      </c>
      <c r="M2363" s="178">
        <f t="shared" si="983"/>
        <v>11759.69</v>
      </c>
      <c r="N2363" s="263">
        <f t="shared" si="983"/>
        <v>11732.98</v>
      </c>
      <c r="O2363" s="180">
        <f t="shared" si="983"/>
        <v>12478.890000000001</v>
      </c>
      <c r="P2363" s="263">
        <f t="shared" si="983"/>
        <v>13169.490000000003</v>
      </c>
      <c r="Q2363" s="181">
        <f t="shared" si="983"/>
        <v>24003.61</v>
      </c>
      <c r="R2363" s="1"/>
      <c r="S2363" s="1"/>
      <c r="T2363" s="1"/>
    </row>
    <row r="2364" spans="1:20" ht="12" customHeight="1" thickTop="1" x14ac:dyDescent="0.25">
      <c r="A2364" s="1"/>
      <c r="B2364" s="1"/>
      <c r="C2364" s="1"/>
      <c r="D2364" s="42"/>
      <c r="E2364" s="67"/>
      <c r="F2364" s="45"/>
      <c r="G2364" s="45"/>
      <c r="H2364" s="74"/>
      <c r="I2364" s="66"/>
      <c r="J2364" s="48"/>
      <c r="K2364" s="49"/>
      <c r="L2364" s="50"/>
      <c r="M2364" s="77"/>
      <c r="N2364" s="53"/>
      <c r="O2364" s="52"/>
      <c r="P2364" s="53"/>
      <c r="Q2364" s="54"/>
      <c r="R2364" s="1"/>
      <c r="S2364" s="1"/>
      <c r="T2364" s="1"/>
    </row>
    <row r="2365" spans="1:20" ht="11.25" customHeight="1" x14ac:dyDescent="0.25">
      <c r="A2365" s="1"/>
      <c r="B2365" s="1"/>
      <c r="C2365" s="1"/>
      <c r="D2365" s="42"/>
      <c r="E2365" s="67"/>
      <c r="F2365" s="45"/>
      <c r="G2365" s="45"/>
      <c r="H2365" s="74"/>
      <c r="I2365" s="66"/>
      <c r="J2365" s="48"/>
      <c r="K2365" s="49"/>
      <c r="L2365" s="50"/>
      <c r="M2365" s="77"/>
      <c r="N2365" s="53"/>
      <c r="O2365" s="52"/>
      <c r="P2365" s="53"/>
      <c r="Q2365" s="54"/>
      <c r="R2365" s="1"/>
      <c r="S2365" s="1"/>
      <c r="T2365" s="1"/>
    </row>
    <row r="2366" spans="1:20" ht="13.5" customHeight="1" x14ac:dyDescent="0.25">
      <c r="A2366" s="1"/>
      <c r="B2366" s="262" t="s">
        <v>2078</v>
      </c>
      <c r="C2366" s="262" t="s">
        <v>2079</v>
      </c>
      <c r="D2366" s="42"/>
      <c r="E2366" s="67"/>
      <c r="F2366" s="45"/>
      <c r="G2366" s="45"/>
      <c r="H2366" s="74"/>
      <c r="I2366" s="66"/>
      <c r="J2366" s="48"/>
      <c r="K2366" s="49"/>
      <c r="L2366" s="50"/>
      <c r="M2366" s="77"/>
      <c r="N2366" s="53"/>
      <c r="O2366" s="52"/>
      <c r="P2366" s="53"/>
      <c r="Q2366" s="54"/>
      <c r="R2366" s="1"/>
      <c r="S2366" s="1"/>
      <c r="T2366" s="1"/>
    </row>
    <row r="2367" spans="1:20" ht="11.25" customHeight="1" x14ac:dyDescent="0.25">
      <c r="A2367" s="1"/>
      <c r="B2367" s="1"/>
      <c r="C2367" s="1"/>
      <c r="D2367" s="42"/>
      <c r="E2367" s="67"/>
      <c r="F2367" s="45"/>
      <c r="G2367" s="45"/>
      <c r="H2367" s="74"/>
      <c r="I2367" s="66"/>
      <c r="J2367" s="48"/>
      <c r="K2367" s="49"/>
      <c r="L2367" s="50"/>
      <c r="M2367" s="77"/>
      <c r="N2367" s="53"/>
      <c r="O2367" s="52"/>
      <c r="P2367" s="53"/>
      <c r="Q2367" s="54"/>
      <c r="R2367" s="1"/>
      <c r="S2367" s="1"/>
      <c r="T2367" s="1"/>
    </row>
    <row r="2368" spans="1:20" ht="13.5" customHeight="1" x14ac:dyDescent="0.25">
      <c r="A2368" s="41" t="s">
        <v>17</v>
      </c>
      <c r="B2368" s="1"/>
      <c r="C2368" s="1"/>
      <c r="D2368" s="42"/>
      <c r="E2368" s="67"/>
      <c r="F2368" s="45"/>
      <c r="G2368" s="45"/>
      <c r="H2368" s="74"/>
      <c r="I2368" s="66"/>
      <c r="J2368" s="48"/>
      <c r="K2368" s="49"/>
      <c r="L2368" s="50"/>
      <c r="M2368" s="77"/>
      <c r="N2368" s="53"/>
      <c r="O2368" s="52"/>
      <c r="P2368" s="53"/>
      <c r="Q2368" s="54"/>
      <c r="R2368" s="1"/>
      <c r="S2368" s="1"/>
      <c r="T2368" s="1"/>
    </row>
    <row r="2369" spans="1:20" ht="13.5" customHeight="1" x14ac:dyDescent="0.25">
      <c r="A2369" s="1"/>
      <c r="B2369" s="1" t="s">
        <v>2080</v>
      </c>
      <c r="C2369" s="1" t="s">
        <v>2081</v>
      </c>
      <c r="D2369" s="42">
        <v>-17924.5</v>
      </c>
      <c r="E2369" s="43">
        <v>-20798.47</v>
      </c>
      <c r="F2369" s="45">
        <v>-17924.5</v>
      </c>
      <c r="G2369" s="45">
        <v>-17924.5</v>
      </c>
      <c r="H2369" s="46">
        <v>-48513.98</v>
      </c>
      <c r="I2369" s="47">
        <f t="shared" ref="I2369:I2370" si="984">H2369/J2369</f>
        <v>6.0642475000000005</v>
      </c>
      <c r="J2369" s="48">
        <v>-8000</v>
      </c>
      <c r="K2369" s="49">
        <v>-8000</v>
      </c>
      <c r="L2369" s="50">
        <v>-20551.02</v>
      </c>
      <c r="M2369" s="50">
        <v>-10695.21</v>
      </c>
      <c r="N2369" s="53" t="s">
        <v>16</v>
      </c>
      <c r="O2369" s="52">
        <v>0</v>
      </c>
      <c r="P2369" s="53">
        <v>0</v>
      </c>
      <c r="Q2369" s="54">
        <v>0</v>
      </c>
      <c r="R2369" s="1"/>
      <c r="S2369" s="1"/>
      <c r="T2369" s="1"/>
    </row>
    <row r="2370" spans="1:20" ht="13.5" customHeight="1" x14ac:dyDescent="0.25">
      <c r="A2370" s="1"/>
      <c r="B2370" s="1" t="s">
        <v>2082</v>
      </c>
      <c r="C2370" s="55" t="s">
        <v>1795</v>
      </c>
      <c r="D2370" s="42">
        <v>-4150</v>
      </c>
      <c r="E2370" s="43">
        <v>0</v>
      </c>
      <c r="F2370" s="45">
        <v>-4150</v>
      </c>
      <c r="G2370" s="45">
        <v>-4150</v>
      </c>
      <c r="H2370" s="74">
        <v>0</v>
      </c>
      <c r="I2370" s="47">
        <f t="shared" si="984"/>
        <v>0</v>
      </c>
      <c r="J2370" s="48">
        <v>-4150</v>
      </c>
      <c r="K2370" s="49">
        <v>-4150</v>
      </c>
      <c r="L2370" s="77">
        <v>0</v>
      </c>
      <c r="M2370" s="77">
        <v>0</v>
      </c>
      <c r="N2370" s="53" t="s">
        <v>16</v>
      </c>
      <c r="O2370" s="52">
        <v>0</v>
      </c>
      <c r="P2370" s="53">
        <v>0</v>
      </c>
      <c r="Q2370" s="54">
        <v>0</v>
      </c>
      <c r="R2370" s="1"/>
      <c r="S2370" s="1"/>
      <c r="T2370" s="1"/>
    </row>
    <row r="2371" spans="1:20" ht="13.5" customHeight="1" thickBot="1" x14ac:dyDescent="0.3">
      <c r="A2371" s="1"/>
      <c r="B2371" s="1"/>
      <c r="C2371" s="116" t="s">
        <v>2083</v>
      </c>
      <c r="D2371" s="267">
        <v>-22074.5</v>
      </c>
      <c r="E2371" s="173">
        <f t="shared" ref="E2371" si="985">SUM(E2369:E2370)</f>
        <v>-20798.47</v>
      </c>
      <c r="F2371" s="174">
        <f>SUM(F2368:F2370)</f>
        <v>-22074.5</v>
      </c>
      <c r="G2371" s="174">
        <v>-22074.5</v>
      </c>
      <c r="H2371" s="175">
        <f>SUM(H2369:H2370)</f>
        <v>-48513.98</v>
      </c>
      <c r="I2371" s="175"/>
      <c r="J2371" s="176">
        <f t="shared" ref="J2371:Q2371" si="986">SUM(J2369:J2370)</f>
        <v>-12150</v>
      </c>
      <c r="K2371" s="177">
        <f t="shared" si="986"/>
        <v>-12150</v>
      </c>
      <c r="L2371" s="178">
        <f t="shared" si="986"/>
        <v>-20551.02</v>
      </c>
      <c r="M2371" s="178">
        <f t="shared" si="986"/>
        <v>-10695.21</v>
      </c>
      <c r="N2371" s="179">
        <f t="shared" si="986"/>
        <v>0</v>
      </c>
      <c r="O2371" s="180">
        <f t="shared" si="986"/>
        <v>0</v>
      </c>
      <c r="P2371" s="179">
        <f t="shared" si="986"/>
        <v>0</v>
      </c>
      <c r="Q2371" s="181">
        <f t="shared" si="986"/>
        <v>0</v>
      </c>
      <c r="R2371" s="1"/>
      <c r="S2371" s="1"/>
      <c r="T2371" s="1"/>
    </row>
    <row r="2372" spans="1:20" ht="10.5" customHeight="1" thickTop="1" x14ac:dyDescent="0.25">
      <c r="A2372" s="1"/>
      <c r="B2372" s="1"/>
      <c r="C2372" s="1"/>
      <c r="D2372" s="42"/>
      <c r="E2372" s="67"/>
      <c r="F2372" s="45"/>
      <c r="G2372" s="45"/>
      <c r="H2372" s="74"/>
      <c r="I2372" s="66"/>
      <c r="J2372" s="48"/>
      <c r="K2372" s="49"/>
      <c r="L2372" s="77"/>
      <c r="M2372" s="77"/>
      <c r="N2372" s="53"/>
      <c r="O2372" s="52"/>
      <c r="P2372" s="53"/>
      <c r="Q2372" s="54"/>
      <c r="R2372" s="1"/>
      <c r="S2372" s="1"/>
      <c r="T2372" s="1"/>
    </row>
    <row r="2373" spans="1:20" ht="13.5" customHeight="1" x14ac:dyDescent="0.25">
      <c r="A2373" s="116" t="s">
        <v>230</v>
      </c>
      <c r="B2373" s="1"/>
      <c r="C2373" s="1"/>
      <c r="D2373" s="42"/>
      <c r="E2373" s="67"/>
      <c r="F2373" s="45"/>
      <c r="G2373" s="45"/>
      <c r="H2373" s="74"/>
      <c r="I2373" s="66"/>
      <c r="J2373" s="48"/>
      <c r="K2373" s="49"/>
      <c r="L2373" s="77"/>
      <c r="M2373" s="77"/>
      <c r="N2373" s="53"/>
      <c r="O2373" s="52"/>
      <c r="P2373" s="53"/>
      <c r="Q2373" s="54"/>
      <c r="R2373" s="1"/>
      <c r="S2373" s="1"/>
      <c r="T2373" s="1"/>
    </row>
    <row r="2374" spans="1:20" ht="13.5" customHeight="1" x14ac:dyDescent="0.25">
      <c r="A2374" s="1"/>
      <c r="B2374" s="1" t="s">
        <v>2084</v>
      </c>
      <c r="C2374" s="55" t="s">
        <v>420</v>
      </c>
      <c r="D2374" s="42">
        <v>15000</v>
      </c>
      <c r="E2374" s="43">
        <v>3859.46</v>
      </c>
      <c r="F2374" s="45">
        <v>15000</v>
      </c>
      <c r="G2374" s="45">
        <v>15000</v>
      </c>
      <c r="H2374" s="46">
        <v>9534.2800000000007</v>
      </c>
      <c r="I2374" s="47">
        <f>H2374/J2374</f>
        <v>0.95342800000000005</v>
      </c>
      <c r="J2374" s="48">
        <v>10000</v>
      </c>
      <c r="K2374" s="49">
        <v>10000</v>
      </c>
      <c r="L2374" s="50">
        <v>93.81</v>
      </c>
      <c r="M2374" s="77">
        <v>0</v>
      </c>
      <c r="N2374" s="53" t="s">
        <v>16</v>
      </c>
      <c r="O2374" s="52">
        <v>0</v>
      </c>
      <c r="P2374" s="53">
        <v>0</v>
      </c>
      <c r="Q2374" s="54">
        <v>0</v>
      </c>
      <c r="R2374" s="1"/>
      <c r="S2374" s="1"/>
      <c r="T2374" s="1"/>
    </row>
    <row r="2375" spans="1:20" ht="13.5" customHeight="1" x14ac:dyDescent="0.25">
      <c r="A2375" s="1"/>
      <c r="B2375" s="1" t="s">
        <v>2085</v>
      </c>
      <c r="C2375" s="1" t="s">
        <v>247</v>
      </c>
      <c r="D2375" s="42">
        <v>1147.5</v>
      </c>
      <c r="E2375" s="43">
        <v>269.72000000000003</v>
      </c>
      <c r="F2375" s="73">
        <v>1147.5</v>
      </c>
      <c r="G2375" s="73">
        <v>1147.5</v>
      </c>
      <c r="H2375" s="46">
        <v>659.7</v>
      </c>
      <c r="I2375" s="47">
        <v>0</v>
      </c>
      <c r="J2375" s="75">
        <v>0</v>
      </c>
      <c r="K2375" s="76">
        <v>0</v>
      </c>
      <c r="L2375" s="50">
        <v>6.41</v>
      </c>
      <c r="M2375" s="77">
        <v>0</v>
      </c>
      <c r="N2375" s="53" t="s">
        <v>16</v>
      </c>
      <c r="O2375" s="52">
        <v>0</v>
      </c>
      <c r="P2375" s="53">
        <v>0</v>
      </c>
      <c r="Q2375" s="54">
        <v>0</v>
      </c>
      <c r="R2375" s="1"/>
      <c r="S2375" s="1"/>
      <c r="T2375" s="1"/>
    </row>
    <row r="2376" spans="1:20" ht="13.5" customHeight="1" x14ac:dyDescent="0.25">
      <c r="A2376" s="1"/>
      <c r="B2376" s="1" t="s">
        <v>2086</v>
      </c>
      <c r="C2376" s="1" t="s">
        <v>251</v>
      </c>
      <c r="D2376" s="42">
        <v>2253</v>
      </c>
      <c r="E2376" s="43">
        <v>579.73</v>
      </c>
      <c r="F2376" s="73">
        <v>2253</v>
      </c>
      <c r="G2376" s="73">
        <v>2253</v>
      </c>
      <c r="H2376" s="46">
        <v>1385.85</v>
      </c>
      <c r="I2376" s="47">
        <v>0</v>
      </c>
      <c r="J2376" s="75">
        <v>0</v>
      </c>
      <c r="K2376" s="76">
        <v>0</v>
      </c>
      <c r="L2376" s="50">
        <v>13.63</v>
      </c>
      <c r="M2376" s="77">
        <v>0</v>
      </c>
      <c r="N2376" s="53" t="s">
        <v>16</v>
      </c>
      <c r="O2376" s="52">
        <v>0</v>
      </c>
      <c r="P2376" s="53">
        <v>0</v>
      </c>
      <c r="Q2376" s="54">
        <v>0</v>
      </c>
      <c r="R2376" s="1"/>
      <c r="S2376" s="1"/>
      <c r="T2376" s="1"/>
    </row>
    <row r="2377" spans="1:20" ht="13.5" customHeight="1" x14ac:dyDescent="0.25">
      <c r="A2377" s="1"/>
      <c r="B2377" s="1" t="s">
        <v>2087</v>
      </c>
      <c r="C2377" s="1" t="s">
        <v>253</v>
      </c>
      <c r="D2377" s="42">
        <v>24</v>
      </c>
      <c r="E2377" s="43">
        <v>6.14</v>
      </c>
      <c r="F2377" s="73">
        <v>24</v>
      </c>
      <c r="G2377" s="73">
        <v>24</v>
      </c>
      <c r="H2377" s="46">
        <v>15.15</v>
      </c>
      <c r="I2377" s="47">
        <v>0</v>
      </c>
      <c r="J2377" s="75">
        <v>0</v>
      </c>
      <c r="K2377" s="76">
        <v>0</v>
      </c>
      <c r="L2377" s="50">
        <v>0.15</v>
      </c>
      <c r="M2377" s="77">
        <v>0</v>
      </c>
      <c r="N2377" s="53" t="s">
        <v>16</v>
      </c>
      <c r="O2377" s="52">
        <v>0</v>
      </c>
      <c r="P2377" s="53">
        <v>0</v>
      </c>
      <c r="Q2377" s="54">
        <v>0</v>
      </c>
      <c r="R2377" s="1"/>
      <c r="S2377" s="1"/>
      <c r="T2377" s="1"/>
    </row>
    <row r="2378" spans="1:20" ht="13.5" customHeight="1" x14ac:dyDescent="0.25">
      <c r="A2378" s="1"/>
      <c r="B2378" s="1" t="s">
        <v>2088</v>
      </c>
      <c r="C2378" s="1" t="s">
        <v>259</v>
      </c>
      <c r="D2378" s="42">
        <v>1000</v>
      </c>
      <c r="E2378" s="43">
        <v>0</v>
      </c>
      <c r="F2378" s="45">
        <v>1000</v>
      </c>
      <c r="G2378" s="45">
        <v>1000</v>
      </c>
      <c r="H2378" s="74">
        <v>0</v>
      </c>
      <c r="I2378" s="47">
        <f t="shared" ref="I2378:I2381" si="987">H2378/J2378</f>
        <v>0</v>
      </c>
      <c r="J2378" s="48">
        <v>1000</v>
      </c>
      <c r="K2378" s="49">
        <v>1000</v>
      </c>
      <c r="L2378" s="77">
        <v>0</v>
      </c>
      <c r="M2378" s="77">
        <v>0</v>
      </c>
      <c r="N2378" s="53" t="s">
        <v>16</v>
      </c>
      <c r="O2378" s="52">
        <v>0</v>
      </c>
      <c r="P2378" s="53">
        <v>0</v>
      </c>
      <c r="Q2378" s="54">
        <v>0</v>
      </c>
      <c r="R2378" s="1"/>
      <c r="S2378" s="1"/>
      <c r="T2378" s="1"/>
    </row>
    <row r="2379" spans="1:20" ht="13.5" customHeight="1" x14ac:dyDescent="0.25">
      <c r="A2379" s="1"/>
      <c r="B2379" s="55" t="s">
        <v>2089</v>
      </c>
      <c r="C2379" s="55" t="s">
        <v>267</v>
      </c>
      <c r="D2379" s="42">
        <v>0</v>
      </c>
      <c r="E2379" s="43">
        <v>0</v>
      </c>
      <c r="F2379" s="45">
        <v>1000</v>
      </c>
      <c r="G2379" s="71">
        <v>0</v>
      </c>
      <c r="H2379" s="68">
        <v>615.95000000000005</v>
      </c>
      <c r="I2379" s="47">
        <f t="shared" si="987"/>
        <v>0.61595</v>
      </c>
      <c r="J2379" s="48">
        <v>1000</v>
      </c>
      <c r="K2379" s="49">
        <v>1000</v>
      </c>
      <c r="L2379" s="77">
        <v>0</v>
      </c>
      <c r="M2379" s="77">
        <v>0</v>
      </c>
      <c r="N2379" s="53"/>
      <c r="O2379" s="52"/>
      <c r="P2379" s="53"/>
      <c r="Q2379" s="54"/>
      <c r="R2379" s="1"/>
      <c r="S2379" s="1"/>
      <c r="T2379" s="1"/>
    </row>
    <row r="2380" spans="1:20" ht="13.5" customHeight="1" x14ac:dyDescent="0.25">
      <c r="A2380" s="1"/>
      <c r="B2380" s="1" t="s">
        <v>2090</v>
      </c>
      <c r="C2380" s="1" t="s">
        <v>275</v>
      </c>
      <c r="D2380" s="42">
        <v>2500</v>
      </c>
      <c r="E2380" s="43">
        <v>0</v>
      </c>
      <c r="F2380" s="45">
        <v>2500</v>
      </c>
      <c r="G2380" s="45">
        <v>2500</v>
      </c>
      <c r="H2380" s="74">
        <v>0</v>
      </c>
      <c r="I2380" s="47">
        <f t="shared" si="987"/>
        <v>0</v>
      </c>
      <c r="J2380" s="48">
        <v>1000</v>
      </c>
      <c r="K2380" s="49">
        <v>1000</v>
      </c>
      <c r="L2380" s="77">
        <v>0</v>
      </c>
      <c r="M2380" s="77">
        <v>0</v>
      </c>
      <c r="N2380" s="53" t="s">
        <v>16</v>
      </c>
      <c r="O2380" s="52">
        <v>0</v>
      </c>
      <c r="P2380" s="53">
        <v>0</v>
      </c>
      <c r="Q2380" s="54">
        <v>0</v>
      </c>
      <c r="R2380" s="1"/>
      <c r="S2380" s="1"/>
      <c r="T2380" s="1"/>
    </row>
    <row r="2381" spans="1:20" ht="13.5" customHeight="1" x14ac:dyDescent="0.25">
      <c r="A2381" s="1"/>
      <c r="B2381" s="1" t="s">
        <v>2091</v>
      </c>
      <c r="C2381" s="1" t="s">
        <v>277</v>
      </c>
      <c r="D2381" s="42">
        <v>150</v>
      </c>
      <c r="E2381" s="43">
        <v>0</v>
      </c>
      <c r="F2381" s="45">
        <v>150</v>
      </c>
      <c r="G2381" s="45">
        <v>150</v>
      </c>
      <c r="H2381" s="74">
        <v>0</v>
      </c>
      <c r="I2381" s="47">
        <f t="shared" si="987"/>
        <v>0</v>
      </c>
      <c r="J2381" s="48">
        <v>150</v>
      </c>
      <c r="K2381" s="49">
        <v>150</v>
      </c>
      <c r="L2381" s="77">
        <v>0</v>
      </c>
      <c r="M2381" s="77">
        <v>0</v>
      </c>
      <c r="N2381" s="53" t="s">
        <v>16</v>
      </c>
      <c r="O2381" s="52">
        <v>0</v>
      </c>
      <c r="P2381" s="53">
        <v>0</v>
      </c>
      <c r="Q2381" s="54">
        <v>0</v>
      </c>
      <c r="R2381" s="1"/>
      <c r="S2381" s="1"/>
      <c r="T2381" s="1"/>
    </row>
    <row r="2382" spans="1:20" ht="13.5" customHeight="1" thickBot="1" x14ac:dyDescent="0.3">
      <c r="A2382" s="1"/>
      <c r="B2382" s="78"/>
      <c r="C2382" s="98" t="s">
        <v>2092</v>
      </c>
      <c r="D2382" s="267">
        <v>22074.5</v>
      </c>
      <c r="E2382" s="173">
        <f t="shared" ref="E2382" si="988">SUM(E2374:E2381)</f>
        <v>4715.05</v>
      </c>
      <c r="F2382" s="174">
        <f>SUM(F2373:F2381)</f>
        <v>23074.5</v>
      </c>
      <c r="G2382" s="174">
        <v>22074.5</v>
      </c>
      <c r="H2382" s="175">
        <f>SUM(H2374:H2381)</f>
        <v>12210.930000000002</v>
      </c>
      <c r="I2382" s="175"/>
      <c r="J2382" s="176">
        <f t="shared" ref="J2382:Q2382" si="989">SUM(J2374:J2381)</f>
        <v>13150</v>
      </c>
      <c r="K2382" s="177">
        <f t="shared" si="989"/>
        <v>13150</v>
      </c>
      <c r="L2382" s="178">
        <f t="shared" si="989"/>
        <v>114</v>
      </c>
      <c r="M2382" s="178">
        <f t="shared" si="989"/>
        <v>0</v>
      </c>
      <c r="N2382" s="263">
        <f t="shared" si="989"/>
        <v>0</v>
      </c>
      <c r="O2382" s="180">
        <f t="shared" si="989"/>
        <v>0</v>
      </c>
      <c r="P2382" s="263">
        <f t="shared" si="989"/>
        <v>0</v>
      </c>
      <c r="Q2382" s="181">
        <f t="shared" si="989"/>
        <v>0</v>
      </c>
      <c r="R2382" s="1"/>
      <c r="S2382" s="1"/>
      <c r="T2382" s="1"/>
    </row>
    <row r="2383" spans="1:20" ht="11.25" customHeight="1" thickTop="1" x14ac:dyDescent="0.25">
      <c r="A2383" s="1"/>
      <c r="B2383" s="1"/>
      <c r="C2383" s="1"/>
      <c r="D2383" s="42"/>
      <c r="E2383" s="67"/>
      <c r="F2383" s="45"/>
      <c r="G2383" s="45"/>
      <c r="H2383" s="74"/>
      <c r="I2383" s="66"/>
      <c r="J2383" s="48"/>
      <c r="K2383" s="49"/>
      <c r="L2383" s="77"/>
      <c r="M2383" s="77"/>
      <c r="N2383" s="53"/>
      <c r="O2383" s="52"/>
      <c r="P2383" s="53"/>
      <c r="Q2383" s="54"/>
      <c r="R2383" s="1"/>
      <c r="S2383" s="1"/>
      <c r="T2383" s="1"/>
    </row>
    <row r="2384" spans="1:20" ht="18" customHeight="1" x14ac:dyDescent="0.25">
      <c r="A2384" s="1"/>
      <c r="B2384" s="262" t="s">
        <v>2093</v>
      </c>
      <c r="C2384" s="262" t="s">
        <v>2094</v>
      </c>
      <c r="D2384" s="42"/>
      <c r="E2384" s="67"/>
      <c r="F2384" s="45"/>
      <c r="G2384" s="45"/>
      <c r="H2384" s="74"/>
      <c r="I2384" s="66"/>
      <c r="J2384" s="48"/>
      <c r="K2384" s="49"/>
      <c r="L2384" s="77"/>
      <c r="M2384" s="77"/>
      <c r="N2384" s="53"/>
      <c r="O2384" s="52"/>
      <c r="P2384" s="53"/>
      <c r="Q2384" s="54"/>
      <c r="R2384" s="1"/>
      <c r="S2384" s="1"/>
      <c r="T2384" s="1"/>
    </row>
    <row r="2385" spans="1:20" ht="12" customHeight="1" x14ac:dyDescent="0.25">
      <c r="A2385" s="1"/>
      <c r="B2385" s="262"/>
      <c r="C2385" s="262"/>
      <c r="D2385" s="42"/>
      <c r="E2385" s="67"/>
      <c r="F2385" s="45"/>
      <c r="G2385" s="45"/>
      <c r="H2385" s="74"/>
      <c r="I2385" s="66"/>
      <c r="J2385" s="48"/>
      <c r="K2385" s="49"/>
      <c r="L2385" s="77"/>
      <c r="M2385" s="77"/>
      <c r="N2385" s="53"/>
      <c r="O2385" s="52"/>
      <c r="P2385" s="53"/>
      <c r="Q2385" s="54"/>
      <c r="R2385" s="1"/>
      <c r="S2385" s="1"/>
      <c r="T2385" s="1"/>
    </row>
    <row r="2386" spans="1:20" ht="13.5" customHeight="1" x14ac:dyDescent="0.25">
      <c r="A2386" s="41" t="s">
        <v>17</v>
      </c>
      <c r="B2386" s="1"/>
      <c r="C2386" s="1"/>
      <c r="D2386" s="72"/>
      <c r="E2386" s="67"/>
      <c r="F2386" s="73"/>
      <c r="G2386" s="73"/>
      <c r="H2386" s="74"/>
      <c r="I2386" s="74"/>
      <c r="J2386" s="75"/>
      <c r="K2386" s="76"/>
      <c r="L2386" s="77"/>
      <c r="M2386" s="50"/>
      <c r="N2386" s="51"/>
      <c r="O2386" s="52"/>
      <c r="P2386" s="53"/>
      <c r="Q2386" s="54"/>
      <c r="R2386" s="1"/>
      <c r="S2386" s="1"/>
      <c r="T2386" s="1"/>
    </row>
    <row r="2387" spans="1:20" ht="13.5" customHeight="1" x14ac:dyDescent="0.25">
      <c r="A2387" s="1"/>
      <c r="B2387" s="1" t="s">
        <v>2095</v>
      </c>
      <c r="C2387" s="1" t="s">
        <v>2096</v>
      </c>
      <c r="D2387" s="42">
        <v>-23000</v>
      </c>
      <c r="E2387" s="43">
        <v>-19210</v>
      </c>
      <c r="F2387" s="45">
        <v>-23000</v>
      </c>
      <c r="G2387" s="45">
        <v>-23000</v>
      </c>
      <c r="H2387" s="46">
        <v>-26054</v>
      </c>
      <c r="I2387" s="47">
        <f t="shared" ref="I2387:I2388" si="990">H2387/J2387</f>
        <v>1.1327826086956523</v>
      </c>
      <c r="J2387" s="48">
        <v>-23000</v>
      </c>
      <c r="K2387" s="49">
        <v>-23000</v>
      </c>
      <c r="L2387" s="50">
        <v>-33704</v>
      </c>
      <c r="M2387" s="50">
        <v>-27812</v>
      </c>
      <c r="N2387" s="51">
        <v>-17612</v>
      </c>
      <c r="O2387" s="52">
        <v>12648</v>
      </c>
      <c r="P2387" s="53">
        <v>13396</v>
      </c>
      <c r="Q2387" s="54">
        <v>11946</v>
      </c>
      <c r="R2387" s="1"/>
      <c r="S2387" s="1"/>
      <c r="T2387" s="1"/>
    </row>
    <row r="2388" spans="1:20" ht="13.5" customHeight="1" x14ac:dyDescent="0.25">
      <c r="A2388" s="1"/>
      <c r="B2388" s="1" t="s">
        <v>2097</v>
      </c>
      <c r="C2388" s="1" t="s">
        <v>196</v>
      </c>
      <c r="D2388" s="42">
        <v>-100</v>
      </c>
      <c r="E2388" s="43">
        <v>-47.45</v>
      </c>
      <c r="F2388" s="45">
        <v>-100</v>
      </c>
      <c r="G2388" s="45">
        <v>-100</v>
      </c>
      <c r="H2388" s="46">
        <v>-401.22</v>
      </c>
      <c r="I2388" s="47">
        <f t="shared" si="990"/>
        <v>4.0122</v>
      </c>
      <c r="J2388" s="48">
        <v>-100</v>
      </c>
      <c r="K2388" s="49">
        <v>-100</v>
      </c>
      <c r="L2388" s="50">
        <v>-308.45999999999998</v>
      </c>
      <c r="M2388" s="50">
        <v>-159.57</v>
      </c>
      <c r="N2388" s="51">
        <v>-77.180000000000007</v>
      </c>
      <c r="O2388" s="52">
        <v>22.81</v>
      </c>
      <c r="P2388" s="53">
        <v>20.63</v>
      </c>
      <c r="Q2388" s="54">
        <v>35.26</v>
      </c>
      <c r="R2388" s="1"/>
      <c r="S2388" s="1"/>
      <c r="T2388" s="1"/>
    </row>
    <row r="2389" spans="1:20" ht="13.5" customHeight="1" x14ac:dyDescent="0.25">
      <c r="A2389" s="1"/>
      <c r="B2389" s="1" t="s">
        <v>2098</v>
      </c>
      <c r="C2389" s="1" t="s">
        <v>224</v>
      </c>
      <c r="D2389" s="42">
        <v>0</v>
      </c>
      <c r="E2389" s="43">
        <v>0</v>
      </c>
      <c r="F2389" s="73">
        <v>0</v>
      </c>
      <c r="G2389" s="73">
        <v>0</v>
      </c>
      <c r="H2389" s="46">
        <v>-10</v>
      </c>
      <c r="I2389" s="47">
        <v>0</v>
      </c>
      <c r="J2389" s="75">
        <v>0</v>
      </c>
      <c r="K2389" s="76">
        <v>0</v>
      </c>
      <c r="L2389" s="50">
        <v>-4190</v>
      </c>
      <c r="M2389" s="77">
        <v>0</v>
      </c>
      <c r="N2389" s="53" t="s">
        <v>16</v>
      </c>
      <c r="O2389" s="52">
        <v>3604</v>
      </c>
      <c r="P2389" s="53">
        <v>20</v>
      </c>
      <c r="Q2389" s="54">
        <v>-6808</v>
      </c>
      <c r="R2389" s="1"/>
      <c r="S2389" s="1"/>
      <c r="T2389" s="1"/>
    </row>
    <row r="2390" spans="1:20" ht="13.5" customHeight="1" x14ac:dyDescent="0.25">
      <c r="A2390" s="1"/>
      <c r="B2390" s="1" t="s">
        <v>2099</v>
      </c>
      <c r="C2390" s="1" t="s">
        <v>1795</v>
      </c>
      <c r="D2390" s="42">
        <v>-69400</v>
      </c>
      <c r="E2390" s="43">
        <v>-10000</v>
      </c>
      <c r="F2390" s="45">
        <v>-69400</v>
      </c>
      <c r="G2390" s="45">
        <v>-69400</v>
      </c>
      <c r="H2390" s="46">
        <v>-50000</v>
      </c>
      <c r="I2390" s="47">
        <f>H2390/J2390</f>
        <v>0.72046109510086453</v>
      </c>
      <c r="J2390" s="48">
        <v>-69400</v>
      </c>
      <c r="K2390" s="49">
        <v>-69400</v>
      </c>
      <c r="L2390" s="50">
        <v>-55000</v>
      </c>
      <c r="M2390" s="50">
        <v>-30000</v>
      </c>
      <c r="N2390" s="51">
        <v>-50000</v>
      </c>
      <c r="O2390" s="52">
        <v>30000</v>
      </c>
      <c r="P2390" s="53">
        <v>40000</v>
      </c>
      <c r="Q2390" s="54">
        <v>40000</v>
      </c>
      <c r="R2390" s="1"/>
      <c r="S2390" s="1"/>
      <c r="T2390" s="1"/>
    </row>
    <row r="2391" spans="1:20" ht="13.5" customHeight="1" thickBot="1" x14ac:dyDescent="0.3">
      <c r="A2391" s="1"/>
      <c r="B2391" s="1"/>
      <c r="C2391" s="116" t="s">
        <v>2100</v>
      </c>
      <c r="D2391" s="267">
        <v>-92500</v>
      </c>
      <c r="E2391" s="173">
        <f t="shared" ref="E2391" si="991">SUM(E2387:E2390)</f>
        <v>-29257.45</v>
      </c>
      <c r="F2391" s="174">
        <f>SUM(F2386:F2390)</f>
        <v>-92500</v>
      </c>
      <c r="G2391" s="174">
        <v>-92500</v>
      </c>
      <c r="H2391" s="175">
        <f>SUM(H2387:H2390)</f>
        <v>-76465.22</v>
      </c>
      <c r="I2391" s="175"/>
      <c r="J2391" s="176">
        <f t="shared" ref="J2391:Q2391" si="992">SUM(J2387:J2390)</f>
        <v>-92500</v>
      </c>
      <c r="K2391" s="177">
        <f t="shared" si="992"/>
        <v>-92500</v>
      </c>
      <c r="L2391" s="178">
        <f t="shared" si="992"/>
        <v>-93202.459999999992</v>
      </c>
      <c r="M2391" s="178">
        <f t="shared" si="992"/>
        <v>-57971.57</v>
      </c>
      <c r="N2391" s="179">
        <f t="shared" si="992"/>
        <v>-67689.179999999993</v>
      </c>
      <c r="O2391" s="180">
        <f t="shared" si="992"/>
        <v>46274.81</v>
      </c>
      <c r="P2391" s="179">
        <f t="shared" si="992"/>
        <v>53436.63</v>
      </c>
      <c r="Q2391" s="181">
        <f t="shared" si="992"/>
        <v>45173.26</v>
      </c>
      <c r="R2391" s="1"/>
      <c r="S2391" s="1"/>
      <c r="T2391" s="1"/>
    </row>
    <row r="2392" spans="1:20" ht="11.25" customHeight="1" thickTop="1" x14ac:dyDescent="0.25">
      <c r="A2392" s="1"/>
      <c r="B2392" s="1"/>
      <c r="C2392" s="1"/>
      <c r="D2392" s="42"/>
      <c r="E2392" s="44"/>
      <c r="F2392" s="45"/>
      <c r="G2392" s="45"/>
      <c r="H2392" s="66"/>
      <c r="I2392" s="66"/>
      <c r="J2392" s="48"/>
      <c r="K2392" s="49"/>
      <c r="L2392" s="50"/>
      <c r="M2392" s="50"/>
      <c r="N2392" s="51"/>
      <c r="O2392" s="52"/>
      <c r="P2392" s="53"/>
      <c r="Q2392" s="54"/>
      <c r="R2392" s="1"/>
      <c r="S2392" s="1"/>
      <c r="T2392" s="1"/>
    </row>
    <row r="2393" spans="1:20" ht="13.5" customHeight="1" x14ac:dyDescent="0.25">
      <c r="A2393" s="116" t="s">
        <v>230</v>
      </c>
      <c r="B2393" s="1"/>
      <c r="C2393" s="1"/>
      <c r="D2393" s="42"/>
      <c r="E2393" s="44"/>
      <c r="F2393" s="45"/>
      <c r="G2393" s="45"/>
      <c r="H2393" s="66"/>
      <c r="I2393" s="66"/>
      <c r="J2393" s="48"/>
      <c r="K2393" s="49"/>
      <c r="L2393" s="50"/>
      <c r="M2393" s="50"/>
      <c r="N2393" s="51"/>
      <c r="O2393" s="52"/>
      <c r="P2393" s="53"/>
      <c r="Q2393" s="54"/>
      <c r="R2393" s="1"/>
      <c r="S2393" s="1"/>
      <c r="T2393" s="1"/>
    </row>
    <row r="2394" spans="1:20" ht="13.5" customHeight="1" x14ac:dyDescent="0.25">
      <c r="A2394" s="1"/>
      <c r="B2394" s="1" t="s">
        <v>2101</v>
      </c>
      <c r="C2394" s="1" t="s">
        <v>2102</v>
      </c>
      <c r="D2394" s="42">
        <v>20000</v>
      </c>
      <c r="E2394" s="43">
        <v>360</v>
      </c>
      <c r="F2394" s="45">
        <v>20000</v>
      </c>
      <c r="G2394" s="45">
        <v>20000</v>
      </c>
      <c r="H2394" s="46">
        <v>7880</v>
      </c>
      <c r="I2394" s="47">
        <f t="shared" ref="I2394:I2397" si="993">H2394/J2394</f>
        <v>0.39400000000000002</v>
      </c>
      <c r="J2394" s="48">
        <v>20000</v>
      </c>
      <c r="K2394" s="49">
        <v>20000</v>
      </c>
      <c r="L2394" s="50">
        <v>16520</v>
      </c>
      <c r="M2394" s="50">
        <v>8560</v>
      </c>
      <c r="N2394" s="51">
        <v>7090</v>
      </c>
      <c r="O2394" s="52">
        <v>3440</v>
      </c>
      <c r="P2394" s="53">
        <v>14380</v>
      </c>
      <c r="Q2394" s="54">
        <v>11120</v>
      </c>
      <c r="R2394" s="1"/>
      <c r="S2394" s="1"/>
      <c r="T2394" s="1"/>
    </row>
    <row r="2395" spans="1:20" ht="13.5" customHeight="1" x14ac:dyDescent="0.25">
      <c r="A2395" s="1"/>
      <c r="B2395" s="1" t="s">
        <v>2103</v>
      </c>
      <c r="C2395" s="1" t="s">
        <v>259</v>
      </c>
      <c r="D2395" s="42">
        <v>7500</v>
      </c>
      <c r="E2395" s="43">
        <v>0</v>
      </c>
      <c r="F2395" s="45">
        <v>7500</v>
      </c>
      <c r="G2395" s="45">
        <v>7500</v>
      </c>
      <c r="H2395" s="68">
        <v>4438.83</v>
      </c>
      <c r="I2395" s="47">
        <f t="shared" si="993"/>
        <v>0.59184400000000004</v>
      </c>
      <c r="J2395" s="48">
        <v>7500</v>
      </c>
      <c r="K2395" s="49">
        <v>7500</v>
      </c>
      <c r="L2395" s="50">
        <v>5447.35</v>
      </c>
      <c r="M2395" s="50">
        <v>2715.73</v>
      </c>
      <c r="N2395" s="51">
        <v>955</v>
      </c>
      <c r="O2395" s="52">
        <v>2332.96</v>
      </c>
      <c r="P2395" s="53">
        <v>1987.56</v>
      </c>
      <c r="Q2395" s="54">
        <v>0</v>
      </c>
      <c r="R2395" s="1"/>
      <c r="S2395" s="1"/>
      <c r="T2395" s="1"/>
    </row>
    <row r="2396" spans="1:20" ht="13.5" customHeight="1" x14ac:dyDescent="0.25">
      <c r="A2396" s="1"/>
      <c r="B2396" s="1" t="s">
        <v>2104</v>
      </c>
      <c r="C2396" s="1" t="s">
        <v>2102</v>
      </c>
      <c r="D2396" s="42">
        <v>60000</v>
      </c>
      <c r="E2396" s="43">
        <v>20170</v>
      </c>
      <c r="F2396" s="45">
        <v>60000</v>
      </c>
      <c r="G2396" s="45">
        <v>60000</v>
      </c>
      <c r="H2396" s="46">
        <v>53130</v>
      </c>
      <c r="I2396" s="47">
        <f t="shared" si="993"/>
        <v>0.88549999999999995</v>
      </c>
      <c r="J2396" s="48">
        <v>60000</v>
      </c>
      <c r="K2396" s="49">
        <v>60000</v>
      </c>
      <c r="L2396" s="50">
        <v>62230</v>
      </c>
      <c r="M2396" s="50">
        <v>46300</v>
      </c>
      <c r="N2396" s="51">
        <v>44810</v>
      </c>
      <c r="O2396" s="52">
        <v>47150</v>
      </c>
      <c r="P2396" s="53">
        <v>28920</v>
      </c>
      <c r="Q2396" s="54">
        <v>43974</v>
      </c>
      <c r="R2396" s="1"/>
      <c r="S2396" s="1"/>
      <c r="T2396" s="1"/>
    </row>
    <row r="2397" spans="1:20" ht="13.5" customHeight="1" x14ac:dyDescent="0.25">
      <c r="A2397" s="1"/>
      <c r="B2397" s="1" t="s">
        <v>2105</v>
      </c>
      <c r="C2397" s="1" t="s">
        <v>981</v>
      </c>
      <c r="D2397" s="42">
        <v>5000</v>
      </c>
      <c r="E2397" s="43">
        <v>2715.54</v>
      </c>
      <c r="F2397" s="45">
        <v>5000</v>
      </c>
      <c r="G2397" s="45">
        <v>5000</v>
      </c>
      <c r="H2397" s="46">
        <v>6427.55</v>
      </c>
      <c r="I2397" s="47">
        <f t="shared" si="993"/>
        <v>1.2855099999999999</v>
      </c>
      <c r="J2397" s="48">
        <v>5000</v>
      </c>
      <c r="K2397" s="49">
        <v>5000</v>
      </c>
      <c r="L2397" s="50">
        <v>7445.25</v>
      </c>
      <c r="M2397" s="50">
        <v>4902.92</v>
      </c>
      <c r="N2397" s="51">
        <v>6682.34</v>
      </c>
      <c r="O2397" s="52">
        <v>4979.04</v>
      </c>
      <c r="P2397" s="53">
        <v>5848.93</v>
      </c>
      <c r="Q2397" s="54">
        <v>5687.75</v>
      </c>
      <c r="R2397" s="1"/>
      <c r="S2397" s="1"/>
      <c r="T2397" s="1"/>
    </row>
    <row r="2398" spans="1:20" ht="13.5" customHeight="1" thickBot="1" x14ac:dyDescent="0.3">
      <c r="A2398" s="1"/>
      <c r="B2398" s="78"/>
      <c r="C2398" s="98" t="s">
        <v>2106</v>
      </c>
      <c r="D2398" s="267">
        <v>92500</v>
      </c>
      <c r="E2398" s="173">
        <f t="shared" ref="E2398" si="994">SUM(E2394:E2397)</f>
        <v>23245.54</v>
      </c>
      <c r="F2398" s="174">
        <f>SUM(F2393:F2397)</f>
        <v>92500</v>
      </c>
      <c r="G2398" s="174">
        <v>92500</v>
      </c>
      <c r="H2398" s="175">
        <f>SUM(H2394:H2397)</f>
        <v>71876.38</v>
      </c>
      <c r="I2398" s="175"/>
      <c r="J2398" s="176">
        <f t="shared" ref="J2398:Q2398" si="995">SUM(J2394:J2397)</f>
        <v>92500</v>
      </c>
      <c r="K2398" s="177">
        <f t="shared" si="995"/>
        <v>92500</v>
      </c>
      <c r="L2398" s="178">
        <f t="shared" si="995"/>
        <v>91642.6</v>
      </c>
      <c r="M2398" s="178">
        <f t="shared" si="995"/>
        <v>62478.649999999994</v>
      </c>
      <c r="N2398" s="263">
        <f t="shared" si="995"/>
        <v>59537.34</v>
      </c>
      <c r="O2398" s="180">
        <f t="shared" si="995"/>
        <v>57902</v>
      </c>
      <c r="P2398" s="263">
        <f t="shared" si="995"/>
        <v>51136.49</v>
      </c>
      <c r="Q2398" s="181">
        <f t="shared" si="995"/>
        <v>60781.75</v>
      </c>
      <c r="R2398" s="78"/>
      <c r="S2398" s="1"/>
      <c r="T2398" s="1"/>
    </row>
    <row r="2399" spans="1:20" ht="13.5" customHeight="1" thickTop="1" x14ac:dyDescent="0.25">
      <c r="A2399" s="1"/>
      <c r="B2399" s="1"/>
      <c r="C2399" s="1"/>
      <c r="D2399" s="42"/>
      <c r="E2399" s="44"/>
      <c r="F2399" s="45"/>
      <c r="G2399" s="45"/>
      <c r="H2399" s="66"/>
      <c r="I2399" s="66"/>
      <c r="J2399" s="48"/>
      <c r="K2399" s="49"/>
      <c r="L2399" s="50"/>
      <c r="M2399" s="50"/>
      <c r="N2399" s="51"/>
      <c r="O2399" s="151"/>
      <c r="P2399" s="51"/>
      <c r="Q2399" s="152"/>
      <c r="R2399" s="1"/>
      <c r="S2399" s="1"/>
      <c r="T2399" s="1"/>
    </row>
    <row r="2400" spans="1:20" ht="13.5" customHeight="1" x14ac:dyDescent="0.25">
      <c r="A2400" s="1"/>
      <c r="B2400" s="1"/>
      <c r="C2400" s="1"/>
      <c r="D2400" s="42"/>
      <c r="E2400" s="44"/>
      <c r="F2400" s="45"/>
      <c r="G2400" s="45"/>
      <c r="H2400" s="66"/>
      <c r="I2400" s="66"/>
      <c r="J2400" s="48"/>
      <c r="K2400" s="49"/>
      <c r="L2400" s="50"/>
      <c r="M2400" s="50"/>
      <c r="N2400" s="51"/>
      <c r="O2400" s="52"/>
      <c r="P2400" s="53"/>
      <c r="Q2400" s="54"/>
      <c r="R2400" s="1"/>
      <c r="S2400" s="1"/>
      <c r="T2400" s="1"/>
    </row>
    <row r="2401" spans="1:20" ht="18" customHeight="1" x14ac:dyDescent="0.25">
      <c r="A2401" s="1"/>
      <c r="B2401" s="262" t="s">
        <v>2107</v>
      </c>
      <c r="C2401" s="262" t="s">
        <v>2108</v>
      </c>
      <c r="D2401" s="42"/>
      <c r="E2401" s="44"/>
      <c r="F2401" s="45"/>
      <c r="G2401" s="45"/>
      <c r="H2401" s="66"/>
      <c r="I2401" s="66"/>
      <c r="J2401" s="48"/>
      <c r="K2401" s="49"/>
      <c r="L2401" s="50"/>
      <c r="M2401" s="50"/>
      <c r="N2401" s="51"/>
      <c r="O2401" s="52"/>
      <c r="P2401" s="53"/>
      <c r="Q2401" s="54"/>
      <c r="R2401" s="1"/>
      <c r="S2401" s="1"/>
      <c r="T2401" s="1"/>
    </row>
    <row r="2402" spans="1:20" ht="13.5" customHeight="1" x14ac:dyDescent="0.25">
      <c r="A2402" s="1"/>
      <c r="B2402" s="1"/>
      <c r="C2402" s="1"/>
      <c r="D2402" s="42"/>
      <c r="E2402" s="44"/>
      <c r="F2402" s="45"/>
      <c r="G2402" s="45"/>
      <c r="H2402" s="66"/>
      <c r="I2402" s="66"/>
      <c r="J2402" s="48"/>
      <c r="K2402" s="49"/>
      <c r="L2402" s="50"/>
      <c r="M2402" s="50"/>
      <c r="N2402" s="51"/>
      <c r="O2402" s="52"/>
      <c r="P2402" s="53"/>
      <c r="Q2402" s="54"/>
      <c r="R2402" s="1"/>
      <c r="S2402" s="1"/>
      <c r="T2402" s="1"/>
    </row>
    <row r="2403" spans="1:20" ht="13.5" customHeight="1" x14ac:dyDescent="0.25">
      <c r="A2403" s="41" t="s">
        <v>17</v>
      </c>
      <c r="B2403" s="1"/>
      <c r="C2403" s="1"/>
      <c r="D2403" s="42"/>
      <c r="E2403" s="44"/>
      <c r="F2403" s="45"/>
      <c r="G2403" s="45"/>
      <c r="H2403" s="66"/>
      <c r="I2403" s="66"/>
      <c r="J2403" s="48"/>
      <c r="K2403" s="49"/>
      <c r="L2403" s="50"/>
      <c r="M2403" s="50"/>
      <c r="N2403" s="51"/>
      <c r="O2403" s="52"/>
      <c r="P2403" s="53"/>
      <c r="Q2403" s="54"/>
      <c r="R2403" s="1"/>
      <c r="S2403" s="1"/>
      <c r="T2403" s="1"/>
    </row>
    <row r="2404" spans="1:20" ht="13.5" customHeight="1" x14ac:dyDescent="0.25">
      <c r="A2404" s="1"/>
      <c r="B2404" s="1" t="s">
        <v>2109</v>
      </c>
      <c r="C2404" s="1" t="s">
        <v>2110</v>
      </c>
      <c r="D2404" s="42">
        <v>-62550</v>
      </c>
      <c r="E2404" s="43">
        <v>-36039.199999999997</v>
      </c>
      <c r="F2404" s="45">
        <v>-62550</v>
      </c>
      <c r="G2404" s="45">
        <v>-62550</v>
      </c>
      <c r="H2404" s="46">
        <v>-14808.07</v>
      </c>
      <c r="I2404" s="47">
        <f>H2404/J2404</f>
        <v>0.23673972821742606</v>
      </c>
      <c r="J2404" s="48">
        <v>-62550</v>
      </c>
      <c r="K2404" s="49">
        <v>-62550</v>
      </c>
      <c r="L2404" s="50">
        <v>-123471.73</v>
      </c>
      <c r="M2404" s="50">
        <v>-56444.01</v>
      </c>
      <c r="N2404" s="51">
        <v>-29000.43</v>
      </c>
      <c r="O2404" s="52">
        <v>18581.29</v>
      </c>
      <c r="P2404" s="53">
        <v>6491.8</v>
      </c>
      <c r="Q2404" s="54">
        <v>49834</v>
      </c>
      <c r="R2404" s="1"/>
      <c r="S2404" s="1"/>
      <c r="T2404" s="1"/>
    </row>
    <row r="2405" spans="1:20" ht="13.5" customHeight="1" x14ac:dyDescent="0.25">
      <c r="A2405" s="1"/>
      <c r="B2405" s="1" t="s">
        <v>2111</v>
      </c>
      <c r="C2405" s="1" t="s">
        <v>196</v>
      </c>
      <c r="D2405" s="42">
        <v>0</v>
      </c>
      <c r="E2405" s="43">
        <v>0</v>
      </c>
      <c r="F2405" s="73">
        <v>0</v>
      </c>
      <c r="G2405" s="73">
        <v>0</v>
      </c>
      <c r="H2405" s="66">
        <v>-0.51</v>
      </c>
      <c r="I2405" s="47">
        <v>0</v>
      </c>
      <c r="J2405" s="75">
        <v>0</v>
      </c>
      <c r="K2405" s="76">
        <v>0</v>
      </c>
      <c r="L2405" s="50">
        <v>-101.28</v>
      </c>
      <c r="M2405" s="50">
        <v>-10.199999999999999</v>
      </c>
      <c r="N2405" s="51">
        <v>-100.15</v>
      </c>
      <c r="O2405" s="52">
        <v>21.96</v>
      </c>
      <c r="P2405" s="53">
        <v>2.48</v>
      </c>
      <c r="Q2405" s="54">
        <v>168.63</v>
      </c>
      <c r="R2405" s="1"/>
      <c r="S2405" s="1"/>
      <c r="T2405" s="1"/>
    </row>
    <row r="2406" spans="1:20" ht="13.5" customHeight="1" thickBot="1" x14ac:dyDescent="0.3">
      <c r="A2406" s="1"/>
      <c r="B2406" s="1"/>
      <c r="C2406" s="116" t="s">
        <v>2112</v>
      </c>
      <c r="D2406" s="184">
        <v>-62550</v>
      </c>
      <c r="E2406" s="185">
        <f t="shared" ref="E2406" si="996">SUM(E2404:E2405)</f>
        <v>-36039.199999999997</v>
      </c>
      <c r="F2406" s="186">
        <f>SUM(F2403:F2405)</f>
        <v>-62550</v>
      </c>
      <c r="G2406" s="186">
        <v>-62550</v>
      </c>
      <c r="H2406" s="187">
        <f>SUM(H2404:H2405)</f>
        <v>-14808.58</v>
      </c>
      <c r="I2406" s="187"/>
      <c r="J2406" s="188">
        <f t="shared" ref="J2406:Q2406" si="997">SUM(J2404:J2405)</f>
        <v>-62550</v>
      </c>
      <c r="K2406" s="189">
        <f t="shared" si="997"/>
        <v>-62550</v>
      </c>
      <c r="L2406" s="190">
        <f t="shared" si="997"/>
        <v>-123573.01</v>
      </c>
      <c r="M2406" s="190">
        <f t="shared" si="997"/>
        <v>-56454.21</v>
      </c>
      <c r="N2406" s="191">
        <f t="shared" si="997"/>
        <v>-29100.58</v>
      </c>
      <c r="O2406" s="192">
        <f t="shared" si="997"/>
        <v>18603.25</v>
      </c>
      <c r="P2406" s="191">
        <f t="shared" si="997"/>
        <v>6494.28</v>
      </c>
      <c r="Q2406" s="193">
        <f t="shared" si="997"/>
        <v>50002.63</v>
      </c>
      <c r="R2406" s="1"/>
      <c r="S2406" s="1"/>
      <c r="T2406" s="1"/>
    </row>
    <row r="2407" spans="1:20" ht="13.5" customHeight="1" thickTop="1" x14ac:dyDescent="0.25">
      <c r="A2407" s="1"/>
      <c r="B2407" s="1"/>
      <c r="C2407" s="1"/>
      <c r="D2407" s="72"/>
      <c r="E2407" s="44"/>
      <c r="F2407" s="73"/>
      <c r="G2407" s="73"/>
      <c r="H2407" s="66"/>
      <c r="I2407" s="74"/>
      <c r="J2407" s="75"/>
      <c r="K2407" s="76"/>
      <c r="L2407" s="50"/>
      <c r="M2407" s="50"/>
      <c r="N2407" s="51"/>
      <c r="O2407" s="52"/>
      <c r="P2407" s="53"/>
      <c r="Q2407" s="54"/>
      <c r="R2407" s="1"/>
      <c r="S2407" s="1"/>
      <c r="T2407" s="1"/>
    </row>
    <row r="2408" spans="1:20" ht="13.5" customHeight="1" x14ac:dyDescent="0.25">
      <c r="A2408" s="116" t="s">
        <v>230</v>
      </c>
      <c r="B2408" s="1"/>
      <c r="C2408" s="1"/>
      <c r="D2408" s="72"/>
      <c r="E2408" s="44"/>
      <c r="F2408" s="73"/>
      <c r="G2408" s="73"/>
      <c r="H2408" s="66"/>
      <c r="I2408" s="74"/>
      <c r="J2408" s="75"/>
      <c r="K2408" s="76"/>
      <c r="L2408" s="50"/>
      <c r="M2408" s="50"/>
      <c r="N2408" s="51"/>
      <c r="O2408" s="52"/>
      <c r="P2408" s="53"/>
      <c r="Q2408" s="54"/>
      <c r="R2408" s="1"/>
      <c r="S2408" s="1"/>
      <c r="T2408" s="1"/>
    </row>
    <row r="2409" spans="1:20" ht="13.5" customHeight="1" x14ac:dyDescent="0.25">
      <c r="A2409" s="1"/>
      <c r="B2409" s="1" t="s">
        <v>2113</v>
      </c>
      <c r="C2409" s="1" t="s">
        <v>420</v>
      </c>
      <c r="D2409" s="42">
        <v>19500</v>
      </c>
      <c r="E2409" s="43">
        <v>3201.79</v>
      </c>
      <c r="F2409" s="45">
        <v>10000</v>
      </c>
      <c r="G2409" s="45">
        <v>10000</v>
      </c>
      <c r="H2409" s="46">
        <v>7524.4</v>
      </c>
      <c r="I2409" s="47">
        <f t="shared" ref="I2409:I2414" si="998">H2409/J2409</f>
        <v>0.75244</v>
      </c>
      <c r="J2409" s="48">
        <v>10000</v>
      </c>
      <c r="K2409" s="49">
        <v>10000</v>
      </c>
      <c r="L2409" s="50">
        <v>9834.49</v>
      </c>
      <c r="M2409" s="50">
        <v>9999.6</v>
      </c>
      <c r="N2409" s="51">
        <v>4692.12</v>
      </c>
      <c r="O2409" s="52">
        <v>3903.69</v>
      </c>
      <c r="P2409" s="53">
        <v>6395.67</v>
      </c>
      <c r="Q2409" s="54">
        <v>6730.93</v>
      </c>
      <c r="R2409" s="1"/>
      <c r="S2409" s="1"/>
      <c r="T2409" s="1"/>
    </row>
    <row r="2410" spans="1:20" ht="13.5" customHeight="1" x14ac:dyDescent="0.25">
      <c r="A2410" s="1"/>
      <c r="B2410" s="1" t="s">
        <v>2114</v>
      </c>
      <c r="C2410" s="1" t="s">
        <v>247</v>
      </c>
      <c r="D2410" s="42">
        <v>1491.75</v>
      </c>
      <c r="E2410" s="43">
        <v>214.53</v>
      </c>
      <c r="F2410" s="45">
        <v>765</v>
      </c>
      <c r="G2410" s="45">
        <v>765</v>
      </c>
      <c r="H2410" s="46">
        <v>507.33</v>
      </c>
      <c r="I2410" s="47">
        <f t="shared" si="998"/>
        <v>0.66317647058823526</v>
      </c>
      <c r="J2410" s="48">
        <v>765</v>
      </c>
      <c r="K2410" s="49">
        <v>765</v>
      </c>
      <c r="L2410" s="50">
        <v>675.93</v>
      </c>
      <c r="M2410" s="50">
        <v>686.68</v>
      </c>
      <c r="N2410" s="51">
        <v>321.8</v>
      </c>
      <c r="O2410" s="52">
        <v>252.07</v>
      </c>
      <c r="P2410" s="53">
        <v>488.28</v>
      </c>
      <c r="Q2410" s="54">
        <v>565.33000000000004</v>
      </c>
      <c r="R2410" s="1"/>
      <c r="S2410" s="1"/>
      <c r="T2410" s="1"/>
    </row>
    <row r="2411" spans="1:20" ht="13.5" customHeight="1" x14ac:dyDescent="0.25">
      <c r="A2411" s="1"/>
      <c r="B2411" s="1" t="s">
        <v>2115</v>
      </c>
      <c r="C2411" s="1" t="s">
        <v>251</v>
      </c>
      <c r="D2411" s="42">
        <v>2928.9</v>
      </c>
      <c r="E2411" s="43">
        <v>480.95</v>
      </c>
      <c r="F2411" s="45">
        <v>1502</v>
      </c>
      <c r="G2411" s="45">
        <v>1502</v>
      </c>
      <c r="H2411" s="46">
        <v>1093.23</v>
      </c>
      <c r="I2411" s="47">
        <f t="shared" si="998"/>
        <v>0.75291322314049591</v>
      </c>
      <c r="J2411" s="48">
        <v>1452</v>
      </c>
      <c r="K2411" s="49">
        <v>1452</v>
      </c>
      <c r="L2411" s="50">
        <v>1424.14</v>
      </c>
      <c r="M2411" s="50">
        <v>1392.61</v>
      </c>
      <c r="N2411" s="51">
        <v>644.79</v>
      </c>
      <c r="O2411" s="52">
        <v>0</v>
      </c>
      <c r="P2411" s="53">
        <v>2734.38</v>
      </c>
      <c r="Q2411" s="54">
        <v>0</v>
      </c>
      <c r="R2411" s="1"/>
      <c r="S2411" s="1"/>
      <c r="T2411" s="1"/>
    </row>
    <row r="2412" spans="1:20" ht="13.5" customHeight="1" x14ac:dyDescent="0.25">
      <c r="A2412" s="1"/>
      <c r="B2412" s="1" t="s">
        <v>2116</v>
      </c>
      <c r="C2412" s="1" t="s">
        <v>253</v>
      </c>
      <c r="D2412" s="42">
        <v>31.2</v>
      </c>
      <c r="E2412" s="43">
        <v>4.99</v>
      </c>
      <c r="F2412" s="45">
        <v>16</v>
      </c>
      <c r="G2412" s="45">
        <v>16</v>
      </c>
      <c r="H2412" s="46">
        <v>11.78</v>
      </c>
      <c r="I2412" s="47">
        <f t="shared" si="998"/>
        <v>0.73624999999999996</v>
      </c>
      <c r="J2412" s="48">
        <v>16</v>
      </c>
      <c r="K2412" s="49">
        <v>16</v>
      </c>
      <c r="L2412" s="50">
        <v>17.97</v>
      </c>
      <c r="M2412" s="50">
        <v>18.73</v>
      </c>
      <c r="N2412" s="51">
        <v>10.66</v>
      </c>
      <c r="O2412" s="52">
        <v>479.14</v>
      </c>
      <c r="P2412" s="53">
        <v>922.61</v>
      </c>
      <c r="Q2412" s="54">
        <v>860.7</v>
      </c>
      <c r="R2412" s="1"/>
      <c r="S2412" s="1"/>
      <c r="T2412" s="1"/>
    </row>
    <row r="2413" spans="1:20" ht="13.5" customHeight="1" x14ac:dyDescent="0.25">
      <c r="A2413" s="1"/>
      <c r="B2413" s="1" t="s">
        <v>2117</v>
      </c>
      <c r="C2413" s="1" t="s">
        <v>287</v>
      </c>
      <c r="D2413" s="42">
        <v>11.7</v>
      </c>
      <c r="E2413" s="43">
        <v>0</v>
      </c>
      <c r="F2413" s="45">
        <v>7</v>
      </c>
      <c r="G2413" s="45">
        <v>7</v>
      </c>
      <c r="H2413" s="74">
        <v>0</v>
      </c>
      <c r="I2413" s="47">
        <f t="shared" si="998"/>
        <v>0</v>
      </c>
      <c r="J2413" s="48">
        <v>10</v>
      </c>
      <c r="K2413" s="49">
        <v>10</v>
      </c>
      <c r="L2413" s="77">
        <v>0</v>
      </c>
      <c r="M2413" s="77">
        <v>0</v>
      </c>
      <c r="N2413" s="53" t="s">
        <v>16</v>
      </c>
      <c r="O2413" s="52">
        <v>10.18</v>
      </c>
      <c r="P2413" s="53">
        <v>16.809999999999999</v>
      </c>
      <c r="Q2413" s="54">
        <v>16.25</v>
      </c>
      <c r="R2413" s="1"/>
      <c r="S2413" s="1"/>
      <c r="T2413" s="1"/>
    </row>
    <row r="2414" spans="1:20" ht="13.5" customHeight="1" x14ac:dyDescent="0.25">
      <c r="A2414" s="1"/>
      <c r="B2414" s="1" t="s">
        <v>2118</v>
      </c>
      <c r="C2414" s="1" t="s">
        <v>259</v>
      </c>
      <c r="D2414" s="42">
        <v>750</v>
      </c>
      <c r="E2414" s="43">
        <v>0</v>
      </c>
      <c r="F2414" s="45">
        <v>750</v>
      </c>
      <c r="G2414" s="45">
        <v>750</v>
      </c>
      <c r="H2414" s="68">
        <v>73.97</v>
      </c>
      <c r="I2414" s="47">
        <f t="shared" si="998"/>
        <v>9.8626666666666668E-2</v>
      </c>
      <c r="J2414" s="48">
        <v>750</v>
      </c>
      <c r="K2414" s="49">
        <v>750</v>
      </c>
      <c r="L2414" s="77">
        <v>0</v>
      </c>
      <c r="M2414" s="50">
        <v>817.57</v>
      </c>
      <c r="N2414" s="51">
        <v>200.25</v>
      </c>
      <c r="O2414" s="52">
        <v>0</v>
      </c>
      <c r="P2414" s="53">
        <v>0</v>
      </c>
      <c r="Q2414" s="54">
        <v>0</v>
      </c>
      <c r="R2414" s="1"/>
      <c r="S2414" s="1"/>
      <c r="T2414" s="1"/>
    </row>
    <row r="2415" spans="1:20" ht="13.5" customHeight="1" x14ac:dyDescent="0.25">
      <c r="A2415" s="1"/>
      <c r="B2415" s="1" t="s">
        <v>2119</v>
      </c>
      <c r="C2415" s="1" t="s">
        <v>261</v>
      </c>
      <c r="D2415" s="42">
        <v>0</v>
      </c>
      <c r="E2415" s="43">
        <v>0</v>
      </c>
      <c r="F2415" s="45">
        <v>0</v>
      </c>
      <c r="G2415" s="45">
        <v>0</v>
      </c>
      <c r="H2415" s="68">
        <v>20.34</v>
      </c>
      <c r="I2415" s="47">
        <v>0</v>
      </c>
      <c r="J2415" s="48">
        <v>0</v>
      </c>
      <c r="K2415" s="49">
        <v>0</v>
      </c>
      <c r="L2415" s="77">
        <v>0</v>
      </c>
      <c r="M2415" s="50">
        <v>0</v>
      </c>
      <c r="N2415" s="51">
        <v>0</v>
      </c>
      <c r="O2415" s="52">
        <v>147.63999999999999</v>
      </c>
      <c r="P2415" s="53">
        <v>1509.63</v>
      </c>
      <c r="Q2415" s="54">
        <v>3052.04</v>
      </c>
      <c r="R2415" s="1"/>
      <c r="S2415" s="1"/>
      <c r="T2415" s="1"/>
    </row>
    <row r="2416" spans="1:20" ht="13.5" customHeight="1" x14ac:dyDescent="0.25">
      <c r="A2416" s="1"/>
      <c r="B2416" s="1" t="s">
        <v>2120</v>
      </c>
      <c r="C2416" s="1" t="s">
        <v>1118</v>
      </c>
      <c r="D2416" s="42">
        <v>0</v>
      </c>
      <c r="E2416" s="43">
        <v>0</v>
      </c>
      <c r="F2416" s="73">
        <v>0</v>
      </c>
      <c r="G2416" s="73">
        <v>0</v>
      </c>
      <c r="H2416" s="66">
        <v>858.91</v>
      </c>
      <c r="I2416" s="47">
        <v>0</v>
      </c>
      <c r="J2416" s="75">
        <v>0</v>
      </c>
      <c r="K2416" s="76">
        <v>0</v>
      </c>
      <c r="L2416" s="50">
        <v>235</v>
      </c>
      <c r="M2416" s="77">
        <v>0</v>
      </c>
      <c r="N2416" s="53" t="s">
        <v>16</v>
      </c>
      <c r="O2416" s="52">
        <v>0</v>
      </c>
      <c r="P2416" s="53">
        <v>0</v>
      </c>
      <c r="Q2416" s="54">
        <v>778</v>
      </c>
      <c r="R2416" s="1"/>
      <c r="S2416" s="1"/>
      <c r="T2416" s="1"/>
    </row>
    <row r="2417" spans="1:20" ht="13.5" customHeight="1" x14ac:dyDescent="0.25">
      <c r="A2417" s="1"/>
      <c r="B2417" s="1" t="s">
        <v>2121</v>
      </c>
      <c r="C2417" s="1" t="s">
        <v>908</v>
      </c>
      <c r="D2417" s="42">
        <v>100</v>
      </c>
      <c r="E2417" s="43">
        <v>0</v>
      </c>
      <c r="F2417" s="45">
        <v>100</v>
      </c>
      <c r="G2417" s="45">
        <v>100</v>
      </c>
      <c r="H2417" s="74">
        <v>0</v>
      </c>
      <c r="I2417" s="47">
        <f t="shared" ref="I2417:I2419" si="999">H2417/J2417</f>
        <v>0</v>
      </c>
      <c r="J2417" s="48">
        <v>100</v>
      </c>
      <c r="K2417" s="49">
        <v>100</v>
      </c>
      <c r="L2417" s="77">
        <v>0</v>
      </c>
      <c r="M2417" s="77">
        <v>0</v>
      </c>
      <c r="N2417" s="53" t="s">
        <v>16</v>
      </c>
      <c r="O2417" s="52">
        <v>126</v>
      </c>
      <c r="P2417" s="53">
        <v>0</v>
      </c>
      <c r="Q2417" s="54">
        <v>0</v>
      </c>
      <c r="R2417" s="1"/>
      <c r="S2417" s="1"/>
      <c r="T2417" s="1"/>
    </row>
    <row r="2418" spans="1:20" ht="13.5" customHeight="1" x14ac:dyDescent="0.25">
      <c r="A2418" s="1"/>
      <c r="B2418" s="1" t="s">
        <v>2122</v>
      </c>
      <c r="C2418" s="55" t="s">
        <v>265</v>
      </c>
      <c r="D2418" s="42">
        <v>5000</v>
      </c>
      <c r="E2418" s="43">
        <v>0</v>
      </c>
      <c r="F2418" s="45">
        <v>5000</v>
      </c>
      <c r="G2418" s="45">
        <v>5000</v>
      </c>
      <c r="H2418" s="66">
        <v>5496.81</v>
      </c>
      <c r="I2418" s="47">
        <f t="shared" si="999"/>
        <v>1.0993620000000002</v>
      </c>
      <c r="J2418" s="48">
        <v>5000</v>
      </c>
      <c r="K2418" s="49">
        <v>5000</v>
      </c>
      <c r="L2418" s="77">
        <v>0</v>
      </c>
      <c r="M2418" s="50">
        <v>4974.87</v>
      </c>
      <c r="N2418" s="51">
        <v>1000</v>
      </c>
      <c r="O2418" s="52">
        <v>0</v>
      </c>
      <c r="P2418" s="53">
        <v>0</v>
      </c>
      <c r="Q2418" s="54">
        <v>1846.13</v>
      </c>
      <c r="R2418" s="1"/>
      <c r="S2418" s="1"/>
      <c r="T2418" s="1"/>
    </row>
    <row r="2419" spans="1:20" ht="13.5" customHeight="1" x14ac:dyDescent="0.25">
      <c r="A2419" s="1"/>
      <c r="B2419" s="55" t="s">
        <v>2123</v>
      </c>
      <c r="C2419" s="55" t="s">
        <v>438</v>
      </c>
      <c r="D2419" s="42">
        <v>0</v>
      </c>
      <c r="E2419" s="43">
        <v>0</v>
      </c>
      <c r="F2419" s="45">
        <v>5000</v>
      </c>
      <c r="G2419" s="71">
        <v>0</v>
      </c>
      <c r="H2419" s="46">
        <v>221.94</v>
      </c>
      <c r="I2419" s="47">
        <f t="shared" si="999"/>
        <v>4.4387999999999997E-2</v>
      </c>
      <c r="J2419" s="48">
        <v>5000</v>
      </c>
      <c r="K2419" s="49">
        <v>5000</v>
      </c>
      <c r="L2419" s="77">
        <v>0</v>
      </c>
      <c r="M2419" s="69">
        <v>0</v>
      </c>
      <c r="N2419" s="51"/>
      <c r="O2419" s="52"/>
      <c r="P2419" s="53"/>
      <c r="Q2419" s="54"/>
      <c r="R2419" s="1"/>
      <c r="S2419" s="1"/>
      <c r="T2419" s="1"/>
    </row>
    <row r="2420" spans="1:20" ht="13.5" customHeight="1" x14ac:dyDescent="0.25">
      <c r="A2420" s="1"/>
      <c r="B2420" s="1" t="s">
        <v>2124</v>
      </c>
      <c r="C2420" s="1" t="s">
        <v>267</v>
      </c>
      <c r="D2420" s="42">
        <v>0</v>
      </c>
      <c r="E2420" s="43">
        <v>0</v>
      </c>
      <c r="F2420" s="73">
        <v>0</v>
      </c>
      <c r="G2420" s="73">
        <v>0</v>
      </c>
      <c r="H2420" s="46">
        <v>7754.16</v>
      </c>
      <c r="I2420" s="47">
        <v>0</v>
      </c>
      <c r="J2420" s="75">
        <v>0</v>
      </c>
      <c r="K2420" s="76">
        <v>0</v>
      </c>
      <c r="L2420" s="50">
        <v>4431.9399999999996</v>
      </c>
      <c r="M2420" s="50">
        <v>497</v>
      </c>
      <c r="N2420" s="51">
        <v>655.83</v>
      </c>
      <c r="O2420" s="52">
        <v>0</v>
      </c>
      <c r="P2420" s="53">
        <v>0</v>
      </c>
      <c r="Q2420" s="54">
        <v>2547.9699999999998</v>
      </c>
      <c r="R2420" s="1"/>
      <c r="S2420" s="1"/>
      <c r="T2420" s="1"/>
    </row>
    <row r="2421" spans="1:20" ht="13.5" customHeight="1" x14ac:dyDescent="0.25">
      <c r="A2421" s="1"/>
      <c r="B2421" s="1" t="s">
        <v>2125</v>
      </c>
      <c r="C2421" s="1" t="s">
        <v>886</v>
      </c>
      <c r="D2421" s="42">
        <v>1000</v>
      </c>
      <c r="E2421" s="43">
        <v>110</v>
      </c>
      <c r="F2421" s="45">
        <v>1000</v>
      </c>
      <c r="G2421" s="45">
        <v>1000</v>
      </c>
      <c r="H2421" s="46">
        <v>847.45</v>
      </c>
      <c r="I2421" s="47">
        <f>H2421/J2421</f>
        <v>0.84745000000000004</v>
      </c>
      <c r="J2421" s="48">
        <v>1000</v>
      </c>
      <c r="K2421" s="49">
        <v>1000</v>
      </c>
      <c r="L2421" s="50">
        <v>1705</v>
      </c>
      <c r="M2421" s="50">
        <v>495</v>
      </c>
      <c r="N2421" s="51">
        <v>3279</v>
      </c>
      <c r="O2421" s="52">
        <v>0</v>
      </c>
      <c r="P2421" s="53">
        <v>3019.22</v>
      </c>
      <c r="Q2421" s="54">
        <v>1625.95</v>
      </c>
      <c r="R2421" s="1"/>
      <c r="S2421" s="1"/>
      <c r="T2421" s="1"/>
    </row>
    <row r="2422" spans="1:20" ht="13.5" customHeight="1" x14ac:dyDescent="0.25">
      <c r="A2422" s="1"/>
      <c r="B2422" s="1" t="s">
        <v>2126</v>
      </c>
      <c r="C2422" s="1" t="s">
        <v>1422</v>
      </c>
      <c r="D2422" s="42">
        <v>0</v>
      </c>
      <c r="E2422" s="43">
        <v>0</v>
      </c>
      <c r="F2422" s="73">
        <v>0</v>
      </c>
      <c r="G2422" s="73">
        <v>0</v>
      </c>
      <c r="H2422" s="74">
        <v>0</v>
      </c>
      <c r="I2422" s="47">
        <v>0</v>
      </c>
      <c r="J2422" s="75">
        <v>0</v>
      </c>
      <c r="K2422" s="76">
        <v>0</v>
      </c>
      <c r="L2422" s="77">
        <v>0</v>
      </c>
      <c r="M2422" s="77">
        <v>0</v>
      </c>
      <c r="N2422" s="51">
        <v>1880</v>
      </c>
      <c r="O2422" s="52">
        <v>2075</v>
      </c>
      <c r="P2422" s="53">
        <v>940</v>
      </c>
      <c r="Q2422" s="54">
        <v>4040.39</v>
      </c>
      <c r="R2422" s="1"/>
      <c r="S2422" s="1"/>
      <c r="T2422" s="1"/>
    </row>
    <row r="2423" spans="1:20" ht="13.5" customHeight="1" x14ac:dyDescent="0.25">
      <c r="A2423" s="1"/>
      <c r="B2423" s="1" t="s">
        <v>2127</v>
      </c>
      <c r="C2423" s="1" t="s">
        <v>271</v>
      </c>
      <c r="D2423" s="42">
        <v>0</v>
      </c>
      <c r="E2423" s="43">
        <v>0</v>
      </c>
      <c r="F2423" s="73">
        <v>0</v>
      </c>
      <c r="G2423" s="73">
        <v>0</v>
      </c>
      <c r="H2423" s="46">
        <v>9327.5</v>
      </c>
      <c r="I2423" s="47">
        <v>0</v>
      </c>
      <c r="J2423" s="75">
        <v>0</v>
      </c>
      <c r="K2423" s="76">
        <v>0</v>
      </c>
      <c r="L2423" s="77">
        <v>0</v>
      </c>
      <c r="M2423" s="50">
        <v>950</v>
      </c>
      <c r="N2423" s="53" t="s">
        <v>16</v>
      </c>
      <c r="O2423" s="52">
        <v>0</v>
      </c>
      <c r="P2423" s="53">
        <v>995</v>
      </c>
      <c r="Q2423" s="54">
        <v>1265</v>
      </c>
      <c r="R2423" s="1"/>
      <c r="S2423" s="1"/>
      <c r="T2423" s="1"/>
    </row>
    <row r="2424" spans="1:20" ht="13.5" customHeight="1" x14ac:dyDescent="0.25">
      <c r="A2424" s="1"/>
      <c r="B2424" s="1" t="s">
        <v>2128</v>
      </c>
      <c r="C2424" s="55" t="s">
        <v>273</v>
      </c>
      <c r="D2424" s="42">
        <v>0</v>
      </c>
      <c r="E2424" s="43">
        <v>0</v>
      </c>
      <c r="F2424" s="73">
        <v>0</v>
      </c>
      <c r="G2424" s="73">
        <v>0</v>
      </c>
      <c r="H2424" s="74">
        <v>0</v>
      </c>
      <c r="I2424" s="47">
        <v>0</v>
      </c>
      <c r="J2424" s="75">
        <v>0</v>
      </c>
      <c r="K2424" s="76">
        <v>0</v>
      </c>
      <c r="L2424" s="77">
        <v>0</v>
      </c>
      <c r="M2424" s="50">
        <v>323.02999999999997</v>
      </c>
      <c r="N2424" s="53" t="s">
        <v>16</v>
      </c>
      <c r="O2424" s="52">
        <v>0</v>
      </c>
      <c r="P2424" s="53">
        <v>125.35</v>
      </c>
      <c r="Q2424" s="54">
        <v>0</v>
      </c>
      <c r="R2424" s="1"/>
      <c r="S2424" s="1"/>
      <c r="T2424" s="1"/>
    </row>
    <row r="2425" spans="1:20" ht="13.5" customHeight="1" x14ac:dyDescent="0.25">
      <c r="A2425" s="1"/>
      <c r="B2425" s="1" t="s">
        <v>2129</v>
      </c>
      <c r="C2425" s="1" t="s">
        <v>275</v>
      </c>
      <c r="D2425" s="42">
        <v>0</v>
      </c>
      <c r="E2425" s="43">
        <v>0</v>
      </c>
      <c r="F2425" s="73">
        <v>0</v>
      </c>
      <c r="G2425" s="73">
        <v>0</v>
      </c>
      <c r="H2425" s="74">
        <v>0</v>
      </c>
      <c r="I2425" s="47">
        <v>0</v>
      </c>
      <c r="J2425" s="75">
        <v>0</v>
      </c>
      <c r="K2425" s="76">
        <v>0</v>
      </c>
      <c r="L2425" s="77">
        <v>0</v>
      </c>
      <c r="M2425" s="77">
        <v>0</v>
      </c>
      <c r="N2425" s="51">
        <v>1580</v>
      </c>
      <c r="O2425" s="52">
        <v>3565.06</v>
      </c>
      <c r="P2425" s="53">
        <v>4223.63</v>
      </c>
      <c r="Q2425" s="54">
        <v>2918.01</v>
      </c>
      <c r="R2425" s="1"/>
      <c r="S2425" s="1"/>
      <c r="T2425" s="1"/>
    </row>
    <row r="2426" spans="1:20" ht="13.5" customHeight="1" x14ac:dyDescent="0.25">
      <c r="A2426" s="1"/>
      <c r="B2426" s="1" t="s">
        <v>2130</v>
      </c>
      <c r="C2426" s="1" t="s">
        <v>482</v>
      </c>
      <c r="D2426" s="42">
        <v>0</v>
      </c>
      <c r="E2426" s="43">
        <v>0</v>
      </c>
      <c r="F2426" s="73">
        <v>0</v>
      </c>
      <c r="G2426" s="73">
        <v>0</v>
      </c>
      <c r="H2426" s="74">
        <v>0</v>
      </c>
      <c r="I2426" s="47">
        <v>0</v>
      </c>
      <c r="J2426" s="75">
        <v>0</v>
      </c>
      <c r="K2426" s="76">
        <v>0</v>
      </c>
      <c r="L2426" s="50">
        <v>70</v>
      </c>
      <c r="M2426" s="50">
        <v>70</v>
      </c>
      <c r="N2426" s="53" t="s">
        <v>16</v>
      </c>
      <c r="O2426" s="52">
        <v>155.88</v>
      </c>
      <c r="P2426" s="53">
        <v>400</v>
      </c>
      <c r="Q2426" s="54">
        <v>1523.72</v>
      </c>
      <c r="R2426" s="1"/>
      <c r="S2426" s="1"/>
      <c r="T2426" s="1"/>
    </row>
    <row r="2427" spans="1:20" ht="13.5" customHeight="1" x14ac:dyDescent="0.25">
      <c r="A2427" s="1"/>
      <c r="B2427" s="1" t="s">
        <v>2131</v>
      </c>
      <c r="C2427" s="1" t="s">
        <v>1436</v>
      </c>
      <c r="D2427" s="42">
        <v>680</v>
      </c>
      <c r="E2427" s="43">
        <v>560.72</v>
      </c>
      <c r="F2427" s="45">
        <v>680</v>
      </c>
      <c r="G2427" s="45">
        <v>680</v>
      </c>
      <c r="H2427" s="46">
        <v>1023.9</v>
      </c>
      <c r="I2427" s="47">
        <f t="shared" ref="I2427:I2429" si="1000">H2427/J2427</f>
        <v>1.5057352941176469</v>
      </c>
      <c r="J2427" s="48">
        <v>680</v>
      </c>
      <c r="K2427" s="49">
        <v>680</v>
      </c>
      <c r="L2427" s="50">
        <v>959.66</v>
      </c>
      <c r="M2427" s="50">
        <v>896.65</v>
      </c>
      <c r="N2427" s="51">
        <v>659.22</v>
      </c>
      <c r="O2427" s="52">
        <v>669.22</v>
      </c>
      <c r="P2427" s="53">
        <v>0</v>
      </c>
      <c r="Q2427" s="54">
        <v>0</v>
      </c>
      <c r="R2427" s="1"/>
      <c r="S2427" s="1"/>
      <c r="T2427" s="1"/>
    </row>
    <row r="2428" spans="1:20" ht="13.5" customHeight="1" x14ac:dyDescent="0.25">
      <c r="A2428" s="1"/>
      <c r="B2428" s="1" t="s">
        <v>2132</v>
      </c>
      <c r="C2428" s="1" t="s">
        <v>489</v>
      </c>
      <c r="D2428" s="42">
        <v>500</v>
      </c>
      <c r="E2428" s="43">
        <v>0</v>
      </c>
      <c r="F2428" s="45">
        <v>500</v>
      </c>
      <c r="G2428" s="45">
        <v>500</v>
      </c>
      <c r="H2428" s="66">
        <v>77.5</v>
      </c>
      <c r="I2428" s="47">
        <f t="shared" si="1000"/>
        <v>0.155</v>
      </c>
      <c r="J2428" s="48">
        <v>500</v>
      </c>
      <c r="K2428" s="49">
        <v>500</v>
      </c>
      <c r="L2428" s="77">
        <v>0</v>
      </c>
      <c r="M2428" s="50">
        <v>981.86</v>
      </c>
      <c r="N2428" s="51">
        <v>100.5</v>
      </c>
      <c r="O2428" s="52">
        <v>0</v>
      </c>
      <c r="P2428" s="53">
        <v>1000</v>
      </c>
      <c r="Q2428" s="54">
        <v>150</v>
      </c>
      <c r="R2428" s="1"/>
      <c r="S2428" s="1"/>
      <c r="T2428" s="1"/>
    </row>
    <row r="2429" spans="1:20" ht="13.5" customHeight="1" x14ac:dyDescent="0.25">
      <c r="A2429" s="1"/>
      <c r="B2429" s="1" t="s">
        <v>2133</v>
      </c>
      <c r="C2429" s="1" t="s">
        <v>814</v>
      </c>
      <c r="D2429" s="42">
        <v>900</v>
      </c>
      <c r="E2429" s="43">
        <v>509.7</v>
      </c>
      <c r="F2429" s="45">
        <v>900</v>
      </c>
      <c r="G2429" s="45">
        <v>900</v>
      </c>
      <c r="H2429" s="46">
        <v>989.4</v>
      </c>
      <c r="I2429" s="47">
        <f t="shared" si="1000"/>
        <v>1.0993333333333333</v>
      </c>
      <c r="J2429" s="48">
        <v>900</v>
      </c>
      <c r="K2429" s="49">
        <v>900</v>
      </c>
      <c r="L2429" s="50">
        <v>959.4</v>
      </c>
      <c r="M2429" s="50">
        <v>929.4</v>
      </c>
      <c r="N2429" s="51">
        <v>899.4</v>
      </c>
      <c r="O2429" s="52">
        <v>936.55</v>
      </c>
      <c r="P2429" s="53">
        <v>1547.42</v>
      </c>
      <c r="Q2429" s="54">
        <v>0</v>
      </c>
      <c r="R2429" s="1"/>
      <c r="S2429" s="1"/>
      <c r="T2429" s="1"/>
    </row>
    <row r="2430" spans="1:20" ht="13.5" customHeight="1" x14ac:dyDescent="0.25">
      <c r="A2430" s="1"/>
      <c r="B2430" s="1" t="s">
        <v>2134</v>
      </c>
      <c r="C2430" s="1" t="s">
        <v>1283</v>
      </c>
      <c r="D2430" s="42">
        <v>0</v>
      </c>
      <c r="E2430" s="43">
        <v>0</v>
      </c>
      <c r="F2430" s="73">
        <v>0</v>
      </c>
      <c r="G2430" s="73">
        <v>0</v>
      </c>
      <c r="H2430" s="74">
        <v>0</v>
      </c>
      <c r="I2430" s="183">
        <v>0</v>
      </c>
      <c r="J2430" s="75">
        <v>0</v>
      </c>
      <c r="K2430" s="76">
        <v>0</v>
      </c>
      <c r="L2430" s="77">
        <v>0</v>
      </c>
      <c r="M2430" s="50">
        <v>32316.66</v>
      </c>
      <c r="N2430" s="53" t="s">
        <v>16</v>
      </c>
      <c r="O2430" s="52">
        <v>0</v>
      </c>
      <c r="P2430" s="53">
        <v>0</v>
      </c>
      <c r="Q2430" s="54">
        <v>0</v>
      </c>
      <c r="R2430" s="1"/>
      <c r="S2430" s="1"/>
      <c r="T2430" s="1"/>
    </row>
    <row r="2431" spans="1:20" ht="13.5" customHeight="1" x14ac:dyDescent="0.25">
      <c r="A2431" s="1"/>
      <c r="B2431" s="55" t="s">
        <v>2135</v>
      </c>
      <c r="C2431" s="55" t="s">
        <v>335</v>
      </c>
      <c r="D2431" s="42">
        <v>0</v>
      </c>
      <c r="E2431" s="43">
        <v>0</v>
      </c>
      <c r="F2431" s="73">
        <v>0</v>
      </c>
      <c r="G2431" s="73">
        <v>0</v>
      </c>
      <c r="H2431" s="68">
        <v>5425</v>
      </c>
      <c r="I2431" s="74">
        <v>0</v>
      </c>
      <c r="J2431" s="75" t="s">
        <v>16</v>
      </c>
      <c r="K2431" s="76" t="s">
        <v>16</v>
      </c>
      <c r="L2431" s="77" t="s">
        <v>16</v>
      </c>
      <c r="M2431" s="77" t="s">
        <v>16</v>
      </c>
      <c r="N2431" s="51">
        <v>542</v>
      </c>
      <c r="O2431" s="52"/>
      <c r="P2431" s="53"/>
      <c r="Q2431" s="54"/>
      <c r="R2431" s="1"/>
      <c r="S2431" s="1"/>
      <c r="T2431" s="1"/>
    </row>
    <row r="2432" spans="1:20" ht="13.5" customHeight="1" thickBot="1" x14ac:dyDescent="0.3">
      <c r="A2432" s="1"/>
      <c r="B2432" s="78"/>
      <c r="C2432" s="98" t="s">
        <v>2136</v>
      </c>
      <c r="D2432" s="184">
        <v>32893.550000000003</v>
      </c>
      <c r="E2432" s="185">
        <f t="shared" ref="E2432" si="1001">SUM(E2409:E2431)</f>
        <v>5082.6799999999994</v>
      </c>
      <c r="F2432" s="186">
        <f>SUM(F2408:F2431)</f>
        <v>26220</v>
      </c>
      <c r="G2432" s="186">
        <v>21220</v>
      </c>
      <c r="H2432" s="187">
        <f>SUM(H2409:H2431)</f>
        <v>41253.62000000001</v>
      </c>
      <c r="I2432" s="187"/>
      <c r="J2432" s="188">
        <f t="shared" ref="J2432:Q2432" si="1002">SUM(J2409:J2431)</f>
        <v>26173</v>
      </c>
      <c r="K2432" s="189">
        <f t="shared" si="1002"/>
        <v>26173</v>
      </c>
      <c r="L2432" s="190">
        <f t="shared" si="1002"/>
        <v>20313.53</v>
      </c>
      <c r="M2432" s="190">
        <f t="shared" si="1002"/>
        <v>55349.66</v>
      </c>
      <c r="N2432" s="270">
        <f t="shared" si="1002"/>
        <v>16465.57</v>
      </c>
      <c r="O2432" s="192">
        <f t="shared" si="1002"/>
        <v>12320.429999999998</v>
      </c>
      <c r="P2432" s="270">
        <f t="shared" si="1002"/>
        <v>24318</v>
      </c>
      <c r="Q2432" s="193">
        <f t="shared" si="1002"/>
        <v>27920.420000000006</v>
      </c>
      <c r="R2432" s="1"/>
      <c r="S2432" s="1"/>
      <c r="T2432" s="1"/>
    </row>
    <row r="2433" spans="1:20" ht="13.5" customHeight="1" thickTop="1" x14ac:dyDescent="0.25">
      <c r="A2433" s="1"/>
      <c r="B2433" s="1"/>
      <c r="C2433" s="1"/>
      <c r="D2433" s="72"/>
      <c r="E2433" s="67"/>
      <c r="F2433" s="73"/>
      <c r="G2433" s="73"/>
      <c r="H2433" s="74"/>
      <c r="I2433" s="74"/>
      <c r="J2433" s="75"/>
      <c r="K2433" s="76"/>
      <c r="L2433" s="77"/>
      <c r="M2433" s="77"/>
      <c r="N2433" s="51"/>
      <c r="O2433" s="52"/>
      <c r="P2433" s="53"/>
      <c r="Q2433" s="54"/>
      <c r="R2433" s="1"/>
      <c r="S2433" s="1"/>
      <c r="T2433" s="1"/>
    </row>
    <row r="2434" spans="1:20" ht="13.5" customHeight="1" x14ac:dyDescent="0.25">
      <c r="A2434" s="1"/>
      <c r="B2434" s="1"/>
      <c r="C2434" s="1"/>
      <c r="D2434" s="72"/>
      <c r="E2434" s="67"/>
      <c r="F2434" s="73"/>
      <c r="G2434" s="73"/>
      <c r="H2434" s="74"/>
      <c r="I2434" s="74"/>
      <c r="J2434" s="75"/>
      <c r="K2434" s="76"/>
      <c r="L2434" s="77"/>
      <c r="M2434" s="77"/>
      <c r="N2434" s="51"/>
      <c r="O2434" s="52"/>
      <c r="P2434" s="53"/>
      <c r="Q2434" s="54"/>
      <c r="R2434" s="1"/>
      <c r="S2434" s="1"/>
      <c r="T2434" s="1"/>
    </row>
    <row r="2435" spans="1:20" ht="17.25" customHeight="1" x14ac:dyDescent="0.25">
      <c r="A2435" s="1"/>
      <c r="B2435" s="262" t="s">
        <v>2137</v>
      </c>
      <c r="C2435" s="262" t="s">
        <v>2138</v>
      </c>
      <c r="D2435" s="72"/>
      <c r="E2435" s="67"/>
      <c r="F2435" s="73"/>
      <c r="G2435" s="73"/>
      <c r="H2435" s="74"/>
      <c r="I2435" s="74"/>
      <c r="J2435" s="75"/>
      <c r="K2435" s="76"/>
      <c r="L2435" s="77"/>
      <c r="M2435" s="77"/>
      <c r="N2435" s="51"/>
      <c r="O2435" s="52"/>
      <c r="P2435" s="53"/>
      <c r="Q2435" s="54"/>
      <c r="R2435" s="1"/>
      <c r="S2435" s="1"/>
      <c r="T2435" s="1"/>
    </row>
    <row r="2436" spans="1:20" ht="13.5" customHeight="1" x14ac:dyDescent="0.25">
      <c r="A2436" s="1"/>
      <c r="B2436" s="262"/>
      <c r="C2436" s="262"/>
      <c r="D2436" s="72"/>
      <c r="E2436" s="67"/>
      <c r="F2436" s="73"/>
      <c r="G2436" s="73"/>
      <c r="H2436" s="74"/>
      <c r="I2436" s="74"/>
      <c r="J2436" s="75"/>
      <c r="K2436" s="76"/>
      <c r="L2436" s="77"/>
      <c r="M2436" s="77"/>
      <c r="N2436" s="51"/>
      <c r="O2436" s="52"/>
      <c r="P2436" s="53"/>
      <c r="Q2436" s="54"/>
      <c r="R2436" s="1"/>
      <c r="S2436" s="1"/>
      <c r="T2436" s="1"/>
    </row>
    <row r="2437" spans="1:20" ht="13.5" customHeight="1" x14ac:dyDescent="0.25">
      <c r="A2437" s="41" t="s">
        <v>17</v>
      </c>
      <c r="B2437" s="1"/>
      <c r="C2437" s="1"/>
      <c r="D2437" s="72"/>
      <c r="E2437" s="67"/>
      <c r="F2437" s="73"/>
      <c r="G2437" s="73"/>
      <c r="H2437" s="74"/>
      <c r="I2437" s="74"/>
      <c r="J2437" s="75"/>
      <c r="K2437" s="76"/>
      <c r="L2437" s="77"/>
      <c r="M2437" s="77"/>
      <c r="N2437" s="51"/>
      <c r="O2437" s="52"/>
      <c r="P2437" s="53"/>
      <c r="Q2437" s="54"/>
      <c r="R2437" s="1"/>
      <c r="S2437" s="1"/>
      <c r="T2437" s="1"/>
    </row>
    <row r="2438" spans="1:20" ht="13.5" customHeight="1" x14ac:dyDescent="0.25">
      <c r="A2438" s="1"/>
      <c r="B2438" s="1" t="s">
        <v>2139</v>
      </c>
      <c r="C2438" s="1" t="s">
        <v>2110</v>
      </c>
      <c r="D2438" s="42">
        <v>-47300</v>
      </c>
      <c r="E2438" s="70">
        <v>-42767.14</v>
      </c>
      <c r="F2438" s="45">
        <v>-47300</v>
      </c>
      <c r="G2438" s="45">
        <v>-47300</v>
      </c>
      <c r="H2438" s="68">
        <v>-24793.87</v>
      </c>
      <c r="I2438" s="47">
        <f t="shared" ref="I2438:I2439" si="1003">H2438/J2438</f>
        <v>0.52230608805561407</v>
      </c>
      <c r="J2438" s="48">
        <v>-47470</v>
      </c>
      <c r="K2438" s="49">
        <v>-47470</v>
      </c>
      <c r="L2438" s="50">
        <v>-144323.04</v>
      </c>
      <c r="M2438" s="50">
        <v>-19512.349999999999</v>
      </c>
      <c r="N2438" s="51">
        <v>-10820.84</v>
      </c>
      <c r="O2438" s="52">
        <v>14515.3</v>
      </c>
      <c r="P2438" s="53">
        <v>3720.86</v>
      </c>
      <c r="Q2438" s="54">
        <v>29552.12</v>
      </c>
      <c r="R2438" s="1"/>
      <c r="S2438" s="1"/>
      <c r="T2438" s="1"/>
    </row>
    <row r="2439" spans="1:20" ht="13.5" customHeight="1" x14ac:dyDescent="0.25">
      <c r="A2439" s="1"/>
      <c r="B2439" s="1" t="s">
        <v>2140</v>
      </c>
      <c r="C2439" s="1" t="s">
        <v>196</v>
      </c>
      <c r="D2439" s="42">
        <v>-100</v>
      </c>
      <c r="E2439" s="43">
        <v>0</v>
      </c>
      <c r="F2439" s="45">
        <v>-100</v>
      </c>
      <c r="G2439" s="45">
        <v>-100</v>
      </c>
      <c r="H2439" s="74">
        <v>0</v>
      </c>
      <c r="I2439" s="47">
        <f t="shared" si="1003"/>
        <v>0</v>
      </c>
      <c r="J2439" s="48">
        <v>-100</v>
      </c>
      <c r="K2439" s="49">
        <v>-100</v>
      </c>
      <c r="L2439" s="50">
        <v>-115.87</v>
      </c>
      <c r="M2439" s="50">
        <v>-22.86</v>
      </c>
      <c r="N2439" s="51">
        <v>-86.03</v>
      </c>
      <c r="O2439" s="52">
        <v>4.04</v>
      </c>
      <c r="P2439" s="53">
        <v>2.2200000000000002</v>
      </c>
      <c r="Q2439" s="54">
        <v>233.99</v>
      </c>
      <c r="R2439" s="1"/>
      <c r="S2439" s="1"/>
      <c r="T2439" s="1"/>
    </row>
    <row r="2440" spans="1:20" ht="13.5" customHeight="1" x14ac:dyDescent="0.25">
      <c r="A2440" s="1"/>
      <c r="B2440" s="1" t="s">
        <v>2141</v>
      </c>
      <c r="C2440" s="1" t="s">
        <v>1795</v>
      </c>
      <c r="D2440" s="42">
        <v>0</v>
      </c>
      <c r="E2440" s="43">
        <v>0</v>
      </c>
      <c r="F2440" s="45">
        <v>0</v>
      </c>
      <c r="G2440" s="45">
        <v>0</v>
      </c>
      <c r="H2440" s="74">
        <v>0</v>
      </c>
      <c r="I2440" s="47">
        <v>0</v>
      </c>
      <c r="J2440" s="48">
        <v>0</v>
      </c>
      <c r="K2440" s="49">
        <v>0</v>
      </c>
      <c r="L2440" s="50">
        <v>0</v>
      </c>
      <c r="M2440" s="50">
        <v>0</v>
      </c>
      <c r="N2440" s="51">
        <v>0</v>
      </c>
      <c r="O2440" s="52">
        <v>0</v>
      </c>
      <c r="P2440" s="53">
        <v>0</v>
      </c>
      <c r="Q2440" s="54">
        <v>0</v>
      </c>
      <c r="R2440" s="1"/>
      <c r="S2440" s="1"/>
      <c r="T2440" s="1"/>
    </row>
    <row r="2441" spans="1:20" ht="13.5" customHeight="1" thickBot="1" x14ac:dyDescent="0.3">
      <c r="A2441" s="1"/>
      <c r="B2441" s="1"/>
      <c r="C2441" s="116" t="s">
        <v>2142</v>
      </c>
      <c r="D2441" s="267">
        <v>-47400</v>
      </c>
      <c r="E2441" s="173">
        <f t="shared" ref="E2441" si="1004">SUM(E2438:E2440)</f>
        <v>-42767.14</v>
      </c>
      <c r="F2441" s="174">
        <f>SUM(F2437:F2440)</f>
        <v>-47400</v>
      </c>
      <c r="G2441" s="174">
        <v>-47400</v>
      </c>
      <c r="H2441" s="175">
        <f>SUM(H2438:H2440)</f>
        <v>-24793.87</v>
      </c>
      <c r="I2441" s="175"/>
      <c r="J2441" s="176">
        <f t="shared" ref="J2441:Q2441" si="1005">SUM(J2438:J2440)</f>
        <v>-47570</v>
      </c>
      <c r="K2441" s="177">
        <f t="shared" si="1005"/>
        <v>-47570</v>
      </c>
      <c r="L2441" s="178">
        <f t="shared" si="1005"/>
        <v>-144438.91</v>
      </c>
      <c r="M2441" s="178">
        <f t="shared" si="1005"/>
        <v>-19535.21</v>
      </c>
      <c r="N2441" s="179">
        <f t="shared" si="1005"/>
        <v>-10906.87</v>
      </c>
      <c r="O2441" s="180">
        <f t="shared" si="1005"/>
        <v>14519.34</v>
      </c>
      <c r="P2441" s="179">
        <f t="shared" si="1005"/>
        <v>3723.08</v>
      </c>
      <c r="Q2441" s="181">
        <f t="shared" si="1005"/>
        <v>29786.11</v>
      </c>
      <c r="R2441" s="1"/>
      <c r="S2441" s="1"/>
      <c r="T2441" s="1"/>
    </row>
    <row r="2442" spans="1:20" ht="13.5" customHeight="1" thickTop="1" x14ac:dyDescent="0.25">
      <c r="A2442" s="1"/>
      <c r="B2442" s="1"/>
      <c r="C2442" s="1"/>
      <c r="D2442" s="42"/>
      <c r="E2442" s="67"/>
      <c r="F2442" s="45"/>
      <c r="G2442" s="45"/>
      <c r="H2442" s="74"/>
      <c r="I2442" s="66"/>
      <c r="J2442" s="48"/>
      <c r="K2442" s="49"/>
      <c r="L2442" s="50"/>
      <c r="M2442" s="50"/>
      <c r="N2442" s="51"/>
      <c r="O2442" s="52"/>
      <c r="P2442" s="53"/>
      <c r="Q2442" s="54"/>
      <c r="R2442" s="1"/>
      <c r="S2442" s="1"/>
      <c r="T2442" s="1"/>
    </row>
    <row r="2443" spans="1:20" ht="13.5" customHeight="1" x14ac:dyDescent="0.25">
      <c r="A2443" s="116" t="s">
        <v>230</v>
      </c>
      <c r="B2443" s="1"/>
      <c r="C2443" s="1"/>
      <c r="D2443" s="42"/>
      <c r="E2443" s="67"/>
      <c r="F2443" s="45"/>
      <c r="G2443" s="45"/>
      <c r="H2443" s="74"/>
      <c r="I2443" s="66"/>
      <c r="J2443" s="48"/>
      <c r="K2443" s="49"/>
      <c r="L2443" s="50"/>
      <c r="M2443" s="50"/>
      <c r="N2443" s="51"/>
      <c r="O2443" s="52"/>
      <c r="P2443" s="53"/>
      <c r="Q2443" s="54"/>
      <c r="R2443" s="1"/>
      <c r="S2443" s="1"/>
      <c r="T2443" s="1"/>
    </row>
    <row r="2444" spans="1:20" ht="13.5" customHeight="1" x14ac:dyDescent="0.25">
      <c r="A2444" s="1"/>
      <c r="B2444" s="1" t="s">
        <v>2143</v>
      </c>
      <c r="C2444" s="1" t="s">
        <v>420</v>
      </c>
      <c r="D2444" s="42">
        <v>0</v>
      </c>
      <c r="E2444" s="67"/>
      <c r="F2444" s="45">
        <v>0</v>
      </c>
      <c r="G2444" s="45">
        <v>0</v>
      </c>
      <c r="H2444" s="74">
        <v>0</v>
      </c>
      <c r="I2444" s="47">
        <f t="shared" ref="I2444:I2448" si="1006">H2444/J2444</f>
        <v>0</v>
      </c>
      <c r="J2444" s="48">
        <v>3000</v>
      </c>
      <c r="K2444" s="49">
        <v>3000</v>
      </c>
      <c r="L2444" s="77">
        <v>0</v>
      </c>
      <c r="M2444" s="77">
        <v>0</v>
      </c>
      <c r="N2444" s="53" t="s">
        <v>16</v>
      </c>
      <c r="O2444" s="52">
        <v>3115.26</v>
      </c>
      <c r="P2444" s="53">
        <v>2861.42</v>
      </c>
      <c r="Q2444" s="54">
        <v>3138.46</v>
      </c>
      <c r="R2444" s="1"/>
      <c r="S2444" s="1"/>
      <c r="T2444" s="1"/>
    </row>
    <row r="2445" spans="1:20" ht="13.5" customHeight="1" x14ac:dyDescent="0.25">
      <c r="A2445" s="1"/>
      <c r="B2445" s="1" t="s">
        <v>2144</v>
      </c>
      <c r="C2445" s="1" t="s">
        <v>247</v>
      </c>
      <c r="D2445" s="42">
        <v>0</v>
      </c>
      <c r="E2445" s="43">
        <v>0</v>
      </c>
      <c r="F2445" s="45">
        <v>0</v>
      </c>
      <c r="G2445" s="45">
        <v>0</v>
      </c>
      <c r="H2445" s="74">
        <v>0</v>
      </c>
      <c r="I2445" s="47">
        <f t="shared" si="1006"/>
        <v>0</v>
      </c>
      <c r="J2445" s="48">
        <v>230</v>
      </c>
      <c r="K2445" s="49">
        <v>230</v>
      </c>
      <c r="L2445" s="77">
        <v>0</v>
      </c>
      <c r="M2445" s="77">
        <v>0</v>
      </c>
      <c r="N2445" s="53" t="s">
        <v>16</v>
      </c>
      <c r="O2445" s="52">
        <v>225.71</v>
      </c>
      <c r="P2445" s="53">
        <v>230.81</v>
      </c>
      <c r="Q2445" s="54">
        <v>240.09</v>
      </c>
      <c r="R2445" s="1"/>
      <c r="S2445" s="1"/>
      <c r="T2445" s="1"/>
    </row>
    <row r="2446" spans="1:20" ht="13.5" customHeight="1" x14ac:dyDescent="0.25">
      <c r="A2446" s="1"/>
      <c r="B2446" s="1" t="s">
        <v>2145</v>
      </c>
      <c r="C2446" s="1" t="s">
        <v>251</v>
      </c>
      <c r="D2446" s="42">
        <v>0</v>
      </c>
      <c r="E2446" s="43">
        <v>0</v>
      </c>
      <c r="F2446" s="45">
        <v>0</v>
      </c>
      <c r="G2446" s="45">
        <v>0</v>
      </c>
      <c r="H2446" s="74">
        <v>0</v>
      </c>
      <c r="I2446" s="47">
        <f t="shared" si="1006"/>
        <v>0</v>
      </c>
      <c r="J2446" s="48">
        <v>436</v>
      </c>
      <c r="K2446" s="49">
        <v>436</v>
      </c>
      <c r="L2446" s="77">
        <v>0</v>
      </c>
      <c r="M2446" s="77">
        <v>0</v>
      </c>
      <c r="N2446" s="53" t="s">
        <v>16</v>
      </c>
      <c r="O2446" s="52">
        <v>405.55</v>
      </c>
      <c r="P2446" s="53">
        <v>408.88</v>
      </c>
      <c r="Q2446" s="54">
        <v>401.29</v>
      </c>
      <c r="R2446" s="1"/>
      <c r="S2446" s="1"/>
      <c r="T2446" s="1"/>
    </row>
    <row r="2447" spans="1:20" ht="13.5" customHeight="1" x14ac:dyDescent="0.25">
      <c r="A2447" s="1"/>
      <c r="B2447" s="1" t="s">
        <v>2146</v>
      </c>
      <c r="C2447" s="1" t="s">
        <v>253</v>
      </c>
      <c r="D2447" s="42">
        <v>0</v>
      </c>
      <c r="E2447" s="43">
        <v>0</v>
      </c>
      <c r="F2447" s="45">
        <v>0</v>
      </c>
      <c r="G2447" s="45">
        <v>0</v>
      </c>
      <c r="H2447" s="74">
        <v>0</v>
      </c>
      <c r="I2447" s="47">
        <f t="shared" si="1006"/>
        <v>0</v>
      </c>
      <c r="J2447" s="48">
        <v>5</v>
      </c>
      <c r="K2447" s="49">
        <v>5</v>
      </c>
      <c r="L2447" s="77">
        <v>0</v>
      </c>
      <c r="M2447" s="77">
        <v>0</v>
      </c>
      <c r="N2447" s="53" t="s">
        <v>16</v>
      </c>
      <c r="O2447" s="52">
        <v>8.1</v>
      </c>
      <c r="P2447" s="53">
        <v>7.51</v>
      </c>
      <c r="Q2447" s="54">
        <v>7.5</v>
      </c>
      <c r="R2447" s="1"/>
      <c r="S2447" s="1"/>
      <c r="T2447" s="1"/>
    </row>
    <row r="2448" spans="1:20" ht="13.5" customHeight="1" x14ac:dyDescent="0.25">
      <c r="A2448" s="1"/>
      <c r="B2448" s="1" t="s">
        <v>2147</v>
      </c>
      <c r="C2448" s="1" t="s">
        <v>287</v>
      </c>
      <c r="D2448" s="42">
        <v>0</v>
      </c>
      <c r="E2448" s="43">
        <v>0</v>
      </c>
      <c r="F2448" s="45">
        <v>0</v>
      </c>
      <c r="G2448" s="45">
        <v>0</v>
      </c>
      <c r="H2448" s="74">
        <v>0</v>
      </c>
      <c r="I2448" s="47">
        <f t="shared" si="1006"/>
        <v>0</v>
      </c>
      <c r="J2448" s="48">
        <v>4</v>
      </c>
      <c r="K2448" s="49">
        <v>4</v>
      </c>
      <c r="L2448" s="77">
        <v>0</v>
      </c>
      <c r="M2448" s="77">
        <v>0</v>
      </c>
      <c r="N2448" s="53" t="s">
        <v>16</v>
      </c>
      <c r="O2448" s="52">
        <v>0</v>
      </c>
      <c r="P2448" s="53">
        <v>0</v>
      </c>
      <c r="Q2448" s="54">
        <v>0</v>
      </c>
      <c r="R2448" s="1"/>
      <c r="S2448" s="1"/>
      <c r="T2448" s="1"/>
    </row>
    <row r="2449" spans="1:20" ht="13.5" customHeight="1" x14ac:dyDescent="0.25">
      <c r="A2449" s="1"/>
      <c r="B2449" s="1" t="s">
        <v>2148</v>
      </c>
      <c r="C2449" s="1" t="s">
        <v>259</v>
      </c>
      <c r="D2449" s="42">
        <v>0</v>
      </c>
      <c r="E2449" s="43">
        <v>0</v>
      </c>
      <c r="F2449" s="73">
        <v>0</v>
      </c>
      <c r="G2449" s="73">
        <v>0</v>
      </c>
      <c r="H2449" s="74">
        <v>0</v>
      </c>
      <c r="I2449" s="47">
        <v>0</v>
      </c>
      <c r="J2449" s="75">
        <v>0</v>
      </c>
      <c r="K2449" s="76">
        <v>0</v>
      </c>
      <c r="L2449" s="50">
        <v>520.22</v>
      </c>
      <c r="M2449" s="50">
        <v>560.42999999999995</v>
      </c>
      <c r="N2449" s="53" t="s">
        <v>16</v>
      </c>
      <c r="O2449" s="52">
        <v>639.36</v>
      </c>
      <c r="P2449" s="53">
        <v>647.20000000000005</v>
      </c>
      <c r="Q2449" s="54">
        <v>648.88</v>
      </c>
      <c r="R2449" s="1"/>
      <c r="S2449" s="1"/>
      <c r="T2449" s="1"/>
    </row>
    <row r="2450" spans="1:20" ht="13.5" customHeight="1" x14ac:dyDescent="0.25">
      <c r="A2450" s="1"/>
      <c r="B2450" s="1" t="s">
        <v>2149</v>
      </c>
      <c r="C2450" s="55" t="s">
        <v>265</v>
      </c>
      <c r="D2450" s="42">
        <v>0</v>
      </c>
      <c r="E2450" s="43">
        <v>3594</v>
      </c>
      <c r="F2450" s="73">
        <v>0</v>
      </c>
      <c r="G2450" s="73">
        <v>0</v>
      </c>
      <c r="H2450" s="74">
        <v>0</v>
      </c>
      <c r="I2450" s="47">
        <v>0</v>
      </c>
      <c r="J2450" s="75">
        <v>0</v>
      </c>
      <c r="K2450" s="76">
        <v>0</v>
      </c>
      <c r="L2450" s="50">
        <v>6468.67</v>
      </c>
      <c r="M2450" s="77">
        <v>0</v>
      </c>
      <c r="N2450" s="53" t="s">
        <v>16</v>
      </c>
      <c r="O2450" s="52">
        <v>0</v>
      </c>
      <c r="P2450" s="53">
        <v>0</v>
      </c>
      <c r="Q2450" s="54">
        <v>0</v>
      </c>
      <c r="R2450" s="1"/>
      <c r="S2450" s="1"/>
      <c r="T2450" s="1"/>
    </row>
    <row r="2451" spans="1:20" ht="13.5" customHeight="1" x14ac:dyDescent="0.25">
      <c r="A2451" s="1"/>
      <c r="B2451" s="1" t="s">
        <v>2150</v>
      </c>
      <c r="C2451" s="55" t="s">
        <v>438</v>
      </c>
      <c r="D2451" s="42">
        <v>2000</v>
      </c>
      <c r="E2451" s="43">
        <v>0</v>
      </c>
      <c r="F2451" s="45">
        <v>2000</v>
      </c>
      <c r="G2451" s="45">
        <v>2000</v>
      </c>
      <c r="H2451" s="74">
        <v>0</v>
      </c>
      <c r="I2451" s="47">
        <f t="shared" ref="I2451:I2453" si="1007">H2451/J2451</f>
        <v>0</v>
      </c>
      <c r="J2451" s="48">
        <v>2000</v>
      </c>
      <c r="K2451" s="49">
        <v>2000</v>
      </c>
      <c r="L2451" s="77">
        <v>0</v>
      </c>
      <c r="M2451" s="50">
        <v>1680.81</v>
      </c>
      <c r="N2451" s="53" t="s">
        <v>16</v>
      </c>
      <c r="O2451" s="52">
        <v>0</v>
      </c>
      <c r="P2451" s="53">
        <v>0</v>
      </c>
      <c r="Q2451" s="54">
        <v>0</v>
      </c>
      <c r="R2451" s="1"/>
      <c r="S2451" s="1"/>
      <c r="T2451" s="1"/>
    </row>
    <row r="2452" spans="1:20" ht="13.5" customHeight="1" x14ac:dyDescent="0.25">
      <c r="A2452" s="1"/>
      <c r="B2452" s="1" t="s">
        <v>2151</v>
      </c>
      <c r="C2452" s="1" t="s">
        <v>267</v>
      </c>
      <c r="D2452" s="42">
        <v>5000</v>
      </c>
      <c r="E2452" s="43">
        <v>6450.35</v>
      </c>
      <c r="F2452" s="45">
        <v>5000</v>
      </c>
      <c r="G2452" s="45">
        <v>5000</v>
      </c>
      <c r="H2452" s="66">
        <v>2055.4299999999998</v>
      </c>
      <c r="I2452" s="47">
        <f t="shared" si="1007"/>
        <v>0.8221719999999999</v>
      </c>
      <c r="J2452" s="48">
        <v>2500</v>
      </c>
      <c r="K2452" s="49">
        <v>2500</v>
      </c>
      <c r="L2452" s="50">
        <v>6243.36</v>
      </c>
      <c r="M2452" s="77">
        <v>0</v>
      </c>
      <c r="N2452" s="53" t="s">
        <v>16</v>
      </c>
      <c r="O2452" s="52">
        <v>2919.83</v>
      </c>
      <c r="P2452" s="53">
        <v>0</v>
      </c>
      <c r="Q2452" s="54">
        <v>0</v>
      </c>
      <c r="R2452" s="1"/>
      <c r="S2452" s="1"/>
      <c r="T2452" s="1"/>
    </row>
    <row r="2453" spans="1:20" ht="13.5" customHeight="1" x14ac:dyDescent="0.25">
      <c r="A2453" s="1"/>
      <c r="B2453" s="1" t="s">
        <v>2152</v>
      </c>
      <c r="C2453" s="1" t="s">
        <v>1422</v>
      </c>
      <c r="D2453" s="42">
        <v>100</v>
      </c>
      <c r="E2453" s="43">
        <v>0</v>
      </c>
      <c r="F2453" s="45">
        <v>100</v>
      </c>
      <c r="G2453" s="45">
        <v>100</v>
      </c>
      <c r="H2453" s="74">
        <v>0</v>
      </c>
      <c r="I2453" s="47">
        <f t="shared" si="1007"/>
        <v>0</v>
      </c>
      <c r="J2453" s="48">
        <v>100</v>
      </c>
      <c r="K2453" s="49">
        <v>100</v>
      </c>
      <c r="L2453" s="77">
        <v>0</v>
      </c>
      <c r="M2453" s="50">
        <v>1800</v>
      </c>
      <c r="N2453" s="51">
        <v>675</v>
      </c>
      <c r="O2453" s="52">
        <v>240</v>
      </c>
      <c r="P2453" s="53">
        <v>680</v>
      </c>
      <c r="Q2453" s="54">
        <v>0</v>
      </c>
      <c r="R2453" s="1"/>
      <c r="S2453" s="1"/>
      <c r="T2453" s="1"/>
    </row>
    <row r="2454" spans="1:20" ht="13.5" customHeight="1" x14ac:dyDescent="0.25">
      <c r="A2454" s="1"/>
      <c r="B2454" s="1" t="s">
        <v>2153</v>
      </c>
      <c r="C2454" s="1" t="s">
        <v>271</v>
      </c>
      <c r="D2454" s="42">
        <v>0</v>
      </c>
      <c r="E2454" s="43">
        <v>0</v>
      </c>
      <c r="F2454" s="73">
        <v>0</v>
      </c>
      <c r="G2454" s="73">
        <v>0</v>
      </c>
      <c r="H2454" s="46">
        <v>9417.5</v>
      </c>
      <c r="I2454" s="47">
        <v>0</v>
      </c>
      <c r="J2454" s="75">
        <v>0</v>
      </c>
      <c r="K2454" s="76">
        <v>0</v>
      </c>
      <c r="L2454" s="50">
        <v>1500</v>
      </c>
      <c r="M2454" s="77">
        <v>0</v>
      </c>
      <c r="N2454" s="53" t="s">
        <v>16</v>
      </c>
      <c r="O2454" s="52"/>
      <c r="P2454" s="53"/>
      <c r="Q2454" s="54"/>
      <c r="R2454" s="1"/>
      <c r="S2454" s="1"/>
      <c r="T2454" s="1"/>
    </row>
    <row r="2455" spans="1:20" ht="13.5" customHeight="1" x14ac:dyDescent="0.25">
      <c r="A2455" s="1"/>
      <c r="B2455" s="1" t="s">
        <v>2154</v>
      </c>
      <c r="C2455" s="1" t="s">
        <v>318</v>
      </c>
      <c r="D2455" s="42">
        <v>500</v>
      </c>
      <c r="E2455" s="43">
        <v>0</v>
      </c>
      <c r="F2455" s="45">
        <v>500</v>
      </c>
      <c r="G2455" s="45">
        <v>500</v>
      </c>
      <c r="H2455" s="74">
        <v>0</v>
      </c>
      <c r="I2455" s="47">
        <f>H2455/J2455</f>
        <v>0</v>
      </c>
      <c r="J2455" s="48">
        <v>500</v>
      </c>
      <c r="K2455" s="49">
        <v>500</v>
      </c>
      <c r="L2455" s="77">
        <v>0</v>
      </c>
      <c r="M2455" s="77">
        <v>0</v>
      </c>
      <c r="N2455" s="53" t="s">
        <v>16</v>
      </c>
      <c r="O2455" s="52">
        <v>0</v>
      </c>
      <c r="P2455" s="53">
        <v>80.540000000000006</v>
      </c>
      <c r="Q2455" s="54">
        <v>966.48</v>
      </c>
      <c r="R2455" s="1"/>
      <c r="S2455" s="1"/>
      <c r="T2455" s="1"/>
    </row>
    <row r="2456" spans="1:20" ht="13.5" customHeight="1" x14ac:dyDescent="0.25">
      <c r="A2456" s="1"/>
      <c r="B2456" s="1" t="s">
        <v>2155</v>
      </c>
      <c r="C2456" s="1" t="s">
        <v>275</v>
      </c>
      <c r="D2456" s="42">
        <v>5000</v>
      </c>
      <c r="E2456" s="43">
        <v>0</v>
      </c>
      <c r="F2456" s="45">
        <v>5000</v>
      </c>
      <c r="G2456" s="45">
        <v>5000</v>
      </c>
      <c r="H2456" s="74">
        <v>0</v>
      </c>
      <c r="I2456" s="47">
        <v>0</v>
      </c>
      <c r="J2456" s="75">
        <v>0</v>
      </c>
      <c r="K2456" s="76">
        <v>0</v>
      </c>
      <c r="L2456" s="50">
        <v>1380.37</v>
      </c>
      <c r="M2456" s="77">
        <v>0</v>
      </c>
      <c r="N2456" s="53" t="s">
        <v>16</v>
      </c>
      <c r="O2456" s="52">
        <v>0</v>
      </c>
      <c r="P2456" s="53">
        <v>0</v>
      </c>
      <c r="Q2456" s="54">
        <v>183.54</v>
      </c>
      <c r="R2456" s="1"/>
      <c r="S2456" s="1"/>
      <c r="T2456" s="1"/>
    </row>
    <row r="2457" spans="1:20" ht="13.5" customHeight="1" x14ac:dyDescent="0.25">
      <c r="A2457" s="1"/>
      <c r="B2457" s="1" t="s">
        <v>2156</v>
      </c>
      <c r="C2457" s="1" t="s">
        <v>277</v>
      </c>
      <c r="D2457" s="42">
        <v>0</v>
      </c>
      <c r="E2457" s="43">
        <v>0</v>
      </c>
      <c r="F2457" s="73">
        <v>0</v>
      </c>
      <c r="G2457" s="73">
        <v>0</v>
      </c>
      <c r="H2457" s="74">
        <v>0</v>
      </c>
      <c r="I2457" s="47">
        <v>0</v>
      </c>
      <c r="J2457" s="75">
        <v>0</v>
      </c>
      <c r="K2457" s="76">
        <v>0</v>
      </c>
      <c r="L2457" s="77">
        <v>0</v>
      </c>
      <c r="M2457" s="77">
        <v>0</v>
      </c>
      <c r="N2457" s="51">
        <v>723.75</v>
      </c>
      <c r="O2457" s="52">
        <v>0</v>
      </c>
      <c r="P2457" s="53">
        <v>0</v>
      </c>
      <c r="Q2457" s="54">
        <v>0</v>
      </c>
      <c r="R2457" s="1"/>
      <c r="S2457" s="1"/>
      <c r="T2457" s="1"/>
    </row>
    <row r="2458" spans="1:20" ht="13.5" customHeight="1" x14ac:dyDescent="0.25">
      <c r="A2458" s="1"/>
      <c r="B2458" s="1" t="s">
        <v>2157</v>
      </c>
      <c r="C2458" s="1" t="s">
        <v>489</v>
      </c>
      <c r="D2458" s="42">
        <v>2500</v>
      </c>
      <c r="E2458" s="43">
        <v>0</v>
      </c>
      <c r="F2458" s="45">
        <v>2500</v>
      </c>
      <c r="G2458" s="45">
        <v>2500</v>
      </c>
      <c r="H2458" s="66">
        <v>545.15</v>
      </c>
      <c r="I2458" s="47">
        <f>H2458/J2458</f>
        <v>0.21806</v>
      </c>
      <c r="J2458" s="48">
        <v>2500</v>
      </c>
      <c r="K2458" s="49">
        <v>2500</v>
      </c>
      <c r="L2458" s="50">
        <v>775</v>
      </c>
      <c r="M2458" s="50">
        <v>542.5</v>
      </c>
      <c r="N2458" s="51">
        <v>30</v>
      </c>
      <c r="O2458" s="52">
        <v>350</v>
      </c>
      <c r="P2458" s="53">
        <v>690</v>
      </c>
      <c r="Q2458" s="54">
        <v>890.5</v>
      </c>
      <c r="R2458" s="1"/>
      <c r="S2458" s="1"/>
      <c r="T2458" s="1"/>
    </row>
    <row r="2459" spans="1:20" ht="13.5" customHeight="1" x14ac:dyDescent="0.25">
      <c r="A2459" s="1"/>
      <c r="B2459" s="1" t="s">
        <v>2158</v>
      </c>
      <c r="C2459" s="55" t="s">
        <v>408</v>
      </c>
      <c r="D2459" s="42">
        <v>0</v>
      </c>
      <c r="E2459" s="43">
        <v>0</v>
      </c>
      <c r="F2459" s="73">
        <v>0</v>
      </c>
      <c r="G2459" s="73">
        <v>0</v>
      </c>
      <c r="H2459" s="46">
        <v>7100</v>
      </c>
      <c r="I2459" s="47">
        <v>0</v>
      </c>
      <c r="J2459" s="75">
        <v>0</v>
      </c>
      <c r="K2459" s="76">
        <v>0</v>
      </c>
      <c r="L2459" s="50">
        <v>3400</v>
      </c>
      <c r="M2459" s="77">
        <v>0</v>
      </c>
      <c r="N2459" s="53" t="s">
        <v>16</v>
      </c>
      <c r="O2459" s="52">
        <v>0</v>
      </c>
      <c r="P2459" s="53">
        <v>0</v>
      </c>
      <c r="Q2459" s="54">
        <v>0</v>
      </c>
      <c r="R2459" s="1"/>
      <c r="S2459" s="1"/>
      <c r="T2459" s="1"/>
    </row>
    <row r="2460" spans="1:20" ht="13.5" customHeight="1" x14ac:dyDescent="0.25">
      <c r="A2460" s="1"/>
      <c r="B2460" s="1" t="s">
        <v>2159</v>
      </c>
      <c r="C2460" s="1" t="s">
        <v>814</v>
      </c>
      <c r="D2460" s="42">
        <v>300</v>
      </c>
      <c r="E2460" s="43">
        <v>0</v>
      </c>
      <c r="F2460" s="45">
        <v>300</v>
      </c>
      <c r="G2460" s="45">
        <v>300</v>
      </c>
      <c r="H2460" s="74">
        <v>0</v>
      </c>
      <c r="I2460" s="47">
        <f t="shared" ref="I2460:I2463" si="1008">H2460/J2460</f>
        <v>0</v>
      </c>
      <c r="J2460" s="48">
        <v>300</v>
      </c>
      <c r="K2460" s="49">
        <v>300</v>
      </c>
      <c r="L2460" s="77">
        <v>0</v>
      </c>
      <c r="M2460" s="77">
        <v>0</v>
      </c>
      <c r="N2460" s="53" t="s">
        <v>16</v>
      </c>
      <c r="O2460" s="52">
        <v>0</v>
      </c>
      <c r="P2460" s="53">
        <v>161.08000000000001</v>
      </c>
      <c r="Q2460" s="54">
        <v>0</v>
      </c>
      <c r="R2460" s="1"/>
      <c r="S2460" s="1"/>
      <c r="T2460" s="1"/>
    </row>
    <row r="2461" spans="1:20" ht="13.5" customHeight="1" x14ac:dyDescent="0.25">
      <c r="A2461" s="1"/>
      <c r="B2461" s="1" t="s">
        <v>2160</v>
      </c>
      <c r="C2461" s="1" t="s">
        <v>2161</v>
      </c>
      <c r="D2461" s="42">
        <v>15000</v>
      </c>
      <c r="E2461" s="43">
        <v>3000</v>
      </c>
      <c r="F2461" s="45">
        <v>15000</v>
      </c>
      <c r="G2461" s="45">
        <v>15000</v>
      </c>
      <c r="H2461" s="46">
        <v>18000</v>
      </c>
      <c r="I2461" s="47">
        <f t="shared" si="1008"/>
        <v>1.8</v>
      </c>
      <c r="J2461" s="48">
        <v>10000</v>
      </c>
      <c r="K2461" s="49">
        <v>10000</v>
      </c>
      <c r="L2461" s="50">
        <v>15000</v>
      </c>
      <c r="M2461" s="50">
        <v>9000</v>
      </c>
      <c r="N2461" s="51">
        <v>5000</v>
      </c>
      <c r="O2461" s="52">
        <v>5000</v>
      </c>
      <c r="P2461" s="53">
        <v>8000</v>
      </c>
      <c r="Q2461" s="54">
        <v>2000</v>
      </c>
      <c r="R2461" s="1"/>
      <c r="S2461" s="1"/>
      <c r="T2461" s="1"/>
    </row>
    <row r="2462" spans="1:20" ht="13.5" customHeight="1" x14ac:dyDescent="0.25">
      <c r="A2462" s="1"/>
      <c r="B2462" s="1" t="s">
        <v>2162</v>
      </c>
      <c r="C2462" s="1" t="s">
        <v>1442</v>
      </c>
      <c r="D2462" s="42">
        <v>2000</v>
      </c>
      <c r="E2462" s="43">
        <v>0</v>
      </c>
      <c r="F2462" s="45">
        <v>2000</v>
      </c>
      <c r="G2462" s="45">
        <v>2000</v>
      </c>
      <c r="H2462" s="74">
        <v>0</v>
      </c>
      <c r="I2462" s="47">
        <f t="shared" si="1008"/>
        <v>0</v>
      </c>
      <c r="J2462" s="48">
        <v>2000</v>
      </c>
      <c r="K2462" s="49">
        <v>2000</v>
      </c>
      <c r="L2462" s="77">
        <v>0</v>
      </c>
      <c r="M2462" s="77">
        <v>0</v>
      </c>
      <c r="N2462" s="53" t="s">
        <v>16</v>
      </c>
      <c r="O2462" s="52">
        <v>0</v>
      </c>
      <c r="P2462" s="53">
        <v>0</v>
      </c>
      <c r="Q2462" s="54">
        <v>0</v>
      </c>
      <c r="R2462" s="1"/>
      <c r="S2462" s="1"/>
      <c r="T2462" s="1"/>
    </row>
    <row r="2463" spans="1:20" ht="13.5" customHeight="1" x14ac:dyDescent="0.25">
      <c r="A2463" s="1"/>
      <c r="B2463" s="1" t="s">
        <v>2163</v>
      </c>
      <c r="C2463" s="1" t="s">
        <v>335</v>
      </c>
      <c r="D2463" s="42">
        <v>15000</v>
      </c>
      <c r="E2463" s="43">
        <v>0</v>
      </c>
      <c r="F2463" s="45">
        <v>15000</v>
      </c>
      <c r="G2463" s="45">
        <v>15000</v>
      </c>
      <c r="H2463" s="66">
        <v>17883</v>
      </c>
      <c r="I2463" s="47">
        <f t="shared" si="1008"/>
        <v>3.5766</v>
      </c>
      <c r="J2463" s="48">
        <v>5000</v>
      </c>
      <c r="K2463" s="49">
        <v>5000</v>
      </c>
      <c r="L2463" s="77">
        <v>0</v>
      </c>
      <c r="M2463" s="77">
        <v>0</v>
      </c>
      <c r="N2463" s="53" t="s">
        <v>16</v>
      </c>
      <c r="O2463" s="52">
        <v>0</v>
      </c>
      <c r="P2463" s="53">
        <v>10504.25</v>
      </c>
      <c r="Q2463" s="54">
        <v>0</v>
      </c>
      <c r="R2463" s="1"/>
      <c r="S2463" s="1"/>
      <c r="T2463" s="1"/>
    </row>
    <row r="2464" spans="1:20" ht="13.5" customHeight="1" thickBot="1" x14ac:dyDescent="0.3">
      <c r="A2464" s="1"/>
      <c r="B2464" s="78"/>
      <c r="C2464" s="98" t="s">
        <v>2164</v>
      </c>
      <c r="D2464" s="267">
        <v>47400</v>
      </c>
      <c r="E2464" s="173">
        <f t="shared" ref="E2464" si="1009">SUM(E2444:E2463)</f>
        <v>13044.35</v>
      </c>
      <c r="F2464" s="174">
        <f>SUM(F2443:F2463)</f>
        <v>47400</v>
      </c>
      <c r="G2464" s="174">
        <v>47400</v>
      </c>
      <c r="H2464" s="175">
        <f>SUM(H2444:H2463)</f>
        <v>55001.08</v>
      </c>
      <c r="I2464" s="175"/>
      <c r="J2464" s="176">
        <f t="shared" ref="J2464:Q2464" si="1010">SUM(J2444:J2463)</f>
        <v>28575</v>
      </c>
      <c r="K2464" s="177">
        <f t="shared" si="1010"/>
        <v>28575</v>
      </c>
      <c r="L2464" s="178">
        <f t="shared" si="1010"/>
        <v>35287.619999999995</v>
      </c>
      <c r="M2464" s="178">
        <f t="shared" si="1010"/>
        <v>13583.74</v>
      </c>
      <c r="N2464" s="263">
        <f t="shared" si="1010"/>
        <v>6428.75</v>
      </c>
      <c r="O2464" s="180">
        <f t="shared" si="1010"/>
        <v>12903.810000000001</v>
      </c>
      <c r="P2464" s="263">
        <f t="shared" si="1010"/>
        <v>24271.690000000002</v>
      </c>
      <c r="Q2464" s="181">
        <f t="shared" si="1010"/>
        <v>8476.7400000000016</v>
      </c>
      <c r="R2464" s="1"/>
      <c r="S2464" s="1"/>
      <c r="T2464" s="1"/>
    </row>
    <row r="2465" spans="1:20" ht="13.5" customHeight="1" thickTop="1" x14ac:dyDescent="0.25">
      <c r="A2465" s="1"/>
      <c r="B2465" s="1"/>
      <c r="C2465" s="1"/>
      <c r="D2465" s="42"/>
      <c r="E2465" s="44"/>
      <c r="F2465" s="45"/>
      <c r="G2465" s="45"/>
      <c r="H2465" s="66"/>
      <c r="I2465" s="66"/>
      <c r="J2465" s="48"/>
      <c r="K2465" s="49"/>
      <c r="L2465" s="77"/>
      <c r="M2465" s="77"/>
      <c r="N2465" s="53"/>
      <c r="O2465" s="52"/>
      <c r="P2465" s="53"/>
      <c r="Q2465" s="54"/>
      <c r="R2465" s="1"/>
      <c r="S2465" s="1"/>
      <c r="T2465" s="1"/>
    </row>
    <row r="2466" spans="1:20" ht="13.5" customHeight="1" x14ac:dyDescent="0.25">
      <c r="A2466" s="1"/>
      <c r="B2466" s="262" t="s">
        <v>2165</v>
      </c>
      <c r="C2466" s="262" t="s">
        <v>2166</v>
      </c>
      <c r="D2466" s="42"/>
      <c r="E2466" s="44"/>
      <c r="F2466" s="45"/>
      <c r="G2466" s="45"/>
      <c r="H2466" s="66"/>
      <c r="I2466" s="66"/>
      <c r="J2466" s="48"/>
      <c r="K2466" s="49"/>
      <c r="L2466" s="77"/>
      <c r="M2466" s="77"/>
      <c r="N2466" s="53"/>
      <c r="O2466" s="52"/>
      <c r="P2466" s="53"/>
      <c r="Q2466" s="54"/>
      <c r="R2466" s="1"/>
      <c r="S2466" s="1"/>
      <c r="T2466" s="1"/>
    </row>
    <row r="2467" spans="1:20" ht="13.5" customHeight="1" x14ac:dyDescent="0.25">
      <c r="A2467" s="1"/>
      <c r="B2467" s="1"/>
      <c r="C2467" s="41"/>
      <c r="D2467" s="42"/>
      <c r="E2467" s="44"/>
      <c r="F2467" s="45"/>
      <c r="G2467" s="45"/>
      <c r="H2467" s="66"/>
      <c r="I2467" s="66"/>
      <c r="J2467" s="48"/>
      <c r="K2467" s="49"/>
      <c r="L2467" s="77"/>
      <c r="M2467" s="77"/>
      <c r="N2467" s="53"/>
      <c r="O2467" s="52"/>
      <c r="P2467" s="53"/>
      <c r="Q2467" s="54"/>
      <c r="R2467" s="1"/>
      <c r="S2467" s="1"/>
      <c r="T2467" s="1"/>
    </row>
    <row r="2468" spans="1:20" ht="13.5" customHeight="1" x14ac:dyDescent="0.25">
      <c r="A2468" s="116" t="s">
        <v>17</v>
      </c>
      <c r="B2468" s="1"/>
      <c r="C2468" s="41"/>
      <c r="D2468" s="42"/>
      <c r="E2468" s="44"/>
      <c r="F2468" s="45"/>
      <c r="G2468" s="45"/>
      <c r="H2468" s="66"/>
      <c r="I2468" s="66"/>
      <c r="J2468" s="48"/>
      <c r="K2468" s="49"/>
      <c r="L2468" s="77"/>
      <c r="M2468" s="77"/>
      <c r="N2468" s="53"/>
      <c r="O2468" s="52"/>
      <c r="P2468" s="53"/>
      <c r="Q2468" s="54"/>
      <c r="R2468" s="1"/>
      <c r="S2468" s="1"/>
      <c r="T2468" s="1"/>
    </row>
    <row r="2469" spans="1:20" ht="13.5" customHeight="1" x14ac:dyDescent="0.25">
      <c r="A2469" s="1"/>
      <c r="B2469" s="1" t="s">
        <v>2167</v>
      </c>
      <c r="C2469" s="1" t="s">
        <v>2110</v>
      </c>
      <c r="D2469" s="42">
        <v>-18500</v>
      </c>
      <c r="E2469" s="70">
        <v>-17596.18</v>
      </c>
      <c r="F2469" s="73">
        <v>-18500</v>
      </c>
      <c r="G2469" s="73">
        <v>-18500</v>
      </c>
      <c r="H2469" s="68">
        <v>-13260</v>
      </c>
      <c r="I2469" s="47">
        <v>0</v>
      </c>
      <c r="J2469" s="75">
        <v>0</v>
      </c>
      <c r="K2469" s="76">
        <v>0</v>
      </c>
      <c r="L2469" s="50">
        <v>-491902.49</v>
      </c>
      <c r="M2469" s="77">
        <v>0</v>
      </c>
      <c r="N2469" s="51">
        <v>-5257.5</v>
      </c>
      <c r="O2469" s="52">
        <v>5379.25</v>
      </c>
      <c r="P2469" s="53">
        <v>10174.69</v>
      </c>
      <c r="Q2469" s="54">
        <v>0</v>
      </c>
      <c r="R2469" s="1"/>
      <c r="S2469" s="1"/>
      <c r="T2469" s="1"/>
    </row>
    <row r="2470" spans="1:20" ht="13.5" customHeight="1" x14ac:dyDescent="0.25">
      <c r="A2470" s="1"/>
      <c r="B2470" s="1"/>
      <c r="C2470" s="116" t="s">
        <v>2168</v>
      </c>
      <c r="D2470" s="88">
        <v>-18500</v>
      </c>
      <c r="E2470" s="89">
        <f t="shared" ref="E2470" si="1011">SUM(E2469)</f>
        <v>-17596.18</v>
      </c>
      <c r="F2470" s="90">
        <f>SUM(F2468:F2469)</f>
        <v>-18500</v>
      </c>
      <c r="G2470" s="90">
        <v>-18500</v>
      </c>
      <c r="H2470" s="91">
        <f>SUM(H2469)</f>
        <v>-13260</v>
      </c>
      <c r="I2470" s="91"/>
      <c r="J2470" s="92">
        <f t="shared" ref="J2470:Q2470" si="1012">SUM(J2469)</f>
        <v>0</v>
      </c>
      <c r="K2470" s="93">
        <f t="shared" si="1012"/>
        <v>0</v>
      </c>
      <c r="L2470" s="94">
        <f t="shared" si="1012"/>
        <v>-491902.49</v>
      </c>
      <c r="M2470" s="94">
        <f t="shared" si="1012"/>
        <v>0</v>
      </c>
      <c r="N2470" s="95">
        <f t="shared" si="1012"/>
        <v>-5257.5</v>
      </c>
      <c r="O2470" s="96">
        <f t="shared" si="1012"/>
        <v>5379.25</v>
      </c>
      <c r="P2470" s="95">
        <f t="shared" si="1012"/>
        <v>10174.69</v>
      </c>
      <c r="Q2470" s="97">
        <f t="shared" si="1012"/>
        <v>0</v>
      </c>
      <c r="R2470" s="1"/>
      <c r="S2470" s="1"/>
      <c r="T2470" s="1"/>
    </row>
    <row r="2471" spans="1:20" ht="13.5" customHeight="1" x14ac:dyDescent="0.25">
      <c r="A2471" s="1"/>
      <c r="B2471" s="1"/>
      <c r="C2471" s="1"/>
      <c r="D2471" s="72"/>
      <c r="E2471" s="67"/>
      <c r="F2471" s="73"/>
      <c r="G2471" s="73"/>
      <c r="H2471" s="74"/>
      <c r="I2471" s="74"/>
      <c r="J2471" s="75"/>
      <c r="K2471" s="76"/>
      <c r="L2471" s="50"/>
      <c r="M2471" s="77"/>
      <c r="N2471" s="51"/>
      <c r="O2471" s="52"/>
      <c r="P2471" s="53"/>
      <c r="Q2471" s="54"/>
      <c r="R2471" s="1"/>
      <c r="S2471" s="1"/>
      <c r="T2471" s="1"/>
    </row>
    <row r="2472" spans="1:20" ht="13.5" customHeight="1" x14ac:dyDescent="0.25">
      <c r="A2472" s="116" t="s">
        <v>230</v>
      </c>
      <c r="B2472" s="1"/>
      <c r="C2472" s="1"/>
      <c r="D2472" s="72"/>
      <c r="E2472" s="67"/>
      <c r="F2472" s="73"/>
      <c r="G2472" s="73"/>
      <c r="H2472" s="74"/>
      <c r="I2472" s="74"/>
      <c r="J2472" s="75"/>
      <c r="K2472" s="76"/>
      <c r="L2472" s="50"/>
      <c r="M2472" s="77"/>
      <c r="N2472" s="51"/>
      <c r="O2472" s="52"/>
      <c r="P2472" s="53"/>
      <c r="Q2472" s="54"/>
      <c r="R2472" s="1"/>
      <c r="S2472" s="1"/>
      <c r="T2472" s="1"/>
    </row>
    <row r="2473" spans="1:20" ht="13.5" customHeight="1" x14ac:dyDescent="0.25">
      <c r="A2473" s="1"/>
      <c r="B2473" s="1"/>
      <c r="C2473" s="41" t="s">
        <v>2169</v>
      </c>
      <c r="D2473" s="72"/>
      <c r="E2473" s="67"/>
      <c r="F2473" s="73"/>
      <c r="G2473" s="73"/>
      <c r="H2473" s="74"/>
      <c r="I2473" s="74"/>
      <c r="J2473" s="75"/>
      <c r="K2473" s="76"/>
      <c r="L2473" s="50"/>
      <c r="M2473" s="77"/>
      <c r="N2473" s="51"/>
      <c r="O2473" s="52"/>
      <c r="P2473" s="53"/>
      <c r="Q2473" s="54"/>
      <c r="R2473" s="1"/>
      <c r="S2473" s="1"/>
      <c r="T2473" s="1"/>
    </row>
    <row r="2474" spans="1:20" ht="13.5" customHeight="1" x14ac:dyDescent="0.25">
      <c r="A2474" s="1"/>
      <c r="B2474" s="1" t="s">
        <v>2170</v>
      </c>
      <c r="C2474" s="55" t="s">
        <v>267</v>
      </c>
      <c r="D2474" s="42">
        <v>175</v>
      </c>
      <c r="E2474" s="43">
        <v>0</v>
      </c>
      <c r="F2474" s="45">
        <v>175</v>
      </c>
      <c r="G2474" s="45">
        <v>175</v>
      </c>
      <c r="H2474" s="74">
        <v>0</v>
      </c>
      <c r="I2474" s="47">
        <f>H2474/J2474</f>
        <v>0</v>
      </c>
      <c r="J2474" s="48">
        <v>175</v>
      </c>
      <c r="K2474" s="49">
        <v>175</v>
      </c>
      <c r="L2474" s="77">
        <v>0</v>
      </c>
      <c r="M2474" s="77">
        <v>0</v>
      </c>
      <c r="N2474" s="51">
        <v>328.8</v>
      </c>
      <c r="O2474" s="52">
        <v>0</v>
      </c>
      <c r="P2474" s="53">
        <v>183.99</v>
      </c>
      <c r="Q2474" s="54">
        <v>0</v>
      </c>
      <c r="R2474" s="1"/>
      <c r="S2474" s="1"/>
      <c r="T2474" s="1"/>
    </row>
    <row r="2475" spans="1:20" ht="13.5" customHeight="1" x14ac:dyDescent="0.25">
      <c r="A2475" s="1"/>
      <c r="B2475" s="1"/>
      <c r="C2475" s="1"/>
      <c r="D2475" s="56">
        <v>175</v>
      </c>
      <c r="E2475" s="57">
        <f t="shared" ref="E2475" si="1013">SUM(E2474)</f>
        <v>0</v>
      </c>
      <c r="F2475" s="58">
        <f>SUM(F2473:F2474)</f>
        <v>175</v>
      </c>
      <c r="G2475" s="58">
        <v>175</v>
      </c>
      <c r="H2475" s="59">
        <f>SUM(H2474)</f>
        <v>0</v>
      </c>
      <c r="I2475" s="59"/>
      <c r="J2475" s="60">
        <f t="shared" ref="J2475:Q2475" si="1014">SUM(J2474)</f>
        <v>175</v>
      </c>
      <c r="K2475" s="61">
        <f t="shared" si="1014"/>
        <v>175</v>
      </c>
      <c r="L2475" s="62">
        <f t="shared" si="1014"/>
        <v>0</v>
      </c>
      <c r="M2475" s="62">
        <f t="shared" si="1014"/>
        <v>0</v>
      </c>
      <c r="N2475" s="63">
        <f t="shared" si="1014"/>
        <v>328.8</v>
      </c>
      <c r="O2475" s="64">
        <f t="shared" si="1014"/>
        <v>0</v>
      </c>
      <c r="P2475" s="63">
        <f t="shared" si="1014"/>
        <v>183.99</v>
      </c>
      <c r="Q2475" s="65">
        <f t="shared" si="1014"/>
        <v>0</v>
      </c>
      <c r="R2475" s="1"/>
      <c r="S2475" s="1"/>
      <c r="T2475" s="1"/>
    </row>
    <row r="2476" spans="1:20" ht="13.5" customHeight="1" x14ac:dyDescent="0.25">
      <c r="A2476" s="1"/>
      <c r="B2476" s="1"/>
      <c r="C2476" s="1"/>
      <c r="D2476" s="42"/>
      <c r="E2476" s="67"/>
      <c r="F2476" s="45"/>
      <c r="G2476" s="45"/>
      <c r="H2476" s="74"/>
      <c r="I2476" s="66"/>
      <c r="J2476" s="48"/>
      <c r="K2476" s="49"/>
      <c r="L2476" s="77"/>
      <c r="M2476" s="77"/>
      <c r="N2476" s="51"/>
      <c r="O2476" s="52"/>
      <c r="P2476" s="53"/>
      <c r="Q2476" s="54"/>
      <c r="R2476" s="1"/>
      <c r="S2476" s="1"/>
      <c r="T2476" s="1"/>
    </row>
    <row r="2477" spans="1:20" ht="13.5" customHeight="1" x14ac:dyDescent="0.25">
      <c r="A2477" s="1"/>
      <c r="B2477" s="1"/>
      <c r="C2477" s="41" t="s">
        <v>2171</v>
      </c>
      <c r="D2477" s="42"/>
      <c r="E2477" s="67"/>
      <c r="F2477" s="45"/>
      <c r="G2477" s="45"/>
      <c r="H2477" s="74"/>
      <c r="I2477" s="66"/>
      <c r="J2477" s="48"/>
      <c r="K2477" s="49"/>
      <c r="L2477" s="77"/>
      <c r="M2477" s="77"/>
      <c r="N2477" s="51"/>
      <c r="O2477" s="52"/>
      <c r="P2477" s="53"/>
      <c r="Q2477" s="54"/>
      <c r="R2477" s="1"/>
      <c r="S2477" s="1"/>
      <c r="T2477" s="1"/>
    </row>
    <row r="2478" spans="1:20" ht="13.5" customHeight="1" x14ac:dyDescent="0.25">
      <c r="A2478" s="1"/>
      <c r="B2478" s="55" t="s">
        <v>2172</v>
      </c>
      <c r="C2478" s="55" t="s">
        <v>1525</v>
      </c>
      <c r="D2478" s="42">
        <v>0</v>
      </c>
      <c r="E2478" s="43">
        <v>0</v>
      </c>
      <c r="F2478" s="73">
        <v>0</v>
      </c>
      <c r="G2478" s="73">
        <v>0</v>
      </c>
      <c r="H2478" s="46">
        <v>1000</v>
      </c>
      <c r="I2478" s="47">
        <v>0</v>
      </c>
      <c r="J2478" s="75">
        <v>0</v>
      </c>
      <c r="K2478" s="76">
        <v>0</v>
      </c>
      <c r="L2478" s="77">
        <v>0</v>
      </c>
      <c r="M2478" s="77">
        <v>0</v>
      </c>
      <c r="N2478" s="53" t="s">
        <v>16</v>
      </c>
      <c r="O2478" s="52">
        <v>0</v>
      </c>
      <c r="P2478" s="53">
        <v>0</v>
      </c>
      <c r="Q2478" s="54">
        <v>0</v>
      </c>
      <c r="R2478" s="1"/>
      <c r="S2478" s="1"/>
      <c r="T2478" s="1"/>
    </row>
    <row r="2479" spans="1:20" ht="13.5" customHeight="1" x14ac:dyDescent="0.25">
      <c r="A2479" s="1"/>
      <c r="B2479" s="1" t="s">
        <v>2173</v>
      </c>
      <c r="C2479" s="1" t="s">
        <v>2174</v>
      </c>
      <c r="D2479" s="42">
        <v>0</v>
      </c>
      <c r="E2479" s="43">
        <v>430.79</v>
      </c>
      <c r="F2479" s="73">
        <v>0</v>
      </c>
      <c r="G2479" s="73">
        <v>0</v>
      </c>
      <c r="H2479" s="46">
        <v>890.03</v>
      </c>
      <c r="I2479" s="47">
        <v>0</v>
      </c>
      <c r="J2479" s="75">
        <v>0</v>
      </c>
      <c r="K2479" s="76">
        <v>0</v>
      </c>
      <c r="L2479" s="77">
        <v>0</v>
      </c>
      <c r="M2479" s="77">
        <v>0</v>
      </c>
      <c r="N2479" s="53"/>
      <c r="O2479" s="52"/>
      <c r="P2479" s="53"/>
      <c r="Q2479" s="54"/>
      <c r="R2479" s="1"/>
      <c r="S2479" s="1"/>
      <c r="T2479" s="1"/>
    </row>
    <row r="2480" spans="1:20" ht="13.5" customHeight="1" x14ac:dyDescent="0.25">
      <c r="A2480" s="1"/>
      <c r="B2480" s="1" t="s">
        <v>2175</v>
      </c>
      <c r="C2480" s="55" t="s">
        <v>265</v>
      </c>
      <c r="D2480" s="42">
        <v>10000</v>
      </c>
      <c r="E2480" s="43">
        <v>0</v>
      </c>
      <c r="F2480" s="45">
        <v>10000</v>
      </c>
      <c r="G2480" s="45">
        <v>10000</v>
      </c>
      <c r="H2480" s="74">
        <v>2344</v>
      </c>
      <c r="I2480" s="47">
        <v>0</v>
      </c>
      <c r="J2480" s="75">
        <v>0</v>
      </c>
      <c r="K2480" s="76">
        <v>0</v>
      </c>
      <c r="L2480" s="50">
        <v>11914.03</v>
      </c>
      <c r="M2480" s="50">
        <v>8363.7199999999993</v>
      </c>
      <c r="N2480" s="53" t="s">
        <v>16</v>
      </c>
      <c r="O2480" s="52">
        <v>0</v>
      </c>
      <c r="P2480" s="53">
        <v>0</v>
      </c>
      <c r="Q2480" s="54">
        <v>0</v>
      </c>
      <c r="R2480" s="1"/>
      <c r="S2480" s="1"/>
      <c r="T2480" s="1"/>
    </row>
    <row r="2481" spans="1:20" ht="13.5" customHeight="1" x14ac:dyDescent="0.25">
      <c r="A2481" s="1"/>
      <c r="B2481" s="1" t="s">
        <v>2176</v>
      </c>
      <c r="C2481" s="1" t="s">
        <v>267</v>
      </c>
      <c r="D2481" s="42">
        <v>8500</v>
      </c>
      <c r="E2481" s="43">
        <v>0</v>
      </c>
      <c r="F2481" s="45">
        <v>8500</v>
      </c>
      <c r="G2481" s="45">
        <v>8500</v>
      </c>
      <c r="H2481" s="46">
        <v>703</v>
      </c>
      <c r="I2481" s="47">
        <v>0</v>
      </c>
      <c r="J2481" s="75">
        <v>0</v>
      </c>
      <c r="K2481" s="76">
        <v>0</v>
      </c>
      <c r="L2481" s="50">
        <v>5113.04</v>
      </c>
      <c r="M2481" s="50">
        <v>4736</v>
      </c>
      <c r="N2481" s="53" t="s">
        <v>16</v>
      </c>
      <c r="O2481" s="52">
        <v>0</v>
      </c>
      <c r="P2481" s="53">
        <v>0</v>
      </c>
      <c r="Q2481" s="54">
        <v>0</v>
      </c>
      <c r="R2481" s="1"/>
      <c r="S2481" s="1"/>
      <c r="T2481" s="1"/>
    </row>
    <row r="2482" spans="1:20" ht="13.5" customHeight="1" x14ac:dyDescent="0.25">
      <c r="A2482" s="1"/>
      <c r="B2482" s="55" t="s">
        <v>2177</v>
      </c>
      <c r="C2482" s="55" t="s">
        <v>275</v>
      </c>
      <c r="D2482" s="42">
        <v>0</v>
      </c>
      <c r="E2482" s="43">
        <v>0</v>
      </c>
      <c r="F2482" s="73">
        <v>0</v>
      </c>
      <c r="G2482" s="73">
        <v>0</v>
      </c>
      <c r="H2482" s="68">
        <v>1448.34</v>
      </c>
      <c r="I2482" s="47">
        <v>0</v>
      </c>
      <c r="J2482" s="75">
        <v>0</v>
      </c>
      <c r="K2482" s="76">
        <v>0</v>
      </c>
      <c r="L2482" s="77">
        <v>0</v>
      </c>
      <c r="M2482" s="50">
        <v>107.17</v>
      </c>
      <c r="N2482" s="53"/>
      <c r="O2482" s="52"/>
      <c r="P2482" s="1"/>
      <c r="Q2482" s="54"/>
      <c r="R2482" s="1"/>
      <c r="S2482" s="1"/>
      <c r="T2482" s="1"/>
    </row>
    <row r="2483" spans="1:20" ht="13.5" customHeight="1" x14ac:dyDescent="0.25">
      <c r="A2483" s="1"/>
      <c r="B2483" s="1" t="s">
        <v>2178</v>
      </c>
      <c r="C2483" s="1" t="s">
        <v>482</v>
      </c>
      <c r="D2483" s="42">
        <v>0</v>
      </c>
      <c r="E2483" s="43">
        <v>0</v>
      </c>
      <c r="F2483" s="73">
        <v>0</v>
      </c>
      <c r="G2483" s="73">
        <v>0</v>
      </c>
      <c r="H2483" s="68">
        <v>0</v>
      </c>
      <c r="I2483" s="47">
        <v>0</v>
      </c>
      <c r="J2483" s="75">
        <v>0</v>
      </c>
      <c r="K2483" s="76">
        <v>0</v>
      </c>
      <c r="L2483" s="77">
        <v>0</v>
      </c>
      <c r="M2483" s="50">
        <v>107.17</v>
      </c>
      <c r="N2483" s="53" t="s">
        <v>16</v>
      </c>
      <c r="O2483" s="52">
        <v>0</v>
      </c>
      <c r="P2483" s="1">
        <v>0</v>
      </c>
      <c r="Q2483" s="54">
        <v>0</v>
      </c>
      <c r="R2483" s="1"/>
      <c r="S2483" s="1"/>
      <c r="T2483" s="1"/>
    </row>
    <row r="2484" spans="1:20" ht="13.5" customHeight="1" x14ac:dyDescent="0.25">
      <c r="A2484" s="1"/>
      <c r="B2484" s="1" t="s">
        <v>2179</v>
      </c>
      <c r="C2484" s="1" t="s">
        <v>1805</v>
      </c>
      <c r="D2484" s="42">
        <v>0</v>
      </c>
      <c r="E2484" s="43">
        <v>0</v>
      </c>
      <c r="F2484" s="73">
        <v>0</v>
      </c>
      <c r="G2484" s="73">
        <v>0</v>
      </c>
      <c r="H2484" s="74">
        <v>0</v>
      </c>
      <c r="I2484" s="47">
        <v>0</v>
      </c>
      <c r="J2484" s="75">
        <v>0</v>
      </c>
      <c r="K2484" s="76">
        <v>0</v>
      </c>
      <c r="L2484" s="50">
        <v>3471.4</v>
      </c>
      <c r="M2484" s="77">
        <v>0</v>
      </c>
      <c r="N2484" s="53" t="s">
        <v>16</v>
      </c>
      <c r="O2484" s="52">
        <v>0</v>
      </c>
      <c r="P2484" s="53">
        <v>0</v>
      </c>
      <c r="Q2484" s="54">
        <v>0</v>
      </c>
      <c r="R2484" s="1"/>
      <c r="S2484" s="1"/>
      <c r="T2484" s="1"/>
    </row>
    <row r="2485" spans="1:20" ht="13.5" customHeight="1" x14ac:dyDescent="0.25">
      <c r="A2485" s="1"/>
      <c r="B2485" s="1" t="s">
        <v>2180</v>
      </c>
      <c r="C2485" s="1" t="s">
        <v>489</v>
      </c>
      <c r="D2485" s="42">
        <v>0</v>
      </c>
      <c r="E2485" s="43">
        <v>0</v>
      </c>
      <c r="F2485" s="73">
        <v>0</v>
      </c>
      <c r="G2485" s="73">
        <v>0</v>
      </c>
      <c r="H2485" s="66">
        <v>52.49</v>
      </c>
      <c r="I2485" s="47">
        <v>0</v>
      </c>
      <c r="J2485" s="75">
        <v>0</v>
      </c>
      <c r="K2485" s="76">
        <v>0</v>
      </c>
      <c r="L2485" s="77">
        <v>0</v>
      </c>
      <c r="M2485" s="77">
        <v>0</v>
      </c>
      <c r="N2485" s="53" t="s">
        <v>16</v>
      </c>
      <c r="O2485" s="52">
        <v>0</v>
      </c>
      <c r="P2485" s="53">
        <v>0</v>
      </c>
      <c r="Q2485" s="54">
        <v>0</v>
      </c>
      <c r="R2485" s="1"/>
      <c r="S2485" s="1"/>
      <c r="T2485" s="1"/>
    </row>
    <row r="2486" spans="1:20" ht="13.5" customHeight="1" x14ac:dyDescent="0.25">
      <c r="A2486" s="1"/>
      <c r="B2486" s="1" t="s">
        <v>2181</v>
      </c>
      <c r="C2486" s="1" t="s">
        <v>919</v>
      </c>
      <c r="D2486" s="42">
        <v>0</v>
      </c>
      <c r="E2486" s="43">
        <v>0</v>
      </c>
      <c r="F2486" s="73">
        <v>0</v>
      </c>
      <c r="G2486" s="73">
        <v>0</v>
      </c>
      <c r="H2486" s="66">
        <v>27000</v>
      </c>
      <c r="I2486" s="47">
        <v>0</v>
      </c>
      <c r="J2486" s="75">
        <v>0</v>
      </c>
      <c r="K2486" s="76">
        <v>0</v>
      </c>
      <c r="L2486" s="50">
        <v>115999</v>
      </c>
      <c r="M2486" s="77">
        <v>0</v>
      </c>
      <c r="N2486" s="53" t="s">
        <v>16</v>
      </c>
      <c r="O2486" s="52">
        <v>0</v>
      </c>
      <c r="P2486" s="53">
        <v>0</v>
      </c>
      <c r="Q2486" s="54">
        <v>0</v>
      </c>
      <c r="R2486" s="1"/>
      <c r="S2486" s="1"/>
      <c r="T2486" s="1"/>
    </row>
    <row r="2487" spans="1:20" ht="13.5" customHeight="1" x14ac:dyDescent="0.25">
      <c r="A2487" s="1"/>
      <c r="B2487" s="1" t="s">
        <v>2182</v>
      </c>
      <c r="C2487" s="1" t="s">
        <v>2183</v>
      </c>
      <c r="D2487" s="42">
        <v>0</v>
      </c>
      <c r="E2487" s="43">
        <v>0</v>
      </c>
      <c r="F2487" s="73">
        <v>0</v>
      </c>
      <c r="G2487" s="73">
        <v>0</v>
      </c>
      <c r="H2487" s="74">
        <v>0</v>
      </c>
      <c r="I2487" s="47">
        <v>0</v>
      </c>
      <c r="J2487" s="75">
        <v>0</v>
      </c>
      <c r="K2487" s="76">
        <v>0</v>
      </c>
      <c r="L2487" s="50">
        <v>32944.730000000003</v>
      </c>
      <c r="M2487" s="77">
        <v>0</v>
      </c>
      <c r="N2487" s="53" t="s">
        <v>16</v>
      </c>
      <c r="O2487" s="52">
        <v>0</v>
      </c>
      <c r="P2487" s="53">
        <v>0</v>
      </c>
      <c r="Q2487" s="54">
        <v>0</v>
      </c>
      <c r="R2487" s="1"/>
      <c r="S2487" s="1"/>
      <c r="T2487" s="1"/>
    </row>
    <row r="2488" spans="1:20" ht="13.5" customHeight="1" x14ac:dyDescent="0.25">
      <c r="A2488" s="1"/>
      <c r="B2488" s="1" t="s">
        <v>2184</v>
      </c>
      <c r="C2488" s="1" t="s">
        <v>2185</v>
      </c>
      <c r="D2488" s="42">
        <v>0</v>
      </c>
      <c r="E2488" s="70">
        <v>441.16</v>
      </c>
      <c r="F2488" s="73">
        <v>0</v>
      </c>
      <c r="G2488" s="73">
        <v>0</v>
      </c>
      <c r="H2488" s="68">
        <v>2088.4499999999998</v>
      </c>
      <c r="I2488" s="47">
        <v>0</v>
      </c>
      <c r="J2488" s="75">
        <v>0</v>
      </c>
      <c r="K2488" s="76">
        <v>0</v>
      </c>
      <c r="L2488" s="50">
        <v>0</v>
      </c>
      <c r="M2488" s="77">
        <v>0</v>
      </c>
      <c r="N2488" s="53"/>
      <c r="O2488" s="52">
        <v>0</v>
      </c>
      <c r="P2488" s="53">
        <v>0</v>
      </c>
      <c r="Q2488" s="54">
        <v>0</v>
      </c>
      <c r="R2488" s="1"/>
      <c r="S2488" s="1"/>
      <c r="T2488" s="1"/>
    </row>
    <row r="2489" spans="1:20" ht="13.5" customHeight="1" x14ac:dyDescent="0.25">
      <c r="A2489" s="1"/>
      <c r="B2489" s="1"/>
      <c r="C2489" s="1"/>
      <c r="D2489" s="88">
        <v>18500</v>
      </c>
      <c r="E2489" s="89">
        <f t="shared" ref="E2489" si="1015">SUM(E2478:E2488)</f>
        <v>871.95</v>
      </c>
      <c r="F2489" s="90">
        <f>SUM(F2477:F2488)</f>
        <v>18500</v>
      </c>
      <c r="G2489" s="90">
        <v>18500</v>
      </c>
      <c r="H2489" s="91">
        <f>SUM(H2478:H2488)</f>
        <v>35526.31</v>
      </c>
      <c r="I2489" s="91"/>
      <c r="J2489" s="92">
        <f t="shared" ref="J2489:Q2489" si="1016">SUM(J2478:J2488)</f>
        <v>0</v>
      </c>
      <c r="K2489" s="93">
        <f t="shared" si="1016"/>
        <v>0</v>
      </c>
      <c r="L2489" s="94">
        <f t="shared" si="1016"/>
        <v>169442.2</v>
      </c>
      <c r="M2489" s="94">
        <f t="shared" si="1016"/>
        <v>13314.06</v>
      </c>
      <c r="N2489" s="95">
        <f t="shared" si="1016"/>
        <v>0</v>
      </c>
      <c r="O2489" s="96">
        <f t="shared" si="1016"/>
        <v>0</v>
      </c>
      <c r="P2489" s="95">
        <f t="shared" si="1016"/>
        <v>0</v>
      </c>
      <c r="Q2489" s="97">
        <f t="shared" si="1016"/>
        <v>0</v>
      </c>
      <c r="R2489" s="1"/>
      <c r="S2489" s="1"/>
      <c r="T2489" s="1"/>
    </row>
    <row r="2490" spans="1:20" ht="13.5" customHeight="1" x14ac:dyDescent="0.25">
      <c r="A2490" s="1"/>
      <c r="B2490" s="1"/>
      <c r="C2490" s="1"/>
      <c r="D2490" s="72"/>
      <c r="E2490" s="67"/>
      <c r="F2490" s="73"/>
      <c r="G2490" s="73"/>
      <c r="H2490" s="74"/>
      <c r="I2490" s="74"/>
      <c r="J2490" s="75"/>
      <c r="K2490" s="76"/>
      <c r="L2490" s="50"/>
      <c r="M2490" s="77"/>
      <c r="N2490" s="53"/>
      <c r="O2490" s="52"/>
      <c r="P2490" s="53"/>
      <c r="Q2490" s="54"/>
      <c r="R2490" s="1"/>
      <c r="S2490" s="1"/>
      <c r="T2490" s="1"/>
    </row>
    <row r="2491" spans="1:20" ht="13.5" customHeight="1" thickBot="1" x14ac:dyDescent="0.3">
      <c r="A2491" s="1"/>
      <c r="B2491" s="78"/>
      <c r="C2491" s="98" t="s">
        <v>2186</v>
      </c>
      <c r="D2491" s="184">
        <v>18675</v>
      </c>
      <c r="E2491" s="185">
        <f t="shared" ref="E2491" si="1017">SUM(E2475+E2489)</f>
        <v>871.95</v>
      </c>
      <c r="F2491" s="186">
        <f>SUM(F2475,F2489)</f>
        <v>18675</v>
      </c>
      <c r="G2491" s="186">
        <v>18675</v>
      </c>
      <c r="H2491" s="187">
        <f>SUM(H2475+H2489)</f>
        <v>35526.31</v>
      </c>
      <c r="I2491" s="187"/>
      <c r="J2491" s="188">
        <f t="shared" ref="J2491:Q2491" si="1018">SUM(J2475+J2489)</f>
        <v>175</v>
      </c>
      <c r="K2491" s="189">
        <f t="shared" si="1018"/>
        <v>175</v>
      </c>
      <c r="L2491" s="190">
        <f t="shared" si="1018"/>
        <v>169442.2</v>
      </c>
      <c r="M2491" s="190">
        <f t="shared" si="1018"/>
        <v>13314.06</v>
      </c>
      <c r="N2491" s="270">
        <f t="shared" si="1018"/>
        <v>328.8</v>
      </c>
      <c r="O2491" s="192">
        <f t="shared" si="1018"/>
        <v>0</v>
      </c>
      <c r="P2491" s="270">
        <f t="shared" si="1018"/>
        <v>183.99</v>
      </c>
      <c r="Q2491" s="193">
        <f t="shared" si="1018"/>
        <v>0</v>
      </c>
      <c r="R2491" s="1"/>
      <c r="S2491" s="1"/>
      <c r="T2491" s="1"/>
    </row>
    <row r="2492" spans="1:20" ht="13.5" customHeight="1" thickTop="1" x14ac:dyDescent="0.25">
      <c r="A2492" s="1"/>
      <c r="B2492" s="1"/>
      <c r="C2492" s="1"/>
      <c r="D2492" s="72"/>
      <c r="E2492" s="67"/>
      <c r="F2492" s="73"/>
      <c r="G2492" s="73"/>
      <c r="H2492" s="74"/>
      <c r="I2492" s="74"/>
      <c r="J2492" s="75"/>
      <c r="K2492" s="76"/>
      <c r="L2492" s="50"/>
      <c r="M2492" s="77"/>
      <c r="N2492" s="53"/>
      <c r="O2492" s="52"/>
      <c r="P2492" s="53"/>
      <c r="Q2492" s="54"/>
      <c r="R2492" s="1"/>
      <c r="S2492" s="1"/>
      <c r="T2492" s="1"/>
    </row>
    <row r="2493" spans="1:20" ht="13.5" customHeight="1" x14ac:dyDescent="0.25">
      <c r="A2493" s="1"/>
      <c r="B2493" s="262" t="s">
        <v>2187</v>
      </c>
      <c r="C2493" s="262" t="s">
        <v>2188</v>
      </c>
      <c r="D2493" s="72"/>
      <c r="E2493" s="67"/>
      <c r="F2493" s="73"/>
      <c r="G2493" s="73"/>
      <c r="H2493" s="74"/>
      <c r="I2493" s="74"/>
      <c r="J2493" s="75"/>
      <c r="K2493" s="76"/>
      <c r="L2493" s="50"/>
      <c r="M2493" s="77"/>
      <c r="N2493" s="53"/>
      <c r="O2493" s="52"/>
      <c r="P2493" s="53"/>
      <c r="Q2493" s="54"/>
      <c r="R2493" s="1"/>
      <c r="S2493" s="1"/>
      <c r="T2493" s="1"/>
    </row>
    <row r="2494" spans="1:20" ht="13.5" customHeight="1" x14ac:dyDescent="0.25">
      <c r="A2494" s="1"/>
      <c r="B2494" s="1"/>
      <c r="C2494" s="1"/>
      <c r="D2494" s="72"/>
      <c r="E2494" s="67"/>
      <c r="F2494" s="73"/>
      <c r="G2494" s="73"/>
      <c r="H2494" s="74"/>
      <c r="I2494" s="74"/>
      <c r="J2494" s="75"/>
      <c r="K2494" s="76"/>
      <c r="L2494" s="50"/>
      <c r="M2494" s="77"/>
      <c r="N2494" s="53"/>
      <c r="O2494" s="52"/>
      <c r="P2494" s="53"/>
      <c r="Q2494" s="54"/>
      <c r="R2494" s="1"/>
      <c r="S2494" s="1"/>
      <c r="T2494" s="1"/>
    </row>
    <row r="2495" spans="1:20" ht="13.5" customHeight="1" x14ac:dyDescent="0.25">
      <c r="A2495" s="116" t="s">
        <v>17</v>
      </c>
      <c r="B2495" s="1"/>
      <c r="C2495" s="1"/>
      <c r="D2495" s="72"/>
      <c r="E2495" s="67"/>
      <c r="F2495" s="73"/>
      <c r="G2495" s="73"/>
      <c r="H2495" s="74"/>
      <c r="I2495" s="74"/>
      <c r="J2495" s="75"/>
      <c r="K2495" s="76"/>
      <c r="L2495" s="50"/>
      <c r="M2495" s="77"/>
      <c r="N2495" s="53"/>
      <c r="O2495" s="52"/>
      <c r="P2495" s="53"/>
      <c r="Q2495" s="54"/>
      <c r="R2495" s="1"/>
      <c r="S2495" s="1"/>
      <c r="T2495" s="1"/>
    </row>
    <row r="2496" spans="1:20" ht="13.5" customHeight="1" x14ac:dyDescent="0.25">
      <c r="A2496" s="1"/>
      <c r="B2496" s="1" t="s">
        <v>2189</v>
      </c>
      <c r="C2496" s="1" t="s">
        <v>2190</v>
      </c>
      <c r="D2496" s="42">
        <v>-2000</v>
      </c>
      <c r="E2496" s="43">
        <v>0</v>
      </c>
      <c r="F2496" s="45">
        <v>-2000</v>
      </c>
      <c r="G2496" s="45">
        <v>-2000</v>
      </c>
      <c r="H2496" s="46">
        <v>-6575</v>
      </c>
      <c r="I2496" s="47">
        <f>H2496/J2496</f>
        <v>1.64375</v>
      </c>
      <c r="J2496" s="48">
        <v>-4000</v>
      </c>
      <c r="K2496" s="49">
        <v>-4000</v>
      </c>
      <c r="L2496" s="50">
        <v>-725</v>
      </c>
      <c r="M2496" s="50">
        <v>-7275</v>
      </c>
      <c r="N2496" s="51">
        <v>-650</v>
      </c>
      <c r="O2496" s="52">
        <v>3875</v>
      </c>
      <c r="P2496" s="53">
        <v>1100</v>
      </c>
      <c r="Q2496" s="54">
        <v>7550</v>
      </c>
      <c r="R2496" s="1"/>
      <c r="S2496" s="1"/>
      <c r="T2496" s="1"/>
    </row>
    <row r="2497" spans="1:20" ht="13.5" customHeight="1" thickBot="1" x14ac:dyDescent="0.3">
      <c r="A2497" s="1"/>
      <c r="B2497" s="1"/>
      <c r="C2497" s="116" t="s">
        <v>2191</v>
      </c>
      <c r="D2497" s="267">
        <v>-2000</v>
      </c>
      <c r="E2497" s="173">
        <f t="shared" ref="E2497" si="1019">SUM(E2496)</f>
        <v>0</v>
      </c>
      <c r="F2497" s="174">
        <f>SUM(F2495:F2496)</f>
        <v>-2000</v>
      </c>
      <c r="G2497" s="174">
        <v>-2000</v>
      </c>
      <c r="H2497" s="175">
        <f>SUM(H2496)</f>
        <v>-6575</v>
      </c>
      <c r="I2497" s="175"/>
      <c r="J2497" s="176">
        <f t="shared" ref="J2497:Q2497" si="1020">SUM(J2496)</f>
        <v>-4000</v>
      </c>
      <c r="K2497" s="177">
        <f t="shared" si="1020"/>
        <v>-4000</v>
      </c>
      <c r="L2497" s="178">
        <f t="shared" si="1020"/>
        <v>-725</v>
      </c>
      <c r="M2497" s="178">
        <f t="shared" si="1020"/>
        <v>-7275</v>
      </c>
      <c r="N2497" s="179">
        <f t="shared" si="1020"/>
        <v>-650</v>
      </c>
      <c r="O2497" s="180">
        <f t="shared" si="1020"/>
        <v>3875</v>
      </c>
      <c r="P2497" s="179">
        <f t="shared" si="1020"/>
        <v>1100</v>
      </c>
      <c r="Q2497" s="181">
        <f t="shared" si="1020"/>
        <v>7550</v>
      </c>
      <c r="R2497" s="1"/>
      <c r="S2497" s="1"/>
      <c r="T2497" s="1"/>
    </row>
    <row r="2498" spans="1:20" ht="13.5" customHeight="1" thickTop="1" x14ac:dyDescent="0.25">
      <c r="A2498" s="116" t="s">
        <v>230</v>
      </c>
      <c r="B2498" s="1"/>
      <c r="C2498" s="1"/>
      <c r="D2498" s="42"/>
      <c r="E2498" s="44"/>
      <c r="F2498" s="45"/>
      <c r="G2498" s="45"/>
      <c r="H2498" s="66"/>
      <c r="I2498" s="66"/>
      <c r="J2498" s="48"/>
      <c r="K2498" s="49"/>
      <c r="L2498" s="50"/>
      <c r="M2498" s="50"/>
      <c r="N2498" s="51"/>
      <c r="O2498" s="52"/>
      <c r="P2498" s="53"/>
      <c r="Q2498" s="54"/>
      <c r="R2498" s="1"/>
      <c r="S2498" s="1"/>
      <c r="T2498" s="1"/>
    </row>
    <row r="2499" spans="1:20" ht="13.5" customHeight="1" x14ac:dyDescent="0.25">
      <c r="A2499" s="1"/>
      <c r="B2499" s="1" t="s">
        <v>2192</v>
      </c>
      <c r="C2499" s="1" t="s">
        <v>259</v>
      </c>
      <c r="D2499" s="42">
        <v>500</v>
      </c>
      <c r="E2499" s="43">
        <v>0</v>
      </c>
      <c r="F2499" s="45">
        <v>500</v>
      </c>
      <c r="G2499" s="45">
        <v>500</v>
      </c>
      <c r="H2499" s="74">
        <v>192.04</v>
      </c>
      <c r="I2499" s="47">
        <f>H2499/J2499</f>
        <v>0.19203999999999999</v>
      </c>
      <c r="J2499" s="48">
        <v>1000</v>
      </c>
      <c r="K2499" s="49">
        <v>1000</v>
      </c>
      <c r="L2499" s="50">
        <v>225.87</v>
      </c>
      <c r="M2499" s="50">
        <v>192.29</v>
      </c>
      <c r="N2499" s="51">
        <v>59.27</v>
      </c>
      <c r="O2499" s="52">
        <v>0</v>
      </c>
      <c r="P2499" s="53">
        <v>0</v>
      </c>
      <c r="Q2499" s="54">
        <v>0</v>
      </c>
      <c r="R2499" s="1"/>
      <c r="S2499" s="1"/>
      <c r="T2499" s="1"/>
    </row>
    <row r="2500" spans="1:20" ht="13.5" customHeight="1" x14ac:dyDescent="0.25">
      <c r="A2500" s="1"/>
      <c r="B2500" s="1" t="s">
        <v>2193</v>
      </c>
      <c r="C2500" s="55" t="s">
        <v>267</v>
      </c>
      <c r="D2500" s="42">
        <v>0</v>
      </c>
      <c r="E2500" s="43">
        <v>0</v>
      </c>
      <c r="F2500" s="73">
        <v>0</v>
      </c>
      <c r="G2500" s="73">
        <v>0</v>
      </c>
      <c r="H2500" s="74">
        <v>0</v>
      </c>
      <c r="I2500" s="47"/>
      <c r="J2500" s="75" t="s">
        <v>16</v>
      </c>
      <c r="K2500" s="76" t="s">
        <v>16</v>
      </c>
      <c r="L2500" s="77" t="s">
        <v>16</v>
      </c>
      <c r="M2500" s="50">
        <v>145.97999999999999</v>
      </c>
      <c r="N2500" s="53" t="s">
        <v>16</v>
      </c>
      <c r="O2500" s="52">
        <v>0</v>
      </c>
      <c r="P2500" s="53">
        <v>826.2</v>
      </c>
      <c r="Q2500" s="54">
        <v>0</v>
      </c>
      <c r="R2500" s="1"/>
      <c r="S2500" s="1"/>
      <c r="T2500" s="1"/>
    </row>
    <row r="2501" spans="1:20" ht="13.5" customHeight="1" x14ac:dyDescent="0.25">
      <c r="A2501" s="1"/>
      <c r="B2501" s="1" t="s">
        <v>2194</v>
      </c>
      <c r="C2501" s="1" t="s">
        <v>271</v>
      </c>
      <c r="D2501" s="42">
        <v>1500</v>
      </c>
      <c r="E2501" s="43">
        <v>0</v>
      </c>
      <c r="F2501" s="45">
        <v>1500</v>
      </c>
      <c r="G2501" s="45">
        <v>1500</v>
      </c>
      <c r="H2501" s="74">
        <v>0</v>
      </c>
      <c r="I2501" s="47">
        <f t="shared" ref="I2501:I2502" si="1021">H2501/J2501</f>
        <v>0</v>
      </c>
      <c r="J2501" s="48">
        <v>1500</v>
      </c>
      <c r="K2501" s="49">
        <v>1500</v>
      </c>
      <c r="L2501" s="77">
        <v>0</v>
      </c>
      <c r="M2501" s="77">
        <v>0</v>
      </c>
      <c r="N2501" s="51">
        <v>812.7</v>
      </c>
      <c r="O2501" s="52">
        <v>0</v>
      </c>
      <c r="P2501" s="53">
        <v>1203.06</v>
      </c>
      <c r="Q2501" s="54">
        <v>0</v>
      </c>
      <c r="R2501" s="1"/>
      <c r="S2501" s="1"/>
      <c r="T2501" s="1"/>
    </row>
    <row r="2502" spans="1:20" ht="13.5" customHeight="1" x14ac:dyDescent="0.25">
      <c r="A2502" s="1"/>
      <c r="B2502" s="1" t="s">
        <v>2195</v>
      </c>
      <c r="C2502" s="1" t="s">
        <v>275</v>
      </c>
      <c r="D2502" s="42">
        <v>0</v>
      </c>
      <c r="E2502" s="43">
        <v>0</v>
      </c>
      <c r="F2502" s="73">
        <v>0</v>
      </c>
      <c r="G2502" s="73">
        <v>0</v>
      </c>
      <c r="H2502" s="46">
        <v>286.8</v>
      </c>
      <c r="I2502" s="47">
        <f t="shared" si="1021"/>
        <v>0.5736</v>
      </c>
      <c r="J2502" s="48">
        <v>500</v>
      </c>
      <c r="K2502" s="49">
        <v>500</v>
      </c>
      <c r="L2502" s="77">
        <v>0</v>
      </c>
      <c r="M2502" s="50">
        <v>150</v>
      </c>
      <c r="N2502" s="53" t="s">
        <v>16</v>
      </c>
      <c r="O2502" s="52">
        <v>300</v>
      </c>
      <c r="P2502" s="53">
        <v>0</v>
      </c>
      <c r="Q2502" s="54">
        <v>0</v>
      </c>
      <c r="R2502" s="1"/>
      <c r="S2502" s="1"/>
      <c r="T2502" s="1"/>
    </row>
    <row r="2503" spans="1:20" ht="13.5" customHeight="1" thickBot="1" x14ac:dyDescent="0.3">
      <c r="A2503" s="1"/>
      <c r="B2503" s="78"/>
      <c r="C2503" s="98" t="s">
        <v>2196</v>
      </c>
      <c r="D2503" s="184">
        <v>2000</v>
      </c>
      <c r="E2503" s="185">
        <f t="shared" ref="E2503" si="1022">SUM(E2499:E2502)</f>
        <v>0</v>
      </c>
      <c r="F2503" s="186">
        <f>SUM(F2498:F2502)</f>
        <v>2000</v>
      </c>
      <c r="G2503" s="186">
        <v>2000</v>
      </c>
      <c r="H2503" s="187">
        <f>SUM(H2499:H2502)</f>
        <v>478.84000000000003</v>
      </c>
      <c r="I2503" s="187"/>
      <c r="J2503" s="188">
        <f t="shared" ref="J2503:Q2503" si="1023">SUM(J2499:J2502)</f>
        <v>3000</v>
      </c>
      <c r="K2503" s="189">
        <f t="shared" si="1023"/>
        <v>3000</v>
      </c>
      <c r="L2503" s="190">
        <f t="shared" si="1023"/>
        <v>225.87</v>
      </c>
      <c r="M2503" s="190">
        <f t="shared" si="1023"/>
        <v>488.27</v>
      </c>
      <c r="N2503" s="270">
        <f t="shared" si="1023"/>
        <v>871.97</v>
      </c>
      <c r="O2503" s="192">
        <f t="shared" si="1023"/>
        <v>300</v>
      </c>
      <c r="P2503" s="270">
        <f t="shared" si="1023"/>
        <v>2029.26</v>
      </c>
      <c r="Q2503" s="193">
        <f t="shared" si="1023"/>
        <v>0</v>
      </c>
      <c r="R2503" s="1"/>
      <c r="S2503" s="1"/>
      <c r="T2503" s="1"/>
    </row>
    <row r="2504" spans="1:20" ht="13.5" customHeight="1" thickTop="1" x14ac:dyDescent="0.25">
      <c r="A2504" s="1"/>
      <c r="B2504" s="1"/>
      <c r="C2504" s="1"/>
      <c r="D2504" s="72"/>
      <c r="E2504" s="44"/>
      <c r="F2504" s="73"/>
      <c r="G2504" s="73"/>
      <c r="H2504" s="66"/>
      <c r="I2504" s="66"/>
      <c r="J2504" s="48"/>
      <c r="K2504" s="49"/>
      <c r="L2504" s="77"/>
      <c r="M2504" s="50"/>
      <c r="N2504" s="53"/>
      <c r="O2504" s="52"/>
      <c r="P2504" s="53"/>
      <c r="Q2504" s="54"/>
      <c r="R2504" s="1"/>
      <c r="S2504" s="1"/>
      <c r="T2504" s="1"/>
    </row>
    <row r="2505" spans="1:20" ht="13.5" customHeight="1" x14ac:dyDescent="0.25">
      <c r="A2505" s="1"/>
      <c r="B2505" s="262" t="s">
        <v>2197</v>
      </c>
      <c r="C2505" s="262" t="s">
        <v>2198</v>
      </c>
      <c r="D2505" s="72"/>
      <c r="E2505" s="44"/>
      <c r="F2505" s="73"/>
      <c r="G2505" s="73"/>
      <c r="H2505" s="66"/>
      <c r="I2505" s="66"/>
      <c r="J2505" s="48"/>
      <c r="K2505" s="49"/>
      <c r="L2505" s="77"/>
      <c r="M2505" s="50"/>
      <c r="N2505" s="53"/>
      <c r="O2505" s="52"/>
      <c r="P2505" s="53"/>
      <c r="Q2505" s="54"/>
      <c r="R2505" s="1"/>
      <c r="S2505" s="1"/>
      <c r="T2505" s="1"/>
    </row>
    <row r="2506" spans="1:20" ht="13.5" customHeight="1" x14ac:dyDescent="0.25">
      <c r="A2506" s="1"/>
      <c r="B2506" s="1"/>
      <c r="C2506" s="1"/>
      <c r="D2506" s="72"/>
      <c r="E2506" s="44"/>
      <c r="F2506" s="73"/>
      <c r="G2506" s="73"/>
      <c r="H2506" s="66"/>
      <c r="I2506" s="66"/>
      <c r="J2506" s="48"/>
      <c r="K2506" s="49"/>
      <c r="L2506" s="77"/>
      <c r="M2506" s="50"/>
      <c r="N2506" s="53"/>
      <c r="O2506" s="52"/>
      <c r="P2506" s="53"/>
      <c r="Q2506" s="54"/>
      <c r="R2506" s="1"/>
      <c r="S2506" s="1"/>
      <c r="T2506" s="1"/>
    </row>
    <row r="2507" spans="1:20" ht="13.5" customHeight="1" x14ac:dyDescent="0.25">
      <c r="A2507" s="116" t="s">
        <v>17</v>
      </c>
      <c r="B2507" s="1"/>
      <c r="C2507" s="1"/>
      <c r="D2507" s="72"/>
      <c r="E2507" s="44"/>
      <c r="F2507" s="73"/>
      <c r="G2507" s="73"/>
      <c r="H2507" s="66"/>
      <c r="I2507" s="66"/>
      <c r="J2507" s="48"/>
      <c r="K2507" s="49"/>
      <c r="L2507" s="77"/>
      <c r="M2507" s="50"/>
      <c r="N2507" s="53"/>
      <c r="O2507" s="52"/>
      <c r="P2507" s="53"/>
      <c r="Q2507" s="54"/>
      <c r="R2507" s="1"/>
      <c r="S2507" s="1"/>
      <c r="T2507" s="1"/>
    </row>
    <row r="2508" spans="1:20" ht="13.5" customHeight="1" x14ac:dyDescent="0.25">
      <c r="A2508" s="1"/>
      <c r="B2508" s="1" t="s">
        <v>2199</v>
      </c>
      <c r="C2508" s="1" t="s">
        <v>2200</v>
      </c>
      <c r="D2508" s="42">
        <v>-26000</v>
      </c>
      <c r="E2508" s="43">
        <v>-12190.41</v>
      </c>
      <c r="F2508" s="45">
        <v>-26000</v>
      </c>
      <c r="G2508" s="45">
        <v>-26000</v>
      </c>
      <c r="H2508" s="46">
        <v>-27027.33</v>
      </c>
      <c r="I2508" s="47">
        <f>H2508/J2508</f>
        <v>1.0395126923076923</v>
      </c>
      <c r="J2508" s="48">
        <v>-26000</v>
      </c>
      <c r="K2508" s="49">
        <v>-26000</v>
      </c>
      <c r="L2508" s="50">
        <v>-27123.61</v>
      </c>
      <c r="M2508" s="50">
        <v>-25506.03</v>
      </c>
      <c r="N2508" s="51">
        <v>-25338.18</v>
      </c>
      <c r="O2508" s="52">
        <v>24606.78</v>
      </c>
      <c r="P2508" s="53">
        <v>27978.43</v>
      </c>
      <c r="Q2508" s="54">
        <v>27876</v>
      </c>
      <c r="R2508" s="1"/>
      <c r="S2508" s="1"/>
      <c r="T2508" s="1"/>
    </row>
    <row r="2509" spans="1:20" ht="13.5" customHeight="1" thickBot="1" x14ac:dyDescent="0.3">
      <c r="A2509" s="1"/>
      <c r="B2509" s="1"/>
      <c r="C2509" s="116" t="s">
        <v>2201</v>
      </c>
      <c r="D2509" s="267">
        <v>-26000</v>
      </c>
      <c r="E2509" s="173">
        <f t="shared" ref="E2509" si="1024">SUM(E2508)</f>
        <v>-12190.41</v>
      </c>
      <c r="F2509" s="174">
        <f>SUM(F2507:F2508)</f>
        <v>-26000</v>
      </c>
      <c r="G2509" s="174">
        <v>-26000</v>
      </c>
      <c r="H2509" s="175">
        <f>SUM(H2508)</f>
        <v>-27027.33</v>
      </c>
      <c r="I2509" s="175"/>
      <c r="J2509" s="176">
        <f t="shared" ref="J2509:Q2509" si="1025">SUM(J2508)</f>
        <v>-26000</v>
      </c>
      <c r="K2509" s="177">
        <f t="shared" si="1025"/>
        <v>-26000</v>
      </c>
      <c r="L2509" s="178">
        <f t="shared" si="1025"/>
        <v>-27123.61</v>
      </c>
      <c r="M2509" s="178">
        <f t="shared" si="1025"/>
        <v>-25506.03</v>
      </c>
      <c r="N2509" s="179">
        <f t="shared" si="1025"/>
        <v>-25338.18</v>
      </c>
      <c r="O2509" s="180">
        <f t="shared" si="1025"/>
        <v>24606.78</v>
      </c>
      <c r="P2509" s="179">
        <f t="shared" si="1025"/>
        <v>27978.43</v>
      </c>
      <c r="Q2509" s="181">
        <f t="shared" si="1025"/>
        <v>27876</v>
      </c>
      <c r="R2509" s="1"/>
      <c r="S2509" s="1"/>
      <c r="T2509" s="1"/>
    </row>
    <row r="2510" spans="1:20" ht="13.5" customHeight="1" thickTop="1" x14ac:dyDescent="0.25">
      <c r="A2510" s="116" t="s">
        <v>230</v>
      </c>
      <c r="B2510" s="1"/>
      <c r="C2510" s="1"/>
      <c r="D2510" s="42"/>
      <c r="E2510" s="44"/>
      <c r="F2510" s="45"/>
      <c r="G2510" s="45"/>
      <c r="H2510" s="66"/>
      <c r="I2510" s="66"/>
      <c r="J2510" s="48"/>
      <c r="K2510" s="49"/>
      <c r="L2510" s="50"/>
      <c r="M2510" s="50"/>
      <c r="N2510" s="51"/>
      <c r="O2510" s="52"/>
      <c r="P2510" s="53"/>
      <c r="Q2510" s="54"/>
      <c r="R2510" s="1"/>
      <c r="S2510" s="1"/>
      <c r="T2510" s="1"/>
    </row>
    <row r="2511" spans="1:20" ht="13.5" customHeight="1" x14ac:dyDescent="0.25">
      <c r="A2511" s="1"/>
      <c r="B2511" s="1" t="s">
        <v>2202</v>
      </c>
      <c r="C2511" s="1" t="s">
        <v>435</v>
      </c>
      <c r="D2511" s="42">
        <v>26000</v>
      </c>
      <c r="E2511" s="43">
        <v>5365.1</v>
      </c>
      <c r="F2511" s="45">
        <v>26000</v>
      </c>
      <c r="G2511" s="45">
        <v>26000</v>
      </c>
      <c r="H2511" s="46">
        <v>34733.47</v>
      </c>
      <c r="I2511" s="47">
        <f>H2511/J2511</f>
        <v>1.4472279166666666</v>
      </c>
      <c r="J2511" s="48">
        <v>24000</v>
      </c>
      <c r="K2511" s="49">
        <v>24000</v>
      </c>
      <c r="L2511" s="50">
        <v>32246.65</v>
      </c>
      <c r="M2511" s="50">
        <v>34909.82</v>
      </c>
      <c r="N2511" s="51">
        <v>29201.91</v>
      </c>
      <c r="O2511" s="52">
        <v>28324.98</v>
      </c>
      <c r="P2511" s="53">
        <v>27150.33</v>
      </c>
      <c r="Q2511" s="54">
        <v>24294.35</v>
      </c>
      <c r="R2511" s="1"/>
      <c r="S2511" s="1"/>
      <c r="T2511" s="1"/>
    </row>
    <row r="2512" spans="1:20" ht="13.5" customHeight="1" thickBot="1" x14ac:dyDescent="0.3">
      <c r="A2512" s="1"/>
      <c r="B2512" s="78"/>
      <c r="C2512" s="98" t="s">
        <v>2203</v>
      </c>
      <c r="D2512" s="267">
        <v>26000</v>
      </c>
      <c r="E2512" s="173">
        <f t="shared" ref="E2512" si="1026">SUM(E2511)</f>
        <v>5365.1</v>
      </c>
      <c r="F2512" s="174">
        <f>SUM(F2510:F2511)</f>
        <v>26000</v>
      </c>
      <c r="G2512" s="174">
        <v>26000</v>
      </c>
      <c r="H2512" s="175">
        <f>SUM(H2511)</f>
        <v>34733.47</v>
      </c>
      <c r="I2512" s="175"/>
      <c r="J2512" s="176">
        <f t="shared" ref="J2512:Q2512" si="1027">SUM(J2511)</f>
        <v>24000</v>
      </c>
      <c r="K2512" s="177">
        <f t="shared" si="1027"/>
        <v>24000</v>
      </c>
      <c r="L2512" s="178">
        <f t="shared" si="1027"/>
        <v>32246.65</v>
      </c>
      <c r="M2512" s="178">
        <f t="shared" si="1027"/>
        <v>34909.82</v>
      </c>
      <c r="N2512" s="263">
        <f t="shared" si="1027"/>
        <v>29201.91</v>
      </c>
      <c r="O2512" s="180">
        <f t="shared" si="1027"/>
        <v>28324.98</v>
      </c>
      <c r="P2512" s="263">
        <f t="shared" si="1027"/>
        <v>27150.33</v>
      </c>
      <c r="Q2512" s="181">
        <f t="shared" si="1027"/>
        <v>24294.35</v>
      </c>
      <c r="R2512" s="1"/>
      <c r="S2512" s="1"/>
      <c r="T2512" s="1"/>
    </row>
    <row r="2513" spans="1:20" ht="13.5" customHeight="1" thickTop="1" x14ac:dyDescent="0.25">
      <c r="A2513" s="1"/>
      <c r="B2513" s="1"/>
      <c r="C2513" s="116"/>
      <c r="D2513" s="42"/>
      <c r="E2513" s="44"/>
      <c r="F2513" s="45"/>
      <c r="G2513" s="45"/>
      <c r="H2513" s="66"/>
      <c r="I2513" s="66"/>
      <c r="J2513" s="48"/>
      <c r="K2513" s="49"/>
      <c r="L2513" s="50"/>
      <c r="M2513" s="50"/>
      <c r="N2513" s="51"/>
      <c r="O2513" s="151"/>
      <c r="P2513" s="51"/>
      <c r="Q2513" s="152"/>
      <c r="R2513" s="1"/>
      <c r="S2513" s="1"/>
      <c r="T2513" s="1"/>
    </row>
    <row r="2514" spans="1:20" ht="13.5" hidden="1" customHeight="1" x14ac:dyDescent="0.25">
      <c r="A2514" s="1"/>
      <c r="B2514" s="262" t="s">
        <v>2204</v>
      </c>
      <c r="C2514" s="262" t="s">
        <v>2205</v>
      </c>
      <c r="D2514" s="42"/>
      <c r="E2514" s="44"/>
      <c r="F2514" s="45"/>
      <c r="G2514" s="45"/>
      <c r="H2514" s="66"/>
      <c r="I2514" s="66"/>
      <c r="J2514" s="48"/>
      <c r="K2514" s="49"/>
      <c r="L2514" s="50"/>
      <c r="M2514" s="50"/>
      <c r="N2514" s="51"/>
      <c r="O2514" s="151"/>
      <c r="P2514" s="51"/>
      <c r="Q2514" s="152"/>
      <c r="R2514" s="1"/>
      <c r="S2514" s="1"/>
      <c r="T2514" s="1"/>
    </row>
    <row r="2515" spans="1:20" ht="13.5" hidden="1" customHeight="1" x14ac:dyDescent="0.25">
      <c r="A2515" s="1"/>
      <c r="B2515" s="1"/>
      <c r="C2515" s="1"/>
      <c r="D2515" s="42"/>
      <c r="E2515" s="44"/>
      <c r="F2515" s="45"/>
      <c r="G2515" s="45"/>
      <c r="H2515" s="66"/>
      <c r="I2515" s="66"/>
      <c r="J2515" s="48"/>
      <c r="K2515" s="49"/>
      <c r="L2515" s="50"/>
      <c r="M2515" s="50"/>
      <c r="N2515" s="51"/>
      <c r="O2515" s="39"/>
      <c r="P2515" s="1"/>
      <c r="Q2515" s="40"/>
      <c r="R2515" s="1"/>
      <c r="S2515" s="1"/>
      <c r="T2515" s="1"/>
    </row>
    <row r="2516" spans="1:20" ht="13.5" hidden="1" customHeight="1" x14ac:dyDescent="0.25">
      <c r="A2516" s="41" t="s">
        <v>17</v>
      </c>
      <c r="B2516" s="1"/>
      <c r="C2516" s="271"/>
      <c r="D2516" s="42"/>
      <c r="E2516" s="44"/>
      <c r="F2516" s="45"/>
      <c r="G2516" s="45"/>
      <c r="H2516" s="66"/>
      <c r="I2516" s="66"/>
      <c r="J2516" s="48"/>
      <c r="K2516" s="49"/>
      <c r="L2516" s="50"/>
      <c r="M2516" s="50"/>
      <c r="N2516" s="51"/>
      <c r="O2516" s="52"/>
      <c r="P2516" s="53"/>
      <c r="Q2516" s="54"/>
      <c r="R2516" s="1"/>
      <c r="S2516" s="1"/>
      <c r="T2516" s="1"/>
    </row>
    <row r="2517" spans="1:20" ht="13.5" hidden="1" customHeight="1" x14ac:dyDescent="0.25">
      <c r="A2517" s="1"/>
      <c r="B2517" s="1" t="s">
        <v>2206</v>
      </c>
      <c r="C2517" s="1" t="s">
        <v>2207</v>
      </c>
      <c r="D2517" s="42">
        <v>0</v>
      </c>
      <c r="E2517" s="44"/>
      <c r="F2517" s="45">
        <v>-81000</v>
      </c>
      <c r="G2517" s="45">
        <v>-81000</v>
      </c>
      <c r="H2517" s="46">
        <v>-71000</v>
      </c>
      <c r="I2517" s="47">
        <f t="shared" ref="I2517:I2524" si="1028">H2517/J2517</f>
        <v>1</v>
      </c>
      <c r="J2517" s="48">
        <v>-71000</v>
      </c>
      <c r="K2517" s="49">
        <v>-71000</v>
      </c>
      <c r="L2517" s="50">
        <v>-71000</v>
      </c>
      <c r="M2517" s="77">
        <v>0</v>
      </c>
      <c r="N2517" s="53" t="s">
        <v>16</v>
      </c>
      <c r="O2517" s="52"/>
      <c r="P2517" s="53"/>
      <c r="Q2517" s="54"/>
      <c r="R2517" s="1"/>
      <c r="S2517" s="1"/>
      <c r="T2517" s="1"/>
    </row>
    <row r="2518" spans="1:20" ht="15" hidden="1" customHeight="1" x14ac:dyDescent="0.25">
      <c r="A2518" s="272"/>
      <c r="B2518" s="272"/>
      <c r="C2518" s="272" t="s">
        <v>2208</v>
      </c>
      <c r="D2518" s="273">
        <v>0</v>
      </c>
      <c r="E2518" s="274"/>
      <c r="F2518" s="275">
        <v>65000</v>
      </c>
      <c r="G2518" s="275">
        <v>65000</v>
      </c>
      <c r="H2518" s="276">
        <v>65000</v>
      </c>
      <c r="I2518" s="277">
        <f t="shared" si="1028"/>
        <v>1</v>
      </c>
      <c r="J2518" s="278">
        <v>65000</v>
      </c>
      <c r="K2518" s="279">
        <v>65000</v>
      </c>
      <c r="L2518" s="280">
        <v>65000</v>
      </c>
      <c r="M2518" s="281"/>
      <c r="N2518" s="282"/>
      <c r="O2518" s="283"/>
      <c r="P2518" s="282"/>
      <c r="Q2518" s="284"/>
      <c r="R2518" s="272"/>
      <c r="S2518" s="272"/>
      <c r="T2518" s="272"/>
    </row>
    <row r="2519" spans="1:20" ht="13.5" hidden="1" customHeight="1" x14ac:dyDescent="0.25">
      <c r="A2519" s="272"/>
      <c r="B2519" s="272"/>
      <c r="C2519" s="272" t="s">
        <v>2209</v>
      </c>
      <c r="D2519" s="273">
        <v>0</v>
      </c>
      <c r="E2519" s="274"/>
      <c r="F2519" s="275">
        <v>1000</v>
      </c>
      <c r="G2519" s="275">
        <v>1000</v>
      </c>
      <c r="H2519" s="276">
        <v>1500</v>
      </c>
      <c r="I2519" s="277">
        <f t="shared" si="1028"/>
        <v>1.5</v>
      </c>
      <c r="J2519" s="278">
        <v>1000</v>
      </c>
      <c r="K2519" s="279">
        <v>1000</v>
      </c>
      <c r="L2519" s="280">
        <v>1000</v>
      </c>
      <c r="M2519" s="281"/>
      <c r="N2519" s="282"/>
      <c r="O2519" s="283"/>
      <c r="P2519" s="282"/>
      <c r="Q2519" s="284"/>
      <c r="R2519" s="272"/>
      <c r="S2519" s="272"/>
      <c r="T2519" s="272"/>
    </row>
    <row r="2520" spans="1:20" ht="13.5" hidden="1" customHeight="1" x14ac:dyDescent="0.25">
      <c r="A2520" s="272"/>
      <c r="B2520" s="272"/>
      <c r="C2520" s="272" t="s">
        <v>2210</v>
      </c>
      <c r="D2520" s="273">
        <v>0</v>
      </c>
      <c r="E2520" s="274"/>
      <c r="F2520" s="275">
        <v>1000</v>
      </c>
      <c r="G2520" s="275">
        <v>1000</v>
      </c>
      <c r="H2520" s="276">
        <v>1000</v>
      </c>
      <c r="I2520" s="277">
        <f t="shared" si="1028"/>
        <v>1</v>
      </c>
      <c r="J2520" s="278">
        <v>1000</v>
      </c>
      <c r="K2520" s="279">
        <v>1000</v>
      </c>
      <c r="L2520" s="280">
        <v>1000</v>
      </c>
      <c r="M2520" s="281"/>
      <c r="N2520" s="282"/>
      <c r="O2520" s="283"/>
      <c r="P2520" s="282"/>
      <c r="Q2520" s="284"/>
      <c r="R2520" s="272"/>
      <c r="S2520" s="272"/>
      <c r="T2520" s="272"/>
    </row>
    <row r="2521" spans="1:20" ht="13.5" hidden="1" customHeight="1" x14ac:dyDescent="0.25">
      <c r="A2521" s="272"/>
      <c r="B2521" s="272"/>
      <c r="C2521" s="272" t="s">
        <v>2211</v>
      </c>
      <c r="D2521" s="273">
        <v>0</v>
      </c>
      <c r="E2521" s="274"/>
      <c r="F2521" s="275">
        <v>1500</v>
      </c>
      <c r="G2521" s="275">
        <v>1500</v>
      </c>
      <c r="H2521" s="285">
        <v>1500</v>
      </c>
      <c r="I2521" s="277">
        <f t="shared" si="1028"/>
        <v>1</v>
      </c>
      <c r="J2521" s="278">
        <v>1500</v>
      </c>
      <c r="K2521" s="279">
        <v>1500</v>
      </c>
      <c r="L2521" s="280">
        <v>1500</v>
      </c>
      <c r="M2521" s="281"/>
      <c r="N2521" s="282"/>
      <c r="O2521" s="283"/>
      <c r="P2521" s="282"/>
      <c r="Q2521" s="284"/>
      <c r="R2521" s="272"/>
      <c r="S2521" s="272"/>
      <c r="T2521" s="272"/>
    </row>
    <row r="2522" spans="1:20" ht="13.5" hidden="1" customHeight="1" x14ac:dyDescent="0.25">
      <c r="A2522" s="272"/>
      <c r="B2522" s="272"/>
      <c r="C2522" s="272" t="s">
        <v>2212</v>
      </c>
      <c r="D2522" s="273">
        <v>0</v>
      </c>
      <c r="E2522" s="274"/>
      <c r="F2522" s="275">
        <v>2500</v>
      </c>
      <c r="G2522" s="275">
        <v>2500</v>
      </c>
      <c r="H2522" s="276">
        <v>2500</v>
      </c>
      <c r="I2522" s="277">
        <f t="shared" si="1028"/>
        <v>1</v>
      </c>
      <c r="J2522" s="278">
        <v>2500</v>
      </c>
      <c r="K2522" s="279">
        <v>2500</v>
      </c>
      <c r="L2522" s="280">
        <v>2500</v>
      </c>
      <c r="M2522" s="281"/>
      <c r="N2522" s="282"/>
      <c r="O2522" s="283"/>
      <c r="P2522" s="282"/>
      <c r="Q2522" s="284"/>
      <c r="R2522" s="272"/>
      <c r="S2522" s="272"/>
      <c r="T2522" s="272"/>
    </row>
    <row r="2523" spans="1:20" ht="13.5" hidden="1" customHeight="1" x14ac:dyDescent="0.25">
      <c r="A2523" s="1"/>
      <c r="B2523" s="1" t="s">
        <v>2213</v>
      </c>
      <c r="C2523" s="1" t="s">
        <v>2214</v>
      </c>
      <c r="D2523" s="42">
        <v>0</v>
      </c>
      <c r="E2523" s="44"/>
      <c r="F2523" s="45">
        <v>-30000</v>
      </c>
      <c r="G2523" s="45">
        <v>-30000</v>
      </c>
      <c r="H2523" s="46">
        <v>-58844.36</v>
      </c>
      <c r="I2523" s="47">
        <f t="shared" si="1028"/>
        <v>1.9614786666666666</v>
      </c>
      <c r="J2523" s="48">
        <v>-30000</v>
      </c>
      <c r="K2523" s="49">
        <v>-30000</v>
      </c>
      <c r="L2523" s="50">
        <v>-38517.120000000003</v>
      </c>
      <c r="M2523" s="77">
        <v>0</v>
      </c>
      <c r="N2523" s="53" t="s">
        <v>16</v>
      </c>
      <c r="O2523" s="52"/>
      <c r="P2523" s="53"/>
      <c r="Q2523" s="54"/>
      <c r="R2523" s="1"/>
      <c r="S2523" s="1"/>
      <c r="T2523" s="1"/>
    </row>
    <row r="2524" spans="1:20" ht="13.5" hidden="1" customHeight="1" x14ac:dyDescent="0.25">
      <c r="A2524" s="1"/>
      <c r="B2524" s="1" t="s">
        <v>2215</v>
      </c>
      <c r="C2524" s="1" t="s">
        <v>2216</v>
      </c>
      <c r="D2524" s="42">
        <v>0</v>
      </c>
      <c r="E2524" s="67"/>
      <c r="F2524" s="45">
        <v>-261112.17000000004</v>
      </c>
      <c r="G2524" s="45">
        <v>-261112.17000000004</v>
      </c>
      <c r="H2524" s="68">
        <v>-183531.72</v>
      </c>
      <c r="I2524" s="47">
        <f t="shared" si="1028"/>
        <v>0.75960714197025003</v>
      </c>
      <c r="J2524" s="48">
        <v>-241614</v>
      </c>
      <c r="K2524" s="49">
        <v>-241614</v>
      </c>
      <c r="L2524" s="50">
        <v>-185500</v>
      </c>
      <c r="M2524" s="77">
        <v>0</v>
      </c>
      <c r="N2524" s="53" t="s">
        <v>16</v>
      </c>
      <c r="O2524" s="52"/>
      <c r="P2524" s="53"/>
      <c r="Q2524" s="54"/>
      <c r="R2524" s="1"/>
      <c r="S2524" s="1"/>
      <c r="T2524" s="1"/>
    </row>
    <row r="2525" spans="1:20" ht="13.5" hidden="1" customHeight="1" x14ac:dyDescent="0.25">
      <c r="A2525" s="1"/>
      <c r="B2525" s="1"/>
      <c r="C2525" s="116" t="s">
        <v>2217</v>
      </c>
      <c r="D2525" s="267">
        <v>0</v>
      </c>
      <c r="E2525" s="173"/>
      <c r="F2525" s="174">
        <f>SUM(F2517:F2524)</f>
        <v>-301112.17000000004</v>
      </c>
      <c r="G2525" s="174">
        <v>-372112.17000000004</v>
      </c>
      <c r="H2525" s="175">
        <f>SUM(H2517+H2523+H2524)</f>
        <v>-313376.08</v>
      </c>
      <c r="I2525" s="175"/>
      <c r="J2525" s="176">
        <f t="shared" ref="J2525:L2525" si="1029">SUM(J2517+J2523+J2524)</f>
        <v>-342614</v>
      </c>
      <c r="K2525" s="177">
        <f t="shared" si="1029"/>
        <v>-342614</v>
      </c>
      <c r="L2525" s="178">
        <f t="shared" si="1029"/>
        <v>-295017.12</v>
      </c>
      <c r="M2525" s="178">
        <f t="shared" ref="M2525:Q2525" si="1030">SUM(M2517:M2524)</f>
        <v>0</v>
      </c>
      <c r="N2525" s="179">
        <f t="shared" si="1030"/>
        <v>0</v>
      </c>
      <c r="O2525" s="180">
        <f t="shared" si="1030"/>
        <v>0</v>
      </c>
      <c r="P2525" s="179">
        <f t="shared" si="1030"/>
        <v>0</v>
      </c>
      <c r="Q2525" s="181">
        <f t="shared" si="1030"/>
        <v>0</v>
      </c>
      <c r="R2525" s="1"/>
      <c r="S2525" s="1"/>
      <c r="T2525" s="1"/>
    </row>
    <row r="2526" spans="1:20" ht="13.5" hidden="1" customHeight="1" x14ac:dyDescent="0.25">
      <c r="A2526" s="1"/>
      <c r="B2526" s="1"/>
      <c r="C2526" s="1"/>
      <c r="D2526" s="42"/>
      <c r="E2526" s="67"/>
      <c r="F2526" s="45"/>
      <c r="G2526" s="45"/>
      <c r="H2526" s="74"/>
      <c r="I2526" s="66"/>
      <c r="J2526" s="48"/>
      <c r="K2526" s="49"/>
      <c r="L2526" s="50"/>
      <c r="M2526" s="77"/>
      <c r="N2526" s="53"/>
      <c r="O2526" s="52"/>
      <c r="P2526" s="53"/>
      <c r="Q2526" s="54"/>
      <c r="R2526" s="1"/>
      <c r="S2526" s="1"/>
      <c r="T2526" s="1"/>
    </row>
    <row r="2527" spans="1:20" ht="13.5" hidden="1" customHeight="1" x14ac:dyDescent="0.25">
      <c r="A2527" s="116" t="s">
        <v>230</v>
      </c>
      <c r="B2527" s="1"/>
      <c r="C2527" s="271"/>
      <c r="D2527" s="42"/>
      <c r="E2527" s="67"/>
      <c r="F2527" s="45"/>
      <c r="G2527" s="45"/>
      <c r="H2527" s="74"/>
      <c r="I2527" s="66"/>
      <c r="J2527" s="48"/>
      <c r="K2527" s="49"/>
      <c r="L2527" s="50"/>
      <c r="M2527" s="77"/>
      <c r="N2527" s="53"/>
      <c r="O2527" s="52"/>
      <c r="P2527" s="53"/>
      <c r="Q2527" s="54"/>
      <c r="R2527" s="1"/>
      <c r="S2527" s="1"/>
      <c r="T2527" s="1"/>
    </row>
    <row r="2528" spans="1:20" ht="13.5" hidden="1" customHeight="1" x14ac:dyDescent="0.25">
      <c r="A2528" s="1"/>
      <c r="B2528" s="1" t="s">
        <v>2218</v>
      </c>
      <c r="C2528" s="55" t="s">
        <v>420</v>
      </c>
      <c r="D2528" s="42">
        <v>0</v>
      </c>
      <c r="E2528" s="44"/>
      <c r="F2528" s="45">
        <v>139848</v>
      </c>
      <c r="G2528" s="45">
        <v>139848</v>
      </c>
      <c r="H2528" s="46">
        <v>137954.21</v>
      </c>
      <c r="I2528" s="47">
        <f t="shared" ref="I2528:I2530" si="1031">H2528/J2528</f>
        <v>1.0599713405404574</v>
      </c>
      <c r="J2528" s="48">
        <v>130149</v>
      </c>
      <c r="K2528" s="49">
        <v>138168</v>
      </c>
      <c r="L2528" s="50">
        <v>124277.19</v>
      </c>
      <c r="M2528" s="77">
        <v>0</v>
      </c>
      <c r="N2528" s="53" t="s">
        <v>16</v>
      </c>
      <c r="O2528" s="52"/>
      <c r="P2528" s="53"/>
      <c r="Q2528" s="54"/>
      <c r="R2528" s="1"/>
      <c r="S2528" s="1"/>
      <c r="T2528" s="1"/>
    </row>
    <row r="2529" spans="1:20" ht="13.5" hidden="1" customHeight="1" x14ac:dyDescent="0.25">
      <c r="A2529" s="1"/>
      <c r="B2529" s="1" t="s">
        <v>2219</v>
      </c>
      <c r="C2529" s="55" t="s">
        <v>237</v>
      </c>
      <c r="D2529" s="42">
        <v>0</v>
      </c>
      <c r="E2529" s="44"/>
      <c r="F2529" s="45">
        <v>24700</v>
      </c>
      <c r="G2529" s="45">
        <v>24700</v>
      </c>
      <c r="H2529" s="46">
        <v>24505.09</v>
      </c>
      <c r="I2529" s="47">
        <f t="shared" si="1031"/>
        <v>0.70378500244119591</v>
      </c>
      <c r="J2529" s="48">
        <v>34819</v>
      </c>
      <c r="K2529" s="49">
        <v>20800</v>
      </c>
      <c r="L2529" s="50">
        <v>24335.45</v>
      </c>
      <c r="M2529" s="77">
        <v>0</v>
      </c>
      <c r="N2529" s="53" t="s">
        <v>16</v>
      </c>
      <c r="O2529" s="39"/>
      <c r="P2529" s="1"/>
      <c r="Q2529" s="40"/>
      <c r="R2529" s="1"/>
      <c r="S2529" s="1"/>
      <c r="T2529" s="1"/>
    </row>
    <row r="2530" spans="1:20" ht="13.5" hidden="1" customHeight="1" x14ac:dyDescent="0.25">
      <c r="A2530" s="1"/>
      <c r="B2530" s="1" t="s">
        <v>2220</v>
      </c>
      <c r="C2530" s="1" t="s">
        <v>423</v>
      </c>
      <c r="D2530" s="42">
        <v>0</v>
      </c>
      <c r="E2530" s="67"/>
      <c r="F2530" s="45">
        <v>0</v>
      </c>
      <c r="G2530" s="45">
        <v>0</v>
      </c>
      <c r="H2530" s="74">
        <v>0</v>
      </c>
      <c r="I2530" s="47">
        <f t="shared" si="1031"/>
        <v>0</v>
      </c>
      <c r="J2530" s="48">
        <v>997</v>
      </c>
      <c r="K2530" s="49">
        <v>997</v>
      </c>
      <c r="L2530" s="77">
        <v>0</v>
      </c>
      <c r="M2530" s="77">
        <v>0</v>
      </c>
      <c r="N2530" s="53" t="s">
        <v>16</v>
      </c>
      <c r="O2530" s="52"/>
      <c r="P2530" s="53"/>
      <c r="Q2530" s="54"/>
      <c r="R2530" s="1"/>
      <c r="S2530" s="1"/>
      <c r="T2530" s="1"/>
    </row>
    <row r="2531" spans="1:20" ht="13.5" hidden="1" customHeight="1" x14ac:dyDescent="0.25">
      <c r="A2531" s="1"/>
      <c r="B2531" s="1" t="s">
        <v>2221</v>
      </c>
      <c r="C2531" s="55" t="s">
        <v>1469</v>
      </c>
      <c r="D2531" s="42">
        <v>0</v>
      </c>
      <c r="E2531" s="44"/>
      <c r="F2531" s="73">
        <v>0</v>
      </c>
      <c r="G2531" s="73">
        <v>0</v>
      </c>
      <c r="H2531" s="66">
        <v>0</v>
      </c>
      <c r="I2531" s="47"/>
      <c r="J2531" s="75">
        <v>0</v>
      </c>
      <c r="K2531" s="76">
        <v>0</v>
      </c>
      <c r="L2531" s="50">
        <v>0</v>
      </c>
      <c r="M2531" s="77">
        <v>0</v>
      </c>
      <c r="N2531" s="53" t="s">
        <v>16</v>
      </c>
      <c r="O2531" s="52"/>
      <c r="P2531" s="53"/>
      <c r="Q2531" s="54"/>
      <c r="R2531" s="1"/>
      <c r="S2531" s="1"/>
      <c r="T2531" s="1"/>
    </row>
    <row r="2532" spans="1:20" ht="13.5" hidden="1" customHeight="1" x14ac:dyDescent="0.25">
      <c r="A2532" s="1"/>
      <c r="B2532" s="1" t="s">
        <v>2222</v>
      </c>
      <c r="C2532" s="55" t="s">
        <v>1471</v>
      </c>
      <c r="D2532" s="42">
        <v>0</v>
      </c>
      <c r="E2532" s="44"/>
      <c r="F2532" s="45">
        <v>2000</v>
      </c>
      <c r="G2532" s="45">
        <v>2000</v>
      </c>
      <c r="H2532" s="46">
        <f>1499.6+2159.53</f>
        <v>3659.13</v>
      </c>
      <c r="I2532" s="47">
        <f>H2532/J2532</f>
        <v>1.8295650000000001</v>
      </c>
      <c r="J2532" s="48">
        <f>1523+477</f>
        <v>2000</v>
      </c>
      <c r="K2532" s="49">
        <v>2000</v>
      </c>
      <c r="L2532" s="50">
        <f>2750.58+2726.39</f>
        <v>5476.9699999999993</v>
      </c>
      <c r="M2532" s="77">
        <v>0</v>
      </c>
      <c r="N2532" s="53" t="s">
        <v>16</v>
      </c>
      <c r="O2532" s="52"/>
      <c r="P2532" s="53"/>
      <c r="Q2532" s="54"/>
      <c r="R2532" s="1"/>
      <c r="S2532" s="1"/>
      <c r="T2532" s="1"/>
    </row>
    <row r="2533" spans="1:20" ht="13.5" hidden="1" customHeight="1" x14ac:dyDescent="0.25">
      <c r="A2533" s="1"/>
      <c r="B2533" s="1"/>
      <c r="C2533" s="1"/>
      <c r="D2533" s="56">
        <v>0</v>
      </c>
      <c r="E2533" s="57"/>
      <c r="F2533" s="58">
        <f>SUM(F2527:F2532)</f>
        <v>166548</v>
      </c>
      <c r="G2533" s="58">
        <v>166548</v>
      </c>
      <c r="H2533" s="59">
        <f>SUM(H2528:H2532)</f>
        <v>166118.43</v>
      </c>
      <c r="I2533" s="59"/>
      <c r="J2533" s="60">
        <f t="shared" ref="J2533:Q2533" si="1032">SUM(J2528:J2532)</f>
        <v>167965</v>
      </c>
      <c r="K2533" s="61">
        <f t="shared" si="1032"/>
        <v>161965</v>
      </c>
      <c r="L2533" s="62">
        <f t="shared" si="1032"/>
        <v>154089.61000000002</v>
      </c>
      <c r="M2533" s="62">
        <f t="shared" si="1032"/>
        <v>0</v>
      </c>
      <c r="N2533" s="63">
        <f t="shared" si="1032"/>
        <v>0</v>
      </c>
      <c r="O2533" s="64">
        <f t="shared" si="1032"/>
        <v>0</v>
      </c>
      <c r="P2533" s="63">
        <f t="shared" si="1032"/>
        <v>0</v>
      </c>
      <c r="Q2533" s="65">
        <f t="shared" si="1032"/>
        <v>0</v>
      </c>
      <c r="R2533" s="1"/>
      <c r="S2533" s="1"/>
      <c r="T2533" s="1"/>
    </row>
    <row r="2534" spans="1:20" ht="13.5" hidden="1" customHeight="1" x14ac:dyDescent="0.25">
      <c r="A2534" s="1"/>
      <c r="B2534" s="1"/>
      <c r="C2534" s="1"/>
      <c r="D2534" s="42"/>
      <c r="E2534" s="44"/>
      <c r="F2534" s="45"/>
      <c r="G2534" s="45"/>
      <c r="H2534" s="66"/>
      <c r="I2534" s="66"/>
      <c r="J2534" s="48"/>
      <c r="K2534" s="49"/>
      <c r="L2534" s="50"/>
      <c r="M2534" s="77"/>
      <c r="N2534" s="53"/>
      <c r="O2534" s="52"/>
      <c r="P2534" s="53"/>
      <c r="Q2534" s="54"/>
      <c r="R2534" s="1"/>
      <c r="S2534" s="1"/>
      <c r="T2534" s="1"/>
    </row>
    <row r="2535" spans="1:20" ht="13.5" hidden="1" customHeight="1" x14ac:dyDescent="0.25">
      <c r="A2535" s="1"/>
      <c r="B2535" s="1" t="s">
        <v>2223</v>
      </c>
      <c r="C2535" s="1" t="s">
        <v>247</v>
      </c>
      <c r="D2535" s="42">
        <v>0</v>
      </c>
      <c r="E2535" s="44"/>
      <c r="F2535" s="45">
        <v>12740.922</v>
      </c>
      <c r="G2535" s="45">
        <v>12740.922</v>
      </c>
      <c r="H2535" s="46">
        <v>11710.17</v>
      </c>
      <c r="I2535" s="47">
        <f t="shared" ref="I2535:I2541" si="1033">H2535/J2535</f>
        <v>0.90405079904269281</v>
      </c>
      <c r="J2535" s="48">
        <v>12953</v>
      </c>
      <c r="K2535" s="49">
        <v>12953</v>
      </c>
      <c r="L2535" s="50">
        <v>10551.81</v>
      </c>
      <c r="M2535" s="77">
        <v>0</v>
      </c>
      <c r="N2535" s="53" t="s">
        <v>16</v>
      </c>
      <c r="O2535" s="52"/>
      <c r="P2535" s="53"/>
      <c r="Q2535" s="54"/>
      <c r="R2535" s="1"/>
      <c r="S2535" s="1"/>
      <c r="T2535" s="1"/>
    </row>
    <row r="2536" spans="1:20" ht="13.5" hidden="1" customHeight="1" x14ac:dyDescent="0.25">
      <c r="A2536" s="1"/>
      <c r="B2536" s="1" t="s">
        <v>2224</v>
      </c>
      <c r="C2536" s="1" t="s">
        <v>249</v>
      </c>
      <c r="D2536" s="42">
        <v>0</v>
      </c>
      <c r="E2536" s="44"/>
      <c r="F2536" s="45">
        <v>52316.368000000002</v>
      </c>
      <c r="G2536" s="45">
        <v>52316.368000000002</v>
      </c>
      <c r="H2536" s="46">
        <v>44122.68</v>
      </c>
      <c r="I2536" s="47">
        <f t="shared" si="1033"/>
        <v>0.86136732781508674</v>
      </c>
      <c r="J2536" s="48">
        <v>51224</v>
      </c>
      <c r="K2536" s="49">
        <v>51224</v>
      </c>
      <c r="L2536" s="50">
        <v>35490</v>
      </c>
      <c r="M2536" s="77">
        <v>0</v>
      </c>
      <c r="N2536" s="53" t="s">
        <v>16</v>
      </c>
      <c r="O2536" s="52"/>
      <c r="P2536" s="53"/>
      <c r="Q2536" s="54"/>
      <c r="R2536" s="1"/>
      <c r="S2536" s="1"/>
      <c r="T2536" s="1"/>
    </row>
    <row r="2537" spans="1:20" ht="13.5" hidden="1" customHeight="1" x14ac:dyDescent="0.25">
      <c r="A2537" s="1"/>
      <c r="B2537" s="1" t="s">
        <v>2225</v>
      </c>
      <c r="C2537" s="1" t="s">
        <v>251</v>
      </c>
      <c r="D2537" s="42">
        <v>0</v>
      </c>
      <c r="E2537" s="44"/>
      <c r="F2537" s="45">
        <v>25015.509600000001</v>
      </c>
      <c r="G2537" s="45">
        <v>25015.509600000001</v>
      </c>
      <c r="H2537" s="46">
        <v>23785.87</v>
      </c>
      <c r="I2537" s="47">
        <f t="shared" si="1033"/>
        <v>0.96745586919385007</v>
      </c>
      <c r="J2537" s="48">
        <v>24586</v>
      </c>
      <c r="K2537" s="49">
        <v>24586</v>
      </c>
      <c r="L2537" s="50">
        <v>22095.06</v>
      </c>
      <c r="M2537" s="77">
        <v>0</v>
      </c>
      <c r="N2537" s="53" t="s">
        <v>16</v>
      </c>
      <c r="O2537" s="52"/>
      <c r="P2537" s="53"/>
      <c r="Q2537" s="54"/>
      <c r="R2537" s="1"/>
      <c r="S2537" s="1"/>
      <c r="T2537" s="1"/>
    </row>
    <row r="2538" spans="1:20" ht="13.5" hidden="1" customHeight="1" x14ac:dyDescent="0.25">
      <c r="A2538" s="1"/>
      <c r="B2538" s="1" t="s">
        <v>2226</v>
      </c>
      <c r="C2538" s="1" t="s">
        <v>285</v>
      </c>
      <c r="D2538" s="42">
        <v>0</v>
      </c>
      <c r="E2538" s="44"/>
      <c r="F2538" s="45">
        <v>4502</v>
      </c>
      <c r="G2538" s="45">
        <v>4502</v>
      </c>
      <c r="H2538" s="46">
        <v>5962</v>
      </c>
      <c r="I2538" s="47">
        <f t="shared" si="1033"/>
        <v>1.324300310972901</v>
      </c>
      <c r="J2538" s="48">
        <v>4502</v>
      </c>
      <c r="K2538" s="49">
        <v>4502</v>
      </c>
      <c r="L2538" s="50">
        <v>4502</v>
      </c>
      <c r="M2538" s="77">
        <v>0</v>
      </c>
      <c r="N2538" s="53" t="s">
        <v>16</v>
      </c>
      <c r="O2538" s="52"/>
      <c r="P2538" s="53"/>
      <c r="Q2538" s="54"/>
      <c r="R2538" s="1"/>
      <c r="S2538" s="1"/>
      <c r="T2538" s="1"/>
    </row>
    <row r="2539" spans="1:20" ht="13.5" hidden="1" customHeight="1" x14ac:dyDescent="0.25">
      <c r="A2539" s="1"/>
      <c r="B2539" s="1" t="s">
        <v>2227</v>
      </c>
      <c r="C2539" s="1" t="s">
        <v>253</v>
      </c>
      <c r="D2539" s="42">
        <v>0</v>
      </c>
      <c r="E2539" s="44"/>
      <c r="F2539" s="45">
        <v>266.47679999999997</v>
      </c>
      <c r="G2539" s="45">
        <v>266.47679999999997</v>
      </c>
      <c r="H2539" s="46">
        <v>261.79000000000002</v>
      </c>
      <c r="I2539" s="47">
        <f t="shared" si="1033"/>
        <v>0.96601476014760157</v>
      </c>
      <c r="J2539" s="48">
        <v>271</v>
      </c>
      <c r="K2539" s="49">
        <v>271</v>
      </c>
      <c r="L2539" s="50">
        <v>273.75</v>
      </c>
      <c r="M2539" s="77">
        <v>0</v>
      </c>
      <c r="N2539" s="53" t="s">
        <v>16</v>
      </c>
      <c r="O2539" s="52"/>
      <c r="P2539" s="53"/>
      <c r="Q2539" s="54"/>
      <c r="R2539" s="1"/>
      <c r="S2539" s="1"/>
      <c r="T2539" s="1"/>
    </row>
    <row r="2540" spans="1:20" ht="13.5" hidden="1" customHeight="1" x14ac:dyDescent="0.25">
      <c r="A2540" s="1"/>
      <c r="B2540" s="1" t="s">
        <v>2228</v>
      </c>
      <c r="C2540" s="1" t="s">
        <v>287</v>
      </c>
      <c r="D2540" s="42">
        <v>0</v>
      </c>
      <c r="E2540" s="44"/>
      <c r="F2540" s="45">
        <v>97.893599999999992</v>
      </c>
      <c r="G2540" s="45">
        <v>97.893599999999992</v>
      </c>
      <c r="H2540" s="46">
        <v>148.12</v>
      </c>
      <c r="I2540" s="47">
        <f t="shared" si="1033"/>
        <v>0.83213483146067413</v>
      </c>
      <c r="J2540" s="48">
        <v>178</v>
      </c>
      <c r="K2540" s="49">
        <v>178</v>
      </c>
      <c r="L2540" s="50">
        <v>149.11000000000001</v>
      </c>
      <c r="M2540" s="77">
        <v>0</v>
      </c>
      <c r="N2540" s="53" t="s">
        <v>16</v>
      </c>
      <c r="O2540" s="52"/>
      <c r="P2540" s="1"/>
      <c r="Q2540" s="54"/>
      <c r="R2540" s="1"/>
      <c r="S2540" s="1"/>
      <c r="T2540" s="1"/>
    </row>
    <row r="2541" spans="1:20" ht="13.5" hidden="1" customHeight="1" x14ac:dyDescent="0.25">
      <c r="A2541" s="1"/>
      <c r="B2541" s="1" t="s">
        <v>2229</v>
      </c>
      <c r="C2541" s="1" t="s">
        <v>255</v>
      </c>
      <c r="D2541" s="42">
        <v>0</v>
      </c>
      <c r="E2541" s="44"/>
      <c r="F2541" s="45">
        <v>1675</v>
      </c>
      <c r="G2541" s="45">
        <v>1675</v>
      </c>
      <c r="H2541" s="46">
        <v>1405.24</v>
      </c>
      <c r="I2541" s="47">
        <f t="shared" si="1033"/>
        <v>0.87281987577639752</v>
      </c>
      <c r="J2541" s="48">
        <v>1610</v>
      </c>
      <c r="K2541" s="49">
        <v>1610</v>
      </c>
      <c r="L2541" s="50">
        <v>1098.92</v>
      </c>
      <c r="M2541" s="77">
        <v>0</v>
      </c>
      <c r="N2541" s="53" t="s">
        <v>16</v>
      </c>
      <c r="O2541" s="52"/>
      <c r="P2541" s="53"/>
      <c r="Q2541" s="54"/>
      <c r="R2541" s="1"/>
      <c r="S2541" s="1"/>
      <c r="T2541" s="1"/>
    </row>
    <row r="2542" spans="1:20" ht="13.5" hidden="1" customHeight="1" x14ac:dyDescent="0.25">
      <c r="A2542" s="1"/>
      <c r="B2542" s="1"/>
      <c r="C2542" s="1"/>
      <c r="D2542" s="56">
        <v>0</v>
      </c>
      <c r="E2542" s="57"/>
      <c r="F2542" s="58">
        <f>SUM(F2534:F2541)</f>
        <v>96614.17</v>
      </c>
      <c r="G2542" s="58">
        <v>96614.17</v>
      </c>
      <c r="H2542" s="59">
        <f>SUM(H2535:H2541)</f>
        <v>87395.87</v>
      </c>
      <c r="I2542" s="59"/>
      <c r="J2542" s="60">
        <f t="shared" ref="J2542:Q2542" si="1034">SUM(J2535:J2541)</f>
        <v>95324</v>
      </c>
      <c r="K2542" s="61">
        <f t="shared" si="1034"/>
        <v>95324</v>
      </c>
      <c r="L2542" s="62">
        <f t="shared" si="1034"/>
        <v>74160.649999999994</v>
      </c>
      <c r="M2542" s="62">
        <f t="shared" si="1034"/>
        <v>0</v>
      </c>
      <c r="N2542" s="63">
        <f t="shared" si="1034"/>
        <v>0</v>
      </c>
      <c r="O2542" s="64">
        <f t="shared" si="1034"/>
        <v>0</v>
      </c>
      <c r="P2542" s="63">
        <f t="shared" si="1034"/>
        <v>0</v>
      </c>
      <c r="Q2542" s="65">
        <f t="shared" si="1034"/>
        <v>0</v>
      </c>
      <c r="R2542" s="1"/>
      <c r="S2542" s="1"/>
      <c r="T2542" s="1"/>
    </row>
    <row r="2543" spans="1:20" ht="13.5" hidden="1" customHeight="1" x14ac:dyDescent="0.25">
      <c r="A2543" s="1"/>
      <c r="B2543" s="1"/>
      <c r="C2543" s="1"/>
      <c r="D2543" s="42"/>
      <c r="E2543" s="44"/>
      <c r="F2543" s="45"/>
      <c r="G2543" s="45"/>
      <c r="H2543" s="66"/>
      <c r="I2543" s="66"/>
      <c r="J2543" s="48"/>
      <c r="K2543" s="49"/>
      <c r="L2543" s="50"/>
      <c r="M2543" s="77"/>
      <c r="N2543" s="53"/>
      <c r="O2543" s="52"/>
      <c r="P2543" s="53"/>
      <c r="Q2543" s="54"/>
      <c r="R2543" s="1"/>
      <c r="S2543" s="1"/>
      <c r="T2543" s="1"/>
    </row>
    <row r="2544" spans="1:20" ht="13.5" hidden="1" customHeight="1" x14ac:dyDescent="0.25">
      <c r="A2544" s="1"/>
      <c r="B2544" s="1" t="s">
        <v>2230</v>
      </c>
      <c r="C2544" s="1" t="s">
        <v>259</v>
      </c>
      <c r="D2544" s="42">
        <v>0</v>
      </c>
      <c r="E2544" s="44"/>
      <c r="F2544" s="45">
        <v>900</v>
      </c>
      <c r="G2544" s="45">
        <v>900</v>
      </c>
      <c r="H2544" s="46">
        <v>1868.7</v>
      </c>
      <c r="I2544" s="47">
        <f t="shared" ref="I2544:I2555" si="1035">H2544/J2544</f>
        <v>2.055775577557756</v>
      </c>
      <c r="J2544" s="48">
        <v>909</v>
      </c>
      <c r="K2544" s="49">
        <v>900</v>
      </c>
      <c r="L2544" s="50">
        <v>1945.07</v>
      </c>
      <c r="M2544" s="77">
        <v>0</v>
      </c>
      <c r="N2544" s="53" t="s">
        <v>16</v>
      </c>
      <c r="O2544" s="52"/>
      <c r="P2544" s="53"/>
      <c r="Q2544" s="54"/>
      <c r="R2544" s="1"/>
      <c r="S2544" s="1"/>
      <c r="T2544" s="1"/>
    </row>
    <row r="2545" spans="1:20" ht="13.5" hidden="1" customHeight="1" x14ac:dyDescent="0.25">
      <c r="A2545" s="1"/>
      <c r="B2545" s="1" t="s">
        <v>2231</v>
      </c>
      <c r="C2545" s="1" t="s">
        <v>261</v>
      </c>
      <c r="D2545" s="42">
        <v>0</v>
      </c>
      <c r="E2545" s="67"/>
      <c r="F2545" s="73">
        <v>0</v>
      </c>
      <c r="G2545" s="73">
        <v>0</v>
      </c>
      <c r="H2545" s="74">
        <v>0</v>
      </c>
      <c r="I2545" s="47">
        <f t="shared" si="1035"/>
        <v>0</v>
      </c>
      <c r="J2545" s="48">
        <v>91</v>
      </c>
      <c r="K2545" s="49">
        <v>100</v>
      </c>
      <c r="L2545" s="77">
        <v>0</v>
      </c>
      <c r="M2545" s="77">
        <v>0</v>
      </c>
      <c r="N2545" s="53" t="s">
        <v>16</v>
      </c>
      <c r="O2545" s="52"/>
      <c r="P2545" s="53"/>
      <c r="Q2545" s="54"/>
      <c r="R2545" s="1"/>
      <c r="S2545" s="1"/>
      <c r="T2545" s="1"/>
    </row>
    <row r="2546" spans="1:20" ht="13.5" hidden="1" customHeight="1" x14ac:dyDescent="0.25">
      <c r="A2546" s="1"/>
      <c r="B2546" s="1" t="s">
        <v>2232</v>
      </c>
      <c r="C2546" s="1" t="s">
        <v>1525</v>
      </c>
      <c r="D2546" s="42">
        <v>0</v>
      </c>
      <c r="E2546" s="44"/>
      <c r="F2546" s="45">
        <v>300</v>
      </c>
      <c r="G2546" s="45">
        <v>300</v>
      </c>
      <c r="H2546" s="66">
        <v>327.45999999999998</v>
      </c>
      <c r="I2546" s="47">
        <f t="shared" si="1035"/>
        <v>0.99835365853658531</v>
      </c>
      <c r="J2546" s="48">
        <v>328</v>
      </c>
      <c r="K2546" s="49">
        <v>300</v>
      </c>
      <c r="L2546" s="50">
        <v>95.9</v>
      </c>
      <c r="M2546" s="77">
        <v>0</v>
      </c>
      <c r="N2546" s="53" t="s">
        <v>16</v>
      </c>
      <c r="O2546" s="52"/>
      <c r="P2546" s="53"/>
      <c r="Q2546" s="54"/>
      <c r="R2546" s="1"/>
      <c r="S2546" s="1"/>
      <c r="T2546" s="1"/>
    </row>
    <row r="2547" spans="1:20" ht="13.5" hidden="1" customHeight="1" x14ac:dyDescent="0.25">
      <c r="A2547" s="1"/>
      <c r="B2547" s="1" t="s">
        <v>2233</v>
      </c>
      <c r="C2547" s="1" t="s">
        <v>2234</v>
      </c>
      <c r="D2547" s="42">
        <v>0</v>
      </c>
      <c r="E2547" s="44"/>
      <c r="F2547" s="45">
        <v>18000</v>
      </c>
      <c r="G2547" s="45">
        <v>18000</v>
      </c>
      <c r="H2547" s="46">
        <v>12801.63</v>
      </c>
      <c r="I2547" s="47">
        <f t="shared" si="1035"/>
        <v>1.7204179545759977</v>
      </c>
      <c r="J2547" s="48">
        <v>7441</v>
      </c>
      <c r="K2547" s="49">
        <v>6000</v>
      </c>
      <c r="L2547" s="50">
        <v>11609.84</v>
      </c>
      <c r="M2547" s="77">
        <v>0</v>
      </c>
      <c r="N2547" s="53" t="s">
        <v>16</v>
      </c>
      <c r="O2547" s="39"/>
      <c r="P2547" s="1"/>
      <c r="Q2547" s="40"/>
      <c r="R2547" s="1"/>
      <c r="S2547" s="1"/>
      <c r="T2547" s="1"/>
    </row>
    <row r="2548" spans="1:20" ht="13.5" hidden="1" customHeight="1" x14ac:dyDescent="0.25">
      <c r="A2548" s="1"/>
      <c r="B2548" s="1" t="s">
        <v>2235</v>
      </c>
      <c r="C2548" s="1" t="s">
        <v>471</v>
      </c>
      <c r="D2548" s="42">
        <v>0</v>
      </c>
      <c r="E2548" s="44"/>
      <c r="F2548" s="45">
        <v>500</v>
      </c>
      <c r="G2548" s="45">
        <v>500</v>
      </c>
      <c r="H2548" s="66">
        <v>23.92</v>
      </c>
      <c r="I2548" s="47">
        <f t="shared" si="1035"/>
        <v>2.392E-2</v>
      </c>
      <c r="J2548" s="48">
        <v>1000</v>
      </c>
      <c r="K2548" s="49">
        <v>1000</v>
      </c>
      <c r="L2548" s="50">
        <v>203.3</v>
      </c>
      <c r="M2548" s="77">
        <v>0</v>
      </c>
      <c r="N2548" s="53" t="s">
        <v>16</v>
      </c>
      <c r="O2548" s="52"/>
      <c r="P2548" s="53"/>
      <c r="Q2548" s="54"/>
      <c r="R2548" s="1"/>
      <c r="S2548" s="1"/>
      <c r="T2548" s="1"/>
    </row>
    <row r="2549" spans="1:20" ht="13.5" hidden="1" customHeight="1" x14ac:dyDescent="0.25">
      <c r="A2549" s="1"/>
      <c r="B2549" s="1" t="s">
        <v>2236</v>
      </c>
      <c r="C2549" s="1" t="s">
        <v>1138</v>
      </c>
      <c r="D2549" s="42">
        <v>0</v>
      </c>
      <c r="E2549" s="44"/>
      <c r="F2549" s="45">
        <v>6000</v>
      </c>
      <c r="G2549" s="45">
        <v>6000</v>
      </c>
      <c r="H2549" s="46">
        <v>2300.66</v>
      </c>
      <c r="I2549" s="47">
        <f t="shared" si="1035"/>
        <v>0.40900622222222222</v>
      </c>
      <c r="J2549" s="48">
        <v>5625</v>
      </c>
      <c r="K2549" s="49">
        <v>6000</v>
      </c>
      <c r="L2549" s="50">
        <v>3279.93</v>
      </c>
      <c r="M2549" s="77">
        <v>0</v>
      </c>
      <c r="N2549" s="53" t="s">
        <v>16</v>
      </c>
      <c r="O2549" s="52"/>
      <c r="P2549" s="53"/>
      <c r="Q2549" s="54"/>
      <c r="R2549" s="1"/>
      <c r="S2549" s="1"/>
      <c r="T2549" s="1"/>
    </row>
    <row r="2550" spans="1:20" ht="13.5" hidden="1" customHeight="1" x14ac:dyDescent="0.25">
      <c r="A2550" s="1"/>
      <c r="B2550" s="1" t="s">
        <v>2237</v>
      </c>
      <c r="C2550" s="1" t="s">
        <v>1726</v>
      </c>
      <c r="D2550" s="42">
        <v>0</v>
      </c>
      <c r="E2550" s="44"/>
      <c r="F2550" s="45">
        <v>21000</v>
      </c>
      <c r="G2550" s="45">
        <v>21000</v>
      </c>
      <c r="H2550" s="46">
        <v>4161.29</v>
      </c>
      <c r="I2550" s="47">
        <f t="shared" si="1035"/>
        <v>0.70458686081950561</v>
      </c>
      <c r="J2550" s="48">
        <v>5906</v>
      </c>
      <c r="K2550" s="49">
        <v>7000</v>
      </c>
      <c r="L2550" s="50">
        <v>1743</v>
      </c>
      <c r="M2550" s="77">
        <v>0</v>
      </c>
      <c r="N2550" s="53" t="s">
        <v>16</v>
      </c>
      <c r="O2550" s="52"/>
      <c r="P2550" s="53"/>
      <c r="Q2550" s="54"/>
      <c r="R2550" s="1"/>
      <c r="S2550" s="1"/>
      <c r="T2550" s="1"/>
    </row>
    <row r="2551" spans="1:20" ht="13.5" hidden="1" customHeight="1" x14ac:dyDescent="0.25">
      <c r="A2551" s="1"/>
      <c r="B2551" s="1" t="s">
        <v>2238</v>
      </c>
      <c r="C2551" s="1" t="s">
        <v>473</v>
      </c>
      <c r="D2551" s="42">
        <v>0</v>
      </c>
      <c r="E2551" s="67"/>
      <c r="F2551" s="45">
        <v>400</v>
      </c>
      <c r="G2551" s="45">
        <v>400</v>
      </c>
      <c r="H2551" s="74">
        <v>0</v>
      </c>
      <c r="I2551" s="47">
        <f t="shared" si="1035"/>
        <v>0</v>
      </c>
      <c r="J2551" s="48">
        <v>400</v>
      </c>
      <c r="K2551" s="49">
        <v>400</v>
      </c>
      <c r="L2551" s="50">
        <v>242</v>
      </c>
      <c r="M2551" s="77">
        <v>0</v>
      </c>
      <c r="N2551" s="53" t="s">
        <v>16</v>
      </c>
      <c r="O2551" s="52"/>
      <c r="P2551" s="53"/>
      <c r="Q2551" s="54"/>
      <c r="R2551" s="1"/>
      <c r="S2551" s="1"/>
      <c r="T2551" s="1"/>
    </row>
    <row r="2552" spans="1:20" ht="13.5" hidden="1" customHeight="1" x14ac:dyDescent="0.25">
      <c r="A2552" s="1"/>
      <c r="B2552" s="1" t="s">
        <v>2239</v>
      </c>
      <c r="C2552" s="1" t="s">
        <v>1839</v>
      </c>
      <c r="D2552" s="42">
        <v>0</v>
      </c>
      <c r="E2552" s="67"/>
      <c r="F2552" s="73">
        <v>0</v>
      </c>
      <c r="G2552" s="73">
        <v>0</v>
      </c>
      <c r="H2552" s="74">
        <v>0</v>
      </c>
      <c r="I2552" s="47">
        <f t="shared" si="1035"/>
        <v>0</v>
      </c>
      <c r="J2552" s="48">
        <v>500</v>
      </c>
      <c r="K2552" s="49">
        <v>500</v>
      </c>
      <c r="L2552" s="50">
        <v>615</v>
      </c>
      <c r="M2552" s="77">
        <v>0</v>
      </c>
      <c r="N2552" s="53" t="s">
        <v>16</v>
      </c>
      <c r="O2552" s="52"/>
      <c r="P2552" s="53"/>
      <c r="Q2552" s="54"/>
      <c r="R2552" s="1"/>
      <c r="S2552" s="1"/>
      <c r="T2552" s="1"/>
    </row>
    <row r="2553" spans="1:20" ht="13.5" hidden="1" customHeight="1" x14ac:dyDescent="0.25">
      <c r="A2553" s="1"/>
      <c r="B2553" s="1" t="s">
        <v>2240</v>
      </c>
      <c r="C2553" s="55" t="s">
        <v>265</v>
      </c>
      <c r="D2553" s="42">
        <v>0</v>
      </c>
      <c r="E2553" s="67"/>
      <c r="F2553" s="45">
        <v>7000</v>
      </c>
      <c r="G2553" s="45">
        <v>7000</v>
      </c>
      <c r="H2553" s="74">
        <v>0</v>
      </c>
      <c r="I2553" s="47">
        <f t="shared" si="1035"/>
        <v>0</v>
      </c>
      <c r="J2553" s="48">
        <v>7000</v>
      </c>
      <c r="K2553" s="49">
        <v>7000</v>
      </c>
      <c r="L2553" s="50">
        <v>5349.7</v>
      </c>
      <c r="M2553" s="77">
        <v>0</v>
      </c>
      <c r="N2553" s="53" t="s">
        <v>16</v>
      </c>
      <c r="O2553" s="52"/>
      <c r="P2553" s="53"/>
      <c r="Q2553" s="54"/>
      <c r="R2553" s="1"/>
      <c r="S2553" s="1"/>
      <c r="T2553" s="1"/>
    </row>
    <row r="2554" spans="1:20" ht="13.5" hidden="1" customHeight="1" x14ac:dyDescent="0.25">
      <c r="A2554" s="1"/>
      <c r="B2554" s="1" t="s">
        <v>2241</v>
      </c>
      <c r="C2554" s="55" t="s">
        <v>438</v>
      </c>
      <c r="D2554" s="42">
        <v>0</v>
      </c>
      <c r="E2554" s="67"/>
      <c r="F2554" s="45">
        <v>700</v>
      </c>
      <c r="G2554" s="45">
        <v>700</v>
      </c>
      <c r="H2554" s="74">
        <v>0</v>
      </c>
      <c r="I2554" s="47">
        <f t="shared" si="1035"/>
        <v>0</v>
      </c>
      <c r="J2554" s="48">
        <v>700</v>
      </c>
      <c r="K2554" s="49">
        <v>700</v>
      </c>
      <c r="L2554" s="77">
        <v>0</v>
      </c>
      <c r="M2554" s="77">
        <v>0</v>
      </c>
      <c r="N2554" s="53" t="s">
        <v>16</v>
      </c>
      <c r="O2554" s="52"/>
      <c r="P2554" s="53"/>
      <c r="Q2554" s="54"/>
      <c r="R2554" s="1"/>
      <c r="S2554" s="1"/>
      <c r="T2554" s="1"/>
    </row>
    <row r="2555" spans="1:20" ht="13.5" hidden="1" customHeight="1" x14ac:dyDescent="0.25">
      <c r="A2555" s="1"/>
      <c r="B2555" s="1" t="s">
        <v>2242</v>
      </c>
      <c r="C2555" s="55" t="s">
        <v>294</v>
      </c>
      <c r="D2555" s="42">
        <v>0</v>
      </c>
      <c r="E2555" s="44"/>
      <c r="F2555" s="45">
        <v>4600</v>
      </c>
      <c r="G2555" s="45">
        <v>4600</v>
      </c>
      <c r="H2555" s="46">
        <v>1702.76</v>
      </c>
      <c r="I2555" s="47">
        <f t="shared" si="1035"/>
        <v>0.37016521739130437</v>
      </c>
      <c r="J2555" s="48">
        <v>4600</v>
      </c>
      <c r="K2555" s="49">
        <v>4600</v>
      </c>
      <c r="L2555" s="50">
        <v>3926.31</v>
      </c>
      <c r="M2555" s="77">
        <v>0</v>
      </c>
      <c r="N2555" s="53" t="s">
        <v>16</v>
      </c>
      <c r="O2555" s="52"/>
      <c r="P2555" s="53"/>
      <c r="Q2555" s="54"/>
      <c r="R2555" s="1"/>
      <c r="S2555" s="1"/>
      <c r="T2555" s="1"/>
    </row>
    <row r="2556" spans="1:20" ht="13.5" hidden="1" customHeight="1" x14ac:dyDescent="0.25">
      <c r="A2556" s="1"/>
      <c r="B2556" s="1"/>
      <c r="C2556" s="1"/>
      <c r="D2556" s="56">
        <v>0</v>
      </c>
      <c r="E2556" s="57"/>
      <c r="F2556" s="58">
        <f>SUM(F2543:F2555)</f>
        <v>59400</v>
      </c>
      <c r="G2556" s="58">
        <v>59400</v>
      </c>
      <c r="H2556" s="59">
        <f>SUM(H2544:H2555)</f>
        <v>23186.42</v>
      </c>
      <c r="I2556" s="59"/>
      <c r="J2556" s="60">
        <f t="shared" ref="J2556:Q2556" si="1036">SUM(J2544:J2555)</f>
        <v>34500</v>
      </c>
      <c r="K2556" s="61">
        <f t="shared" si="1036"/>
        <v>34500</v>
      </c>
      <c r="L2556" s="62">
        <f t="shared" si="1036"/>
        <v>29010.05</v>
      </c>
      <c r="M2556" s="62">
        <f t="shared" si="1036"/>
        <v>0</v>
      </c>
      <c r="N2556" s="63">
        <f t="shared" si="1036"/>
        <v>0</v>
      </c>
      <c r="O2556" s="64">
        <f t="shared" si="1036"/>
        <v>0</v>
      </c>
      <c r="P2556" s="63">
        <f t="shared" si="1036"/>
        <v>0</v>
      </c>
      <c r="Q2556" s="65">
        <f t="shared" si="1036"/>
        <v>0</v>
      </c>
      <c r="R2556" s="1"/>
      <c r="S2556" s="1"/>
      <c r="T2556" s="1"/>
    </row>
    <row r="2557" spans="1:20" ht="13.5" hidden="1" customHeight="1" x14ac:dyDescent="0.25">
      <c r="A2557" s="1"/>
      <c r="B2557" s="1"/>
      <c r="C2557" s="1"/>
      <c r="D2557" s="42"/>
      <c r="E2557" s="44"/>
      <c r="F2557" s="45"/>
      <c r="G2557" s="45"/>
      <c r="H2557" s="66"/>
      <c r="I2557" s="66"/>
      <c r="J2557" s="48"/>
      <c r="K2557" s="49"/>
      <c r="L2557" s="50"/>
      <c r="M2557" s="77"/>
      <c r="N2557" s="53"/>
      <c r="O2557" s="52"/>
      <c r="P2557" s="53"/>
      <c r="Q2557" s="54"/>
      <c r="R2557" s="1"/>
      <c r="S2557" s="1"/>
      <c r="T2557" s="1"/>
    </row>
    <row r="2558" spans="1:20" ht="13.5" hidden="1" customHeight="1" x14ac:dyDescent="0.25">
      <c r="A2558" s="1"/>
      <c r="B2558" s="1" t="s">
        <v>2243</v>
      </c>
      <c r="C2558" s="1" t="s">
        <v>2244</v>
      </c>
      <c r="D2558" s="42">
        <v>0</v>
      </c>
      <c r="E2558" s="67"/>
      <c r="F2558" s="45">
        <v>1000</v>
      </c>
      <c r="G2558" s="45">
        <v>1000</v>
      </c>
      <c r="H2558" s="74">
        <v>0</v>
      </c>
      <c r="I2558" s="47">
        <f>H2558/J2558</f>
        <v>0</v>
      </c>
      <c r="J2558" s="48">
        <v>1320</v>
      </c>
      <c r="K2558" s="49">
        <v>1320</v>
      </c>
      <c r="L2558" s="77">
        <v>0</v>
      </c>
      <c r="M2558" s="77">
        <v>0</v>
      </c>
      <c r="N2558" s="53" t="s">
        <v>16</v>
      </c>
      <c r="O2558" s="52"/>
      <c r="P2558" s="53"/>
      <c r="Q2558" s="54"/>
      <c r="R2558" s="1"/>
      <c r="S2558" s="1"/>
      <c r="T2558" s="1"/>
    </row>
    <row r="2559" spans="1:20" ht="13.5" hidden="1" customHeight="1" x14ac:dyDescent="0.25">
      <c r="A2559" s="1"/>
      <c r="B2559" s="1" t="s">
        <v>2245</v>
      </c>
      <c r="C2559" s="1" t="s">
        <v>1422</v>
      </c>
      <c r="D2559" s="42">
        <v>0</v>
      </c>
      <c r="E2559" s="67"/>
      <c r="F2559" s="73">
        <v>0</v>
      </c>
      <c r="G2559" s="73">
        <v>0</v>
      </c>
      <c r="H2559" s="74">
        <v>0</v>
      </c>
      <c r="I2559" s="47"/>
      <c r="J2559" s="75">
        <v>0</v>
      </c>
      <c r="K2559" s="76">
        <v>0</v>
      </c>
      <c r="L2559" s="50">
        <v>504</v>
      </c>
      <c r="M2559" s="77">
        <v>0</v>
      </c>
      <c r="N2559" s="53" t="s">
        <v>16</v>
      </c>
      <c r="O2559" s="52"/>
      <c r="P2559" s="53"/>
      <c r="Q2559" s="54"/>
      <c r="R2559" s="1"/>
      <c r="S2559" s="1"/>
      <c r="T2559" s="1"/>
    </row>
    <row r="2560" spans="1:20" ht="13.5" hidden="1" customHeight="1" x14ac:dyDescent="0.25">
      <c r="A2560" s="1"/>
      <c r="B2560" s="1" t="s">
        <v>2246</v>
      </c>
      <c r="C2560" s="1" t="s">
        <v>318</v>
      </c>
      <c r="D2560" s="42">
        <v>0</v>
      </c>
      <c r="E2560" s="44"/>
      <c r="F2560" s="45">
        <v>1500</v>
      </c>
      <c r="G2560" s="45">
        <v>1500</v>
      </c>
      <c r="H2560" s="46">
        <v>1573.88</v>
      </c>
      <c r="I2560" s="47">
        <f t="shared" ref="I2560:I2566" si="1037">H2560/J2560</f>
        <v>1.0492533333333334</v>
      </c>
      <c r="J2560" s="48">
        <v>1500</v>
      </c>
      <c r="K2560" s="49">
        <v>1500</v>
      </c>
      <c r="L2560" s="50">
        <v>1465.21</v>
      </c>
      <c r="M2560" s="77">
        <v>0</v>
      </c>
      <c r="N2560" s="53" t="s">
        <v>16</v>
      </c>
      <c r="O2560" s="52"/>
      <c r="P2560" s="53"/>
      <c r="Q2560" s="54"/>
      <c r="R2560" s="1"/>
      <c r="S2560" s="1"/>
      <c r="T2560" s="1"/>
    </row>
    <row r="2561" spans="1:20" ht="13.5" hidden="1" customHeight="1" x14ac:dyDescent="0.25">
      <c r="A2561" s="1"/>
      <c r="B2561" s="1" t="s">
        <v>2247</v>
      </c>
      <c r="C2561" s="55" t="s">
        <v>273</v>
      </c>
      <c r="D2561" s="42">
        <v>0</v>
      </c>
      <c r="E2561" s="67"/>
      <c r="F2561" s="45">
        <v>400</v>
      </c>
      <c r="G2561" s="45">
        <v>400</v>
      </c>
      <c r="H2561" s="74">
        <v>0</v>
      </c>
      <c r="I2561" s="47">
        <f t="shared" si="1037"/>
        <v>0</v>
      </c>
      <c r="J2561" s="48">
        <v>400</v>
      </c>
      <c r="K2561" s="49">
        <v>400</v>
      </c>
      <c r="L2561" s="77">
        <v>0</v>
      </c>
      <c r="M2561" s="77">
        <v>0</v>
      </c>
      <c r="N2561" s="53" t="s">
        <v>16</v>
      </c>
      <c r="O2561" s="39"/>
      <c r="P2561" s="1"/>
      <c r="Q2561" s="40"/>
      <c r="R2561" s="1"/>
      <c r="S2561" s="1"/>
      <c r="T2561" s="1"/>
    </row>
    <row r="2562" spans="1:20" ht="13.5" hidden="1" customHeight="1" x14ac:dyDescent="0.25">
      <c r="A2562" s="1"/>
      <c r="B2562" s="1" t="s">
        <v>2248</v>
      </c>
      <c r="C2562" s="1" t="s">
        <v>404</v>
      </c>
      <c r="D2562" s="42">
        <v>0</v>
      </c>
      <c r="E2562" s="67"/>
      <c r="F2562" s="45">
        <v>1000</v>
      </c>
      <c r="G2562" s="45">
        <v>1000</v>
      </c>
      <c r="H2562" s="68">
        <v>198</v>
      </c>
      <c r="I2562" s="47">
        <f t="shared" si="1037"/>
        <v>0.19800000000000001</v>
      </c>
      <c r="J2562" s="48">
        <v>1000</v>
      </c>
      <c r="K2562" s="49">
        <v>1000</v>
      </c>
      <c r="L2562" s="50">
        <v>401.92</v>
      </c>
      <c r="M2562" s="77">
        <v>0</v>
      </c>
      <c r="N2562" s="53" t="s">
        <v>16</v>
      </c>
      <c r="O2562" s="52"/>
      <c r="P2562" s="53"/>
      <c r="Q2562" s="54"/>
      <c r="R2562" s="1"/>
      <c r="S2562" s="1"/>
      <c r="T2562" s="1"/>
    </row>
    <row r="2563" spans="1:20" ht="13.5" hidden="1" customHeight="1" x14ac:dyDescent="0.25">
      <c r="A2563" s="1"/>
      <c r="B2563" s="1" t="s">
        <v>2249</v>
      </c>
      <c r="C2563" s="1" t="s">
        <v>482</v>
      </c>
      <c r="D2563" s="42">
        <v>0</v>
      </c>
      <c r="E2563" s="67"/>
      <c r="F2563" s="73">
        <v>0</v>
      </c>
      <c r="G2563" s="73">
        <v>0</v>
      </c>
      <c r="H2563" s="74">
        <v>0</v>
      </c>
      <c r="I2563" s="47">
        <f t="shared" si="1037"/>
        <v>0</v>
      </c>
      <c r="J2563" s="48">
        <v>300</v>
      </c>
      <c r="K2563" s="49">
        <v>300</v>
      </c>
      <c r="L2563" s="77">
        <v>0</v>
      </c>
      <c r="M2563" s="77">
        <v>0</v>
      </c>
      <c r="N2563" s="53" t="s">
        <v>16</v>
      </c>
      <c r="O2563" s="52"/>
      <c r="P2563" s="53"/>
      <c r="Q2563" s="54"/>
      <c r="R2563" s="1"/>
      <c r="S2563" s="1"/>
      <c r="T2563" s="1"/>
    </row>
    <row r="2564" spans="1:20" ht="13.5" hidden="1" customHeight="1" x14ac:dyDescent="0.25">
      <c r="A2564" s="1"/>
      <c r="B2564" s="1" t="s">
        <v>2250</v>
      </c>
      <c r="C2564" s="1" t="s">
        <v>1143</v>
      </c>
      <c r="D2564" s="42">
        <v>0</v>
      </c>
      <c r="E2564" s="44"/>
      <c r="F2564" s="45">
        <v>7200</v>
      </c>
      <c r="G2564" s="45">
        <v>7200</v>
      </c>
      <c r="H2564" s="46">
        <v>6802.8</v>
      </c>
      <c r="I2564" s="47">
        <f t="shared" si="1037"/>
        <v>0.94483333333333341</v>
      </c>
      <c r="J2564" s="48">
        <v>7200</v>
      </c>
      <c r="K2564" s="49">
        <v>7200</v>
      </c>
      <c r="L2564" s="50">
        <v>6817.56</v>
      </c>
      <c r="M2564" s="77">
        <v>0</v>
      </c>
      <c r="N2564" s="53" t="s">
        <v>16</v>
      </c>
      <c r="O2564" s="52"/>
      <c r="P2564" s="53"/>
      <c r="Q2564" s="54"/>
      <c r="R2564" s="1"/>
      <c r="S2564" s="1"/>
      <c r="T2564" s="1"/>
    </row>
    <row r="2565" spans="1:20" ht="13.5" hidden="1" customHeight="1" x14ac:dyDescent="0.25">
      <c r="A2565" s="1"/>
      <c r="B2565" s="1" t="s">
        <v>2251</v>
      </c>
      <c r="C2565" s="1" t="s">
        <v>1145</v>
      </c>
      <c r="D2565" s="42">
        <v>0</v>
      </c>
      <c r="E2565" s="44"/>
      <c r="F2565" s="45">
        <v>3500</v>
      </c>
      <c r="G2565" s="45">
        <v>3500</v>
      </c>
      <c r="H2565" s="46">
        <v>2179.85</v>
      </c>
      <c r="I2565" s="47">
        <f t="shared" si="1037"/>
        <v>0.62281428571428565</v>
      </c>
      <c r="J2565" s="48">
        <v>3500</v>
      </c>
      <c r="K2565" s="49">
        <v>3500</v>
      </c>
      <c r="L2565" s="50">
        <v>2543.08</v>
      </c>
      <c r="M2565" s="77">
        <v>0</v>
      </c>
      <c r="N2565" s="53" t="s">
        <v>16</v>
      </c>
      <c r="O2565" s="52"/>
      <c r="P2565" s="53"/>
      <c r="Q2565" s="54"/>
      <c r="R2565" s="1"/>
      <c r="S2565" s="1"/>
      <c r="T2565" s="1"/>
    </row>
    <row r="2566" spans="1:20" ht="13.5" hidden="1" customHeight="1" x14ac:dyDescent="0.25">
      <c r="A2566" s="1"/>
      <c r="B2566" s="1" t="s">
        <v>2252</v>
      </c>
      <c r="C2566" s="1" t="s">
        <v>1126</v>
      </c>
      <c r="D2566" s="42">
        <v>0</v>
      </c>
      <c r="E2566" s="44"/>
      <c r="F2566" s="45">
        <v>5500</v>
      </c>
      <c r="G2566" s="45">
        <v>5500</v>
      </c>
      <c r="H2566" s="46">
        <v>2310.4</v>
      </c>
      <c r="I2566" s="47">
        <f t="shared" si="1037"/>
        <v>0.42007272727272726</v>
      </c>
      <c r="J2566" s="48">
        <v>5500</v>
      </c>
      <c r="K2566" s="49">
        <v>5500</v>
      </c>
      <c r="L2566" s="50">
        <v>1153.8599999999999</v>
      </c>
      <c r="M2566" s="77">
        <v>0</v>
      </c>
      <c r="N2566" s="53" t="s">
        <v>16</v>
      </c>
      <c r="O2566" s="52"/>
      <c r="P2566" s="53"/>
      <c r="Q2566" s="54"/>
      <c r="R2566" s="1"/>
      <c r="S2566" s="1"/>
      <c r="T2566" s="1"/>
    </row>
    <row r="2567" spans="1:20" ht="13.5" hidden="1" customHeight="1" x14ac:dyDescent="0.25">
      <c r="A2567" s="1"/>
      <c r="B2567" s="1" t="s">
        <v>2253</v>
      </c>
      <c r="C2567" s="1" t="s">
        <v>1128</v>
      </c>
      <c r="D2567" s="42">
        <v>0</v>
      </c>
      <c r="E2567" s="67"/>
      <c r="F2567" s="45">
        <v>0</v>
      </c>
      <c r="G2567" s="45">
        <v>0</v>
      </c>
      <c r="H2567" s="68">
        <v>0</v>
      </c>
      <c r="I2567" s="47">
        <f>SUM(H2567/J2567)</f>
        <v>0</v>
      </c>
      <c r="J2567" s="48">
        <v>47</v>
      </c>
      <c r="K2567" s="49">
        <v>0</v>
      </c>
      <c r="L2567" s="50">
        <v>0</v>
      </c>
      <c r="M2567" s="77">
        <v>0</v>
      </c>
      <c r="N2567" s="53"/>
      <c r="O2567" s="52"/>
      <c r="P2567" s="53"/>
      <c r="Q2567" s="54"/>
      <c r="R2567" s="1"/>
      <c r="S2567" s="1"/>
      <c r="T2567" s="1"/>
    </row>
    <row r="2568" spans="1:20" ht="13.5" hidden="1" customHeight="1" x14ac:dyDescent="0.25">
      <c r="A2568" s="1"/>
      <c r="B2568" s="1" t="s">
        <v>2254</v>
      </c>
      <c r="C2568" s="1" t="s">
        <v>489</v>
      </c>
      <c r="D2568" s="42">
        <v>0</v>
      </c>
      <c r="E2568" s="67"/>
      <c r="F2568" s="45">
        <v>350</v>
      </c>
      <c r="G2568" s="45">
        <v>350</v>
      </c>
      <c r="H2568" s="68">
        <v>58.61</v>
      </c>
      <c r="I2568" s="47">
        <f t="shared" ref="I2568:I2573" si="1038">H2568/J2568</f>
        <v>0.19343234323432343</v>
      </c>
      <c r="J2568" s="48">
        <v>303</v>
      </c>
      <c r="K2568" s="49">
        <v>350</v>
      </c>
      <c r="L2568" s="50">
        <v>52.13</v>
      </c>
      <c r="M2568" s="77">
        <v>0</v>
      </c>
      <c r="N2568" s="53" t="s">
        <v>16</v>
      </c>
      <c r="O2568" s="52"/>
      <c r="P2568" s="53"/>
      <c r="Q2568" s="54"/>
      <c r="R2568" s="1"/>
      <c r="S2568" s="1"/>
      <c r="T2568" s="1"/>
    </row>
    <row r="2569" spans="1:20" ht="13.5" hidden="1" customHeight="1" x14ac:dyDescent="0.25">
      <c r="A2569" s="1"/>
      <c r="B2569" s="1" t="s">
        <v>2255</v>
      </c>
      <c r="C2569" s="1" t="s">
        <v>406</v>
      </c>
      <c r="D2569" s="42">
        <v>0</v>
      </c>
      <c r="E2569" s="67"/>
      <c r="F2569" s="45">
        <v>600</v>
      </c>
      <c r="G2569" s="45">
        <v>600</v>
      </c>
      <c r="H2569" s="74">
        <v>0</v>
      </c>
      <c r="I2569" s="47">
        <f t="shared" si="1038"/>
        <v>0</v>
      </c>
      <c r="J2569" s="48">
        <v>600</v>
      </c>
      <c r="K2569" s="49">
        <v>600</v>
      </c>
      <c r="L2569" s="77">
        <v>0</v>
      </c>
      <c r="M2569" s="77">
        <v>0</v>
      </c>
      <c r="N2569" s="53" t="s">
        <v>16</v>
      </c>
      <c r="O2569" s="52"/>
      <c r="P2569" s="53"/>
      <c r="Q2569" s="54"/>
      <c r="R2569" s="1"/>
      <c r="S2569" s="1"/>
      <c r="T2569" s="1"/>
    </row>
    <row r="2570" spans="1:20" ht="13.5" hidden="1" customHeight="1" x14ac:dyDescent="0.25">
      <c r="A2570" s="1"/>
      <c r="B2570" s="1" t="s">
        <v>2256</v>
      </c>
      <c r="C2570" s="1" t="s">
        <v>1150</v>
      </c>
      <c r="D2570" s="42">
        <v>0</v>
      </c>
      <c r="E2570" s="67"/>
      <c r="F2570" s="45">
        <v>9000</v>
      </c>
      <c r="G2570" s="45">
        <v>9000</v>
      </c>
      <c r="H2570" s="68">
        <v>69.34</v>
      </c>
      <c r="I2570" s="47">
        <f t="shared" si="1038"/>
        <v>2.3113333333333333E-2</v>
      </c>
      <c r="J2570" s="48">
        <v>3000</v>
      </c>
      <c r="K2570" s="49">
        <v>9000</v>
      </c>
      <c r="L2570" s="50">
        <v>252.96</v>
      </c>
      <c r="M2570" s="77">
        <v>0</v>
      </c>
      <c r="N2570" s="53" t="s">
        <v>16</v>
      </c>
      <c r="O2570" s="52"/>
      <c r="P2570" s="53"/>
      <c r="Q2570" s="54"/>
      <c r="R2570" s="1"/>
      <c r="S2570" s="1"/>
      <c r="T2570" s="1"/>
    </row>
    <row r="2571" spans="1:20" ht="13.5" hidden="1" customHeight="1" x14ac:dyDescent="0.25">
      <c r="A2571" s="1"/>
      <c r="B2571" s="1" t="s">
        <v>2257</v>
      </c>
      <c r="C2571" s="1" t="s">
        <v>408</v>
      </c>
      <c r="D2571" s="42">
        <v>0</v>
      </c>
      <c r="E2571" s="67"/>
      <c r="F2571" s="45">
        <v>500</v>
      </c>
      <c r="G2571" s="45">
        <v>500</v>
      </c>
      <c r="H2571" s="74">
        <v>595</v>
      </c>
      <c r="I2571" s="47">
        <f t="shared" si="1038"/>
        <v>1.19</v>
      </c>
      <c r="J2571" s="48">
        <v>500</v>
      </c>
      <c r="K2571" s="49">
        <v>500</v>
      </c>
      <c r="L2571" s="50">
        <v>2364.9899999999998</v>
      </c>
      <c r="M2571" s="77">
        <v>0</v>
      </c>
      <c r="N2571" s="53" t="s">
        <v>16</v>
      </c>
      <c r="O2571" s="52"/>
      <c r="P2571" s="53"/>
      <c r="Q2571" s="54"/>
      <c r="R2571" s="1"/>
      <c r="S2571" s="1"/>
      <c r="T2571" s="1"/>
    </row>
    <row r="2572" spans="1:20" ht="13.5" hidden="1" customHeight="1" x14ac:dyDescent="0.25">
      <c r="A2572" s="1"/>
      <c r="B2572" s="1" t="s">
        <v>2258</v>
      </c>
      <c r="C2572" s="1" t="s">
        <v>543</v>
      </c>
      <c r="D2572" s="42">
        <v>0</v>
      </c>
      <c r="E2572" s="67"/>
      <c r="F2572" s="73">
        <v>0</v>
      </c>
      <c r="G2572" s="73">
        <v>0</v>
      </c>
      <c r="H2572" s="74">
        <v>0</v>
      </c>
      <c r="I2572" s="47">
        <f t="shared" si="1038"/>
        <v>0</v>
      </c>
      <c r="J2572" s="48">
        <v>500</v>
      </c>
      <c r="K2572" s="49">
        <v>500</v>
      </c>
      <c r="L2572" s="77">
        <v>0</v>
      </c>
      <c r="M2572" s="77">
        <v>0</v>
      </c>
      <c r="N2572" s="53" t="s">
        <v>16</v>
      </c>
      <c r="O2572" s="52"/>
      <c r="P2572" s="53"/>
      <c r="Q2572" s="54"/>
      <c r="R2572" s="1"/>
      <c r="S2572" s="1"/>
      <c r="T2572" s="1"/>
    </row>
    <row r="2573" spans="1:20" ht="13.5" hidden="1" customHeight="1" x14ac:dyDescent="0.25">
      <c r="A2573" s="1"/>
      <c r="B2573" s="1" t="s">
        <v>2259</v>
      </c>
      <c r="C2573" s="1" t="s">
        <v>2260</v>
      </c>
      <c r="D2573" s="42">
        <v>0</v>
      </c>
      <c r="E2573" s="44"/>
      <c r="F2573" s="45">
        <v>19000</v>
      </c>
      <c r="G2573" s="45">
        <v>19000</v>
      </c>
      <c r="H2573" s="46">
        <v>20847.04</v>
      </c>
      <c r="I2573" s="47">
        <f t="shared" si="1038"/>
        <v>1.0972126315789474</v>
      </c>
      <c r="J2573" s="48">
        <v>19000</v>
      </c>
      <c r="K2573" s="49">
        <v>19000</v>
      </c>
      <c r="L2573" s="50">
        <v>11596.05</v>
      </c>
      <c r="M2573" s="77">
        <v>0</v>
      </c>
      <c r="N2573" s="53" t="s">
        <v>16</v>
      </c>
      <c r="O2573" s="52"/>
      <c r="P2573" s="53"/>
      <c r="Q2573" s="54"/>
      <c r="R2573" s="1"/>
      <c r="S2573" s="1"/>
      <c r="T2573" s="1"/>
    </row>
    <row r="2574" spans="1:20" ht="13.5" hidden="1" customHeight="1" x14ac:dyDescent="0.25">
      <c r="A2574" s="1"/>
      <c r="B2574" s="1"/>
      <c r="C2574" s="1"/>
      <c r="D2574" s="88">
        <v>0</v>
      </c>
      <c r="E2574" s="89"/>
      <c r="F2574" s="90">
        <f>SUM(F2557:F2573)</f>
        <v>49550</v>
      </c>
      <c r="G2574" s="90">
        <v>49550</v>
      </c>
      <c r="H2574" s="91">
        <f>SUM(H2558:H2573)</f>
        <v>34634.92</v>
      </c>
      <c r="I2574" s="91"/>
      <c r="J2574" s="92">
        <f t="shared" ref="J2574:Q2574" si="1039">SUM(J2558:J2573)</f>
        <v>44670</v>
      </c>
      <c r="K2574" s="93">
        <f t="shared" si="1039"/>
        <v>50670</v>
      </c>
      <c r="L2574" s="94">
        <f t="shared" si="1039"/>
        <v>27151.759999999998</v>
      </c>
      <c r="M2574" s="94">
        <f t="shared" si="1039"/>
        <v>0</v>
      </c>
      <c r="N2574" s="95">
        <f t="shared" si="1039"/>
        <v>0</v>
      </c>
      <c r="O2574" s="96">
        <f t="shared" si="1039"/>
        <v>0</v>
      </c>
      <c r="P2574" s="95">
        <f t="shared" si="1039"/>
        <v>0</v>
      </c>
      <c r="Q2574" s="97">
        <f t="shared" si="1039"/>
        <v>0</v>
      </c>
      <c r="R2574" s="1"/>
      <c r="S2574" s="1"/>
      <c r="T2574" s="1"/>
    </row>
    <row r="2575" spans="1:20" ht="13.5" hidden="1" customHeight="1" x14ac:dyDescent="0.25">
      <c r="A2575" s="1"/>
      <c r="B2575" s="78"/>
      <c r="C2575" s="98" t="s">
        <v>2261</v>
      </c>
      <c r="D2575" s="184">
        <v>0</v>
      </c>
      <c r="E2575" s="185"/>
      <c r="F2575" s="186">
        <f>SUM(F2533,F2542,F2556,F2574)</f>
        <v>372112.17</v>
      </c>
      <c r="G2575" s="186">
        <v>372112.17</v>
      </c>
      <c r="H2575" s="187">
        <f>SUM(H2533+H2542+H2556+H2574)</f>
        <v>311335.63999999996</v>
      </c>
      <c r="I2575" s="187"/>
      <c r="J2575" s="188">
        <f t="shared" ref="J2575:Q2575" si="1040">SUM(J2533+J2542+J2556+J2574)</f>
        <v>342459</v>
      </c>
      <c r="K2575" s="189">
        <f t="shared" si="1040"/>
        <v>342459</v>
      </c>
      <c r="L2575" s="190">
        <f t="shared" si="1040"/>
        <v>284412.07</v>
      </c>
      <c r="M2575" s="190">
        <f t="shared" si="1040"/>
        <v>0</v>
      </c>
      <c r="N2575" s="270">
        <f t="shared" si="1040"/>
        <v>0</v>
      </c>
      <c r="O2575" s="192">
        <f t="shared" si="1040"/>
        <v>0</v>
      </c>
      <c r="P2575" s="270">
        <f t="shared" si="1040"/>
        <v>0</v>
      </c>
      <c r="Q2575" s="193">
        <f t="shared" si="1040"/>
        <v>0</v>
      </c>
      <c r="R2575" s="1"/>
      <c r="S2575" s="1"/>
      <c r="T2575" s="1"/>
    </row>
    <row r="2576" spans="1:20" ht="13.5" customHeight="1" x14ac:dyDescent="0.25">
      <c r="A2576" s="1"/>
      <c r="B2576" s="1"/>
      <c r="C2576" s="116"/>
      <c r="D2576" s="72"/>
      <c r="E2576" s="67"/>
      <c r="F2576" s="73"/>
      <c r="G2576" s="73"/>
      <c r="H2576" s="74"/>
      <c r="I2576" s="74"/>
      <c r="J2576" s="75"/>
      <c r="K2576" s="76"/>
      <c r="L2576" s="77"/>
      <c r="M2576" s="77"/>
      <c r="N2576" s="53"/>
      <c r="O2576" s="52"/>
      <c r="P2576" s="53"/>
      <c r="Q2576" s="54"/>
      <c r="R2576" s="1"/>
      <c r="S2576" s="1"/>
      <c r="T2576" s="1"/>
    </row>
    <row r="2577" spans="1:20" ht="18.75" customHeight="1" x14ac:dyDescent="0.25">
      <c r="A2577" s="1"/>
      <c r="B2577" s="286" t="s">
        <v>2262</v>
      </c>
      <c r="C2577" s="262" t="s">
        <v>2263</v>
      </c>
      <c r="D2577" s="72"/>
      <c r="E2577" s="67"/>
      <c r="F2577" s="73"/>
      <c r="G2577" s="73"/>
      <c r="H2577" s="74"/>
      <c r="I2577" s="74"/>
      <c r="J2577" s="75"/>
      <c r="K2577" s="76"/>
      <c r="L2577" s="77"/>
      <c r="M2577" s="77"/>
      <c r="N2577" s="53"/>
      <c r="O2577" s="52"/>
      <c r="P2577" s="53"/>
      <c r="Q2577" s="54"/>
      <c r="R2577" s="1"/>
      <c r="S2577" s="1"/>
      <c r="T2577" s="1"/>
    </row>
    <row r="2578" spans="1:20" ht="13.5" customHeight="1" x14ac:dyDescent="0.25">
      <c r="A2578" s="1"/>
      <c r="B2578" s="1"/>
      <c r="C2578" s="1"/>
      <c r="D2578" s="72"/>
      <c r="E2578" s="67"/>
      <c r="F2578" s="73"/>
      <c r="G2578" s="73"/>
      <c r="H2578" s="74"/>
      <c r="I2578" s="74"/>
      <c r="J2578" s="75"/>
      <c r="K2578" s="76"/>
      <c r="L2578" s="77"/>
      <c r="M2578" s="77"/>
      <c r="N2578" s="53"/>
      <c r="O2578" s="52"/>
      <c r="P2578" s="53"/>
      <c r="Q2578" s="54"/>
      <c r="R2578" s="1"/>
      <c r="S2578" s="1"/>
      <c r="T2578" s="1"/>
    </row>
    <row r="2579" spans="1:20" ht="13.5" customHeight="1" x14ac:dyDescent="0.25">
      <c r="A2579" s="41" t="s">
        <v>17</v>
      </c>
      <c r="B2579" s="1"/>
      <c r="C2579" s="1"/>
      <c r="D2579" s="72"/>
      <c r="E2579" s="67"/>
      <c r="F2579" s="73"/>
      <c r="G2579" s="73"/>
      <c r="H2579" s="74"/>
      <c r="I2579" s="74"/>
      <c r="J2579" s="75"/>
      <c r="K2579" s="76"/>
      <c r="L2579" s="77"/>
      <c r="M2579" s="77"/>
      <c r="N2579" s="53"/>
      <c r="O2579" s="52"/>
      <c r="P2579" s="53"/>
      <c r="Q2579" s="54"/>
      <c r="R2579" s="1"/>
      <c r="S2579" s="1"/>
      <c r="T2579" s="1"/>
    </row>
    <row r="2580" spans="1:20" ht="13.5" customHeight="1" x14ac:dyDescent="0.25">
      <c r="A2580" s="1"/>
      <c r="B2580" s="1" t="s">
        <v>2264</v>
      </c>
      <c r="C2580" s="1" t="s">
        <v>1839</v>
      </c>
      <c r="D2580" s="42">
        <v>-10000</v>
      </c>
      <c r="E2580" s="43">
        <v>-8000</v>
      </c>
      <c r="F2580" s="45">
        <v>-10000</v>
      </c>
      <c r="G2580" s="45">
        <v>-10000</v>
      </c>
      <c r="H2580" s="46">
        <v>-13500</v>
      </c>
      <c r="I2580" s="47">
        <f t="shared" ref="I2580:I2582" si="1041">H2580/J2580</f>
        <v>1.173913043478261</v>
      </c>
      <c r="J2580" s="48">
        <v>-11500</v>
      </c>
      <c r="K2580" s="49">
        <v>-11500</v>
      </c>
      <c r="L2580" s="50">
        <v>-23500</v>
      </c>
      <c r="M2580" s="50">
        <v>-4500</v>
      </c>
      <c r="N2580" s="53" t="s">
        <v>16</v>
      </c>
      <c r="O2580" s="52"/>
      <c r="P2580" s="53"/>
      <c r="Q2580" s="54"/>
      <c r="R2580" s="1"/>
      <c r="S2580" s="1"/>
      <c r="T2580" s="1"/>
    </row>
    <row r="2581" spans="1:20" ht="13.5" customHeight="1" x14ac:dyDescent="0.25">
      <c r="A2581" s="1"/>
      <c r="B2581" s="1" t="s">
        <v>2265</v>
      </c>
      <c r="C2581" s="1" t="s">
        <v>2266</v>
      </c>
      <c r="D2581" s="42">
        <v>-50000</v>
      </c>
      <c r="E2581" s="43">
        <v>-10900</v>
      </c>
      <c r="F2581" s="45">
        <v>-50000</v>
      </c>
      <c r="G2581" s="45">
        <v>-50000</v>
      </c>
      <c r="H2581" s="46">
        <v>-52749</v>
      </c>
      <c r="I2581" s="47">
        <f t="shared" si="1041"/>
        <v>1.05498</v>
      </c>
      <c r="J2581" s="48">
        <v>-50000</v>
      </c>
      <c r="K2581" s="49">
        <v>-50000</v>
      </c>
      <c r="L2581" s="50">
        <v>-51475</v>
      </c>
      <c r="M2581" s="50">
        <v>-45915</v>
      </c>
      <c r="N2581" s="51">
        <v>-45487.5</v>
      </c>
      <c r="O2581" s="52">
        <v>49195</v>
      </c>
      <c r="P2581" s="53">
        <v>39805</v>
      </c>
      <c r="Q2581" s="54">
        <v>36294</v>
      </c>
      <c r="R2581" s="1"/>
      <c r="S2581" s="1"/>
      <c r="T2581" s="1"/>
    </row>
    <row r="2582" spans="1:20" ht="13.5" customHeight="1" x14ac:dyDescent="0.25">
      <c r="A2582" s="1"/>
      <c r="B2582" s="1" t="s">
        <v>2267</v>
      </c>
      <c r="C2582" s="1" t="s">
        <v>2268</v>
      </c>
      <c r="D2582" s="42">
        <v>-9000</v>
      </c>
      <c r="E2582" s="43">
        <v>-1870</v>
      </c>
      <c r="F2582" s="45">
        <v>-9000</v>
      </c>
      <c r="G2582" s="45">
        <v>-9000</v>
      </c>
      <c r="H2582" s="46">
        <v>-4157</v>
      </c>
      <c r="I2582" s="47">
        <f t="shared" si="1041"/>
        <v>0.4618888888888889</v>
      </c>
      <c r="J2582" s="48">
        <v>-9000</v>
      </c>
      <c r="K2582" s="49">
        <v>-9000</v>
      </c>
      <c r="L2582" s="50">
        <v>-5420</v>
      </c>
      <c r="M2582" s="50">
        <v>-3890</v>
      </c>
      <c r="N2582" s="51">
        <v>-7565</v>
      </c>
      <c r="O2582" s="52">
        <v>10255</v>
      </c>
      <c r="P2582" s="53">
        <v>9070</v>
      </c>
      <c r="Q2582" s="54">
        <v>5060</v>
      </c>
      <c r="R2582" s="1"/>
      <c r="S2582" s="1"/>
      <c r="T2582" s="1"/>
    </row>
    <row r="2583" spans="1:20" ht="13.5" customHeight="1" x14ac:dyDescent="0.25">
      <c r="A2583" s="1"/>
      <c r="B2583" s="1" t="s">
        <v>2269</v>
      </c>
      <c r="C2583" s="1" t="s">
        <v>2270</v>
      </c>
      <c r="D2583" s="42">
        <v>0</v>
      </c>
      <c r="E2583" s="43">
        <v>0</v>
      </c>
      <c r="F2583" s="73">
        <v>0</v>
      </c>
      <c r="G2583" s="73">
        <v>0</v>
      </c>
      <c r="H2583" s="74">
        <v>0</v>
      </c>
      <c r="I2583" s="47">
        <v>0</v>
      </c>
      <c r="J2583" s="75">
        <v>0</v>
      </c>
      <c r="K2583" s="76">
        <v>0</v>
      </c>
      <c r="L2583" s="50">
        <v>-650</v>
      </c>
      <c r="M2583" s="50">
        <v>-500</v>
      </c>
      <c r="N2583" s="53" t="s">
        <v>16</v>
      </c>
      <c r="O2583" s="52">
        <v>1150</v>
      </c>
      <c r="P2583" s="53">
        <v>640</v>
      </c>
      <c r="Q2583" s="54">
        <v>0</v>
      </c>
      <c r="R2583" s="1"/>
      <c r="S2583" s="1"/>
      <c r="T2583" s="1"/>
    </row>
    <row r="2584" spans="1:20" ht="13.5" customHeight="1" x14ac:dyDescent="0.25">
      <c r="A2584" s="1"/>
      <c r="B2584" s="1" t="s">
        <v>2271</v>
      </c>
      <c r="C2584" s="1" t="s">
        <v>2272</v>
      </c>
      <c r="D2584" s="42">
        <v>-28500</v>
      </c>
      <c r="E2584" s="43">
        <v>-7518</v>
      </c>
      <c r="F2584" s="45">
        <v>-28000</v>
      </c>
      <c r="G2584" s="45">
        <v>-28000</v>
      </c>
      <c r="H2584" s="46">
        <v>-30569</v>
      </c>
      <c r="I2584" s="47">
        <f t="shared" ref="I2584:I2585" si="1042">H2584/J2584</f>
        <v>1.09175</v>
      </c>
      <c r="J2584" s="48">
        <v>-28000</v>
      </c>
      <c r="K2584" s="49">
        <v>-28000</v>
      </c>
      <c r="L2584" s="50">
        <v>-29068</v>
      </c>
      <c r="M2584" s="50">
        <v>-29801</v>
      </c>
      <c r="N2584" s="51">
        <v>-27554</v>
      </c>
      <c r="O2584" s="52">
        <v>28104</v>
      </c>
      <c r="P2584" s="53">
        <v>22506</v>
      </c>
      <c r="Q2584" s="54">
        <v>18687</v>
      </c>
      <c r="R2584" s="1"/>
      <c r="S2584" s="1"/>
      <c r="T2584" s="1"/>
    </row>
    <row r="2585" spans="1:20" ht="13.5" customHeight="1" x14ac:dyDescent="0.25">
      <c r="A2585" s="1"/>
      <c r="B2585" s="1" t="s">
        <v>2273</v>
      </c>
      <c r="C2585" s="1" t="s">
        <v>2274</v>
      </c>
      <c r="D2585" s="42">
        <v>-85000</v>
      </c>
      <c r="E2585" s="43">
        <v>-17670</v>
      </c>
      <c r="F2585" s="45">
        <v>-85000</v>
      </c>
      <c r="G2585" s="45">
        <v>-85000</v>
      </c>
      <c r="H2585" s="46">
        <v>-93343</v>
      </c>
      <c r="I2585" s="47">
        <f t="shared" si="1042"/>
        <v>1.0981529411764706</v>
      </c>
      <c r="J2585" s="48">
        <v>-85000</v>
      </c>
      <c r="K2585" s="49">
        <v>-85000</v>
      </c>
      <c r="L2585" s="50">
        <v>-88408</v>
      </c>
      <c r="M2585" s="50">
        <v>-89454</v>
      </c>
      <c r="N2585" s="51">
        <v>-84119</v>
      </c>
      <c r="O2585" s="52">
        <v>89110</v>
      </c>
      <c r="P2585" s="53">
        <v>84790</v>
      </c>
      <c r="Q2585" s="54">
        <v>80722</v>
      </c>
      <c r="R2585" s="1"/>
      <c r="S2585" s="1"/>
      <c r="T2585" s="1"/>
    </row>
    <row r="2586" spans="1:20" ht="13.5" customHeight="1" x14ac:dyDescent="0.25">
      <c r="A2586" s="1"/>
      <c r="B2586" s="1" t="s">
        <v>2275</v>
      </c>
      <c r="C2586" s="1" t="s">
        <v>2276</v>
      </c>
      <c r="D2586" s="42">
        <v>0</v>
      </c>
      <c r="E2586" s="43">
        <v>0</v>
      </c>
      <c r="F2586" s="73">
        <v>0</v>
      </c>
      <c r="G2586" s="73">
        <v>0</v>
      </c>
      <c r="H2586" s="74">
        <v>0</v>
      </c>
      <c r="I2586" s="47">
        <v>0</v>
      </c>
      <c r="J2586" s="75">
        <v>0</v>
      </c>
      <c r="K2586" s="76">
        <v>0</v>
      </c>
      <c r="L2586" s="77">
        <v>0</v>
      </c>
      <c r="M2586" s="77" t="s">
        <v>16</v>
      </c>
      <c r="N2586" s="51">
        <v>-15</v>
      </c>
      <c r="O2586" s="52">
        <v>0</v>
      </c>
      <c r="P2586" s="53">
        <v>455</v>
      </c>
      <c r="Q2586" s="54">
        <v>1400</v>
      </c>
      <c r="R2586" s="1"/>
      <c r="S2586" s="1"/>
      <c r="T2586" s="1"/>
    </row>
    <row r="2587" spans="1:20" ht="13.5" customHeight="1" x14ac:dyDescent="0.25">
      <c r="A2587" s="1"/>
      <c r="B2587" s="1" t="s">
        <v>2277</v>
      </c>
      <c r="C2587" s="1" t="s">
        <v>2278</v>
      </c>
      <c r="D2587" s="42">
        <v>-1500</v>
      </c>
      <c r="E2587" s="43">
        <v>0</v>
      </c>
      <c r="F2587" s="45">
        <v>-1500</v>
      </c>
      <c r="G2587" s="45">
        <v>-1500</v>
      </c>
      <c r="H2587" s="68">
        <v>-1000</v>
      </c>
      <c r="I2587" s="47">
        <f t="shared" ref="I2587:I2591" si="1043">H2587/J2587</f>
        <v>0.66666666666666663</v>
      </c>
      <c r="J2587" s="48">
        <v>-1500</v>
      </c>
      <c r="K2587" s="49">
        <v>-1500</v>
      </c>
      <c r="L2587" s="50">
        <v>-1000</v>
      </c>
      <c r="M2587" s="50">
        <v>-1000</v>
      </c>
      <c r="N2587" s="51">
        <v>-1750</v>
      </c>
      <c r="O2587" s="52">
        <v>1000</v>
      </c>
      <c r="P2587" s="53">
        <v>0</v>
      </c>
      <c r="Q2587" s="54">
        <v>150</v>
      </c>
      <c r="R2587" s="1"/>
      <c r="S2587" s="1"/>
      <c r="T2587" s="1"/>
    </row>
    <row r="2588" spans="1:20" ht="13.5" customHeight="1" x14ac:dyDescent="0.25">
      <c r="A2588" s="1"/>
      <c r="B2588" s="1" t="s">
        <v>2279</v>
      </c>
      <c r="C2588" s="1" t="s">
        <v>2280</v>
      </c>
      <c r="D2588" s="42">
        <v>-4000</v>
      </c>
      <c r="E2588" s="43">
        <v>-1260</v>
      </c>
      <c r="F2588" s="45">
        <v>-4000</v>
      </c>
      <c r="G2588" s="45">
        <v>-4000</v>
      </c>
      <c r="H2588" s="46">
        <v>-4950</v>
      </c>
      <c r="I2588" s="47">
        <f t="shared" si="1043"/>
        <v>1.2375</v>
      </c>
      <c r="J2588" s="48">
        <v>-4000</v>
      </c>
      <c r="K2588" s="49">
        <v>-4000</v>
      </c>
      <c r="L2588" s="50">
        <v>-2565</v>
      </c>
      <c r="M2588" s="50">
        <v>-2430</v>
      </c>
      <c r="N2588" s="51">
        <v>-4050</v>
      </c>
      <c r="O2588" s="52">
        <v>2480</v>
      </c>
      <c r="P2588" s="53">
        <v>2350</v>
      </c>
      <c r="Q2588" s="54">
        <v>4535</v>
      </c>
      <c r="R2588" s="1"/>
      <c r="S2588" s="1"/>
      <c r="T2588" s="1"/>
    </row>
    <row r="2589" spans="1:20" ht="13.5" customHeight="1" x14ac:dyDescent="0.25">
      <c r="A2589" s="1"/>
      <c r="B2589" s="1" t="s">
        <v>2281</v>
      </c>
      <c r="C2589" s="1" t="s">
        <v>2282</v>
      </c>
      <c r="D2589" s="42">
        <v>-50000</v>
      </c>
      <c r="E2589" s="43">
        <v>-8220</v>
      </c>
      <c r="F2589" s="45">
        <v>-50000</v>
      </c>
      <c r="G2589" s="45">
        <v>-50000</v>
      </c>
      <c r="H2589" s="46">
        <v>-51455</v>
      </c>
      <c r="I2589" s="47">
        <f t="shared" si="1043"/>
        <v>1.0290999999999999</v>
      </c>
      <c r="J2589" s="48">
        <v>-50000</v>
      </c>
      <c r="K2589" s="49">
        <v>-50000</v>
      </c>
      <c r="L2589" s="50">
        <v>-50136.5</v>
      </c>
      <c r="M2589" s="50">
        <v>-53480</v>
      </c>
      <c r="N2589" s="51">
        <v>-49011.5</v>
      </c>
      <c r="O2589" s="52">
        <v>55398</v>
      </c>
      <c r="P2589" s="53">
        <v>39867</v>
      </c>
      <c r="Q2589" s="54">
        <v>45617</v>
      </c>
      <c r="R2589" s="1"/>
      <c r="S2589" s="1"/>
      <c r="T2589" s="1"/>
    </row>
    <row r="2590" spans="1:20" ht="13.5" customHeight="1" x14ac:dyDescent="0.25">
      <c r="A2590" s="1"/>
      <c r="B2590" s="1" t="s">
        <v>2283</v>
      </c>
      <c r="C2590" s="1" t="s">
        <v>224</v>
      </c>
      <c r="D2590" s="42">
        <v>-2000</v>
      </c>
      <c r="E2590" s="43">
        <v>0</v>
      </c>
      <c r="F2590" s="45">
        <v>-2000</v>
      </c>
      <c r="G2590" s="45">
        <v>-2000</v>
      </c>
      <c r="H2590" s="74">
        <v>0</v>
      </c>
      <c r="I2590" s="47">
        <f t="shared" si="1043"/>
        <v>0</v>
      </c>
      <c r="J2590" s="48">
        <v>-2000</v>
      </c>
      <c r="K2590" s="49">
        <v>-2000</v>
      </c>
      <c r="L2590" s="50">
        <v>-20</v>
      </c>
      <c r="M2590" s="77">
        <v>0</v>
      </c>
      <c r="N2590" s="51">
        <v>-793</v>
      </c>
      <c r="O2590" s="52">
        <v>901</v>
      </c>
      <c r="P2590" s="53">
        <v>700</v>
      </c>
      <c r="Q2590" s="54">
        <v>437</v>
      </c>
      <c r="R2590" s="1"/>
      <c r="S2590" s="1"/>
      <c r="T2590" s="1"/>
    </row>
    <row r="2591" spans="1:20" ht="13.5" customHeight="1" x14ac:dyDescent="0.25">
      <c r="A2591" s="1"/>
      <c r="B2591" s="1" t="s">
        <v>2284</v>
      </c>
      <c r="C2591" s="1" t="s">
        <v>1795</v>
      </c>
      <c r="D2591" s="42">
        <v>-116268.04000000001</v>
      </c>
      <c r="E2591" s="43">
        <v>-75000</v>
      </c>
      <c r="F2591" s="45">
        <v>-114637.5</v>
      </c>
      <c r="G2591" s="45">
        <v>-114637.5</v>
      </c>
      <c r="H2591" s="46">
        <v>-67958.149999999994</v>
      </c>
      <c r="I2591" s="47">
        <f t="shared" si="1043"/>
        <v>0.67268646374659735</v>
      </c>
      <c r="J2591" s="48">
        <v>-101025</v>
      </c>
      <c r="K2591" s="49">
        <v>-101025</v>
      </c>
      <c r="L2591" s="50">
        <v>-39633.39</v>
      </c>
      <c r="M2591" s="50">
        <v>-40433.589999999997</v>
      </c>
      <c r="N2591" s="51">
        <v>-50000</v>
      </c>
      <c r="O2591" s="52">
        <v>19470.36</v>
      </c>
      <c r="P2591" s="53">
        <v>15101.04</v>
      </c>
      <c r="Q2591" s="54">
        <v>150798.84</v>
      </c>
      <c r="R2591" s="1"/>
      <c r="S2591" s="1"/>
      <c r="T2591" s="1"/>
    </row>
    <row r="2592" spans="1:20" ht="13.5" customHeight="1" thickBot="1" x14ac:dyDescent="0.3">
      <c r="A2592" s="1"/>
      <c r="B2592" s="1"/>
      <c r="C2592" s="116" t="s">
        <v>2285</v>
      </c>
      <c r="D2592" s="267">
        <v>-356268.04000000004</v>
      </c>
      <c r="E2592" s="173">
        <f t="shared" ref="E2592" si="1044">SUM(E2580:E2591)</f>
        <v>-130438</v>
      </c>
      <c r="F2592" s="174">
        <f>SUM(F2579:F2591)</f>
        <v>-354137.5</v>
      </c>
      <c r="G2592" s="174">
        <v>-354137.5</v>
      </c>
      <c r="H2592" s="175">
        <f>SUM(H2580:H2591)</f>
        <v>-319681.15000000002</v>
      </c>
      <c r="I2592" s="175"/>
      <c r="J2592" s="176">
        <f t="shared" ref="J2592:Q2592" si="1045">SUM(J2580:J2591)</f>
        <v>-342025</v>
      </c>
      <c r="K2592" s="177">
        <f t="shared" si="1045"/>
        <v>-342025</v>
      </c>
      <c r="L2592" s="178">
        <f t="shared" si="1045"/>
        <v>-291875.89</v>
      </c>
      <c r="M2592" s="178">
        <f t="shared" si="1045"/>
        <v>-271403.58999999997</v>
      </c>
      <c r="N2592" s="179">
        <f t="shared" si="1045"/>
        <v>-270345</v>
      </c>
      <c r="O2592" s="180">
        <f t="shared" si="1045"/>
        <v>257063.36</v>
      </c>
      <c r="P2592" s="179">
        <f t="shared" si="1045"/>
        <v>215284.04</v>
      </c>
      <c r="Q2592" s="181">
        <f t="shared" si="1045"/>
        <v>343700.83999999997</v>
      </c>
      <c r="R2592" s="1"/>
      <c r="S2592" s="1"/>
      <c r="T2592" s="1"/>
    </row>
    <row r="2593" spans="1:20" ht="13.5" customHeight="1" thickTop="1" x14ac:dyDescent="0.25">
      <c r="A2593" s="1"/>
      <c r="B2593" s="1"/>
      <c r="C2593" s="1"/>
      <c r="D2593" s="42"/>
      <c r="E2593" s="44"/>
      <c r="F2593" s="45"/>
      <c r="G2593" s="45"/>
      <c r="H2593" s="66"/>
      <c r="I2593" s="66"/>
      <c r="J2593" s="48"/>
      <c r="K2593" s="49"/>
      <c r="L2593" s="50"/>
      <c r="M2593" s="50"/>
      <c r="N2593" s="51"/>
      <c r="O2593" s="52"/>
      <c r="P2593" s="53"/>
      <c r="Q2593" s="54"/>
      <c r="R2593" s="1"/>
      <c r="S2593" s="1"/>
      <c r="T2593" s="1"/>
    </row>
    <row r="2594" spans="1:20" ht="13.5" customHeight="1" x14ac:dyDescent="0.25">
      <c r="A2594" s="116" t="s">
        <v>230</v>
      </c>
      <c r="B2594" s="1"/>
      <c r="C2594" s="1"/>
      <c r="D2594" s="42"/>
      <c r="E2594" s="44"/>
      <c r="F2594" s="45"/>
      <c r="G2594" s="45"/>
      <c r="H2594" s="66"/>
      <c r="I2594" s="66"/>
      <c r="J2594" s="48"/>
      <c r="K2594" s="49"/>
      <c r="L2594" s="50"/>
      <c r="M2594" s="50"/>
      <c r="N2594" s="51"/>
      <c r="O2594" s="52"/>
      <c r="P2594" s="53"/>
      <c r="Q2594" s="54"/>
      <c r="R2594" s="1"/>
      <c r="S2594" s="1"/>
      <c r="T2594" s="1"/>
    </row>
    <row r="2595" spans="1:20" ht="13.5" customHeight="1" x14ac:dyDescent="0.25">
      <c r="A2595" s="1"/>
      <c r="B2595" s="1" t="s">
        <v>2286</v>
      </c>
      <c r="C2595" s="1" t="s">
        <v>420</v>
      </c>
      <c r="D2595" s="42">
        <v>135856.07999999999</v>
      </c>
      <c r="E2595" s="43">
        <v>63303.13</v>
      </c>
      <c r="F2595" s="45">
        <v>134125.07999999999</v>
      </c>
      <c r="G2595" s="45">
        <v>134125.07999999999</v>
      </c>
      <c r="H2595" s="46">
        <v>112114.03</v>
      </c>
      <c r="I2595" s="47">
        <f t="shared" ref="I2595:I2597" si="1046">H2595/J2595</f>
        <v>0.86698395391099248</v>
      </c>
      <c r="J2595" s="48">
        <v>129315</v>
      </c>
      <c r="K2595" s="49">
        <v>129315</v>
      </c>
      <c r="L2595" s="50">
        <v>90711.48</v>
      </c>
      <c r="M2595" s="50">
        <v>74710.66</v>
      </c>
      <c r="N2595" s="51">
        <v>82078.44</v>
      </c>
      <c r="O2595" s="52">
        <v>72559.179999999993</v>
      </c>
      <c r="P2595" s="53">
        <v>62130.87</v>
      </c>
      <c r="Q2595" s="54">
        <v>78444.600000000006</v>
      </c>
      <c r="R2595" s="1"/>
      <c r="S2595" s="1"/>
      <c r="T2595" s="1"/>
    </row>
    <row r="2596" spans="1:20" ht="13.5" customHeight="1" x14ac:dyDescent="0.25">
      <c r="A2596" s="1"/>
      <c r="B2596" s="1" t="s">
        <v>2287</v>
      </c>
      <c r="C2596" s="1" t="s">
        <v>237</v>
      </c>
      <c r="D2596" s="42">
        <v>21000</v>
      </c>
      <c r="E2596" s="43">
        <v>5972.8</v>
      </c>
      <c r="F2596" s="45">
        <v>21000</v>
      </c>
      <c r="G2596" s="45">
        <v>21000</v>
      </c>
      <c r="H2596" s="46">
        <v>19554.45</v>
      </c>
      <c r="I2596" s="47">
        <f t="shared" si="1046"/>
        <v>0.93116428571428578</v>
      </c>
      <c r="J2596" s="48">
        <v>21000</v>
      </c>
      <c r="K2596" s="49">
        <v>21000</v>
      </c>
      <c r="L2596" s="50">
        <v>24564.5</v>
      </c>
      <c r="M2596" s="50">
        <v>38774.75</v>
      </c>
      <c r="N2596" s="51">
        <v>26919</v>
      </c>
      <c r="O2596" s="52">
        <v>20106</v>
      </c>
      <c r="P2596" s="53">
        <v>11450.5</v>
      </c>
      <c r="Q2596" s="54">
        <v>10530.5</v>
      </c>
      <c r="R2596" s="1"/>
      <c r="S2596" s="1"/>
      <c r="T2596" s="1"/>
    </row>
    <row r="2597" spans="1:20" ht="13.5" customHeight="1" x14ac:dyDescent="0.25">
      <c r="A2597" s="1"/>
      <c r="B2597" s="1" t="s">
        <v>2288</v>
      </c>
      <c r="C2597" s="1" t="s">
        <v>423</v>
      </c>
      <c r="D2597" s="42">
        <v>0</v>
      </c>
      <c r="E2597" s="43">
        <v>0</v>
      </c>
      <c r="F2597" s="45">
        <v>0</v>
      </c>
      <c r="G2597" s="45">
        <v>0</v>
      </c>
      <c r="H2597" s="46">
        <v>5897.97</v>
      </c>
      <c r="I2597" s="47">
        <f t="shared" si="1046"/>
        <v>0.97616186693147966</v>
      </c>
      <c r="J2597" s="48">
        <v>6042</v>
      </c>
      <c r="K2597" s="49">
        <v>6042</v>
      </c>
      <c r="L2597" s="50">
        <v>5555.84</v>
      </c>
      <c r="M2597" s="50">
        <v>4218.8900000000003</v>
      </c>
      <c r="N2597" s="51">
        <v>4005.74</v>
      </c>
      <c r="O2597" s="52">
        <v>3625.45</v>
      </c>
      <c r="P2597" s="53">
        <v>3555.61</v>
      </c>
      <c r="Q2597" s="54">
        <v>8062.02</v>
      </c>
      <c r="R2597" s="1"/>
      <c r="S2597" s="1"/>
      <c r="T2597" s="1"/>
    </row>
    <row r="2598" spans="1:20" ht="13.5" hidden="1" customHeight="1" x14ac:dyDescent="0.25">
      <c r="A2598" s="1"/>
      <c r="B2598" s="1" t="s">
        <v>2289</v>
      </c>
      <c r="C2598" s="1" t="s">
        <v>2290</v>
      </c>
      <c r="D2598" s="42">
        <v>0</v>
      </c>
      <c r="E2598" s="43">
        <v>0</v>
      </c>
      <c r="F2598" s="73">
        <v>0</v>
      </c>
      <c r="G2598" s="73">
        <v>0</v>
      </c>
      <c r="H2598" s="74" t="s">
        <v>16</v>
      </c>
      <c r="I2598" s="47"/>
      <c r="J2598" s="75" t="s">
        <v>16</v>
      </c>
      <c r="K2598" s="76" t="s">
        <v>16</v>
      </c>
      <c r="L2598" s="50"/>
      <c r="M2598" s="50">
        <v>15.7</v>
      </c>
      <c r="N2598" s="53" t="s">
        <v>16</v>
      </c>
      <c r="O2598" s="52">
        <v>0</v>
      </c>
      <c r="P2598" s="53">
        <v>12.02</v>
      </c>
      <c r="Q2598" s="54">
        <v>415.08</v>
      </c>
      <c r="R2598" s="1"/>
      <c r="S2598" s="1"/>
      <c r="T2598" s="1"/>
    </row>
    <row r="2599" spans="1:20" ht="13.5" customHeight="1" x14ac:dyDescent="0.25">
      <c r="A2599" s="1"/>
      <c r="B2599" s="1" t="s">
        <v>2291</v>
      </c>
      <c r="C2599" s="1" t="s">
        <v>241</v>
      </c>
      <c r="D2599" s="42">
        <v>2000</v>
      </c>
      <c r="E2599" s="43">
        <v>590.28</v>
      </c>
      <c r="F2599" s="45">
        <v>2000</v>
      </c>
      <c r="G2599" s="45">
        <v>2000</v>
      </c>
      <c r="H2599" s="46">
        <v>1921.51</v>
      </c>
      <c r="I2599" s="47">
        <f>H2599/J2599</f>
        <v>0.96075500000000003</v>
      </c>
      <c r="J2599" s="48">
        <v>2000</v>
      </c>
      <c r="K2599" s="49">
        <v>2000</v>
      </c>
      <c r="L2599" s="50">
        <f>1959.72+178.2</f>
        <v>2137.92</v>
      </c>
      <c r="M2599" s="50">
        <v>1763.72</v>
      </c>
      <c r="N2599" s="51">
        <v>1824</v>
      </c>
      <c r="O2599" s="52">
        <v>2011.83</v>
      </c>
      <c r="P2599" s="53">
        <v>1839.06</v>
      </c>
      <c r="Q2599" s="54">
        <v>3651.3</v>
      </c>
      <c r="R2599" s="1"/>
      <c r="S2599" s="1"/>
      <c r="T2599" s="1"/>
    </row>
    <row r="2600" spans="1:20" ht="13.5" customHeight="1" x14ac:dyDescent="0.25">
      <c r="A2600" s="1"/>
      <c r="B2600" s="1"/>
      <c r="C2600" s="1"/>
      <c r="D2600" s="56">
        <v>158856.07999999999</v>
      </c>
      <c r="E2600" s="57">
        <f t="shared" ref="E2600" si="1047">SUM(E2595:E2599)</f>
        <v>69866.209999999992</v>
      </c>
      <c r="F2600" s="58">
        <f>SUM(F2594:F2599)</f>
        <v>157125.07999999999</v>
      </c>
      <c r="G2600" s="58">
        <v>157125.07999999999</v>
      </c>
      <c r="H2600" s="59">
        <f>SUM(H2595:H2599)</f>
        <v>139487.96000000002</v>
      </c>
      <c r="I2600" s="59"/>
      <c r="J2600" s="60">
        <f t="shared" ref="J2600:Q2600" si="1048">SUM(J2595:J2599)</f>
        <v>158357</v>
      </c>
      <c r="K2600" s="61">
        <f t="shared" si="1048"/>
        <v>158357</v>
      </c>
      <c r="L2600" s="62">
        <f t="shared" si="1048"/>
        <v>122969.73999999999</v>
      </c>
      <c r="M2600" s="62">
        <f t="shared" si="1048"/>
        <v>119483.72</v>
      </c>
      <c r="N2600" s="63">
        <f t="shared" si="1048"/>
        <v>114827.18000000001</v>
      </c>
      <c r="O2600" s="64">
        <f t="shared" si="1048"/>
        <v>98302.459999999992</v>
      </c>
      <c r="P2600" s="63">
        <f t="shared" si="1048"/>
        <v>78988.06</v>
      </c>
      <c r="Q2600" s="65">
        <f t="shared" si="1048"/>
        <v>101103.50000000001</v>
      </c>
      <c r="R2600" s="1"/>
      <c r="S2600" s="1"/>
      <c r="T2600" s="1"/>
    </row>
    <row r="2601" spans="1:20" ht="13.5" customHeight="1" x14ac:dyDescent="0.25">
      <c r="A2601" s="1"/>
      <c r="B2601" s="1"/>
      <c r="C2601" s="1"/>
      <c r="D2601" s="42"/>
      <c r="E2601" s="44"/>
      <c r="F2601" s="45"/>
      <c r="G2601" s="45"/>
      <c r="H2601" s="66"/>
      <c r="I2601" s="66"/>
      <c r="J2601" s="48"/>
      <c r="K2601" s="49"/>
      <c r="L2601" s="50"/>
      <c r="M2601" s="50"/>
      <c r="N2601" s="51"/>
      <c r="O2601" s="52"/>
      <c r="P2601" s="53"/>
      <c r="Q2601" s="54"/>
      <c r="R2601" s="1"/>
      <c r="S2601" s="1"/>
      <c r="T2601" s="1"/>
    </row>
    <row r="2602" spans="1:20" ht="13.5" customHeight="1" x14ac:dyDescent="0.25">
      <c r="A2602" s="1"/>
      <c r="B2602" s="1" t="s">
        <v>2292</v>
      </c>
      <c r="C2602" s="1" t="s">
        <v>247</v>
      </c>
      <c r="D2602" s="42">
        <v>12852</v>
      </c>
      <c r="E2602" s="43">
        <v>5277.71</v>
      </c>
      <c r="F2602" s="45">
        <v>12719.5785</v>
      </c>
      <c r="G2602" s="45">
        <v>12719.5785</v>
      </c>
      <c r="H2602" s="46">
        <v>10490.05</v>
      </c>
      <c r="I2602" s="47">
        <f t="shared" ref="I2602:I2609" si="1049">H2602/J2602</f>
        <v>0.94573115759105653</v>
      </c>
      <c r="J2602" s="48">
        <v>11092</v>
      </c>
      <c r="K2602" s="49">
        <v>11092</v>
      </c>
      <c r="L2602" s="50">
        <v>9231.93</v>
      </c>
      <c r="M2602" s="50">
        <v>9054.1299999999992</v>
      </c>
      <c r="N2602" s="51">
        <v>8356.48</v>
      </c>
      <c r="O2602" s="52">
        <v>6982.6</v>
      </c>
      <c r="P2602" s="53">
        <v>6793.75</v>
      </c>
      <c r="Q2602" s="54">
        <v>7947.86</v>
      </c>
      <c r="R2602" s="1"/>
      <c r="S2602" s="1"/>
      <c r="T2602" s="1"/>
    </row>
    <row r="2603" spans="1:20" ht="13.5" customHeight="1" x14ac:dyDescent="0.25">
      <c r="A2603" s="1"/>
      <c r="B2603" s="1" t="s">
        <v>2293</v>
      </c>
      <c r="C2603" s="1" t="s">
        <v>249</v>
      </c>
      <c r="D2603" s="42">
        <v>31390.304400000001</v>
      </c>
      <c r="E2603" s="43">
        <v>16260.3</v>
      </c>
      <c r="F2603" s="45">
        <v>31389.820800000001</v>
      </c>
      <c r="G2603" s="45">
        <v>31389.820800000001</v>
      </c>
      <c r="H2603" s="46">
        <v>23780.05</v>
      </c>
      <c r="I2603" s="47">
        <f t="shared" si="1049"/>
        <v>0.78172419460880993</v>
      </c>
      <c r="J2603" s="48">
        <v>30420</v>
      </c>
      <c r="K2603" s="49">
        <v>30420</v>
      </c>
      <c r="L2603" s="50">
        <v>20280</v>
      </c>
      <c r="M2603" s="50">
        <v>16898.400000000001</v>
      </c>
      <c r="N2603" s="51">
        <v>20331.2</v>
      </c>
      <c r="O2603" s="52">
        <v>20248.32</v>
      </c>
      <c r="P2603" s="53">
        <v>17468</v>
      </c>
      <c r="Q2603" s="54">
        <v>19233.599999999999</v>
      </c>
      <c r="R2603" s="1"/>
      <c r="S2603" s="1"/>
      <c r="T2603" s="1"/>
    </row>
    <row r="2604" spans="1:20" ht="13.5" customHeight="1" x14ac:dyDescent="0.25">
      <c r="A2604" s="1"/>
      <c r="B2604" s="1" t="s">
        <v>2294</v>
      </c>
      <c r="C2604" s="1" t="s">
        <v>251</v>
      </c>
      <c r="D2604" s="42">
        <v>25233.600000000002</v>
      </c>
      <c r="E2604" s="43">
        <v>11168.93</v>
      </c>
      <c r="F2604" s="45">
        <v>24973.603800000001</v>
      </c>
      <c r="G2604" s="45">
        <v>24973.603800000001</v>
      </c>
      <c r="H2604" s="46">
        <v>21657.67</v>
      </c>
      <c r="I2604" s="47">
        <f t="shared" si="1049"/>
        <v>0.8885927050424649</v>
      </c>
      <c r="J2604" s="48">
        <v>24373</v>
      </c>
      <c r="K2604" s="49">
        <v>24373</v>
      </c>
      <c r="L2604" s="50">
        <v>18516.099999999999</v>
      </c>
      <c r="M2604" s="50">
        <v>16656.45</v>
      </c>
      <c r="N2604" s="51">
        <v>14093.95</v>
      </c>
      <c r="O2604" s="52">
        <v>11604.65</v>
      </c>
      <c r="P2604" s="53">
        <v>11979.17</v>
      </c>
      <c r="Q2604" s="54">
        <v>12844.87</v>
      </c>
      <c r="R2604" s="1"/>
      <c r="S2604" s="1"/>
      <c r="T2604" s="1"/>
    </row>
    <row r="2605" spans="1:20" ht="13.5" customHeight="1" x14ac:dyDescent="0.25">
      <c r="A2605" s="1"/>
      <c r="B2605" s="1" t="s">
        <v>2295</v>
      </c>
      <c r="C2605" s="1" t="s">
        <v>285</v>
      </c>
      <c r="D2605" s="42">
        <v>2282</v>
      </c>
      <c r="E2605" s="43">
        <v>1614</v>
      </c>
      <c r="F2605" s="45">
        <v>2282</v>
      </c>
      <c r="G2605" s="45">
        <v>2282</v>
      </c>
      <c r="H2605" s="46">
        <v>2073.92</v>
      </c>
      <c r="I2605" s="47">
        <f t="shared" si="1049"/>
        <v>0.9088168273444347</v>
      </c>
      <c r="J2605" s="48">
        <v>2282</v>
      </c>
      <c r="K2605" s="49">
        <v>2282</v>
      </c>
      <c r="L2605" s="50">
        <v>1837.8</v>
      </c>
      <c r="M2605" s="50">
        <v>998.68</v>
      </c>
      <c r="N2605" s="51">
        <v>1612</v>
      </c>
      <c r="O2605" s="52">
        <v>2012.18</v>
      </c>
      <c r="P2605" s="53">
        <v>2463</v>
      </c>
      <c r="Q2605" s="54">
        <v>3706.84</v>
      </c>
      <c r="R2605" s="1"/>
      <c r="S2605" s="1"/>
      <c r="T2605" s="1"/>
    </row>
    <row r="2606" spans="1:20" ht="13.5" customHeight="1" x14ac:dyDescent="0.25">
      <c r="A2606" s="1"/>
      <c r="B2606" s="1" t="s">
        <v>2296</v>
      </c>
      <c r="C2606" s="1" t="s">
        <v>253</v>
      </c>
      <c r="D2606" s="42">
        <v>268.8</v>
      </c>
      <c r="E2606" s="43">
        <v>119</v>
      </c>
      <c r="F2606" s="45">
        <v>266.03040000000004</v>
      </c>
      <c r="G2606" s="45">
        <v>266.03040000000004</v>
      </c>
      <c r="H2606" s="46">
        <v>238.4</v>
      </c>
      <c r="I2606" s="47">
        <f t="shared" si="1049"/>
        <v>0.88624535315985131</v>
      </c>
      <c r="J2606" s="48">
        <v>269</v>
      </c>
      <c r="K2606" s="49">
        <v>269</v>
      </c>
      <c r="L2606" s="50">
        <v>233.85</v>
      </c>
      <c r="M2606" s="50">
        <v>227.31</v>
      </c>
      <c r="N2606" s="51">
        <v>243.44</v>
      </c>
      <c r="O2606" s="52">
        <v>238.35</v>
      </c>
      <c r="P2606" s="53">
        <v>208.57</v>
      </c>
      <c r="Q2606" s="54">
        <v>242.88</v>
      </c>
      <c r="R2606" s="1"/>
      <c r="S2606" s="1"/>
      <c r="T2606" s="1"/>
    </row>
    <row r="2607" spans="1:20" ht="13.5" customHeight="1" x14ac:dyDescent="0.25">
      <c r="A2607" s="1"/>
      <c r="B2607" s="1" t="s">
        <v>2297</v>
      </c>
      <c r="C2607" s="1" t="s">
        <v>287</v>
      </c>
      <c r="D2607" s="42">
        <v>100.79999999999998</v>
      </c>
      <c r="E2607" s="43">
        <v>25.58</v>
      </c>
      <c r="F2607" s="45">
        <v>116.3883</v>
      </c>
      <c r="G2607" s="45">
        <v>116.3883</v>
      </c>
      <c r="H2607" s="46">
        <v>133.07</v>
      </c>
      <c r="I2607" s="47">
        <f t="shared" si="1049"/>
        <v>0.46691228070175439</v>
      </c>
      <c r="J2607" s="48">
        <v>285</v>
      </c>
      <c r="K2607" s="49">
        <v>285</v>
      </c>
      <c r="L2607" s="50">
        <v>144.85</v>
      </c>
      <c r="M2607" s="50">
        <v>258.08</v>
      </c>
      <c r="N2607" s="51">
        <v>282.36</v>
      </c>
      <c r="O2607" s="52">
        <v>318.83</v>
      </c>
      <c r="P2607" s="53">
        <v>290.89999999999998</v>
      </c>
      <c r="Q2607" s="54">
        <v>361.28</v>
      </c>
      <c r="R2607" s="1"/>
      <c r="S2607" s="1"/>
      <c r="T2607" s="1"/>
    </row>
    <row r="2608" spans="1:20" ht="13.5" customHeight="1" x14ac:dyDescent="0.25">
      <c r="A2608" s="1"/>
      <c r="B2608" s="1" t="s">
        <v>2298</v>
      </c>
      <c r="C2608" s="1" t="s">
        <v>255</v>
      </c>
      <c r="D2608" s="42">
        <v>1053.3600000000001</v>
      </c>
      <c r="E2608" s="43">
        <v>501.84</v>
      </c>
      <c r="F2608" s="45">
        <v>1005</v>
      </c>
      <c r="G2608" s="45">
        <v>1005</v>
      </c>
      <c r="H2608" s="46">
        <v>757.32</v>
      </c>
      <c r="I2608" s="47">
        <f t="shared" si="1049"/>
        <v>0.78397515527950312</v>
      </c>
      <c r="J2608" s="48">
        <v>966</v>
      </c>
      <c r="K2608" s="49">
        <v>966</v>
      </c>
      <c r="L2608" s="50">
        <v>626.48</v>
      </c>
      <c r="M2608" s="50">
        <v>504.16</v>
      </c>
      <c r="N2608" s="51">
        <v>659.08</v>
      </c>
      <c r="O2608" s="52">
        <v>670.8</v>
      </c>
      <c r="P2608" s="53">
        <v>586.95000000000005</v>
      </c>
      <c r="Q2608" s="54">
        <v>640.6</v>
      </c>
      <c r="R2608" s="1"/>
      <c r="S2608" s="1"/>
      <c r="T2608" s="1"/>
    </row>
    <row r="2609" spans="1:20" ht="13.5" customHeight="1" x14ac:dyDescent="0.25">
      <c r="A2609" s="1"/>
      <c r="B2609" s="1" t="s">
        <v>2299</v>
      </c>
      <c r="C2609" s="1" t="s">
        <v>2300</v>
      </c>
      <c r="D2609" s="42">
        <v>9500</v>
      </c>
      <c r="E2609" s="43">
        <v>4749.9399999999996</v>
      </c>
      <c r="F2609" s="45">
        <v>9500</v>
      </c>
      <c r="G2609" s="45">
        <v>9500</v>
      </c>
      <c r="H2609" s="46">
        <v>9499.8799999999992</v>
      </c>
      <c r="I2609" s="47">
        <f t="shared" si="1049"/>
        <v>0.99998736842105251</v>
      </c>
      <c r="J2609" s="48">
        <v>9500</v>
      </c>
      <c r="K2609" s="49">
        <v>9500</v>
      </c>
      <c r="L2609" s="50">
        <v>9499.8799999999992</v>
      </c>
      <c r="M2609" s="50">
        <v>9499.8799999999992</v>
      </c>
      <c r="N2609" s="51">
        <v>9499.8799999999992</v>
      </c>
      <c r="O2609" s="52">
        <v>9865.26</v>
      </c>
      <c r="P2609" s="53">
        <v>9499.8799999999992</v>
      </c>
      <c r="Q2609" s="54">
        <v>9499.8799999999992</v>
      </c>
      <c r="R2609" s="1"/>
      <c r="S2609" s="1"/>
      <c r="T2609" s="1"/>
    </row>
    <row r="2610" spans="1:20" ht="13.5" customHeight="1" x14ac:dyDescent="0.25">
      <c r="A2610" s="1"/>
      <c r="B2610" s="1"/>
      <c r="C2610" s="1"/>
      <c r="D2610" s="56">
        <v>82680.864400000006</v>
      </c>
      <c r="E2610" s="57">
        <f t="shared" ref="E2610" si="1050">SUM(E2602:E2609)</f>
        <v>39717.300000000003</v>
      </c>
      <c r="F2610" s="58">
        <f>SUM(F2601:F2609)</f>
        <v>82252.421800000011</v>
      </c>
      <c r="G2610" s="58">
        <v>82252.421800000011</v>
      </c>
      <c r="H2610" s="59">
        <f>SUM(H2602:H2609)</f>
        <v>68630.36</v>
      </c>
      <c r="I2610" s="59"/>
      <c r="J2610" s="60">
        <f t="shared" ref="J2610:Q2610" si="1051">SUM(J2602:J2609)</f>
        <v>79187</v>
      </c>
      <c r="K2610" s="61">
        <f t="shared" si="1051"/>
        <v>79187</v>
      </c>
      <c r="L2610" s="62">
        <f t="shared" si="1051"/>
        <v>60370.89</v>
      </c>
      <c r="M2610" s="62">
        <f t="shared" si="1051"/>
        <v>54097.09</v>
      </c>
      <c r="N2610" s="63">
        <f t="shared" si="1051"/>
        <v>55078.390000000007</v>
      </c>
      <c r="O2610" s="64">
        <f t="shared" si="1051"/>
        <v>51940.990000000005</v>
      </c>
      <c r="P2610" s="63">
        <f t="shared" si="1051"/>
        <v>49290.219999999994</v>
      </c>
      <c r="Q2610" s="65">
        <f t="shared" si="1051"/>
        <v>54477.80999999999</v>
      </c>
      <c r="R2610" s="1"/>
      <c r="S2610" s="1"/>
      <c r="T2610" s="1"/>
    </row>
    <row r="2611" spans="1:20" ht="13.5" customHeight="1" x14ac:dyDescent="0.25">
      <c r="A2611" s="1"/>
      <c r="B2611" s="1"/>
      <c r="C2611" s="1"/>
      <c r="D2611" s="42"/>
      <c r="E2611" s="44"/>
      <c r="F2611" s="45"/>
      <c r="G2611" s="45"/>
      <c r="H2611" s="66"/>
      <c r="I2611" s="66"/>
      <c r="J2611" s="48"/>
      <c r="K2611" s="49"/>
      <c r="L2611" s="50"/>
      <c r="M2611" s="50"/>
      <c r="N2611" s="51"/>
      <c r="O2611" s="52"/>
      <c r="P2611" s="53"/>
      <c r="Q2611" s="54"/>
      <c r="R2611" s="1"/>
      <c r="S2611" s="1"/>
      <c r="T2611" s="1"/>
    </row>
    <row r="2612" spans="1:20" ht="13.5" customHeight="1" x14ac:dyDescent="0.25">
      <c r="A2612" s="1"/>
      <c r="B2612" s="1" t="s">
        <v>2301</v>
      </c>
      <c r="C2612" s="1" t="s">
        <v>259</v>
      </c>
      <c r="D2612" s="42">
        <v>600</v>
      </c>
      <c r="E2612" s="43">
        <v>16.809999999999999</v>
      </c>
      <c r="F2612" s="45">
        <v>600</v>
      </c>
      <c r="G2612" s="45">
        <v>600</v>
      </c>
      <c r="H2612" s="46">
        <v>210.34</v>
      </c>
      <c r="I2612" s="47">
        <f t="shared" ref="I2612:I2615" si="1052">H2612/J2612</f>
        <v>0.35056666666666669</v>
      </c>
      <c r="J2612" s="48">
        <v>600</v>
      </c>
      <c r="K2612" s="49">
        <v>600</v>
      </c>
      <c r="L2612" s="50">
        <v>96.34</v>
      </c>
      <c r="M2612" s="50">
        <v>416.64</v>
      </c>
      <c r="N2612" s="51">
        <v>459.82</v>
      </c>
      <c r="O2612" s="52">
        <v>527.35</v>
      </c>
      <c r="P2612" s="53">
        <v>1004.48</v>
      </c>
      <c r="Q2612" s="54">
        <v>506.05</v>
      </c>
      <c r="R2612" s="1"/>
      <c r="S2612" s="1"/>
      <c r="T2612" s="1"/>
    </row>
    <row r="2613" spans="1:20" ht="13.5" customHeight="1" x14ac:dyDescent="0.25">
      <c r="A2613" s="1"/>
      <c r="B2613" s="1" t="s">
        <v>2302</v>
      </c>
      <c r="C2613" s="1" t="s">
        <v>261</v>
      </c>
      <c r="D2613" s="42">
        <v>200</v>
      </c>
      <c r="E2613" s="43">
        <v>112</v>
      </c>
      <c r="F2613" s="45">
        <v>200</v>
      </c>
      <c r="G2613" s="45">
        <v>200</v>
      </c>
      <c r="H2613" s="66">
        <v>112</v>
      </c>
      <c r="I2613" s="47">
        <f t="shared" si="1052"/>
        <v>0.56000000000000005</v>
      </c>
      <c r="J2613" s="48">
        <v>200</v>
      </c>
      <c r="K2613" s="49">
        <v>200</v>
      </c>
      <c r="L2613" s="50">
        <v>110</v>
      </c>
      <c r="M2613" s="50">
        <v>141.84</v>
      </c>
      <c r="N2613" s="51">
        <v>110</v>
      </c>
      <c r="O2613" s="52">
        <v>106</v>
      </c>
      <c r="P2613" s="53">
        <v>100</v>
      </c>
      <c r="Q2613" s="54">
        <v>96</v>
      </c>
      <c r="R2613" s="1"/>
      <c r="S2613" s="1"/>
      <c r="T2613" s="1"/>
    </row>
    <row r="2614" spans="1:20" ht="13.5" customHeight="1" x14ac:dyDescent="0.25">
      <c r="A2614" s="1"/>
      <c r="B2614" s="1" t="s">
        <v>2303</v>
      </c>
      <c r="C2614" s="1" t="s">
        <v>471</v>
      </c>
      <c r="D2614" s="42">
        <v>4500</v>
      </c>
      <c r="E2614" s="43">
        <v>983.39</v>
      </c>
      <c r="F2614" s="45">
        <v>4500</v>
      </c>
      <c r="G2614" s="45">
        <v>4500</v>
      </c>
      <c r="H2614" s="46">
        <v>4797.13</v>
      </c>
      <c r="I2614" s="47">
        <f t="shared" si="1052"/>
        <v>1.0660288888888889</v>
      </c>
      <c r="J2614" s="48">
        <v>4500</v>
      </c>
      <c r="K2614" s="49">
        <v>4500</v>
      </c>
      <c r="L2614" s="50">
        <v>4678.22</v>
      </c>
      <c r="M2614" s="50">
        <v>3540.05</v>
      </c>
      <c r="N2614" s="51">
        <v>2618.7199999999998</v>
      </c>
      <c r="O2614" s="52">
        <v>3319.33</v>
      </c>
      <c r="P2614" s="53">
        <v>4447.07</v>
      </c>
      <c r="Q2614" s="54">
        <v>4653.59</v>
      </c>
      <c r="R2614" s="1"/>
      <c r="S2614" s="1"/>
      <c r="T2614" s="1"/>
    </row>
    <row r="2615" spans="1:20" ht="13.5" customHeight="1" x14ac:dyDescent="0.25">
      <c r="A2615" s="1"/>
      <c r="B2615" s="1" t="s">
        <v>2304</v>
      </c>
      <c r="C2615" s="1" t="s">
        <v>1138</v>
      </c>
      <c r="D2615" s="42">
        <v>100</v>
      </c>
      <c r="E2615" s="43">
        <v>0</v>
      </c>
      <c r="F2615" s="45">
        <v>100</v>
      </c>
      <c r="G2615" s="45">
        <v>100</v>
      </c>
      <c r="H2615" s="74">
        <v>0</v>
      </c>
      <c r="I2615" s="47">
        <f t="shared" si="1052"/>
        <v>0</v>
      </c>
      <c r="J2615" s="48">
        <v>100</v>
      </c>
      <c r="K2615" s="49">
        <v>100</v>
      </c>
      <c r="L2615" s="50">
        <v>37.94</v>
      </c>
      <c r="M2615" s="77">
        <v>0</v>
      </c>
      <c r="N2615" s="53">
        <v>0</v>
      </c>
      <c r="O2615" s="52">
        <v>0</v>
      </c>
      <c r="P2615" s="53">
        <v>0</v>
      </c>
      <c r="Q2615" s="54">
        <v>0</v>
      </c>
      <c r="R2615" s="1"/>
      <c r="S2615" s="1"/>
      <c r="T2615" s="1"/>
    </row>
    <row r="2616" spans="1:20" ht="13.5" customHeight="1" x14ac:dyDescent="0.25">
      <c r="A2616" s="1"/>
      <c r="B2616" s="1" t="s">
        <v>2305</v>
      </c>
      <c r="C2616" s="1" t="s">
        <v>473</v>
      </c>
      <c r="D2616" s="42">
        <v>0</v>
      </c>
      <c r="E2616" s="43">
        <v>0</v>
      </c>
      <c r="F2616" s="73">
        <v>0</v>
      </c>
      <c r="G2616" s="73">
        <v>0</v>
      </c>
      <c r="H2616" s="74">
        <v>312</v>
      </c>
      <c r="I2616" s="47">
        <v>0</v>
      </c>
      <c r="J2616" s="75">
        <v>0</v>
      </c>
      <c r="K2616" s="76">
        <v>0</v>
      </c>
      <c r="L2616" s="77">
        <v>0</v>
      </c>
      <c r="M2616" s="50">
        <v>25</v>
      </c>
      <c r="N2616" s="51">
        <v>219.98</v>
      </c>
      <c r="O2616" s="52">
        <v>0</v>
      </c>
      <c r="P2616" s="53">
        <v>230.99</v>
      </c>
      <c r="Q2616" s="54">
        <v>0</v>
      </c>
      <c r="R2616" s="1"/>
      <c r="S2616" s="1"/>
      <c r="T2616" s="1"/>
    </row>
    <row r="2617" spans="1:20" ht="13.5" customHeight="1" x14ac:dyDescent="0.25">
      <c r="A2617" s="1"/>
      <c r="B2617" s="1" t="s">
        <v>2306</v>
      </c>
      <c r="C2617" s="1" t="s">
        <v>1121</v>
      </c>
      <c r="D2617" s="42">
        <v>0</v>
      </c>
      <c r="E2617" s="43">
        <v>1129.27</v>
      </c>
      <c r="F2617" s="73">
        <v>0</v>
      </c>
      <c r="G2617" s="73">
        <v>0</v>
      </c>
      <c r="H2617" s="46">
        <v>539.17999999999995</v>
      </c>
      <c r="I2617" s="47">
        <v>0</v>
      </c>
      <c r="J2617" s="75">
        <v>0</v>
      </c>
      <c r="K2617" s="76">
        <v>0</v>
      </c>
      <c r="L2617" s="77">
        <v>0</v>
      </c>
      <c r="M2617" s="50">
        <v>146.69</v>
      </c>
      <c r="N2617" s="53">
        <v>0</v>
      </c>
      <c r="O2617" s="52">
        <v>0</v>
      </c>
      <c r="P2617" s="53">
        <v>0</v>
      </c>
      <c r="Q2617" s="54"/>
      <c r="R2617" s="1"/>
      <c r="S2617" s="1"/>
      <c r="T2617" s="1"/>
    </row>
    <row r="2618" spans="1:20" ht="13.5" customHeight="1" x14ac:dyDescent="0.25">
      <c r="A2618" s="1"/>
      <c r="B2618" s="1" t="s">
        <v>2307</v>
      </c>
      <c r="C2618" s="55" t="s">
        <v>265</v>
      </c>
      <c r="D2618" s="42">
        <v>2400</v>
      </c>
      <c r="E2618" s="43">
        <v>0</v>
      </c>
      <c r="F2618" s="45">
        <v>2400</v>
      </c>
      <c r="G2618" s="45">
        <v>2400</v>
      </c>
      <c r="H2618" s="68">
        <v>929</v>
      </c>
      <c r="I2618" s="47">
        <f t="shared" ref="I2618:I2621" si="1053">H2618/J2618</f>
        <v>0.38708333333333333</v>
      </c>
      <c r="J2618" s="48">
        <v>2400</v>
      </c>
      <c r="K2618" s="49">
        <v>2400</v>
      </c>
      <c r="L2618" s="77">
        <v>0</v>
      </c>
      <c r="M2618" s="50">
        <v>1179.95</v>
      </c>
      <c r="N2618" s="51">
        <v>1199.92</v>
      </c>
      <c r="O2618" s="52">
        <v>0</v>
      </c>
      <c r="P2618" s="53">
        <v>0</v>
      </c>
      <c r="Q2618" s="54"/>
      <c r="R2618" s="1"/>
      <c r="S2618" s="1"/>
      <c r="T2618" s="1"/>
    </row>
    <row r="2619" spans="1:20" ht="13.5" customHeight="1" x14ac:dyDescent="0.25">
      <c r="A2619" s="1"/>
      <c r="B2619" s="1" t="s">
        <v>2308</v>
      </c>
      <c r="C2619" s="1" t="s">
        <v>267</v>
      </c>
      <c r="D2619" s="42">
        <v>1500</v>
      </c>
      <c r="E2619" s="43">
        <v>1308.5999999999999</v>
      </c>
      <c r="F2619" s="45">
        <v>500</v>
      </c>
      <c r="G2619" s="45">
        <v>500</v>
      </c>
      <c r="H2619" s="46">
        <v>487.45</v>
      </c>
      <c r="I2619" s="47">
        <f t="shared" si="1053"/>
        <v>0.97489999999999999</v>
      </c>
      <c r="J2619" s="48">
        <v>500</v>
      </c>
      <c r="K2619" s="49">
        <v>500</v>
      </c>
      <c r="L2619" s="50">
        <v>976.45</v>
      </c>
      <c r="M2619" s="50">
        <v>750.04</v>
      </c>
      <c r="N2619" s="51">
        <v>254.01</v>
      </c>
      <c r="O2619" s="52">
        <v>476.98</v>
      </c>
      <c r="P2619" s="53">
        <v>0</v>
      </c>
      <c r="Q2619" s="54">
        <v>449.99</v>
      </c>
      <c r="R2619" s="1"/>
      <c r="S2619" s="1"/>
      <c r="T2619" s="1"/>
    </row>
    <row r="2620" spans="1:20" ht="13.5" customHeight="1" x14ac:dyDescent="0.25">
      <c r="A2620" s="1"/>
      <c r="B2620" s="1" t="s">
        <v>2309</v>
      </c>
      <c r="C2620" s="1" t="s">
        <v>2282</v>
      </c>
      <c r="D2620" s="42">
        <v>35000</v>
      </c>
      <c r="E2620" s="43">
        <v>13868.4</v>
      </c>
      <c r="F2620" s="45">
        <v>35000</v>
      </c>
      <c r="G2620" s="45">
        <v>35000</v>
      </c>
      <c r="H2620" s="46">
        <v>37306.9</v>
      </c>
      <c r="I2620" s="47">
        <f t="shared" si="1053"/>
        <v>1.0659114285714286</v>
      </c>
      <c r="J2620" s="48">
        <v>35000</v>
      </c>
      <c r="K2620" s="49">
        <v>35000</v>
      </c>
      <c r="L2620" s="50">
        <v>32609.05</v>
      </c>
      <c r="M2620" s="50">
        <v>33476.22</v>
      </c>
      <c r="N2620" s="51">
        <v>33020.300000000003</v>
      </c>
      <c r="O2620" s="52">
        <v>33705</v>
      </c>
      <c r="P2620" s="53">
        <v>25209.5</v>
      </c>
      <c r="Q2620" s="54">
        <v>27907</v>
      </c>
      <c r="R2620" s="1"/>
      <c r="S2620" s="1"/>
      <c r="T2620" s="1"/>
    </row>
    <row r="2621" spans="1:20" ht="13.5" customHeight="1" x14ac:dyDescent="0.25">
      <c r="A2621" s="1"/>
      <c r="B2621" s="1" t="s">
        <v>2310</v>
      </c>
      <c r="C2621" s="1" t="s">
        <v>2311</v>
      </c>
      <c r="D2621" s="42">
        <v>1500</v>
      </c>
      <c r="E2621" s="43">
        <v>0</v>
      </c>
      <c r="F2621" s="45">
        <v>1500</v>
      </c>
      <c r="G2621" s="45">
        <v>1500</v>
      </c>
      <c r="H2621" s="66">
        <v>1480</v>
      </c>
      <c r="I2621" s="47">
        <f t="shared" si="1053"/>
        <v>0.98666666666666669</v>
      </c>
      <c r="J2621" s="48">
        <v>1500</v>
      </c>
      <c r="K2621" s="49">
        <v>1500</v>
      </c>
      <c r="L2621" s="50">
        <v>1480</v>
      </c>
      <c r="M2621" s="50">
        <v>1400</v>
      </c>
      <c r="N2621" s="53">
        <v>0</v>
      </c>
      <c r="O2621" s="52">
        <v>750</v>
      </c>
      <c r="P2621" s="53">
        <v>0</v>
      </c>
      <c r="Q2621" s="54">
        <v>1900</v>
      </c>
      <c r="R2621" s="1"/>
      <c r="S2621" s="1"/>
      <c r="T2621" s="1"/>
    </row>
    <row r="2622" spans="1:20" ht="13.5" customHeight="1" x14ac:dyDescent="0.25">
      <c r="A2622" s="1"/>
      <c r="B2622" s="1"/>
      <c r="C2622" s="1"/>
      <c r="D2622" s="56">
        <v>45800</v>
      </c>
      <c r="E2622" s="57">
        <f t="shared" ref="E2622" si="1054">SUM(E2612:E2621)</f>
        <v>17418.47</v>
      </c>
      <c r="F2622" s="58">
        <f>SUM(F2611:F2621)</f>
        <v>44800</v>
      </c>
      <c r="G2622" s="58">
        <v>44800</v>
      </c>
      <c r="H2622" s="59">
        <f>SUM(H2612:H2621)</f>
        <v>46174</v>
      </c>
      <c r="I2622" s="59"/>
      <c r="J2622" s="60">
        <f t="shared" ref="J2622:Q2622" si="1055">SUM(J2612:J2621)</f>
        <v>44800</v>
      </c>
      <c r="K2622" s="61">
        <f t="shared" si="1055"/>
        <v>44800</v>
      </c>
      <c r="L2622" s="62">
        <f t="shared" si="1055"/>
        <v>39988</v>
      </c>
      <c r="M2622" s="62">
        <f t="shared" si="1055"/>
        <v>41076.43</v>
      </c>
      <c r="N2622" s="63">
        <f t="shared" si="1055"/>
        <v>37882.75</v>
      </c>
      <c r="O2622" s="64">
        <f t="shared" si="1055"/>
        <v>38884.660000000003</v>
      </c>
      <c r="P2622" s="63">
        <f t="shared" si="1055"/>
        <v>30992.04</v>
      </c>
      <c r="Q2622" s="65">
        <f t="shared" si="1055"/>
        <v>35512.629999999997</v>
      </c>
      <c r="R2622" s="1"/>
      <c r="S2622" s="1"/>
      <c r="T2622" s="1"/>
    </row>
    <row r="2623" spans="1:20" ht="13.5" customHeight="1" x14ac:dyDescent="0.25">
      <c r="A2623" s="1"/>
      <c r="B2623" s="1"/>
      <c r="C2623" s="1"/>
      <c r="D2623" s="42"/>
      <c r="E2623" s="44"/>
      <c r="F2623" s="45"/>
      <c r="G2623" s="45"/>
      <c r="H2623" s="66"/>
      <c r="I2623" s="66"/>
      <c r="J2623" s="48"/>
      <c r="K2623" s="49"/>
      <c r="L2623" s="50"/>
      <c r="M2623" s="50"/>
      <c r="N2623" s="53"/>
      <c r="O2623" s="52"/>
      <c r="P2623" s="53"/>
      <c r="Q2623" s="54"/>
      <c r="R2623" s="1"/>
      <c r="S2623" s="1"/>
      <c r="T2623" s="1"/>
    </row>
    <row r="2624" spans="1:20" ht="13.5" customHeight="1" x14ac:dyDescent="0.25">
      <c r="A2624" s="1"/>
      <c r="B2624" s="1" t="s">
        <v>2312</v>
      </c>
      <c r="C2624" s="1" t="s">
        <v>1422</v>
      </c>
      <c r="D2624" s="42">
        <v>4000</v>
      </c>
      <c r="E2624" s="43">
        <v>0</v>
      </c>
      <c r="F2624" s="45">
        <v>5000</v>
      </c>
      <c r="G2624" s="45">
        <v>5000</v>
      </c>
      <c r="H2624" s="74">
        <v>0</v>
      </c>
      <c r="I2624" s="47">
        <f t="shared" ref="I2624:I2633" si="1056">H2624/J2624</f>
        <v>0</v>
      </c>
      <c r="J2624" s="48">
        <v>5000</v>
      </c>
      <c r="K2624" s="49">
        <v>5000</v>
      </c>
      <c r="L2624" s="77">
        <v>0</v>
      </c>
      <c r="M2624" s="77">
        <v>0</v>
      </c>
      <c r="N2624" s="53" t="s">
        <v>16</v>
      </c>
      <c r="O2624" s="52">
        <v>0</v>
      </c>
      <c r="P2624" s="53">
        <v>270</v>
      </c>
      <c r="Q2624" s="54">
        <v>0</v>
      </c>
      <c r="R2624" s="1"/>
      <c r="S2624" s="1"/>
      <c r="T2624" s="1"/>
    </row>
    <row r="2625" spans="1:20" ht="13.5" customHeight="1" x14ac:dyDescent="0.25">
      <c r="A2625" s="1"/>
      <c r="B2625" s="1" t="s">
        <v>2313</v>
      </c>
      <c r="C2625" s="1" t="s">
        <v>271</v>
      </c>
      <c r="D2625" s="42">
        <v>500</v>
      </c>
      <c r="E2625" s="43">
        <v>0</v>
      </c>
      <c r="F2625" s="45">
        <v>500</v>
      </c>
      <c r="G2625" s="45">
        <v>500</v>
      </c>
      <c r="H2625" s="68">
        <v>500</v>
      </c>
      <c r="I2625" s="47">
        <f t="shared" si="1056"/>
        <v>1</v>
      </c>
      <c r="J2625" s="48">
        <v>500</v>
      </c>
      <c r="K2625" s="49">
        <v>500</v>
      </c>
      <c r="L2625" s="50">
        <v>500</v>
      </c>
      <c r="M2625" s="50">
        <v>510.95</v>
      </c>
      <c r="N2625" s="51">
        <v>500</v>
      </c>
      <c r="O2625" s="52">
        <v>500</v>
      </c>
      <c r="P2625" s="53">
        <v>500</v>
      </c>
      <c r="Q2625" s="54">
        <v>500</v>
      </c>
      <c r="R2625" s="1"/>
      <c r="S2625" s="1"/>
      <c r="T2625" s="1"/>
    </row>
    <row r="2626" spans="1:20" ht="13.5" customHeight="1" x14ac:dyDescent="0.25">
      <c r="A2626" s="1"/>
      <c r="B2626" s="1" t="s">
        <v>2314</v>
      </c>
      <c r="C2626" s="1" t="s">
        <v>318</v>
      </c>
      <c r="D2626" s="42">
        <v>3800</v>
      </c>
      <c r="E2626" s="43">
        <v>327.58</v>
      </c>
      <c r="F2626" s="45">
        <v>3800</v>
      </c>
      <c r="G2626" s="45">
        <v>3800</v>
      </c>
      <c r="H2626" s="46">
        <v>1051.06</v>
      </c>
      <c r="I2626" s="47">
        <f t="shared" si="1056"/>
        <v>0.27659473684210523</v>
      </c>
      <c r="J2626" s="48">
        <v>3800</v>
      </c>
      <c r="K2626" s="49">
        <v>3800</v>
      </c>
      <c r="L2626" s="50">
        <v>2800.99</v>
      </c>
      <c r="M2626" s="50">
        <v>2353.23</v>
      </c>
      <c r="N2626" s="51">
        <v>2950.2</v>
      </c>
      <c r="O2626" s="52">
        <v>2841.71</v>
      </c>
      <c r="P2626" s="53">
        <v>2593.92</v>
      </c>
      <c r="Q2626" s="54">
        <v>3615.61</v>
      </c>
      <c r="R2626" s="1"/>
      <c r="S2626" s="1"/>
      <c r="T2626" s="1"/>
    </row>
    <row r="2627" spans="1:20" ht="13.5" customHeight="1" x14ac:dyDescent="0.25">
      <c r="A2627" s="1"/>
      <c r="B2627" s="1" t="s">
        <v>2315</v>
      </c>
      <c r="C2627" s="55" t="s">
        <v>273</v>
      </c>
      <c r="D2627" s="42">
        <v>500</v>
      </c>
      <c r="E2627" s="70">
        <v>20.88</v>
      </c>
      <c r="F2627" s="45">
        <v>500</v>
      </c>
      <c r="G2627" s="45">
        <v>500</v>
      </c>
      <c r="H2627" s="74">
        <v>0</v>
      </c>
      <c r="I2627" s="47">
        <f t="shared" si="1056"/>
        <v>0</v>
      </c>
      <c r="J2627" s="48">
        <v>500</v>
      </c>
      <c r="K2627" s="49">
        <v>500</v>
      </c>
      <c r="L2627" s="77">
        <v>0</v>
      </c>
      <c r="M2627" s="77">
        <v>0</v>
      </c>
      <c r="N2627" s="53" t="s">
        <v>16</v>
      </c>
      <c r="O2627" s="52">
        <v>0</v>
      </c>
      <c r="P2627" s="53">
        <v>458.3</v>
      </c>
      <c r="Q2627" s="54">
        <v>0</v>
      </c>
      <c r="R2627" s="1"/>
      <c r="S2627" s="1"/>
      <c r="T2627" s="1"/>
    </row>
    <row r="2628" spans="1:20" ht="13.5" customHeight="1" x14ac:dyDescent="0.25">
      <c r="A2628" s="1"/>
      <c r="B2628" s="1" t="s">
        <v>2316</v>
      </c>
      <c r="C2628" s="1" t="s">
        <v>326</v>
      </c>
      <c r="D2628" s="42">
        <v>1500</v>
      </c>
      <c r="E2628" s="43">
        <v>0</v>
      </c>
      <c r="F2628" s="45">
        <v>1500</v>
      </c>
      <c r="G2628" s="45">
        <v>1500</v>
      </c>
      <c r="H2628" s="74">
        <v>0</v>
      </c>
      <c r="I2628" s="47">
        <f t="shared" si="1056"/>
        <v>0</v>
      </c>
      <c r="J2628" s="48">
        <v>1500</v>
      </c>
      <c r="K2628" s="49">
        <v>1500</v>
      </c>
      <c r="L2628" s="77">
        <v>0</v>
      </c>
      <c r="M2628" s="77">
        <v>0</v>
      </c>
      <c r="N2628" s="53" t="s">
        <v>16</v>
      </c>
      <c r="O2628" s="52">
        <v>0</v>
      </c>
      <c r="P2628" s="53">
        <v>0</v>
      </c>
      <c r="Q2628" s="54">
        <v>0</v>
      </c>
      <c r="R2628" s="1"/>
      <c r="S2628" s="1"/>
      <c r="T2628" s="1"/>
    </row>
    <row r="2629" spans="1:20" ht="13.5" customHeight="1" x14ac:dyDescent="0.25">
      <c r="A2629" s="1"/>
      <c r="B2629" s="1" t="s">
        <v>2317</v>
      </c>
      <c r="C2629" s="1" t="s">
        <v>1143</v>
      </c>
      <c r="D2629" s="42">
        <v>33000</v>
      </c>
      <c r="E2629" s="43">
        <v>9309.1</v>
      </c>
      <c r="F2629" s="45">
        <v>33000</v>
      </c>
      <c r="G2629" s="45">
        <v>33000</v>
      </c>
      <c r="H2629" s="46">
        <v>38895.43</v>
      </c>
      <c r="I2629" s="47">
        <f t="shared" si="1056"/>
        <v>1.1786493939393941</v>
      </c>
      <c r="J2629" s="48">
        <v>33000</v>
      </c>
      <c r="K2629" s="49">
        <v>33000</v>
      </c>
      <c r="L2629" s="50">
        <v>39268.28</v>
      </c>
      <c r="M2629" s="50">
        <v>38295.22</v>
      </c>
      <c r="N2629" s="51">
        <v>39020.83</v>
      </c>
      <c r="O2629" s="52">
        <v>41013.019999999997</v>
      </c>
      <c r="P2629" s="53">
        <v>44440.98</v>
      </c>
      <c r="Q2629" s="54">
        <v>55634.84</v>
      </c>
      <c r="R2629" s="1"/>
      <c r="S2629" s="1"/>
      <c r="T2629" s="1"/>
    </row>
    <row r="2630" spans="1:20" ht="13.5" customHeight="1" x14ac:dyDescent="0.25">
      <c r="A2630" s="1"/>
      <c r="B2630" s="1" t="s">
        <v>2318</v>
      </c>
      <c r="C2630" s="1" t="s">
        <v>1147</v>
      </c>
      <c r="D2630" s="42">
        <v>8000</v>
      </c>
      <c r="E2630" s="43">
        <v>1921.56</v>
      </c>
      <c r="F2630" s="45">
        <v>8000</v>
      </c>
      <c r="G2630" s="45">
        <v>8000</v>
      </c>
      <c r="H2630" s="46">
        <v>9199.32</v>
      </c>
      <c r="I2630" s="47">
        <f t="shared" si="1056"/>
        <v>1.149915</v>
      </c>
      <c r="J2630" s="48">
        <v>8000</v>
      </c>
      <c r="K2630" s="49">
        <v>8000</v>
      </c>
      <c r="L2630" s="50">
        <v>8224.75</v>
      </c>
      <c r="M2630" s="50">
        <v>10391.83</v>
      </c>
      <c r="N2630" s="51">
        <v>7988.45</v>
      </c>
      <c r="O2630" s="52">
        <v>6776.06</v>
      </c>
      <c r="P2630" s="53">
        <v>5706.35</v>
      </c>
      <c r="Q2630" s="54">
        <v>6220.67</v>
      </c>
      <c r="R2630" s="1"/>
      <c r="S2630" s="1"/>
      <c r="T2630" s="1"/>
    </row>
    <row r="2631" spans="1:20" ht="13.5" customHeight="1" x14ac:dyDescent="0.25">
      <c r="A2631" s="1"/>
      <c r="B2631" s="1" t="s">
        <v>2319</v>
      </c>
      <c r="C2631" s="1" t="s">
        <v>1126</v>
      </c>
      <c r="D2631" s="42">
        <v>5000</v>
      </c>
      <c r="E2631" s="43">
        <v>1241.6099999999999</v>
      </c>
      <c r="F2631" s="45">
        <v>5000</v>
      </c>
      <c r="G2631" s="45">
        <v>5000</v>
      </c>
      <c r="H2631" s="46">
        <v>4940.82</v>
      </c>
      <c r="I2631" s="47">
        <f t="shared" si="1056"/>
        <v>0.98816399999999993</v>
      </c>
      <c r="J2631" s="48">
        <v>5000</v>
      </c>
      <c r="K2631" s="49">
        <v>5000</v>
      </c>
      <c r="L2631" s="50">
        <v>6777.47</v>
      </c>
      <c r="M2631" s="50">
        <v>6711.16</v>
      </c>
      <c r="N2631" s="51">
        <v>3836</v>
      </c>
      <c r="O2631" s="52">
        <v>5160.17</v>
      </c>
      <c r="P2631" s="53">
        <v>7460.05</v>
      </c>
      <c r="Q2631" s="54">
        <v>3859.54</v>
      </c>
      <c r="R2631" s="1"/>
      <c r="S2631" s="1"/>
      <c r="T2631" s="1"/>
    </row>
    <row r="2632" spans="1:20" ht="13.5" customHeight="1" x14ac:dyDescent="0.25">
      <c r="A2632" s="1"/>
      <c r="B2632" s="1" t="s">
        <v>2320</v>
      </c>
      <c r="C2632" s="1" t="s">
        <v>1855</v>
      </c>
      <c r="D2632" s="42">
        <v>3500</v>
      </c>
      <c r="E2632" s="44">
        <f>1087.04+110</f>
        <v>1197.04</v>
      </c>
      <c r="F2632" s="45">
        <v>3500</v>
      </c>
      <c r="G2632" s="45">
        <v>3500</v>
      </c>
      <c r="H2632" s="46">
        <v>1827.55</v>
      </c>
      <c r="I2632" s="47">
        <f t="shared" si="1056"/>
        <v>0.52215714285714288</v>
      </c>
      <c r="J2632" s="48">
        <v>3500</v>
      </c>
      <c r="K2632" s="49">
        <v>3500</v>
      </c>
      <c r="L2632" s="50">
        <v>2151.1999999999998</v>
      </c>
      <c r="M2632" s="50">
        <v>2997.53</v>
      </c>
      <c r="N2632" s="51">
        <v>4138.33</v>
      </c>
      <c r="O2632" s="52">
        <v>2449.94</v>
      </c>
      <c r="P2632" s="53">
        <v>3311.02</v>
      </c>
      <c r="Q2632" s="54">
        <v>9235.43</v>
      </c>
      <c r="R2632" s="1"/>
      <c r="S2632" s="1"/>
      <c r="T2632" s="1"/>
    </row>
    <row r="2633" spans="1:20" ht="13.5" customHeight="1" x14ac:dyDescent="0.25">
      <c r="A2633" s="1"/>
      <c r="B2633" s="1" t="s">
        <v>2321</v>
      </c>
      <c r="C2633" s="1" t="s">
        <v>1128</v>
      </c>
      <c r="D2633" s="42">
        <v>6500</v>
      </c>
      <c r="E2633" s="43">
        <v>42.85</v>
      </c>
      <c r="F2633" s="45">
        <v>6500</v>
      </c>
      <c r="G2633" s="45">
        <v>6500</v>
      </c>
      <c r="H2633" s="46">
        <v>1048.8900000000001</v>
      </c>
      <c r="I2633" s="47">
        <f t="shared" si="1056"/>
        <v>0.16136769230769232</v>
      </c>
      <c r="J2633" s="48">
        <v>6500</v>
      </c>
      <c r="K2633" s="49">
        <v>6500</v>
      </c>
      <c r="L2633" s="50">
        <v>2782.74</v>
      </c>
      <c r="M2633" s="50">
        <v>1657.85</v>
      </c>
      <c r="N2633" s="51">
        <v>765.79</v>
      </c>
      <c r="O2633" s="52">
        <v>1230.92</v>
      </c>
      <c r="P2633" s="53">
        <v>15</v>
      </c>
      <c r="Q2633" s="54">
        <v>495.29</v>
      </c>
      <c r="R2633" s="1"/>
      <c r="S2633" s="1"/>
      <c r="T2633" s="1"/>
    </row>
    <row r="2634" spans="1:20" ht="13.5" customHeight="1" x14ac:dyDescent="0.25">
      <c r="A2634" s="1"/>
      <c r="B2634" s="1" t="s">
        <v>2322</v>
      </c>
      <c r="C2634" s="1" t="s">
        <v>489</v>
      </c>
      <c r="D2634" s="42">
        <v>0</v>
      </c>
      <c r="E2634" s="43">
        <v>7.5</v>
      </c>
      <c r="F2634" s="73">
        <v>0</v>
      </c>
      <c r="G2634" s="73">
        <v>0</v>
      </c>
      <c r="H2634" s="46">
        <v>141.65</v>
      </c>
      <c r="I2634" s="47">
        <v>0</v>
      </c>
      <c r="J2634" s="75">
        <v>0</v>
      </c>
      <c r="K2634" s="76">
        <v>0</v>
      </c>
      <c r="L2634" s="77">
        <v>0</v>
      </c>
      <c r="M2634" s="77">
        <v>0</v>
      </c>
      <c r="N2634" s="53" t="s">
        <v>16</v>
      </c>
      <c r="O2634" s="52">
        <v>0</v>
      </c>
      <c r="P2634" s="53">
        <v>0</v>
      </c>
      <c r="Q2634" s="54">
        <v>0</v>
      </c>
      <c r="R2634" s="1"/>
      <c r="S2634" s="1"/>
      <c r="T2634" s="1"/>
    </row>
    <row r="2635" spans="1:20" ht="13.5" customHeight="1" x14ac:dyDescent="0.25">
      <c r="A2635" s="1"/>
      <c r="B2635" s="1" t="s">
        <v>2323</v>
      </c>
      <c r="C2635" s="1" t="s">
        <v>1205</v>
      </c>
      <c r="D2635" s="42">
        <v>2160</v>
      </c>
      <c r="E2635" s="43">
        <v>206.25</v>
      </c>
      <c r="F2635" s="45">
        <v>2160</v>
      </c>
      <c r="G2635" s="45">
        <v>2160</v>
      </c>
      <c r="H2635" s="46">
        <v>1856.25</v>
      </c>
      <c r="I2635" s="47">
        <f t="shared" ref="I2635:I2637" si="1057">H2635/J2635</f>
        <v>0.859375</v>
      </c>
      <c r="J2635" s="48">
        <v>2160</v>
      </c>
      <c r="K2635" s="49">
        <v>2160</v>
      </c>
      <c r="L2635" s="50">
        <v>1167.25</v>
      </c>
      <c r="M2635" s="77">
        <v>0</v>
      </c>
      <c r="N2635" s="51">
        <v>1540</v>
      </c>
      <c r="O2635" s="52">
        <v>0</v>
      </c>
      <c r="P2635" s="53">
        <v>0</v>
      </c>
      <c r="Q2635" s="54">
        <v>0</v>
      </c>
      <c r="R2635" s="1"/>
      <c r="S2635" s="1"/>
      <c r="T2635" s="1"/>
    </row>
    <row r="2636" spans="1:20" ht="13.5" customHeight="1" x14ac:dyDescent="0.25">
      <c r="A2636" s="1"/>
      <c r="B2636" s="1" t="s">
        <v>2324</v>
      </c>
      <c r="C2636" s="1" t="s">
        <v>279</v>
      </c>
      <c r="D2636" s="42">
        <v>400</v>
      </c>
      <c r="E2636" s="43">
        <v>277.5</v>
      </c>
      <c r="F2636" s="45">
        <v>400</v>
      </c>
      <c r="G2636" s="45">
        <v>400</v>
      </c>
      <c r="H2636" s="46">
        <v>462.5</v>
      </c>
      <c r="I2636" s="47">
        <f t="shared" si="1057"/>
        <v>1.15625</v>
      </c>
      <c r="J2636" s="48">
        <v>400</v>
      </c>
      <c r="K2636" s="49">
        <v>400</v>
      </c>
      <c r="L2636" s="50">
        <v>277.5</v>
      </c>
      <c r="M2636" s="50">
        <v>370</v>
      </c>
      <c r="N2636" s="51">
        <v>277.5</v>
      </c>
      <c r="O2636" s="52">
        <v>370</v>
      </c>
      <c r="P2636" s="53">
        <v>277.5</v>
      </c>
      <c r="Q2636" s="54">
        <v>185</v>
      </c>
      <c r="R2636" s="1"/>
      <c r="S2636" s="1"/>
      <c r="T2636" s="1"/>
    </row>
    <row r="2637" spans="1:20" ht="13.5" customHeight="1" x14ac:dyDescent="0.25">
      <c r="A2637" s="1"/>
      <c r="B2637" s="1" t="s">
        <v>2325</v>
      </c>
      <c r="C2637" s="1" t="s">
        <v>1447</v>
      </c>
      <c r="D2637" s="42">
        <v>100</v>
      </c>
      <c r="E2637" s="43">
        <v>0</v>
      </c>
      <c r="F2637" s="45">
        <v>100</v>
      </c>
      <c r="G2637" s="45">
        <v>100</v>
      </c>
      <c r="H2637" s="74">
        <v>0</v>
      </c>
      <c r="I2637" s="47">
        <f t="shared" si="1057"/>
        <v>0</v>
      </c>
      <c r="J2637" s="48">
        <v>100</v>
      </c>
      <c r="K2637" s="49">
        <v>100</v>
      </c>
      <c r="L2637" s="77">
        <v>0</v>
      </c>
      <c r="M2637" s="77">
        <v>0</v>
      </c>
      <c r="N2637" s="53" t="s">
        <v>16</v>
      </c>
      <c r="O2637" s="52">
        <v>0</v>
      </c>
      <c r="P2637" s="53">
        <v>0</v>
      </c>
      <c r="Q2637" s="54">
        <v>0</v>
      </c>
      <c r="R2637" s="1"/>
      <c r="S2637" s="1"/>
      <c r="T2637" s="1"/>
    </row>
    <row r="2638" spans="1:20" ht="13.5" customHeight="1" x14ac:dyDescent="0.25">
      <c r="A2638" s="1"/>
      <c r="B2638" s="1"/>
      <c r="C2638" s="1"/>
      <c r="D2638" s="56">
        <v>68960</v>
      </c>
      <c r="E2638" s="57">
        <f t="shared" ref="E2638" si="1058">SUM(E2624:E2637)</f>
        <v>14551.87</v>
      </c>
      <c r="F2638" s="58">
        <f>SUM(F2623:F2637)</f>
        <v>69960</v>
      </c>
      <c r="G2638" s="58">
        <v>69960</v>
      </c>
      <c r="H2638" s="59">
        <f>SUM(H2624:H2637)</f>
        <v>59923.47</v>
      </c>
      <c r="I2638" s="59"/>
      <c r="J2638" s="60">
        <f t="shared" ref="J2638:Q2638" si="1059">SUM(J2624:J2637)</f>
        <v>69960</v>
      </c>
      <c r="K2638" s="61">
        <f t="shared" si="1059"/>
        <v>69960</v>
      </c>
      <c r="L2638" s="62">
        <f t="shared" si="1059"/>
        <v>63950.179999999993</v>
      </c>
      <c r="M2638" s="62">
        <f t="shared" si="1059"/>
        <v>63287.77</v>
      </c>
      <c r="N2638" s="63">
        <f t="shared" si="1059"/>
        <v>61017.1</v>
      </c>
      <c r="O2638" s="64">
        <f t="shared" si="1059"/>
        <v>60341.819999999992</v>
      </c>
      <c r="P2638" s="63">
        <f t="shared" si="1059"/>
        <v>65033.120000000003</v>
      </c>
      <c r="Q2638" s="65">
        <f t="shared" si="1059"/>
        <v>79746.37999999999</v>
      </c>
      <c r="R2638" s="1"/>
      <c r="S2638" s="1"/>
      <c r="T2638" s="1"/>
    </row>
    <row r="2639" spans="1:20" ht="13.5" customHeight="1" thickBot="1" x14ac:dyDescent="0.3">
      <c r="A2639" s="1"/>
      <c r="B2639" s="78"/>
      <c r="C2639" s="98" t="s">
        <v>2326</v>
      </c>
      <c r="D2639" s="267">
        <v>356296.94439999998</v>
      </c>
      <c r="E2639" s="173">
        <f t="shared" ref="E2639" si="1060">SUM(E2600+E2610+E2622+E2638)</f>
        <v>141553.85</v>
      </c>
      <c r="F2639" s="174">
        <f>SUM(F2600,F2610,F2622,F2638)</f>
        <v>354137.50179999997</v>
      </c>
      <c r="G2639" s="174">
        <v>354137.50179999997</v>
      </c>
      <c r="H2639" s="175">
        <f>SUM(H2600+H2610+H2622+H2638)</f>
        <v>314215.79000000004</v>
      </c>
      <c r="I2639" s="175"/>
      <c r="J2639" s="176">
        <f t="shared" ref="J2639:Q2639" si="1061">SUM(J2600+J2610+J2622+J2638)</f>
        <v>352304</v>
      </c>
      <c r="K2639" s="177">
        <f t="shared" si="1061"/>
        <v>352304</v>
      </c>
      <c r="L2639" s="178">
        <f t="shared" si="1061"/>
        <v>287278.81</v>
      </c>
      <c r="M2639" s="178">
        <f t="shared" si="1061"/>
        <v>277945.01</v>
      </c>
      <c r="N2639" s="263">
        <f t="shared" si="1061"/>
        <v>268805.42</v>
      </c>
      <c r="O2639" s="180">
        <f t="shared" si="1061"/>
        <v>249469.93</v>
      </c>
      <c r="P2639" s="263">
        <f t="shared" si="1061"/>
        <v>224303.44</v>
      </c>
      <c r="Q2639" s="181">
        <f t="shared" si="1061"/>
        <v>270840.32000000001</v>
      </c>
      <c r="R2639" s="1"/>
      <c r="S2639" s="1"/>
      <c r="T2639" s="1"/>
    </row>
    <row r="2640" spans="1:20" ht="13.5" customHeight="1" thickTop="1" x14ac:dyDescent="0.25">
      <c r="A2640" s="1"/>
      <c r="B2640" s="1"/>
      <c r="C2640" s="1"/>
      <c r="D2640" s="42"/>
      <c r="E2640" s="44"/>
      <c r="F2640" s="45"/>
      <c r="G2640" s="45"/>
      <c r="H2640" s="66"/>
      <c r="I2640" s="66"/>
      <c r="J2640" s="48"/>
      <c r="K2640" s="49"/>
      <c r="L2640" s="50"/>
      <c r="M2640" s="50"/>
      <c r="N2640" s="51"/>
      <c r="O2640" s="151"/>
      <c r="P2640" s="51"/>
      <c r="Q2640" s="152"/>
      <c r="R2640" s="1"/>
      <c r="S2640" s="1"/>
      <c r="T2640" s="1"/>
    </row>
    <row r="2641" spans="1:20" ht="13.5" customHeight="1" x14ac:dyDescent="0.25">
      <c r="A2641" s="1"/>
      <c r="B2641" s="262" t="s">
        <v>2327</v>
      </c>
      <c r="C2641" s="262" t="s">
        <v>2328</v>
      </c>
      <c r="D2641" s="42"/>
      <c r="E2641" s="67"/>
      <c r="F2641" s="45"/>
      <c r="G2641" s="45"/>
      <c r="H2641" s="74"/>
      <c r="I2641" s="66"/>
      <c r="J2641" s="48"/>
      <c r="K2641" s="49"/>
      <c r="L2641" s="77"/>
      <c r="M2641" s="77"/>
      <c r="N2641" s="53"/>
      <c r="O2641" s="52"/>
      <c r="P2641" s="53"/>
      <c r="Q2641" s="54"/>
      <c r="R2641" s="1"/>
      <c r="S2641" s="1"/>
      <c r="T2641" s="1"/>
    </row>
    <row r="2642" spans="1:20" ht="13.5" customHeight="1" x14ac:dyDescent="0.25">
      <c r="A2642" s="1"/>
      <c r="B2642" s="1"/>
      <c r="C2642" s="1"/>
      <c r="D2642" s="42"/>
      <c r="E2642" s="67"/>
      <c r="F2642" s="45"/>
      <c r="G2642" s="45"/>
      <c r="H2642" s="74"/>
      <c r="I2642" s="66"/>
      <c r="J2642" s="48"/>
      <c r="K2642" s="49"/>
      <c r="L2642" s="77"/>
      <c r="M2642" s="77"/>
      <c r="N2642" s="53"/>
      <c r="O2642" s="52"/>
      <c r="P2642" s="53"/>
      <c r="Q2642" s="54"/>
      <c r="R2642" s="1"/>
      <c r="S2642" s="1"/>
      <c r="T2642" s="1"/>
    </row>
    <row r="2643" spans="1:20" ht="13.5" customHeight="1" x14ac:dyDescent="0.25">
      <c r="A2643" s="41" t="s">
        <v>17</v>
      </c>
      <c r="B2643" s="1"/>
      <c r="C2643" s="1"/>
      <c r="D2643" s="42"/>
      <c r="E2643" s="67"/>
      <c r="F2643" s="45"/>
      <c r="G2643" s="45"/>
      <c r="H2643" s="74"/>
      <c r="I2643" s="66"/>
      <c r="J2643" s="48"/>
      <c r="K2643" s="49"/>
      <c r="L2643" s="77"/>
      <c r="M2643" s="77"/>
      <c r="N2643" s="53"/>
      <c r="O2643" s="52"/>
      <c r="P2643" s="53"/>
      <c r="Q2643" s="54"/>
      <c r="R2643" s="1"/>
      <c r="S2643" s="1"/>
      <c r="T2643" s="1"/>
    </row>
    <row r="2644" spans="1:20" ht="13.5" customHeight="1" x14ac:dyDescent="0.25">
      <c r="A2644" s="1"/>
      <c r="B2644" s="1" t="s">
        <v>2329</v>
      </c>
      <c r="C2644" s="1" t="s">
        <v>2330</v>
      </c>
      <c r="D2644" s="42">
        <v>-130000</v>
      </c>
      <c r="E2644" s="43">
        <v>-33055.39</v>
      </c>
      <c r="F2644" s="45">
        <v>-130000</v>
      </c>
      <c r="G2644" s="45">
        <v>-130000</v>
      </c>
      <c r="H2644" s="46">
        <v>-143224.6</v>
      </c>
      <c r="I2644" s="47">
        <f t="shared" ref="I2644:I2646" si="1062">H2644/J2644</f>
        <v>1.1017276923076924</v>
      </c>
      <c r="J2644" s="48">
        <v>-130000</v>
      </c>
      <c r="K2644" s="49">
        <v>-130000</v>
      </c>
      <c r="L2644" s="50">
        <v>-120898.63</v>
      </c>
      <c r="M2644" s="50">
        <v>-132056.74</v>
      </c>
      <c r="N2644" s="51">
        <v>-130376.47</v>
      </c>
      <c r="O2644" s="52">
        <v>129529.3</v>
      </c>
      <c r="P2644" s="53">
        <v>121345.11</v>
      </c>
      <c r="Q2644" s="54">
        <v>110238.25</v>
      </c>
      <c r="R2644" s="1"/>
      <c r="S2644" s="1"/>
      <c r="T2644" s="1"/>
    </row>
    <row r="2645" spans="1:20" ht="13.5" customHeight="1" x14ac:dyDescent="0.25">
      <c r="A2645" s="1"/>
      <c r="B2645" s="1" t="s">
        <v>2331</v>
      </c>
      <c r="C2645" s="1" t="s">
        <v>2042</v>
      </c>
      <c r="D2645" s="42">
        <v>-45000</v>
      </c>
      <c r="E2645" s="43">
        <v>-19496</v>
      </c>
      <c r="F2645" s="45">
        <v>-45000</v>
      </c>
      <c r="G2645" s="45">
        <v>-45000</v>
      </c>
      <c r="H2645" s="74">
        <v>-40060</v>
      </c>
      <c r="I2645" s="47">
        <f t="shared" si="1062"/>
        <v>0.89022222222222225</v>
      </c>
      <c r="J2645" s="48">
        <v>-45000</v>
      </c>
      <c r="K2645" s="49">
        <v>-45000</v>
      </c>
      <c r="L2645" s="50">
        <v>-51892.19</v>
      </c>
      <c r="M2645" s="50">
        <v>-16000</v>
      </c>
      <c r="N2645" s="51">
        <v>-28467.5</v>
      </c>
      <c r="O2645" s="52">
        <v>108596</v>
      </c>
      <c r="P2645" s="53">
        <v>39595</v>
      </c>
      <c r="Q2645" s="54">
        <v>19489</v>
      </c>
      <c r="R2645" s="1"/>
      <c r="S2645" s="1"/>
      <c r="T2645" s="1"/>
    </row>
    <row r="2646" spans="1:20" ht="13.5" customHeight="1" x14ac:dyDescent="0.25">
      <c r="A2646" s="1"/>
      <c r="B2646" s="1" t="s">
        <v>2332</v>
      </c>
      <c r="C2646" s="1" t="s">
        <v>1795</v>
      </c>
      <c r="D2646" s="42">
        <v>-235529</v>
      </c>
      <c r="E2646" s="43">
        <v>0</v>
      </c>
      <c r="F2646" s="45">
        <v>-235529</v>
      </c>
      <c r="G2646" s="45">
        <v>-235529</v>
      </c>
      <c r="H2646" s="68">
        <v>20698.5</v>
      </c>
      <c r="I2646" s="47">
        <f t="shared" si="1062"/>
        <v>-0.10706194525479486</v>
      </c>
      <c r="J2646" s="48">
        <v>-193332</v>
      </c>
      <c r="K2646" s="49">
        <v>-193332</v>
      </c>
      <c r="L2646" s="50">
        <v>1027.46</v>
      </c>
      <c r="M2646" s="50">
        <v>-22067.09</v>
      </c>
      <c r="N2646" s="51">
        <v>-5000</v>
      </c>
      <c r="O2646" s="52">
        <v>26927.1</v>
      </c>
      <c r="P2646" s="53">
        <v>0</v>
      </c>
      <c r="Q2646" s="54">
        <v>-107507.05</v>
      </c>
      <c r="R2646" s="1"/>
      <c r="S2646" s="1"/>
      <c r="T2646" s="1"/>
    </row>
    <row r="2647" spans="1:20" ht="13.5" customHeight="1" thickBot="1" x14ac:dyDescent="0.3">
      <c r="A2647" s="1"/>
      <c r="B2647" s="1"/>
      <c r="C2647" s="116" t="s">
        <v>2333</v>
      </c>
      <c r="D2647" s="267">
        <v>-410529</v>
      </c>
      <c r="E2647" s="173">
        <f t="shared" ref="E2647" si="1063">SUM(E2644:E2646)</f>
        <v>-52551.39</v>
      </c>
      <c r="F2647" s="174">
        <f>SUM(F2643:F2646)</f>
        <v>-410529</v>
      </c>
      <c r="G2647" s="174">
        <v>-410529</v>
      </c>
      <c r="H2647" s="175">
        <f>SUM(H2644:H2646)</f>
        <v>-162586.1</v>
      </c>
      <c r="I2647" s="175"/>
      <c r="J2647" s="176">
        <f t="shared" ref="J2647:Q2647" si="1064">SUM(J2644:J2646)</f>
        <v>-368332</v>
      </c>
      <c r="K2647" s="177">
        <f t="shared" si="1064"/>
        <v>-368332</v>
      </c>
      <c r="L2647" s="178">
        <f t="shared" si="1064"/>
        <v>-171763.36000000002</v>
      </c>
      <c r="M2647" s="178">
        <f t="shared" si="1064"/>
        <v>-170123.83</v>
      </c>
      <c r="N2647" s="179">
        <f t="shared" si="1064"/>
        <v>-163843.97</v>
      </c>
      <c r="O2647" s="180">
        <f t="shared" si="1064"/>
        <v>265052.39999999997</v>
      </c>
      <c r="P2647" s="179">
        <f t="shared" si="1064"/>
        <v>160940.10999999999</v>
      </c>
      <c r="Q2647" s="181">
        <f t="shared" si="1064"/>
        <v>22220.199999999997</v>
      </c>
      <c r="R2647" s="1"/>
      <c r="S2647" s="1"/>
      <c r="T2647" s="1"/>
    </row>
    <row r="2648" spans="1:20" ht="13.5" customHeight="1" thickTop="1" x14ac:dyDescent="0.25">
      <c r="A2648" s="1"/>
      <c r="B2648" s="1"/>
      <c r="C2648" s="1"/>
      <c r="D2648" s="42"/>
      <c r="E2648" s="67"/>
      <c r="F2648" s="45"/>
      <c r="G2648" s="45"/>
      <c r="H2648" s="74"/>
      <c r="I2648" s="66"/>
      <c r="J2648" s="48"/>
      <c r="K2648" s="49"/>
      <c r="L2648" s="50"/>
      <c r="M2648" s="50"/>
      <c r="N2648" s="51"/>
      <c r="O2648" s="52"/>
      <c r="P2648" s="53"/>
      <c r="Q2648" s="54"/>
      <c r="R2648" s="1"/>
      <c r="S2648" s="1"/>
      <c r="T2648" s="1"/>
    </row>
    <row r="2649" spans="1:20" ht="13.5" customHeight="1" x14ac:dyDescent="0.25">
      <c r="A2649" s="1"/>
      <c r="B2649" s="1" t="s">
        <v>2334</v>
      </c>
      <c r="C2649" s="55" t="s">
        <v>265</v>
      </c>
      <c r="D2649" s="42">
        <v>0</v>
      </c>
      <c r="E2649" s="43">
        <v>0</v>
      </c>
      <c r="F2649" s="73">
        <v>0</v>
      </c>
      <c r="G2649" s="73">
        <v>0</v>
      </c>
      <c r="H2649" s="74">
        <v>0</v>
      </c>
      <c r="I2649" s="74">
        <v>0</v>
      </c>
      <c r="J2649" s="75">
        <v>0</v>
      </c>
      <c r="K2649" s="76">
        <v>0</v>
      </c>
      <c r="L2649" s="77">
        <v>0</v>
      </c>
      <c r="M2649" s="50">
        <v>2465</v>
      </c>
      <c r="N2649" s="53" t="s">
        <v>16</v>
      </c>
      <c r="O2649" s="52">
        <v>0</v>
      </c>
      <c r="P2649" s="53">
        <v>0</v>
      </c>
      <c r="Q2649" s="54">
        <v>0</v>
      </c>
      <c r="R2649" s="1"/>
      <c r="S2649" s="1"/>
      <c r="T2649" s="1"/>
    </row>
    <row r="2650" spans="1:20" ht="13.5" customHeight="1" x14ac:dyDescent="0.25">
      <c r="A2650" s="1"/>
      <c r="B2650" s="1" t="s">
        <v>2335</v>
      </c>
      <c r="C2650" s="1" t="s">
        <v>267</v>
      </c>
      <c r="D2650" s="42">
        <v>1000</v>
      </c>
      <c r="E2650" s="43">
        <v>0</v>
      </c>
      <c r="F2650" s="45">
        <v>1000</v>
      </c>
      <c r="G2650" s="45">
        <v>1000</v>
      </c>
      <c r="H2650" s="74">
        <v>0</v>
      </c>
      <c r="I2650" s="47">
        <f>H2650/J2650</f>
        <v>0</v>
      </c>
      <c r="J2650" s="48">
        <v>1000</v>
      </c>
      <c r="K2650" s="49">
        <v>1000</v>
      </c>
      <c r="L2650" s="50">
        <v>617.70000000000005</v>
      </c>
      <c r="M2650" s="50">
        <v>595.05999999999995</v>
      </c>
      <c r="N2650" s="53" t="s">
        <v>16</v>
      </c>
      <c r="O2650" s="52">
        <v>0</v>
      </c>
      <c r="P2650" s="53">
        <v>0</v>
      </c>
      <c r="Q2650" s="54">
        <v>0</v>
      </c>
      <c r="R2650" s="1"/>
      <c r="S2650" s="1"/>
      <c r="T2650" s="1"/>
    </row>
    <row r="2651" spans="1:20" ht="13.5" customHeight="1" x14ac:dyDescent="0.25">
      <c r="A2651" s="1"/>
      <c r="B2651" s="1" t="s">
        <v>2336</v>
      </c>
      <c r="C2651" s="1" t="s">
        <v>2337</v>
      </c>
      <c r="D2651" s="42">
        <v>0</v>
      </c>
      <c r="E2651" s="43">
        <v>0</v>
      </c>
      <c r="F2651" s="73">
        <v>0</v>
      </c>
      <c r="G2651" s="73">
        <v>0</v>
      </c>
      <c r="H2651" s="74" t="s">
        <v>16</v>
      </c>
      <c r="I2651" s="74"/>
      <c r="J2651" s="75" t="s">
        <v>16</v>
      </c>
      <c r="K2651" s="76" t="s">
        <v>16</v>
      </c>
      <c r="L2651" s="77" t="s">
        <v>16</v>
      </c>
      <c r="M2651" s="77" t="s">
        <v>16</v>
      </c>
      <c r="N2651" s="51">
        <v>1430</v>
      </c>
      <c r="O2651" s="52">
        <v>1350</v>
      </c>
      <c r="P2651" s="53">
        <v>1990</v>
      </c>
      <c r="Q2651" s="54">
        <v>0</v>
      </c>
      <c r="R2651" s="1"/>
      <c r="S2651" s="1"/>
      <c r="T2651" s="1"/>
    </row>
    <row r="2652" spans="1:20" ht="13.5" customHeight="1" x14ac:dyDescent="0.25">
      <c r="A2652" s="1"/>
      <c r="B2652" s="1"/>
      <c r="C2652" s="1"/>
      <c r="D2652" s="88">
        <v>1000</v>
      </c>
      <c r="E2652" s="89">
        <f t="shared" ref="E2652" si="1065">SUM(E2650:E2651)</f>
        <v>0</v>
      </c>
      <c r="F2652" s="90">
        <f>SUM(F2648:F2650)</f>
        <v>1000</v>
      </c>
      <c r="G2652" s="90">
        <v>1000</v>
      </c>
      <c r="H2652" s="91">
        <f>SUM(H2650:H2651)</f>
        <v>0</v>
      </c>
      <c r="I2652" s="91"/>
      <c r="J2652" s="92">
        <f t="shared" ref="J2652:Q2652" si="1066">SUM(J2650:J2651)</f>
        <v>1000</v>
      </c>
      <c r="K2652" s="93">
        <f t="shared" si="1066"/>
        <v>1000</v>
      </c>
      <c r="L2652" s="94">
        <f t="shared" si="1066"/>
        <v>617.70000000000005</v>
      </c>
      <c r="M2652" s="94">
        <f t="shared" si="1066"/>
        <v>595.05999999999995</v>
      </c>
      <c r="N2652" s="95">
        <f t="shared" si="1066"/>
        <v>1430</v>
      </c>
      <c r="O2652" s="96">
        <f t="shared" si="1066"/>
        <v>1350</v>
      </c>
      <c r="P2652" s="95">
        <f t="shared" si="1066"/>
        <v>1990</v>
      </c>
      <c r="Q2652" s="97">
        <f t="shared" si="1066"/>
        <v>0</v>
      </c>
      <c r="R2652" s="1"/>
      <c r="S2652" s="1"/>
      <c r="T2652" s="1"/>
    </row>
    <row r="2653" spans="1:20" ht="13.5" customHeight="1" x14ac:dyDescent="0.25">
      <c r="A2653" s="1"/>
      <c r="B2653" s="1"/>
      <c r="C2653" s="1"/>
      <c r="D2653" s="72"/>
      <c r="E2653" s="67"/>
      <c r="F2653" s="73"/>
      <c r="G2653" s="73"/>
      <c r="H2653" s="74"/>
      <c r="I2653" s="74"/>
      <c r="J2653" s="75"/>
      <c r="K2653" s="76"/>
      <c r="L2653" s="77"/>
      <c r="M2653" s="77"/>
      <c r="N2653" s="51"/>
      <c r="O2653" s="52"/>
      <c r="P2653" s="53"/>
      <c r="Q2653" s="54"/>
      <c r="R2653" s="1"/>
      <c r="S2653" s="1"/>
      <c r="T2653" s="1"/>
    </row>
    <row r="2654" spans="1:20" ht="13.5" customHeight="1" x14ac:dyDescent="0.25">
      <c r="A2654" s="1"/>
      <c r="B2654" s="1" t="s">
        <v>2338</v>
      </c>
      <c r="C2654" s="1" t="s">
        <v>326</v>
      </c>
      <c r="D2654" s="42">
        <v>4000</v>
      </c>
      <c r="E2654" s="43">
        <v>0</v>
      </c>
      <c r="F2654" s="45">
        <v>4000</v>
      </c>
      <c r="G2654" s="45">
        <v>4000</v>
      </c>
      <c r="H2654" s="74">
        <v>0</v>
      </c>
      <c r="I2654" s="47">
        <f t="shared" ref="I2654:I2655" si="1067">H2654/J2654</f>
        <v>0</v>
      </c>
      <c r="J2654" s="48">
        <v>4000</v>
      </c>
      <c r="K2654" s="49">
        <v>4000</v>
      </c>
      <c r="L2654" s="77">
        <v>0</v>
      </c>
      <c r="M2654" s="77">
        <v>0</v>
      </c>
      <c r="N2654" s="53" t="s">
        <v>16</v>
      </c>
      <c r="O2654" s="52">
        <v>0</v>
      </c>
      <c r="P2654" s="53">
        <v>0</v>
      </c>
      <c r="Q2654" s="54">
        <v>256</v>
      </c>
      <c r="R2654" s="1"/>
      <c r="S2654" s="1"/>
      <c r="T2654" s="1"/>
    </row>
    <row r="2655" spans="1:20" ht="13.5" customHeight="1" x14ac:dyDescent="0.25">
      <c r="A2655" s="1"/>
      <c r="B2655" s="1" t="s">
        <v>2339</v>
      </c>
      <c r="C2655" s="1" t="s">
        <v>1126</v>
      </c>
      <c r="D2655" s="42">
        <v>5000</v>
      </c>
      <c r="E2655" s="43">
        <v>687.27</v>
      </c>
      <c r="F2655" s="45">
        <v>5000</v>
      </c>
      <c r="G2655" s="45">
        <v>5000</v>
      </c>
      <c r="H2655" s="46">
        <v>1506.74</v>
      </c>
      <c r="I2655" s="47">
        <f t="shared" si="1067"/>
        <v>0.301348</v>
      </c>
      <c r="J2655" s="48">
        <v>5000</v>
      </c>
      <c r="K2655" s="49">
        <v>5000</v>
      </c>
      <c r="L2655" s="50">
        <v>2541.35</v>
      </c>
      <c r="M2655" s="77">
        <v>0</v>
      </c>
      <c r="N2655" s="53" t="s">
        <v>16</v>
      </c>
      <c r="O2655" s="52">
        <v>29.75</v>
      </c>
      <c r="P2655" s="53">
        <v>908.98</v>
      </c>
      <c r="Q2655" s="54">
        <v>9533.24</v>
      </c>
      <c r="R2655" s="1"/>
      <c r="S2655" s="1"/>
      <c r="T2655" s="1"/>
    </row>
    <row r="2656" spans="1:20" ht="13.5" customHeight="1" x14ac:dyDescent="0.25">
      <c r="A2656" s="1"/>
      <c r="B2656" s="1" t="s">
        <v>2340</v>
      </c>
      <c r="C2656" s="1" t="s">
        <v>2341</v>
      </c>
      <c r="D2656" s="42">
        <v>0</v>
      </c>
      <c r="E2656" s="43">
        <v>0</v>
      </c>
      <c r="F2656" s="73">
        <v>0</v>
      </c>
      <c r="G2656" s="73">
        <v>0</v>
      </c>
      <c r="H2656" s="74">
        <v>0</v>
      </c>
      <c r="I2656" s="47">
        <v>0</v>
      </c>
      <c r="J2656" s="75">
        <v>0</v>
      </c>
      <c r="K2656" s="76">
        <v>0</v>
      </c>
      <c r="L2656" s="50">
        <v>104277</v>
      </c>
      <c r="M2656" s="50">
        <v>101807.55</v>
      </c>
      <c r="N2656" s="51">
        <v>113500.57</v>
      </c>
      <c r="O2656" s="52">
        <v>110860.07</v>
      </c>
      <c r="P2656" s="53">
        <v>104259</v>
      </c>
      <c r="Q2656" s="54">
        <v>100990.77</v>
      </c>
      <c r="R2656" s="1"/>
      <c r="S2656" s="1"/>
      <c r="T2656" s="1"/>
    </row>
    <row r="2657" spans="1:20" ht="13.5" customHeight="1" x14ac:dyDescent="0.25">
      <c r="A2657" s="1"/>
      <c r="B2657" s="1" t="s">
        <v>2342</v>
      </c>
      <c r="C2657" s="1" t="s">
        <v>1154</v>
      </c>
      <c r="D2657" s="42">
        <v>140000</v>
      </c>
      <c r="E2657" s="43">
        <v>41622.85</v>
      </c>
      <c r="F2657" s="45">
        <v>140000</v>
      </c>
      <c r="G2657" s="45">
        <v>140000</v>
      </c>
      <c r="H2657" s="46">
        <v>101796.53</v>
      </c>
      <c r="I2657" s="47">
        <f>H2657/J2657</f>
        <v>0.84830441666666667</v>
      </c>
      <c r="J2657" s="48">
        <v>120000</v>
      </c>
      <c r="K2657" s="49">
        <v>120000</v>
      </c>
      <c r="L2657" s="50">
        <v>120552.61</v>
      </c>
      <c r="M2657" s="50">
        <v>6340.34</v>
      </c>
      <c r="N2657" s="51">
        <v>-10440.280000000001</v>
      </c>
      <c r="O2657" s="52">
        <v>33799.74</v>
      </c>
      <c r="P2657" s="53">
        <v>429.77</v>
      </c>
      <c r="Q2657" s="54">
        <v>0</v>
      </c>
      <c r="R2657" s="1"/>
      <c r="S2657" s="1"/>
      <c r="T2657" s="1"/>
    </row>
    <row r="2658" spans="1:20" ht="13.5" customHeight="1" x14ac:dyDescent="0.25">
      <c r="A2658" s="1"/>
      <c r="B2658" s="1" t="s">
        <v>2343</v>
      </c>
      <c r="C2658" s="1" t="s">
        <v>1865</v>
      </c>
      <c r="D2658" s="42">
        <v>0</v>
      </c>
      <c r="E2658" s="43">
        <v>0</v>
      </c>
      <c r="F2658" s="73">
        <v>0</v>
      </c>
      <c r="G2658" s="73">
        <v>0</v>
      </c>
      <c r="H2658" s="74">
        <v>0</v>
      </c>
      <c r="I2658" s="47">
        <v>0</v>
      </c>
      <c r="J2658" s="75">
        <v>0</v>
      </c>
      <c r="K2658" s="76">
        <v>0</v>
      </c>
      <c r="L2658" s="50">
        <v>34725</v>
      </c>
      <c r="M2658" s="77">
        <v>0</v>
      </c>
      <c r="N2658" s="53" t="s">
        <v>16</v>
      </c>
      <c r="O2658" s="52"/>
      <c r="P2658" s="53"/>
      <c r="Q2658" s="54"/>
      <c r="R2658" s="1"/>
      <c r="S2658" s="1"/>
      <c r="T2658" s="1"/>
    </row>
    <row r="2659" spans="1:20" ht="13.5" customHeight="1" x14ac:dyDescent="0.25">
      <c r="A2659" s="1"/>
      <c r="B2659" s="1"/>
      <c r="C2659" s="1"/>
      <c r="D2659" s="88">
        <v>149000</v>
      </c>
      <c r="E2659" s="89">
        <f t="shared" ref="E2659" si="1068">SUM(E2654:E2658)</f>
        <v>42310.119999999995</v>
      </c>
      <c r="F2659" s="90">
        <f>SUM(F2653:F2658)</f>
        <v>149000</v>
      </c>
      <c r="G2659" s="90">
        <v>149000</v>
      </c>
      <c r="H2659" s="91">
        <f>SUM(H2654:H2658)</f>
        <v>103303.27</v>
      </c>
      <c r="I2659" s="91"/>
      <c r="J2659" s="92">
        <f t="shared" ref="J2659:Q2659" si="1069">SUM(J2654:J2658)</f>
        <v>129000</v>
      </c>
      <c r="K2659" s="93">
        <f t="shared" si="1069"/>
        <v>129000</v>
      </c>
      <c r="L2659" s="94">
        <f t="shared" si="1069"/>
        <v>262095.96000000002</v>
      </c>
      <c r="M2659" s="94">
        <f t="shared" si="1069"/>
        <v>108147.89</v>
      </c>
      <c r="N2659" s="95">
        <f t="shared" si="1069"/>
        <v>103060.29000000001</v>
      </c>
      <c r="O2659" s="96">
        <f t="shared" si="1069"/>
        <v>144689.56</v>
      </c>
      <c r="P2659" s="95">
        <f t="shared" si="1069"/>
        <v>105597.75</v>
      </c>
      <c r="Q2659" s="97">
        <f t="shared" si="1069"/>
        <v>110780.01000000001</v>
      </c>
      <c r="R2659" s="1"/>
      <c r="S2659" s="1"/>
      <c r="T2659" s="1"/>
    </row>
    <row r="2660" spans="1:20" ht="13.5" customHeight="1" x14ac:dyDescent="0.25">
      <c r="A2660" s="1"/>
      <c r="B2660" s="1"/>
      <c r="C2660" s="1"/>
      <c r="D2660" s="72"/>
      <c r="E2660" s="67"/>
      <c r="F2660" s="73"/>
      <c r="G2660" s="73"/>
      <c r="H2660" s="74"/>
      <c r="I2660" s="74"/>
      <c r="J2660" s="75"/>
      <c r="K2660" s="76"/>
      <c r="L2660" s="77"/>
      <c r="M2660" s="77"/>
      <c r="N2660" s="51"/>
      <c r="O2660" s="52"/>
      <c r="P2660" s="53"/>
      <c r="Q2660" s="54"/>
      <c r="R2660" s="1"/>
      <c r="S2660" s="1"/>
      <c r="T2660" s="1"/>
    </row>
    <row r="2661" spans="1:20" ht="13.5" customHeight="1" x14ac:dyDescent="0.25">
      <c r="A2661" s="1"/>
      <c r="B2661" s="1" t="s">
        <v>2344</v>
      </c>
      <c r="C2661" s="1" t="s">
        <v>2345</v>
      </c>
      <c r="D2661" s="42">
        <v>529</v>
      </c>
      <c r="E2661" s="43">
        <v>0</v>
      </c>
      <c r="F2661" s="45">
        <v>529</v>
      </c>
      <c r="G2661" s="45">
        <v>529</v>
      </c>
      <c r="H2661" s="74">
        <v>0</v>
      </c>
      <c r="I2661" s="47">
        <f>H2661/J2661</f>
        <v>0</v>
      </c>
      <c r="J2661" s="48">
        <v>529</v>
      </c>
      <c r="K2661" s="49">
        <v>529</v>
      </c>
      <c r="L2661" s="77">
        <v>0</v>
      </c>
      <c r="M2661" s="50">
        <v>260.52999999999997</v>
      </c>
      <c r="N2661" s="51">
        <v>528.94000000000005</v>
      </c>
      <c r="O2661" s="52">
        <v>213.47</v>
      </c>
      <c r="P2661" s="53">
        <v>0</v>
      </c>
      <c r="Q2661" s="54">
        <v>1190</v>
      </c>
      <c r="R2661" s="1"/>
      <c r="S2661" s="1"/>
      <c r="T2661" s="1"/>
    </row>
    <row r="2662" spans="1:20" ht="13.5" customHeight="1" x14ac:dyDescent="0.25">
      <c r="A2662" s="1"/>
      <c r="B2662" s="1" t="s">
        <v>2346</v>
      </c>
      <c r="C2662" s="1" t="s">
        <v>2347</v>
      </c>
      <c r="D2662" s="42">
        <v>0</v>
      </c>
      <c r="E2662" s="43">
        <v>0</v>
      </c>
      <c r="F2662" s="73">
        <v>0</v>
      </c>
      <c r="G2662" s="73">
        <v>0</v>
      </c>
      <c r="H2662" s="74" t="s">
        <v>16</v>
      </c>
      <c r="I2662" s="47"/>
      <c r="J2662" s="75" t="s">
        <v>16</v>
      </c>
      <c r="K2662" s="76" t="s">
        <v>16</v>
      </c>
      <c r="L2662" s="77" t="s">
        <v>16</v>
      </c>
      <c r="M2662" s="50">
        <v>1778</v>
      </c>
      <c r="N2662" s="53" t="s">
        <v>16</v>
      </c>
      <c r="O2662" s="52">
        <v>0</v>
      </c>
      <c r="P2662" s="53">
        <v>100</v>
      </c>
      <c r="Q2662" s="54">
        <v>100</v>
      </c>
      <c r="R2662" s="1"/>
      <c r="S2662" s="1"/>
      <c r="T2662" s="1"/>
    </row>
    <row r="2663" spans="1:20" ht="13.5" customHeight="1" x14ac:dyDescent="0.25">
      <c r="A2663" s="1"/>
      <c r="B2663" s="1" t="s">
        <v>2348</v>
      </c>
      <c r="C2663" s="1" t="s">
        <v>391</v>
      </c>
      <c r="D2663" s="42">
        <v>260000</v>
      </c>
      <c r="E2663" s="43">
        <v>0</v>
      </c>
      <c r="F2663" s="45">
        <v>260000</v>
      </c>
      <c r="G2663" s="45">
        <v>260000</v>
      </c>
      <c r="H2663" s="74">
        <v>0</v>
      </c>
      <c r="I2663" s="47">
        <f>H2663/J2663</f>
        <v>0</v>
      </c>
      <c r="J2663" s="48">
        <v>237803</v>
      </c>
      <c r="K2663" s="49">
        <v>237803</v>
      </c>
      <c r="L2663" s="77">
        <v>0</v>
      </c>
      <c r="M2663" s="77">
        <v>0</v>
      </c>
      <c r="N2663" s="53" t="s">
        <v>16</v>
      </c>
      <c r="O2663" s="52">
        <v>0</v>
      </c>
      <c r="P2663" s="53">
        <v>0</v>
      </c>
      <c r="Q2663" s="54">
        <v>0</v>
      </c>
      <c r="R2663" s="1"/>
      <c r="S2663" s="1"/>
      <c r="T2663" s="1"/>
    </row>
    <row r="2664" spans="1:20" ht="13.5" customHeight="1" x14ac:dyDescent="0.25">
      <c r="A2664" s="1"/>
      <c r="B2664" s="1"/>
      <c r="C2664" s="1"/>
      <c r="D2664" s="56">
        <v>260529</v>
      </c>
      <c r="E2664" s="57">
        <f t="shared" ref="E2664" si="1070">SUM(E2661:E2663)</f>
        <v>0</v>
      </c>
      <c r="F2664" s="58">
        <f>SUM(F2660:F2663)</f>
        <v>260529</v>
      </c>
      <c r="G2664" s="58">
        <v>260529</v>
      </c>
      <c r="H2664" s="59">
        <f>SUM(H2661:H2663)</f>
        <v>0</v>
      </c>
      <c r="I2664" s="59"/>
      <c r="J2664" s="60">
        <f t="shared" ref="J2664:Q2664" si="1071">SUM(J2661:J2663)</f>
        <v>238332</v>
      </c>
      <c r="K2664" s="61">
        <f t="shared" si="1071"/>
        <v>238332</v>
      </c>
      <c r="L2664" s="62">
        <f t="shared" si="1071"/>
        <v>0</v>
      </c>
      <c r="M2664" s="62">
        <f t="shared" si="1071"/>
        <v>2038.53</v>
      </c>
      <c r="N2664" s="63">
        <f t="shared" si="1071"/>
        <v>528.94000000000005</v>
      </c>
      <c r="O2664" s="64">
        <f t="shared" si="1071"/>
        <v>213.47</v>
      </c>
      <c r="P2664" s="63">
        <f t="shared" si="1071"/>
        <v>100</v>
      </c>
      <c r="Q2664" s="65">
        <f t="shared" si="1071"/>
        <v>1290</v>
      </c>
      <c r="R2664" s="1"/>
      <c r="S2664" s="1"/>
      <c r="T2664" s="1"/>
    </row>
    <row r="2665" spans="1:20" ht="13.5" customHeight="1" thickBot="1" x14ac:dyDescent="0.3">
      <c r="A2665" s="1"/>
      <c r="B2665" s="78"/>
      <c r="C2665" s="98" t="s">
        <v>2349</v>
      </c>
      <c r="D2665" s="267">
        <v>410529</v>
      </c>
      <c r="E2665" s="173">
        <f t="shared" ref="E2665" si="1072">SUM(E2652+E2659+E2664)</f>
        <v>42310.119999999995</v>
      </c>
      <c r="F2665" s="174">
        <f>SUM(F2652,F2659,F2664)</f>
        <v>410529</v>
      </c>
      <c r="G2665" s="174">
        <v>410529</v>
      </c>
      <c r="H2665" s="175">
        <f>SUM(H2652+H2659+H2664)</f>
        <v>103303.27</v>
      </c>
      <c r="I2665" s="175"/>
      <c r="J2665" s="176">
        <f t="shared" ref="J2665:Q2665" si="1073">SUM(J2652+J2659+J2664)</f>
        <v>368332</v>
      </c>
      <c r="K2665" s="177">
        <f t="shared" si="1073"/>
        <v>368332</v>
      </c>
      <c r="L2665" s="178">
        <f t="shared" si="1073"/>
        <v>262713.66000000003</v>
      </c>
      <c r="M2665" s="178">
        <f t="shared" si="1073"/>
        <v>110781.48</v>
      </c>
      <c r="N2665" s="263">
        <f t="shared" si="1073"/>
        <v>105019.23000000001</v>
      </c>
      <c r="O2665" s="180">
        <f t="shared" si="1073"/>
        <v>146253.03</v>
      </c>
      <c r="P2665" s="263">
        <f t="shared" si="1073"/>
        <v>107687.75</v>
      </c>
      <c r="Q2665" s="181">
        <f t="shared" si="1073"/>
        <v>112070.01000000001</v>
      </c>
      <c r="R2665" s="1"/>
      <c r="S2665" s="1"/>
      <c r="T2665" s="1"/>
    </row>
    <row r="2666" spans="1:20" ht="13.5" customHeight="1" thickTop="1" x14ac:dyDescent="0.25">
      <c r="A2666" s="1"/>
      <c r="B2666" s="1"/>
      <c r="C2666" s="1"/>
      <c r="D2666" s="42"/>
      <c r="E2666" s="67"/>
      <c r="F2666" s="45"/>
      <c r="G2666" s="45"/>
      <c r="H2666" s="74"/>
      <c r="I2666" s="66"/>
      <c r="J2666" s="48"/>
      <c r="K2666" s="49"/>
      <c r="L2666" s="77"/>
      <c r="M2666" s="77"/>
      <c r="N2666" s="53"/>
      <c r="O2666" s="52"/>
      <c r="P2666" s="53"/>
      <c r="Q2666" s="54"/>
      <c r="R2666" s="1"/>
      <c r="S2666" s="1"/>
      <c r="T2666" s="1"/>
    </row>
    <row r="2667" spans="1:20" ht="13.5" customHeight="1" x14ac:dyDescent="0.25">
      <c r="A2667" s="1"/>
      <c r="B2667" s="262" t="s">
        <v>2350</v>
      </c>
      <c r="C2667" s="262" t="s">
        <v>2351</v>
      </c>
      <c r="D2667" s="42"/>
      <c r="E2667" s="67"/>
      <c r="F2667" s="45"/>
      <c r="G2667" s="45"/>
      <c r="H2667" s="74"/>
      <c r="I2667" s="66"/>
      <c r="J2667" s="48"/>
      <c r="K2667" s="49"/>
      <c r="L2667" s="77"/>
      <c r="M2667" s="77"/>
      <c r="N2667" s="53"/>
      <c r="O2667" s="52"/>
      <c r="P2667" s="53"/>
      <c r="Q2667" s="54"/>
      <c r="R2667" s="1"/>
      <c r="S2667" s="1"/>
      <c r="T2667" s="1"/>
    </row>
    <row r="2668" spans="1:20" ht="13.5" customHeight="1" x14ac:dyDescent="0.25">
      <c r="A2668" s="1"/>
      <c r="B2668" s="1"/>
      <c r="C2668" s="1"/>
      <c r="D2668" s="42"/>
      <c r="E2668" s="67"/>
      <c r="F2668" s="45"/>
      <c r="G2668" s="45"/>
      <c r="H2668" s="74"/>
      <c r="I2668" s="66"/>
      <c r="J2668" s="48"/>
      <c r="K2668" s="49"/>
      <c r="L2668" s="77"/>
      <c r="M2668" s="77"/>
      <c r="N2668" s="53"/>
      <c r="O2668" s="52"/>
      <c r="P2668" s="53"/>
      <c r="Q2668" s="54"/>
      <c r="R2668" s="1"/>
      <c r="S2668" s="1"/>
      <c r="T2668" s="1"/>
    </row>
    <row r="2669" spans="1:20" ht="13.5" customHeight="1" x14ac:dyDescent="0.25">
      <c r="A2669" s="41" t="s">
        <v>17</v>
      </c>
      <c r="B2669" s="1"/>
      <c r="C2669" s="1"/>
      <c r="D2669" s="42"/>
      <c r="E2669" s="67"/>
      <c r="F2669" s="45"/>
      <c r="G2669" s="45"/>
      <c r="H2669" s="74"/>
      <c r="I2669" s="66"/>
      <c r="J2669" s="48"/>
      <c r="K2669" s="49"/>
      <c r="L2669" s="77"/>
      <c r="M2669" s="77"/>
      <c r="N2669" s="53"/>
      <c r="O2669" s="52"/>
      <c r="P2669" s="53"/>
      <c r="Q2669" s="54"/>
      <c r="R2669" s="1"/>
      <c r="S2669" s="1"/>
      <c r="T2669" s="1"/>
    </row>
    <row r="2670" spans="1:20" ht="13.5" customHeight="1" x14ac:dyDescent="0.25">
      <c r="A2670" s="1"/>
      <c r="B2670" s="1" t="s">
        <v>2352</v>
      </c>
      <c r="C2670" s="1" t="s">
        <v>2353</v>
      </c>
      <c r="D2670" s="42">
        <v>-125000</v>
      </c>
      <c r="E2670" s="43">
        <v>-35364.5</v>
      </c>
      <c r="F2670" s="45">
        <v>-125000</v>
      </c>
      <c r="G2670" s="45">
        <v>-125000</v>
      </c>
      <c r="H2670" s="46">
        <v>-133531.82</v>
      </c>
      <c r="I2670" s="47">
        <f t="shared" ref="I2670:I2671" si="1074">H2670/J2670</f>
        <v>1.06825456</v>
      </c>
      <c r="J2670" s="48">
        <v>-125000</v>
      </c>
      <c r="K2670" s="49">
        <v>-125000</v>
      </c>
      <c r="L2670" s="50">
        <v>-119879</v>
      </c>
      <c r="M2670" s="50">
        <v>-116989.5</v>
      </c>
      <c r="N2670" s="51">
        <v>-122037.95</v>
      </c>
      <c r="O2670" s="52">
        <v>126833.81</v>
      </c>
      <c r="P2670" s="53">
        <v>98881.64</v>
      </c>
      <c r="Q2670" s="54">
        <v>104788.05</v>
      </c>
      <c r="R2670" s="1"/>
      <c r="S2670" s="1"/>
      <c r="T2670" s="1"/>
    </row>
    <row r="2671" spans="1:20" ht="13.5" customHeight="1" x14ac:dyDescent="0.25">
      <c r="A2671" s="1"/>
      <c r="B2671" s="1" t="s">
        <v>2354</v>
      </c>
      <c r="C2671" s="1" t="s">
        <v>1795</v>
      </c>
      <c r="D2671" s="42">
        <v>19640</v>
      </c>
      <c r="E2671" s="43">
        <v>0</v>
      </c>
      <c r="F2671" s="45">
        <v>19637.5</v>
      </c>
      <c r="G2671" s="45">
        <v>19637.5</v>
      </c>
      <c r="H2671" s="68">
        <v>22259.65</v>
      </c>
      <c r="I2671" s="47">
        <f t="shared" si="1074"/>
        <v>1.1129825</v>
      </c>
      <c r="J2671" s="48">
        <v>20000</v>
      </c>
      <c r="K2671" s="49">
        <v>20000</v>
      </c>
      <c r="L2671" s="50">
        <v>13605.93</v>
      </c>
      <c r="M2671" s="50">
        <v>27500.68</v>
      </c>
      <c r="N2671" s="51">
        <v>25000</v>
      </c>
      <c r="O2671" s="52">
        <v>38897.46</v>
      </c>
      <c r="P2671" s="53">
        <v>-7601.04</v>
      </c>
      <c r="Q2671" s="54">
        <v>-43291.79</v>
      </c>
      <c r="R2671" s="1"/>
      <c r="S2671" s="1"/>
      <c r="T2671" s="1"/>
    </row>
    <row r="2672" spans="1:20" ht="13.5" customHeight="1" thickBot="1" x14ac:dyDescent="0.3">
      <c r="A2672" s="1"/>
      <c r="B2672" s="1"/>
      <c r="C2672" s="116" t="s">
        <v>2355</v>
      </c>
      <c r="D2672" s="267">
        <v>-105360</v>
      </c>
      <c r="E2672" s="173">
        <f t="shared" ref="E2672" si="1075">SUM(E2670:E2671)</f>
        <v>-35364.5</v>
      </c>
      <c r="F2672" s="174">
        <f>SUM(F2669:F2671)</f>
        <v>-105362.5</v>
      </c>
      <c r="G2672" s="174">
        <v>-105362.5</v>
      </c>
      <c r="H2672" s="175">
        <f>SUM(H2670:H2671)</f>
        <v>-111272.17000000001</v>
      </c>
      <c r="I2672" s="175"/>
      <c r="J2672" s="176">
        <f t="shared" ref="J2672:Q2672" si="1076">SUM(J2670:J2671)</f>
        <v>-105000</v>
      </c>
      <c r="K2672" s="177">
        <f t="shared" si="1076"/>
        <v>-105000</v>
      </c>
      <c r="L2672" s="178">
        <f t="shared" si="1076"/>
        <v>-106273.07</v>
      </c>
      <c r="M2672" s="178">
        <f t="shared" si="1076"/>
        <v>-89488.82</v>
      </c>
      <c r="N2672" s="179">
        <f t="shared" si="1076"/>
        <v>-97037.95</v>
      </c>
      <c r="O2672" s="180">
        <f t="shared" si="1076"/>
        <v>165731.26999999999</v>
      </c>
      <c r="P2672" s="179">
        <f t="shared" si="1076"/>
        <v>91280.6</v>
      </c>
      <c r="Q2672" s="181">
        <f t="shared" si="1076"/>
        <v>61496.26</v>
      </c>
      <c r="R2672" s="1"/>
      <c r="S2672" s="1"/>
      <c r="T2672" s="1"/>
    </row>
    <row r="2673" spans="1:20" ht="13.5" customHeight="1" thickTop="1" x14ac:dyDescent="0.25">
      <c r="A2673" s="1"/>
      <c r="B2673" s="1"/>
      <c r="C2673" s="1"/>
      <c r="D2673" s="42"/>
      <c r="E2673" s="67"/>
      <c r="F2673" s="45"/>
      <c r="G2673" s="45"/>
      <c r="H2673" s="74"/>
      <c r="I2673" s="66"/>
      <c r="J2673" s="48"/>
      <c r="K2673" s="49"/>
      <c r="L2673" s="50"/>
      <c r="M2673" s="50"/>
      <c r="N2673" s="51"/>
      <c r="O2673" s="52"/>
      <c r="P2673" s="53"/>
      <c r="Q2673" s="54"/>
      <c r="R2673" s="1"/>
      <c r="S2673" s="1"/>
      <c r="T2673" s="1"/>
    </row>
    <row r="2674" spans="1:20" ht="13.5" customHeight="1" x14ac:dyDescent="0.25">
      <c r="A2674" s="1"/>
      <c r="B2674" s="1" t="s">
        <v>2356</v>
      </c>
      <c r="C2674" s="1" t="s">
        <v>237</v>
      </c>
      <c r="D2674" s="42">
        <v>25000</v>
      </c>
      <c r="E2674" s="43">
        <v>11865</v>
      </c>
      <c r="F2674" s="45">
        <v>25000</v>
      </c>
      <c r="G2674" s="45">
        <v>25000</v>
      </c>
      <c r="H2674" s="46">
        <v>24209.97</v>
      </c>
      <c r="I2674" s="47">
        <f>H2674/J2674</f>
        <v>0.9683988</v>
      </c>
      <c r="J2674" s="48">
        <v>25000</v>
      </c>
      <c r="K2674" s="49">
        <v>25000</v>
      </c>
      <c r="L2674" s="50">
        <v>23475.03</v>
      </c>
      <c r="M2674" s="50">
        <v>23100</v>
      </c>
      <c r="N2674" s="51">
        <v>24250</v>
      </c>
      <c r="O2674" s="52">
        <v>16800</v>
      </c>
      <c r="P2674" s="53">
        <v>15467.98</v>
      </c>
      <c r="Q2674" s="54">
        <v>15877.02</v>
      </c>
      <c r="R2674" s="1"/>
      <c r="S2674" s="1"/>
      <c r="T2674" s="1"/>
    </row>
    <row r="2675" spans="1:20" ht="13.5" customHeight="1" x14ac:dyDescent="0.25">
      <c r="A2675" s="1"/>
      <c r="B2675" s="1"/>
      <c r="C2675" s="1"/>
      <c r="D2675" s="56">
        <v>25000</v>
      </c>
      <c r="E2675" s="57">
        <f t="shared" ref="E2675" si="1077">SUM(E2674)</f>
        <v>11865</v>
      </c>
      <c r="F2675" s="58">
        <f>SUM(F2673:F2674)</f>
        <v>25000</v>
      </c>
      <c r="G2675" s="58">
        <v>25000</v>
      </c>
      <c r="H2675" s="59">
        <f>SUM(H2674)</f>
        <v>24209.97</v>
      </c>
      <c r="I2675" s="59"/>
      <c r="J2675" s="60">
        <f t="shared" ref="J2675:Q2675" si="1078">SUM(J2674)</f>
        <v>25000</v>
      </c>
      <c r="K2675" s="61">
        <f t="shared" si="1078"/>
        <v>25000</v>
      </c>
      <c r="L2675" s="62">
        <f t="shared" si="1078"/>
        <v>23475.03</v>
      </c>
      <c r="M2675" s="62">
        <f t="shared" si="1078"/>
        <v>23100</v>
      </c>
      <c r="N2675" s="63">
        <f t="shared" si="1078"/>
        <v>24250</v>
      </c>
      <c r="O2675" s="64">
        <f t="shared" si="1078"/>
        <v>16800</v>
      </c>
      <c r="P2675" s="63">
        <f t="shared" si="1078"/>
        <v>15467.98</v>
      </c>
      <c r="Q2675" s="65">
        <f t="shared" si="1078"/>
        <v>15877.02</v>
      </c>
      <c r="R2675" s="1"/>
      <c r="S2675" s="1"/>
      <c r="T2675" s="1"/>
    </row>
    <row r="2676" spans="1:20" ht="13.5" customHeight="1" x14ac:dyDescent="0.25">
      <c r="A2676" s="1"/>
      <c r="B2676" s="1"/>
      <c r="C2676" s="1"/>
      <c r="D2676" s="42"/>
      <c r="E2676" s="44"/>
      <c r="F2676" s="45"/>
      <c r="G2676" s="45"/>
      <c r="H2676" s="66"/>
      <c r="I2676" s="66"/>
      <c r="J2676" s="48"/>
      <c r="K2676" s="49"/>
      <c r="L2676" s="50"/>
      <c r="M2676" s="50"/>
      <c r="N2676" s="51"/>
      <c r="O2676" s="52"/>
      <c r="P2676" s="53"/>
      <c r="Q2676" s="54"/>
      <c r="R2676" s="1"/>
      <c r="S2676" s="1"/>
      <c r="T2676" s="1"/>
    </row>
    <row r="2677" spans="1:20" ht="13.5" customHeight="1" x14ac:dyDescent="0.25">
      <c r="A2677" s="1"/>
      <c r="B2677" s="1" t="s">
        <v>2357</v>
      </c>
      <c r="C2677" s="1" t="s">
        <v>247</v>
      </c>
      <c r="D2677" s="42">
        <v>1550</v>
      </c>
      <c r="E2677" s="43">
        <v>907.69</v>
      </c>
      <c r="F2677" s="45">
        <v>1550</v>
      </c>
      <c r="G2677" s="45">
        <v>1550</v>
      </c>
      <c r="H2677" s="46">
        <v>1852.06</v>
      </c>
      <c r="I2677" s="47">
        <f t="shared" ref="I2677:I2680" si="1079">H2677/J2677</f>
        <v>1.0087472766884531</v>
      </c>
      <c r="J2677" s="48">
        <v>1836</v>
      </c>
      <c r="K2677" s="49">
        <v>1836</v>
      </c>
      <c r="L2677" s="50">
        <v>1795.87</v>
      </c>
      <c r="M2677" s="50">
        <v>1767.29</v>
      </c>
      <c r="N2677" s="51">
        <v>1855.31</v>
      </c>
      <c r="O2677" s="52">
        <v>1273.92</v>
      </c>
      <c r="P2677" s="53">
        <v>1250.6099999999999</v>
      </c>
      <c r="Q2677" s="54">
        <v>1157.17</v>
      </c>
      <c r="R2677" s="1"/>
      <c r="S2677" s="1"/>
      <c r="T2677" s="1"/>
    </row>
    <row r="2678" spans="1:20" ht="13.5" customHeight="1" x14ac:dyDescent="0.25">
      <c r="A2678" s="1"/>
      <c r="B2678" s="1" t="s">
        <v>2358</v>
      </c>
      <c r="C2678" s="1" t="s">
        <v>251</v>
      </c>
      <c r="D2678" s="42">
        <v>3755</v>
      </c>
      <c r="E2678" s="43">
        <v>1782.12</v>
      </c>
      <c r="F2678" s="45">
        <v>3755</v>
      </c>
      <c r="G2678" s="45">
        <v>3755</v>
      </c>
      <c r="H2678" s="46">
        <v>3518.97</v>
      </c>
      <c r="I2678" s="47">
        <f t="shared" si="1079"/>
        <v>0.96941322314049583</v>
      </c>
      <c r="J2678" s="48">
        <v>3630</v>
      </c>
      <c r="K2678" s="49">
        <v>3630</v>
      </c>
      <c r="L2678" s="50">
        <v>3399.36</v>
      </c>
      <c r="M2678" s="50">
        <v>3218.04</v>
      </c>
      <c r="N2678" s="51">
        <v>371.79</v>
      </c>
      <c r="O2678" s="52">
        <v>0</v>
      </c>
      <c r="P2678" s="53">
        <v>0</v>
      </c>
      <c r="Q2678" s="54">
        <v>177.22</v>
      </c>
      <c r="R2678" s="1"/>
      <c r="S2678" s="1"/>
      <c r="T2678" s="1"/>
    </row>
    <row r="2679" spans="1:20" ht="13.5" customHeight="1" x14ac:dyDescent="0.25">
      <c r="A2679" s="1"/>
      <c r="B2679" s="1" t="s">
        <v>2359</v>
      </c>
      <c r="C2679" s="1" t="s">
        <v>253</v>
      </c>
      <c r="D2679" s="42">
        <v>40</v>
      </c>
      <c r="E2679" s="43">
        <v>18.98</v>
      </c>
      <c r="F2679" s="45">
        <v>40</v>
      </c>
      <c r="G2679" s="45">
        <v>40</v>
      </c>
      <c r="H2679" s="46">
        <v>38.74</v>
      </c>
      <c r="I2679" s="47">
        <f t="shared" si="1079"/>
        <v>0.96850000000000003</v>
      </c>
      <c r="J2679" s="48">
        <v>40</v>
      </c>
      <c r="K2679" s="49">
        <v>40</v>
      </c>
      <c r="L2679" s="50">
        <v>42.99</v>
      </c>
      <c r="M2679" s="50">
        <v>44.03</v>
      </c>
      <c r="N2679" s="51">
        <v>5.4</v>
      </c>
      <c r="O2679" s="52">
        <v>0</v>
      </c>
      <c r="P2679" s="53">
        <v>0</v>
      </c>
      <c r="Q2679" s="54">
        <v>3.5</v>
      </c>
      <c r="R2679" s="1"/>
      <c r="S2679" s="1"/>
      <c r="T2679" s="1"/>
    </row>
    <row r="2680" spans="1:20" ht="13.5" customHeight="1" x14ac:dyDescent="0.25">
      <c r="A2680" s="1"/>
      <c r="B2680" s="1" t="s">
        <v>2360</v>
      </c>
      <c r="C2680" s="1" t="s">
        <v>287</v>
      </c>
      <c r="D2680" s="42">
        <v>14.999999999999998</v>
      </c>
      <c r="E2680" s="43">
        <v>2.81</v>
      </c>
      <c r="F2680" s="45">
        <v>17.5</v>
      </c>
      <c r="G2680" s="45">
        <v>17.5</v>
      </c>
      <c r="H2680" s="46">
        <v>21.75</v>
      </c>
      <c r="I2680" s="47">
        <f t="shared" si="1079"/>
        <v>0.2175</v>
      </c>
      <c r="J2680" s="48">
        <v>100</v>
      </c>
      <c r="K2680" s="49">
        <v>100</v>
      </c>
      <c r="L2680" s="50">
        <v>25.9</v>
      </c>
      <c r="M2680" s="50">
        <v>46.2</v>
      </c>
      <c r="N2680" s="51">
        <v>54.34</v>
      </c>
      <c r="O2680" s="52">
        <v>50.43</v>
      </c>
      <c r="P2680" s="53">
        <v>48.98</v>
      </c>
      <c r="Q2680" s="54">
        <v>0</v>
      </c>
      <c r="R2680" s="1"/>
      <c r="S2680" s="1"/>
      <c r="T2680" s="1"/>
    </row>
    <row r="2681" spans="1:20" ht="13.5" customHeight="1" x14ac:dyDescent="0.25">
      <c r="A2681" s="1"/>
      <c r="B2681" s="1"/>
      <c r="C2681" s="1"/>
      <c r="D2681" s="56">
        <v>5360</v>
      </c>
      <c r="E2681" s="57">
        <f t="shared" ref="E2681" si="1080">SUM(E2677:E2680)</f>
        <v>2711.6</v>
      </c>
      <c r="F2681" s="58">
        <f>SUM(F2676:F2680)</f>
        <v>5362.5</v>
      </c>
      <c r="G2681" s="58">
        <v>5362.5</v>
      </c>
      <c r="H2681" s="59">
        <f>SUM(H2677:H2680)</f>
        <v>5431.5199999999995</v>
      </c>
      <c r="I2681" s="59"/>
      <c r="J2681" s="60">
        <f t="shared" ref="J2681:Q2681" si="1081">SUM(J2677:J2680)</f>
        <v>5606</v>
      </c>
      <c r="K2681" s="61">
        <f t="shared" si="1081"/>
        <v>5606</v>
      </c>
      <c r="L2681" s="62">
        <f t="shared" si="1081"/>
        <v>5264.119999999999</v>
      </c>
      <c r="M2681" s="62">
        <f t="shared" si="1081"/>
        <v>5075.5599999999995</v>
      </c>
      <c r="N2681" s="63">
        <f t="shared" si="1081"/>
        <v>2286.84</v>
      </c>
      <c r="O2681" s="64">
        <f t="shared" si="1081"/>
        <v>1324.3500000000001</v>
      </c>
      <c r="P2681" s="63">
        <f t="shared" si="1081"/>
        <v>1299.5899999999999</v>
      </c>
      <c r="Q2681" s="65">
        <f t="shared" si="1081"/>
        <v>1337.89</v>
      </c>
      <c r="R2681" s="1"/>
      <c r="S2681" s="1"/>
      <c r="T2681" s="1"/>
    </row>
    <row r="2682" spans="1:20" ht="13.5" customHeight="1" x14ac:dyDescent="0.25">
      <c r="A2682" s="1"/>
      <c r="B2682" s="1"/>
      <c r="C2682" s="1"/>
      <c r="D2682" s="42"/>
      <c r="E2682" s="44"/>
      <c r="F2682" s="45"/>
      <c r="G2682" s="45"/>
      <c r="H2682" s="66"/>
      <c r="I2682" s="66"/>
      <c r="J2682" s="48"/>
      <c r="K2682" s="49"/>
      <c r="L2682" s="50"/>
      <c r="M2682" s="50"/>
      <c r="N2682" s="51"/>
      <c r="O2682" s="52"/>
      <c r="P2682" s="53"/>
      <c r="Q2682" s="54"/>
      <c r="R2682" s="1"/>
      <c r="S2682" s="1"/>
      <c r="T2682" s="1"/>
    </row>
    <row r="2683" spans="1:20" ht="13.5" customHeight="1" x14ac:dyDescent="0.25">
      <c r="A2683" s="1"/>
      <c r="B2683" s="1" t="s">
        <v>2361</v>
      </c>
      <c r="C2683" s="1" t="s">
        <v>259</v>
      </c>
      <c r="D2683" s="42">
        <v>0</v>
      </c>
      <c r="E2683" s="43">
        <v>275.72000000000003</v>
      </c>
      <c r="F2683" s="73">
        <v>0</v>
      </c>
      <c r="G2683" s="73">
        <v>0</v>
      </c>
      <c r="H2683" s="68">
        <v>346.58</v>
      </c>
      <c r="I2683" s="183">
        <v>0</v>
      </c>
      <c r="J2683" s="75">
        <v>0</v>
      </c>
      <c r="K2683" s="76">
        <v>0</v>
      </c>
      <c r="L2683" s="50">
        <v>606.28</v>
      </c>
      <c r="M2683" s="77">
        <v>0</v>
      </c>
      <c r="N2683" s="53" t="s">
        <v>16</v>
      </c>
      <c r="O2683" s="52"/>
      <c r="P2683" s="53"/>
      <c r="Q2683" s="54"/>
      <c r="R2683" s="1"/>
      <c r="S2683" s="1"/>
      <c r="T2683" s="1"/>
    </row>
    <row r="2684" spans="1:20" ht="13.5" customHeight="1" x14ac:dyDescent="0.25">
      <c r="A2684" s="1"/>
      <c r="B2684" s="1" t="s">
        <v>2362</v>
      </c>
      <c r="C2684" s="1" t="s">
        <v>1726</v>
      </c>
      <c r="D2684" s="42">
        <v>52000</v>
      </c>
      <c r="E2684" s="43">
        <v>12931.33</v>
      </c>
      <c r="F2684" s="45">
        <v>52000</v>
      </c>
      <c r="G2684" s="45">
        <v>52000</v>
      </c>
      <c r="H2684" s="46">
        <v>52068.800000000003</v>
      </c>
      <c r="I2684" s="47">
        <f>H2684/J2684</f>
        <v>1.001323076923077</v>
      </c>
      <c r="J2684" s="48">
        <v>52000</v>
      </c>
      <c r="K2684" s="49">
        <v>52000</v>
      </c>
      <c r="L2684" s="50">
        <v>52081.93</v>
      </c>
      <c r="M2684" s="50">
        <v>48185.14</v>
      </c>
      <c r="N2684" s="51">
        <v>49623.12</v>
      </c>
      <c r="O2684" s="52">
        <v>53159.81</v>
      </c>
      <c r="P2684" s="53">
        <v>45687.56</v>
      </c>
      <c r="Q2684" s="54">
        <v>0</v>
      </c>
      <c r="R2684" s="1"/>
      <c r="S2684" s="1"/>
      <c r="T2684" s="1"/>
    </row>
    <row r="2685" spans="1:20" ht="13.5" customHeight="1" x14ac:dyDescent="0.25">
      <c r="A2685" s="1"/>
      <c r="B2685" s="1" t="s">
        <v>2363</v>
      </c>
      <c r="C2685" s="55" t="s">
        <v>265</v>
      </c>
      <c r="D2685" s="42">
        <v>0</v>
      </c>
      <c r="E2685" s="43">
        <v>0</v>
      </c>
      <c r="F2685" s="73">
        <v>0</v>
      </c>
      <c r="G2685" s="73">
        <v>0</v>
      </c>
      <c r="H2685" s="74">
        <v>0</v>
      </c>
      <c r="I2685" s="74"/>
      <c r="J2685" s="75" t="s">
        <v>16</v>
      </c>
      <c r="K2685" s="76" t="s">
        <v>16</v>
      </c>
      <c r="L2685" s="77" t="s">
        <v>16</v>
      </c>
      <c r="M2685" s="50">
        <v>1029.98</v>
      </c>
      <c r="N2685" s="53" t="s">
        <v>16</v>
      </c>
      <c r="O2685" s="52"/>
      <c r="P2685" s="53"/>
      <c r="Q2685" s="54"/>
      <c r="R2685" s="1"/>
      <c r="S2685" s="1"/>
      <c r="T2685" s="1"/>
    </row>
    <row r="2686" spans="1:20" ht="13.5" customHeight="1" x14ac:dyDescent="0.25">
      <c r="A2686" s="1"/>
      <c r="B2686" s="1" t="s">
        <v>2364</v>
      </c>
      <c r="C2686" s="55" t="s">
        <v>267</v>
      </c>
      <c r="D2686" s="42">
        <v>0</v>
      </c>
      <c r="E2686" s="43">
        <v>0</v>
      </c>
      <c r="F2686" s="73">
        <v>0</v>
      </c>
      <c r="G2686" s="73">
        <v>0</v>
      </c>
      <c r="H2686" s="74">
        <v>0</v>
      </c>
      <c r="I2686" s="183">
        <v>0</v>
      </c>
      <c r="J2686" s="75">
        <v>0</v>
      </c>
      <c r="K2686" s="76">
        <v>0</v>
      </c>
      <c r="L2686" s="50">
        <v>560.45000000000005</v>
      </c>
      <c r="M2686" s="50">
        <v>82.81</v>
      </c>
      <c r="N2686" s="53" t="s">
        <v>16</v>
      </c>
      <c r="O2686" s="52"/>
      <c r="P2686" s="53"/>
      <c r="Q2686" s="54"/>
      <c r="R2686" s="1"/>
      <c r="S2686" s="1"/>
      <c r="T2686" s="1"/>
    </row>
    <row r="2687" spans="1:20" ht="13.5" customHeight="1" x14ac:dyDescent="0.25">
      <c r="A2687" s="1"/>
      <c r="B2687" s="1"/>
      <c r="C2687" s="1"/>
      <c r="D2687" s="88">
        <v>52000</v>
      </c>
      <c r="E2687" s="89">
        <f t="shared" ref="E2687" si="1082">SUM(E2683:E2686)</f>
        <v>13207.05</v>
      </c>
      <c r="F2687" s="90">
        <f>SUM(F2682:F2686)</f>
        <v>52000</v>
      </c>
      <c r="G2687" s="90">
        <v>52000</v>
      </c>
      <c r="H2687" s="91">
        <f>SUM(H2683:H2686)</f>
        <v>52415.380000000005</v>
      </c>
      <c r="I2687" s="91"/>
      <c r="J2687" s="92">
        <f t="shared" ref="J2687:Q2687" si="1083">SUM(J2683:J2686)</f>
        <v>52000</v>
      </c>
      <c r="K2687" s="93">
        <f t="shared" si="1083"/>
        <v>52000</v>
      </c>
      <c r="L2687" s="94">
        <f t="shared" si="1083"/>
        <v>53248.659999999996</v>
      </c>
      <c r="M2687" s="94">
        <f t="shared" si="1083"/>
        <v>49297.93</v>
      </c>
      <c r="N2687" s="95">
        <f t="shared" si="1083"/>
        <v>49623.12</v>
      </c>
      <c r="O2687" s="96">
        <f t="shared" si="1083"/>
        <v>53159.81</v>
      </c>
      <c r="P2687" s="95">
        <f t="shared" si="1083"/>
        <v>45687.56</v>
      </c>
      <c r="Q2687" s="97">
        <f t="shared" si="1083"/>
        <v>0</v>
      </c>
      <c r="R2687" s="1"/>
      <c r="S2687" s="1"/>
      <c r="T2687" s="1"/>
    </row>
    <row r="2688" spans="1:20" ht="13.5" customHeight="1" x14ac:dyDescent="0.25">
      <c r="A2688" s="1"/>
      <c r="B2688" s="1"/>
      <c r="C2688" s="1"/>
      <c r="D2688" s="42"/>
      <c r="E2688" s="67"/>
      <c r="F2688" s="73"/>
      <c r="G2688" s="73"/>
      <c r="H2688" s="74"/>
      <c r="I2688" s="74"/>
      <c r="J2688" s="75"/>
      <c r="K2688" s="76"/>
      <c r="L2688" s="50"/>
      <c r="M2688" s="50"/>
      <c r="N2688" s="53"/>
      <c r="O2688" s="52"/>
      <c r="P2688" s="53"/>
      <c r="Q2688" s="54"/>
      <c r="R2688" s="1"/>
      <c r="S2688" s="1"/>
      <c r="T2688" s="1"/>
    </row>
    <row r="2689" spans="1:20" ht="13.5" customHeight="1" x14ac:dyDescent="0.25">
      <c r="A2689" s="1"/>
      <c r="B2689" s="1" t="s">
        <v>2365</v>
      </c>
      <c r="C2689" s="1" t="s">
        <v>1422</v>
      </c>
      <c r="D2689" s="42">
        <v>14000</v>
      </c>
      <c r="E2689" s="43">
        <v>518.36</v>
      </c>
      <c r="F2689" s="45">
        <v>14000</v>
      </c>
      <c r="G2689" s="45">
        <v>14000</v>
      </c>
      <c r="H2689" s="46">
        <v>11869.98</v>
      </c>
      <c r="I2689" s="47">
        <f t="shared" ref="I2689:I2690" si="1084">H2689/J2689</f>
        <v>0.84785571428571427</v>
      </c>
      <c r="J2689" s="48">
        <v>14000</v>
      </c>
      <c r="K2689" s="49">
        <v>14000</v>
      </c>
      <c r="L2689" s="50">
        <v>9840.7999999999993</v>
      </c>
      <c r="M2689" s="50">
        <v>11926.26</v>
      </c>
      <c r="N2689" s="51">
        <v>11117.58</v>
      </c>
      <c r="O2689" s="39"/>
      <c r="P2689" s="1"/>
      <c r="Q2689" s="40"/>
      <c r="R2689" s="1"/>
      <c r="S2689" s="1"/>
      <c r="T2689" s="1"/>
    </row>
    <row r="2690" spans="1:20" ht="13.5" customHeight="1" x14ac:dyDescent="0.25">
      <c r="A2690" s="1"/>
      <c r="B2690" s="1" t="s">
        <v>2366</v>
      </c>
      <c r="C2690" s="1" t="s">
        <v>2367</v>
      </c>
      <c r="D2690" s="42">
        <v>9000</v>
      </c>
      <c r="E2690" s="43">
        <v>890.99</v>
      </c>
      <c r="F2690" s="45">
        <v>9000</v>
      </c>
      <c r="G2690" s="45">
        <v>9000</v>
      </c>
      <c r="H2690" s="46">
        <v>9448.09</v>
      </c>
      <c r="I2690" s="47">
        <f t="shared" si="1084"/>
        <v>1.1810112500000001</v>
      </c>
      <c r="J2690" s="48">
        <v>8000</v>
      </c>
      <c r="K2690" s="49">
        <v>8000</v>
      </c>
      <c r="L2690" s="50">
        <v>9090.8799999999992</v>
      </c>
      <c r="M2690" s="50">
        <v>8871.3700000000008</v>
      </c>
      <c r="N2690" s="51">
        <v>9254.36</v>
      </c>
      <c r="O2690" s="52">
        <v>9427.25</v>
      </c>
      <c r="P2690" s="53">
        <v>7431.36</v>
      </c>
      <c r="Q2690" s="54">
        <v>7938.9</v>
      </c>
      <c r="R2690" s="1"/>
      <c r="S2690" s="1"/>
      <c r="T2690" s="1"/>
    </row>
    <row r="2691" spans="1:20" ht="13.5" customHeight="1" x14ac:dyDescent="0.25">
      <c r="A2691" s="1"/>
      <c r="B2691" s="1" t="s">
        <v>2368</v>
      </c>
      <c r="C2691" s="1" t="s">
        <v>335</v>
      </c>
      <c r="D2691" s="42">
        <v>0</v>
      </c>
      <c r="E2691" s="43">
        <v>0</v>
      </c>
      <c r="F2691" s="73">
        <v>0</v>
      </c>
      <c r="G2691" s="73">
        <v>0</v>
      </c>
      <c r="H2691" s="74">
        <v>0</v>
      </c>
      <c r="I2691" s="183">
        <v>0</v>
      </c>
      <c r="J2691" s="75">
        <v>0</v>
      </c>
      <c r="K2691" s="76">
        <v>0</v>
      </c>
      <c r="L2691" s="50">
        <v>5578.39</v>
      </c>
      <c r="M2691" s="77">
        <v>0</v>
      </c>
      <c r="N2691" s="53" t="s">
        <v>16</v>
      </c>
      <c r="O2691" s="52"/>
      <c r="P2691" s="53"/>
      <c r="Q2691" s="54"/>
      <c r="R2691" s="1"/>
      <c r="S2691" s="1"/>
      <c r="T2691" s="1"/>
    </row>
    <row r="2692" spans="1:20" ht="13.5" customHeight="1" x14ac:dyDescent="0.25">
      <c r="A2692" s="1"/>
      <c r="B2692" s="1"/>
      <c r="C2692" s="1"/>
      <c r="D2692" s="88">
        <v>23000</v>
      </c>
      <c r="E2692" s="89">
        <f t="shared" ref="E2692" si="1085">SUM(E2689:E2691)</f>
        <v>1409.35</v>
      </c>
      <c r="F2692" s="90">
        <f>SUM(F2688:F2691)</f>
        <v>23000</v>
      </c>
      <c r="G2692" s="90">
        <v>23000</v>
      </c>
      <c r="H2692" s="91">
        <f>SUM(H2689:H2691)</f>
        <v>21318.07</v>
      </c>
      <c r="I2692" s="91"/>
      <c r="J2692" s="92">
        <f t="shared" ref="J2692:Q2692" si="1086">SUM(J2689:J2691)</f>
        <v>22000</v>
      </c>
      <c r="K2692" s="93">
        <f t="shared" si="1086"/>
        <v>22000</v>
      </c>
      <c r="L2692" s="94">
        <f t="shared" si="1086"/>
        <v>24510.07</v>
      </c>
      <c r="M2692" s="94">
        <f t="shared" si="1086"/>
        <v>20797.63</v>
      </c>
      <c r="N2692" s="95">
        <f t="shared" si="1086"/>
        <v>20371.940000000002</v>
      </c>
      <c r="O2692" s="96">
        <f t="shared" si="1086"/>
        <v>9427.25</v>
      </c>
      <c r="P2692" s="95">
        <f t="shared" si="1086"/>
        <v>7431.36</v>
      </c>
      <c r="Q2692" s="97">
        <f t="shared" si="1086"/>
        <v>7938.9</v>
      </c>
      <c r="R2692" s="1"/>
      <c r="S2692" s="1"/>
      <c r="T2692" s="1"/>
    </row>
    <row r="2693" spans="1:20" ht="13.5" customHeight="1" thickBot="1" x14ac:dyDescent="0.3">
      <c r="A2693" s="1"/>
      <c r="B2693" s="78"/>
      <c r="C2693" s="98" t="s">
        <v>2369</v>
      </c>
      <c r="D2693" s="184">
        <v>105360</v>
      </c>
      <c r="E2693" s="185">
        <f t="shared" ref="E2693" si="1087">SUM(E2675+E2681+E2687+E2692)</f>
        <v>29193</v>
      </c>
      <c r="F2693" s="186">
        <f>SUM(F2675,F2681,F2687,F2692)</f>
        <v>105362.5</v>
      </c>
      <c r="G2693" s="186">
        <v>105362.5</v>
      </c>
      <c r="H2693" s="187">
        <f>SUM(H2675+H2681+H2687+H2692)</f>
        <v>103374.94</v>
      </c>
      <c r="I2693" s="187"/>
      <c r="J2693" s="188">
        <f t="shared" ref="J2693:Q2693" si="1088">SUM(J2675+J2681+J2687+J2692)</f>
        <v>104606</v>
      </c>
      <c r="K2693" s="189">
        <f t="shared" si="1088"/>
        <v>104606</v>
      </c>
      <c r="L2693" s="190">
        <f t="shared" si="1088"/>
        <v>106497.88</v>
      </c>
      <c r="M2693" s="190">
        <f t="shared" si="1088"/>
        <v>98271.12</v>
      </c>
      <c r="N2693" s="270">
        <f t="shared" si="1088"/>
        <v>96531.900000000009</v>
      </c>
      <c r="O2693" s="192">
        <f t="shared" si="1088"/>
        <v>80711.41</v>
      </c>
      <c r="P2693" s="270">
        <f t="shared" si="1088"/>
        <v>69886.489999999991</v>
      </c>
      <c r="Q2693" s="193">
        <f t="shared" si="1088"/>
        <v>25153.809999999998</v>
      </c>
      <c r="R2693" s="1"/>
      <c r="S2693" s="1"/>
      <c r="T2693" s="1"/>
    </row>
    <row r="2694" spans="1:20" ht="13.5" customHeight="1" thickTop="1" x14ac:dyDescent="0.25">
      <c r="A2694" s="1"/>
      <c r="B2694" s="1"/>
      <c r="C2694" s="1"/>
      <c r="D2694" s="72"/>
      <c r="E2694" s="67"/>
      <c r="F2694" s="73"/>
      <c r="G2694" s="73"/>
      <c r="H2694" s="74"/>
      <c r="I2694" s="74"/>
      <c r="J2694" s="75"/>
      <c r="K2694" s="76"/>
      <c r="L2694" s="77"/>
      <c r="M2694" s="77"/>
      <c r="N2694" s="53"/>
      <c r="O2694" s="52"/>
      <c r="P2694" s="53"/>
      <c r="Q2694" s="54"/>
      <c r="R2694" s="1"/>
      <c r="S2694" s="1"/>
      <c r="T2694" s="1"/>
    </row>
    <row r="2695" spans="1:20" ht="13.5" customHeight="1" x14ac:dyDescent="0.25">
      <c r="A2695" s="1"/>
      <c r="B2695" s="1"/>
      <c r="C2695" s="1"/>
      <c r="D2695" s="72"/>
      <c r="E2695" s="67"/>
      <c r="F2695" s="73"/>
      <c r="G2695" s="73"/>
      <c r="H2695" s="74"/>
      <c r="I2695" s="74"/>
      <c r="J2695" s="75"/>
      <c r="K2695" s="76"/>
      <c r="L2695" s="77"/>
      <c r="M2695" s="77"/>
      <c r="N2695" s="53"/>
      <c r="O2695" s="52"/>
      <c r="P2695" s="53"/>
      <c r="Q2695" s="54"/>
      <c r="R2695" s="1"/>
      <c r="S2695" s="1"/>
      <c r="T2695" s="1"/>
    </row>
    <row r="2696" spans="1:20" ht="23.25" customHeight="1" x14ac:dyDescent="0.25">
      <c r="A2696" s="1"/>
      <c r="B2696" s="1"/>
      <c r="C2696" s="287" t="s">
        <v>2370</v>
      </c>
      <c r="D2696" s="288">
        <v>-44013034.449999996</v>
      </c>
      <c r="E2696" s="289">
        <f>SUM(E133+E1961+E2019+E2323+E2349+E2371+E2391+E2406+E2441+E2470+E2497+E2509+E2525+E2592+E2647+E2672)</f>
        <v>-34398070.859999999</v>
      </c>
      <c r="F2696" s="290">
        <f>SUM(F133+F1961+F2019+F2323+F2349+F2371+F2391+F2406+F2441+F2470+F2497+F2509+F2525+F2592+F2647+F2672)</f>
        <v>-42961078.910000004</v>
      </c>
      <c r="G2696" s="290">
        <f>SUM(G133+G1961+G2019+G2323+G2349+G2371+G2391+G2406+G2441+G2470+G2497+G2509+G2525+G2592+G2647+G2672)</f>
        <v>-43013460.040000007</v>
      </c>
      <c r="H2696" s="291">
        <f>SUM(H133+H1961+H2019+H2323+H2349+H2371+H2391+H2406+H2441+H2470+H2497+H2509+H2525+H2592+H2647+H2672)</f>
        <v>-37454911.319999985</v>
      </c>
      <c r="I2696" s="292">
        <f t="shared" ref="I2696:I2697" si="1089">H2696/J2696</f>
        <v>0.89513800465272075</v>
      </c>
      <c r="J2696" s="293">
        <f t="shared" ref="J2696:Q2696" si="1090">SUM(J133+J1961+J2019+J2323+J2349+J2371+J2391+J2406+J2441+J2470+J2497+J2509+J2525+J2592+J2647+J2672)</f>
        <v>-41842611</v>
      </c>
      <c r="K2696" s="294">
        <f t="shared" si="1090"/>
        <v>-41842611</v>
      </c>
      <c r="L2696" s="295">
        <f t="shared" si="1090"/>
        <v>-36859803.369999997</v>
      </c>
      <c r="M2696" s="295">
        <f t="shared" si="1090"/>
        <v>-35836599.540000014</v>
      </c>
      <c r="N2696" s="296">
        <f t="shared" si="1090"/>
        <v>-33216393.57</v>
      </c>
      <c r="O2696" s="297">
        <f t="shared" si="1090"/>
        <v>33086940.259999998</v>
      </c>
      <c r="P2696" s="296">
        <f t="shared" si="1090"/>
        <v>33748784.850000001</v>
      </c>
      <c r="Q2696" s="298">
        <f t="shared" si="1090"/>
        <v>30756329.960000001</v>
      </c>
      <c r="R2696" s="1"/>
      <c r="S2696" s="1"/>
      <c r="T2696" s="1"/>
    </row>
    <row r="2697" spans="1:20" ht="24" customHeight="1" x14ac:dyDescent="0.25">
      <c r="A2697" s="1"/>
      <c r="B2697" s="1"/>
      <c r="C2697" s="287" t="s">
        <v>2371</v>
      </c>
      <c r="D2697" s="288">
        <v>43983581.906811997</v>
      </c>
      <c r="E2697" s="289">
        <f t="shared" ref="E2697" si="1091">SUM(E1952+E1989+E2314+E2340+E2363+E2382+E2398+E2432+E2464+E2491+E2503+E2512+E2575+E2639+E2665+E2693)</f>
        <v>20181498.74000001</v>
      </c>
      <c r="F2697" s="290">
        <f>SUM(F1952+F1989+F2314+F2340+F2363+F2382+F2398+F2432+F2464+F2491+F2503+F2512+F2575+F2639+F2665+F2693)</f>
        <v>43018989.657442667</v>
      </c>
      <c r="G2697" s="290">
        <v>43036788.781542659</v>
      </c>
      <c r="H2697" s="291">
        <f>SUM(H1952+H1989+H2314+H2340+H2363+H2382+H2398+H2432+H2464+H2491+H2503+H2512+H2575+H2639+H2665+H2693)</f>
        <v>39923691.100000009</v>
      </c>
      <c r="I2697" s="299">
        <f t="shared" si="1089"/>
        <v>0.95334713242585822</v>
      </c>
      <c r="J2697" s="293">
        <f t="shared" ref="J2697:Q2697" si="1092">SUM(J1952+J1989+J2314+J2340+J2363+J2382+J2398+J2432+J2464+J2491+J2503+J2512+J2575+J2639+J2665+J2693)</f>
        <v>41877391.5</v>
      </c>
      <c r="K2697" s="294">
        <f t="shared" si="1092"/>
        <v>41779726</v>
      </c>
      <c r="L2697" s="295">
        <f t="shared" si="1092"/>
        <v>35713326.210000001</v>
      </c>
      <c r="M2697" s="295">
        <f t="shared" si="1092"/>
        <v>33565747.750000007</v>
      </c>
      <c r="N2697" s="296">
        <f t="shared" si="1092"/>
        <v>33098724.660000004</v>
      </c>
      <c r="O2697" s="297">
        <f t="shared" si="1092"/>
        <v>31842201.380000003</v>
      </c>
      <c r="P2697" s="296">
        <f t="shared" si="1092"/>
        <v>31953561.209999997</v>
      </c>
      <c r="Q2697" s="298">
        <f t="shared" si="1092"/>
        <v>29874754.400000013</v>
      </c>
      <c r="R2697" s="1"/>
      <c r="S2697" s="1"/>
      <c r="T2697" s="1"/>
    </row>
    <row r="2698" spans="1:20" ht="32.25" hidden="1" customHeight="1" x14ac:dyDescent="0.25">
      <c r="A2698" s="1"/>
      <c r="B2698" s="1"/>
      <c r="C2698" s="116" t="s">
        <v>2372</v>
      </c>
      <c r="D2698" s="163">
        <f>SUM(D2696:D2697)</f>
        <v>-29452.543187998235</v>
      </c>
      <c r="E2698" s="164">
        <f t="shared" ref="E2698" si="1093">SUM(E2696:E2697)</f>
        <v>-14216572.11999999</v>
      </c>
      <c r="F2698" s="165">
        <f t="shared" ref="F2698:H2698" si="1094">SUM(F2696:F2697)</f>
        <v>57910.747442662716</v>
      </c>
      <c r="G2698" s="165">
        <f t="shared" si="1094"/>
        <v>23328.741542652249</v>
      </c>
      <c r="H2698" s="166">
        <f t="shared" si="1094"/>
        <v>2468779.7800000235</v>
      </c>
      <c r="I2698" s="166"/>
      <c r="J2698" s="167">
        <f t="shared" ref="J2698:N2698" si="1095">SUM(J2696:J2697)</f>
        <v>34780.5</v>
      </c>
      <c r="K2698" s="168">
        <f t="shared" si="1095"/>
        <v>-62885</v>
      </c>
      <c r="L2698" s="169">
        <f t="shared" si="1095"/>
        <v>-1146477.1599999964</v>
      </c>
      <c r="M2698" s="169">
        <f t="shared" si="1095"/>
        <v>-2270851.7900000066</v>
      </c>
      <c r="N2698" s="170">
        <f t="shared" si="1095"/>
        <v>-117668.90999999642</v>
      </c>
      <c r="O2698" s="171">
        <f t="shared" ref="O2698:Q2698" si="1096">SUM(O2696-O2697)</f>
        <v>1244738.8799999952</v>
      </c>
      <c r="P2698" s="170">
        <f t="shared" si="1096"/>
        <v>1795223.6400000043</v>
      </c>
      <c r="Q2698" s="172">
        <f t="shared" si="1096"/>
        <v>881575.55999998748</v>
      </c>
      <c r="R2698" s="1"/>
      <c r="S2698" s="1"/>
      <c r="T2698" s="1"/>
    </row>
    <row r="2699" spans="1:20" ht="13.5" hidden="1" customHeight="1" x14ac:dyDescent="0.25">
      <c r="A2699" s="1"/>
      <c r="B2699" s="300"/>
      <c r="C2699" s="300"/>
      <c r="D2699" s="72"/>
      <c r="E2699" s="301"/>
      <c r="F2699" s="301"/>
      <c r="G2699" s="73"/>
      <c r="H2699" s="301"/>
      <c r="I2699" s="301"/>
      <c r="J2699" s="301"/>
      <c r="K2699" s="301"/>
      <c r="L2699" s="77"/>
      <c r="M2699" s="301"/>
      <c r="N2699" s="301"/>
      <c r="O2699" s="52"/>
      <c r="P2699" s="301"/>
      <c r="Q2699" s="54"/>
      <c r="R2699" s="1"/>
      <c r="S2699" s="1"/>
      <c r="T2699" s="1"/>
    </row>
    <row r="2700" spans="1:20" ht="13.5" hidden="1" customHeight="1" x14ac:dyDescent="0.25">
      <c r="A2700" s="1"/>
      <c r="B2700" s="1"/>
      <c r="C2700" s="1"/>
      <c r="D2700" s="42">
        <f>SUM(E2696:E2696)</f>
        <v>-34398070.859999999</v>
      </c>
      <c r="E2700" s="67">
        <f t="shared" ref="E2700" si="1097">SUM(E2696:E2697)</f>
        <v>-14216572.11999999</v>
      </c>
      <c r="F2700" s="73">
        <f t="shared" ref="F2700:G2700" si="1098">SUM(F2696:F2697)</f>
        <v>57910.747442662716</v>
      </c>
      <c r="G2700" s="73">
        <f t="shared" si="1098"/>
        <v>23328.741542652249</v>
      </c>
      <c r="H2700" s="74"/>
      <c r="I2700" s="74"/>
      <c r="J2700" s="75"/>
      <c r="K2700" s="76"/>
      <c r="L2700" s="77"/>
      <c r="M2700" s="77"/>
      <c r="N2700" s="53"/>
      <c r="O2700" s="52"/>
      <c r="P2700" s="53"/>
      <c r="Q2700" s="54"/>
      <c r="R2700" s="1"/>
      <c r="S2700" s="1"/>
      <c r="T2700" s="1"/>
    </row>
    <row r="2701" spans="1:20" ht="13.5" hidden="1" customHeight="1" x14ac:dyDescent="0.25">
      <c r="A2701" s="1"/>
      <c r="B2701" s="1"/>
      <c r="C2701" s="1"/>
      <c r="D2701" s="42" t="e">
        <f>SUM(#REF!)</f>
        <v>#REF!</v>
      </c>
      <c r="E2701" s="67"/>
      <c r="F2701" s="73"/>
      <c r="G2701" s="73"/>
      <c r="H2701" s="74"/>
      <c r="I2701" s="74"/>
      <c r="J2701" s="75"/>
      <c r="K2701" s="76"/>
      <c r="L2701" s="77"/>
      <c r="M2701" s="77"/>
      <c r="N2701" s="53"/>
      <c r="O2701" s="52"/>
      <c r="P2701" s="53"/>
      <c r="Q2701" s="54"/>
      <c r="R2701" s="1"/>
      <c r="S2701" s="1"/>
      <c r="T2701" s="1"/>
    </row>
    <row r="2702" spans="1:20" ht="13.5" hidden="1" customHeight="1" x14ac:dyDescent="0.25">
      <c r="A2702" s="1"/>
      <c r="B2702" s="1"/>
      <c r="C2702" s="1"/>
      <c r="D2702" s="72" t="e">
        <f>SUM(#REF!-D2697)</f>
        <v>#REF!</v>
      </c>
      <c r="E2702" s="67"/>
      <c r="F2702" s="73"/>
      <c r="G2702" s="73"/>
      <c r="H2702" s="74"/>
      <c r="I2702" s="74"/>
      <c r="J2702" s="75"/>
      <c r="K2702" s="76"/>
      <c r="L2702" s="77"/>
      <c r="M2702" s="77"/>
      <c r="N2702" s="53"/>
      <c r="O2702" s="52"/>
      <c r="P2702" s="53"/>
      <c r="Q2702" s="54"/>
      <c r="R2702" s="1"/>
      <c r="S2702" s="1"/>
      <c r="T2702" s="1"/>
    </row>
    <row r="2703" spans="1:20" ht="13.5" hidden="1" customHeight="1" x14ac:dyDescent="0.25">
      <c r="A2703" s="1"/>
      <c r="B2703" s="1"/>
      <c r="C2703" s="1"/>
      <c r="D2703" s="72">
        <f>SUM(D2696:D2697)</f>
        <v>-29452.543187998235</v>
      </c>
      <c r="E2703" s="67"/>
      <c r="F2703" s="73"/>
      <c r="G2703" s="73"/>
      <c r="H2703" s="74"/>
      <c r="I2703" s="74"/>
      <c r="J2703" s="75"/>
      <c r="K2703" s="76"/>
      <c r="L2703" s="77"/>
      <c r="M2703" s="77"/>
      <c r="N2703" s="53"/>
      <c r="O2703" s="52"/>
      <c r="P2703" s="53"/>
      <c r="Q2703" s="54"/>
      <c r="R2703" s="1"/>
      <c r="S2703" s="1"/>
      <c r="T2703" s="1"/>
    </row>
    <row r="2704" spans="1:20" ht="13.5" hidden="1" customHeight="1" x14ac:dyDescent="0.25">
      <c r="A2704" s="1"/>
      <c r="B2704" s="1"/>
      <c r="C2704" s="1"/>
      <c r="D2704" s="72">
        <f>SUM(D2697-E2697)</f>
        <v>23802083.166811988</v>
      </c>
      <c r="E2704" s="67"/>
      <c r="F2704" s="73"/>
      <c r="G2704" s="73"/>
      <c r="H2704" s="74"/>
      <c r="I2704" s="74"/>
      <c r="J2704" s="75"/>
      <c r="K2704" s="76"/>
      <c r="L2704" s="77"/>
      <c r="M2704" s="77"/>
      <c r="N2704" s="53"/>
      <c r="O2704" s="52"/>
      <c r="P2704" s="53"/>
      <c r="Q2704" s="54"/>
      <c r="R2704" s="1"/>
      <c r="S2704" s="1"/>
      <c r="T2704" s="1"/>
    </row>
    <row r="2705" spans="1:20" ht="13.5" hidden="1" customHeight="1" x14ac:dyDescent="0.25">
      <c r="A2705" s="1"/>
      <c r="B2705" s="1"/>
      <c r="C2705" s="1"/>
      <c r="D2705" s="72">
        <f>SUM(D2697-H2697)</f>
        <v>4059890.8068119884</v>
      </c>
      <c r="E2705" s="67"/>
      <c r="F2705" s="73"/>
      <c r="G2705" s="73"/>
      <c r="H2705" s="74"/>
      <c r="I2705" s="74"/>
      <c r="J2705" s="75"/>
      <c r="K2705" s="76"/>
      <c r="L2705" s="77"/>
      <c r="M2705" s="77"/>
      <c r="N2705" s="53"/>
      <c r="O2705" s="52"/>
      <c r="P2705" s="53"/>
      <c r="Q2705" s="54"/>
      <c r="R2705" s="1"/>
      <c r="S2705" s="1"/>
      <c r="T2705" s="1"/>
    </row>
    <row r="2706" spans="1:20" ht="13.5" hidden="1" customHeight="1" x14ac:dyDescent="0.25">
      <c r="A2706" s="1"/>
      <c r="B2706" s="1"/>
      <c r="C2706" s="1"/>
      <c r="D2706" s="72"/>
      <c r="E2706" s="67"/>
      <c r="F2706" s="73"/>
      <c r="G2706" s="73"/>
      <c r="H2706" s="74"/>
      <c r="I2706" s="74"/>
      <c r="J2706" s="75"/>
      <c r="K2706" s="76"/>
      <c r="L2706" s="77"/>
      <c r="M2706" s="77"/>
      <c r="N2706" s="53"/>
      <c r="O2706" s="52"/>
      <c r="P2706" s="53"/>
      <c r="Q2706" s="54"/>
      <c r="R2706" s="1"/>
      <c r="S2706" s="1"/>
      <c r="T2706" s="1"/>
    </row>
    <row r="2707" spans="1:20" ht="13.5" customHeight="1" x14ac:dyDescent="0.25">
      <c r="A2707" s="1"/>
      <c r="B2707" s="1"/>
      <c r="C2707" s="1"/>
      <c r="D2707" s="72"/>
      <c r="E2707" s="67"/>
      <c r="F2707" s="73"/>
      <c r="G2707" s="73"/>
      <c r="H2707" s="74"/>
      <c r="I2707" s="74"/>
      <c r="J2707" s="75"/>
      <c r="K2707" s="76"/>
      <c r="L2707" s="77"/>
      <c r="M2707" s="77"/>
      <c r="N2707" s="53"/>
      <c r="O2707" s="52"/>
      <c r="P2707" s="53"/>
      <c r="Q2707" s="54"/>
      <c r="R2707" s="1"/>
      <c r="S2707" s="1"/>
      <c r="T2707" s="1"/>
    </row>
  </sheetData>
  <customSheetViews>
    <customSheetView guid="{D5D04930-913E-423A-808A-AC1482DD8C7D}" filter="1" showAutoFilter="1">
      <pageMargins left="0.7" right="0.7" top="0.75" bottom="0.75" header="0.3" footer="0.3"/>
      <autoFilter ref="B19:U53"/>
    </customSheetView>
  </customSheetViews>
  <conditionalFormatting sqref="I6">
    <cfRule type="notContainsBlanks" dxfId="0" priority="1">
      <formula>LEN(TRIM(I6))&gt;0</formula>
    </cfRule>
  </conditionalFormatting>
  <printOptions gridLines="1"/>
  <pageMargins left="0.25" right="0.25" top="0.75" bottom="0.75" header="0" footer="0"/>
  <pageSetup fitToHeight="0"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4.42578125" defaultRowHeight="15" customHeight="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67"/>
  <sheetViews>
    <sheetView workbookViewId="0"/>
  </sheetViews>
  <sheetFormatPr defaultColWidth="14.42578125" defaultRowHeight="15" customHeight="1" x14ac:dyDescent="0.25"/>
  <cols>
    <col min="1" max="1" width="120.42578125" customWidth="1"/>
  </cols>
  <sheetData>
    <row r="1" spans="1:7" x14ac:dyDescent="0.25">
      <c r="A1" s="306"/>
    </row>
    <row r="2" spans="1:7" x14ac:dyDescent="0.25">
      <c r="A2" s="306"/>
    </row>
    <row r="3" spans="1:7" x14ac:dyDescent="0.25">
      <c r="A3" s="19" t="s">
        <v>2373</v>
      </c>
      <c r="B3" s="303"/>
      <c r="C3" s="303"/>
      <c r="D3" s="303"/>
      <c r="E3" s="303"/>
      <c r="F3" s="303"/>
      <c r="G3" s="303"/>
    </row>
    <row r="4" spans="1:7" x14ac:dyDescent="0.25">
      <c r="A4" s="304" t="s">
        <v>2374</v>
      </c>
      <c r="B4" s="305"/>
      <c r="C4" s="305"/>
      <c r="D4" s="303"/>
      <c r="E4" s="303"/>
      <c r="F4" s="305"/>
      <c r="G4" s="305"/>
    </row>
    <row r="5" spans="1:7" x14ac:dyDescent="0.25">
      <c r="A5" s="306"/>
    </row>
    <row r="6" spans="1:7" x14ac:dyDescent="0.25">
      <c r="A6" s="306" t="s">
        <v>2375</v>
      </c>
    </row>
    <row r="7" spans="1:7" x14ac:dyDescent="0.25">
      <c r="A7" s="306" t="s">
        <v>2376</v>
      </c>
    </row>
    <row r="8" spans="1:7" x14ac:dyDescent="0.25">
      <c r="A8" s="306" t="s">
        <v>2377</v>
      </c>
    </row>
    <row r="10" spans="1:7" x14ac:dyDescent="0.25">
      <c r="A10" s="306" t="s">
        <v>2378</v>
      </c>
    </row>
    <row r="12" spans="1:7" x14ac:dyDescent="0.25">
      <c r="A12" s="306" t="s">
        <v>2379</v>
      </c>
    </row>
    <row r="14" spans="1:7" x14ac:dyDescent="0.25">
      <c r="A14" s="306" t="s">
        <v>2380</v>
      </c>
    </row>
    <row r="16" spans="1:7" x14ac:dyDescent="0.25">
      <c r="A16" s="306" t="s">
        <v>2381</v>
      </c>
    </row>
    <row r="18" spans="1:1" x14ac:dyDescent="0.25">
      <c r="A18" s="306" t="s">
        <v>2382</v>
      </c>
    </row>
    <row r="20" spans="1:1" x14ac:dyDescent="0.25">
      <c r="A20" s="306" t="s">
        <v>2383</v>
      </c>
    </row>
    <row r="21" spans="1:1" x14ac:dyDescent="0.25">
      <c r="A21" s="306" t="s">
        <v>2384</v>
      </c>
    </row>
    <row r="22" spans="1:1" x14ac:dyDescent="0.25">
      <c r="A22" s="306" t="s">
        <v>2385</v>
      </c>
    </row>
    <row r="23" spans="1:1" x14ac:dyDescent="0.25">
      <c r="A23" s="306" t="s">
        <v>2386</v>
      </c>
    </row>
    <row r="24" spans="1:1" x14ac:dyDescent="0.25">
      <c r="A24" s="306" t="s">
        <v>2387</v>
      </c>
    </row>
    <row r="26" spans="1:1" x14ac:dyDescent="0.25">
      <c r="A26" s="306" t="s">
        <v>2388</v>
      </c>
    </row>
    <row r="27" spans="1:1" x14ac:dyDescent="0.25">
      <c r="A27" s="306" t="s">
        <v>2389</v>
      </c>
    </row>
    <row r="28" spans="1:1" x14ac:dyDescent="0.25">
      <c r="A28" s="306" t="s">
        <v>2390</v>
      </c>
    </row>
    <row r="29" spans="1:1" x14ac:dyDescent="0.25">
      <c r="A29" s="306"/>
    </row>
    <row r="30" spans="1:1" x14ac:dyDescent="0.25">
      <c r="A30" s="306" t="s">
        <v>2391</v>
      </c>
    </row>
    <row r="31" spans="1:1" x14ac:dyDescent="0.25">
      <c r="A31" s="306"/>
    </row>
    <row r="32" spans="1:1" x14ac:dyDescent="0.25">
      <c r="A32" s="306" t="s">
        <v>2392</v>
      </c>
    </row>
    <row r="33" spans="1:1" x14ac:dyDescent="0.25">
      <c r="A33" s="306"/>
    </row>
    <row r="34" spans="1:1" x14ac:dyDescent="0.25">
      <c r="A34" s="306" t="s">
        <v>2393</v>
      </c>
    </row>
    <row r="35" spans="1:1" x14ac:dyDescent="0.25">
      <c r="A35" s="306"/>
    </row>
    <row r="36" spans="1:1" x14ac:dyDescent="0.25">
      <c r="A36" s="306"/>
    </row>
    <row r="37" spans="1:1" x14ac:dyDescent="0.25">
      <c r="A37" s="306"/>
    </row>
    <row r="38" spans="1:1" x14ac:dyDescent="0.25">
      <c r="A38" s="306"/>
    </row>
    <row r="39" spans="1:1" x14ac:dyDescent="0.25">
      <c r="A39" s="306"/>
    </row>
    <row r="40" spans="1:1" x14ac:dyDescent="0.25">
      <c r="A40" s="306"/>
    </row>
    <row r="41" spans="1:1" x14ac:dyDescent="0.25">
      <c r="A41" s="306" t="s">
        <v>2394</v>
      </c>
    </row>
    <row r="42" spans="1:1" ht="23.25" customHeight="1" x14ac:dyDescent="0.25">
      <c r="A42" s="306" t="s">
        <v>2395</v>
      </c>
    </row>
    <row r="43" spans="1:1" x14ac:dyDescent="0.25">
      <c r="A43" s="306" t="s">
        <v>2396</v>
      </c>
    </row>
    <row r="44" spans="1:1" x14ac:dyDescent="0.25">
      <c r="A44" s="306" t="s">
        <v>2397</v>
      </c>
    </row>
    <row r="45" spans="1:1" x14ac:dyDescent="0.25">
      <c r="A45" s="306" t="s">
        <v>2398</v>
      </c>
    </row>
    <row r="46" spans="1:1" x14ac:dyDescent="0.25">
      <c r="A46" s="306" t="s">
        <v>2399</v>
      </c>
    </row>
    <row r="47" spans="1:1" x14ac:dyDescent="0.25">
      <c r="A47" s="306" t="s">
        <v>2400</v>
      </c>
    </row>
    <row r="48" spans="1:1" x14ac:dyDescent="0.25">
      <c r="A48" s="306" t="s">
        <v>2401</v>
      </c>
    </row>
    <row r="49" spans="1:3" x14ac:dyDescent="0.25">
      <c r="A49" s="306"/>
    </row>
    <row r="50" spans="1:3" x14ac:dyDescent="0.25">
      <c r="A50" s="306" t="s">
        <v>2402</v>
      </c>
    </row>
    <row r="51" spans="1:3" x14ac:dyDescent="0.25">
      <c r="A51" s="306"/>
    </row>
    <row r="52" spans="1:3" x14ac:dyDescent="0.25">
      <c r="A52" s="306" t="s">
        <v>2403</v>
      </c>
    </row>
    <row r="53" spans="1:3" x14ac:dyDescent="0.25">
      <c r="A53" s="306"/>
    </row>
    <row r="54" spans="1:3" ht="44.25" customHeight="1" x14ac:dyDescent="0.25">
      <c r="A54" s="307" t="s">
        <v>2404</v>
      </c>
    </row>
    <row r="55" spans="1:3" x14ac:dyDescent="0.25">
      <c r="A55" s="306"/>
    </row>
    <row r="56" spans="1:3" x14ac:dyDescent="0.25">
      <c r="A56" s="306" t="s">
        <v>2405</v>
      </c>
    </row>
    <row r="57" spans="1:3" x14ac:dyDescent="0.25">
      <c r="A57" s="306"/>
    </row>
    <row r="58" spans="1:3" x14ac:dyDescent="0.25">
      <c r="A58" s="308"/>
      <c r="B58" s="309"/>
      <c r="C58" s="309"/>
    </row>
    <row r="59" spans="1:3" x14ac:dyDescent="0.25">
      <c r="A59" s="310" t="s">
        <v>2406</v>
      </c>
      <c r="B59" s="111"/>
      <c r="C59" s="111"/>
    </row>
    <row r="60" spans="1:3" x14ac:dyDescent="0.25">
      <c r="A60" s="19" t="s">
        <v>2407</v>
      </c>
    </row>
    <row r="61" spans="1:3" x14ac:dyDescent="0.25">
      <c r="A61" s="304" t="s">
        <v>2408</v>
      </c>
    </row>
    <row r="62" spans="1:3" x14ac:dyDescent="0.25">
      <c r="A62" s="19" t="s">
        <v>2409</v>
      </c>
    </row>
    <row r="63" spans="1:3" x14ac:dyDescent="0.25">
      <c r="A63" s="306"/>
    </row>
    <row r="64" spans="1:3" x14ac:dyDescent="0.25">
      <c r="A64" s="306" t="s">
        <v>2410</v>
      </c>
    </row>
    <row r="65" spans="1:26" x14ac:dyDescent="0.25">
      <c r="A65" s="306" t="s">
        <v>2411</v>
      </c>
    </row>
    <row r="67" spans="1:26" ht="45" customHeight="1" x14ac:dyDescent="0.25">
      <c r="A67" s="311" t="s">
        <v>2412</v>
      </c>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2021 BUDGET </vt:lpstr>
      <vt:lpstr>2021 Notes</vt:lpstr>
      <vt:lpstr>2020 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 McCawley</dc:creator>
  <cp:lastModifiedBy>Ulysses Galvan</cp:lastModifiedBy>
  <dcterms:created xsi:type="dcterms:W3CDTF">2020-09-22T16:41:47Z</dcterms:created>
  <dcterms:modified xsi:type="dcterms:W3CDTF">2020-09-23T13:13:18Z</dcterms:modified>
</cp:coreProperties>
</file>