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55" windowWidth="18885" windowHeight="6735"/>
  </bookViews>
  <sheets>
    <sheet name="2022 BUDGET " sheetId="1" r:id="rId1"/>
    <sheet name="Position Budget" sheetId="11" state="hidden" r:id="rId2"/>
    <sheet name="TransfersContingency" sheetId="12" state="hidden" r:id="rId3"/>
    <sheet name="JUVCSCD" sheetId="13" state="hidden" r:id="rId4"/>
    <sheet name="RevExp Totals" sheetId="14" state="hidden" r:id="rId5"/>
    <sheet name="Position Bdgt 2020" sheetId="15" state="hidden" r:id="rId6"/>
    <sheet name="2021 Notes" sheetId="16" state="hidden" r:id="rId7"/>
    <sheet name="2020 Notes" sheetId="17" state="hidden" r:id="rId8"/>
  </sheets>
  <calcPr calcId="144525"/>
</workbook>
</file>

<file path=xl/calcChain.xml><?xml version="1.0" encoding="utf-8"?>
<calcChain xmlns="http://schemas.openxmlformats.org/spreadsheetml/2006/main">
  <c r="K3343" i="1" l="1"/>
  <c r="J3343" i="1"/>
  <c r="I3343" i="1"/>
  <c r="K3332" i="1"/>
  <c r="J3332" i="1"/>
  <c r="I3332" i="1"/>
  <c r="K3321" i="1"/>
  <c r="J3321" i="1"/>
  <c r="I3321" i="1"/>
  <c r="K3305" i="1"/>
  <c r="J3305" i="1"/>
  <c r="I3305" i="1"/>
  <c r="K3299" i="1"/>
  <c r="J3299" i="1"/>
  <c r="I3299" i="1"/>
  <c r="K3280" i="1"/>
  <c r="J3280" i="1"/>
  <c r="I3280" i="1"/>
  <c r="K3263" i="1"/>
  <c r="J3263" i="1"/>
  <c r="I3263" i="1"/>
  <c r="K3248" i="1"/>
  <c r="J3248" i="1"/>
  <c r="I3248" i="1"/>
  <c r="K3230" i="1"/>
  <c r="J3230" i="1"/>
  <c r="I3230" i="1"/>
  <c r="K3212" i="1"/>
  <c r="J3212" i="1"/>
  <c r="I3211" i="1"/>
  <c r="I3210" i="1"/>
  <c r="I3209" i="1"/>
  <c r="K3198" i="1"/>
  <c r="J3198" i="1"/>
  <c r="I3198" i="1"/>
  <c r="K3190" i="1"/>
  <c r="J3190" i="1"/>
  <c r="I3190" i="1"/>
  <c r="K3185" i="1"/>
  <c r="J3185" i="1"/>
  <c r="I3185" i="1"/>
  <c r="K3175" i="1"/>
  <c r="J3175" i="1"/>
  <c r="I3175" i="1"/>
  <c r="K3165" i="1"/>
  <c r="J3165" i="1"/>
  <c r="I3165" i="1"/>
  <c r="K3160" i="1"/>
  <c r="J3160" i="1"/>
  <c r="I3160" i="1"/>
  <c r="K3150" i="1"/>
  <c r="J3150" i="1"/>
  <c r="I3150" i="1"/>
  <c r="K3144" i="1"/>
  <c r="J3144" i="1"/>
  <c r="I3144" i="1"/>
  <c r="K3035" i="1"/>
  <c r="J3035" i="1"/>
  <c r="I3035" i="1"/>
  <c r="K2956" i="1"/>
  <c r="J2956" i="1"/>
  <c r="I2956" i="1"/>
  <c r="K2951" i="1"/>
  <c r="J2951" i="1"/>
  <c r="I2951" i="1"/>
  <c r="K2946" i="1"/>
  <c r="J2946" i="1"/>
  <c r="I2946" i="1"/>
  <c r="K2941" i="1"/>
  <c r="J2941" i="1"/>
  <c r="I2941" i="1"/>
  <c r="K2936" i="1"/>
  <c r="J2936" i="1"/>
  <c r="I2936" i="1"/>
  <c r="K2930" i="1"/>
  <c r="J2930" i="1"/>
  <c r="I2930" i="1"/>
  <c r="K2926" i="1"/>
  <c r="J2926" i="1"/>
  <c r="I2926" i="1"/>
  <c r="K2910" i="1"/>
  <c r="J2910" i="1"/>
  <c r="I2910" i="1"/>
  <c r="K2891" i="1"/>
  <c r="J2891" i="1"/>
  <c r="I2891" i="1"/>
  <c r="K2886" i="1"/>
  <c r="J2886" i="1"/>
  <c r="I2886" i="1"/>
  <c r="K2880" i="1"/>
  <c r="J2880" i="1"/>
  <c r="I2880" i="1"/>
  <c r="K2871" i="1"/>
  <c r="J2871" i="1"/>
  <c r="I2871" i="1"/>
  <c r="K2857" i="1"/>
  <c r="J2857" i="1"/>
  <c r="I2857" i="1"/>
  <c r="K2834" i="1"/>
  <c r="J2834" i="1"/>
  <c r="I2834" i="1"/>
  <c r="K2826" i="1"/>
  <c r="J2826" i="1"/>
  <c r="I2826" i="1"/>
  <c r="K2804" i="1"/>
  <c r="J2804" i="1"/>
  <c r="I2804" i="1"/>
  <c r="K2799" i="1"/>
  <c r="J2799" i="1"/>
  <c r="I2799" i="1"/>
  <c r="K2793" i="1"/>
  <c r="J2793" i="1"/>
  <c r="I2793" i="1"/>
  <c r="K2788" i="1"/>
  <c r="J2788" i="1"/>
  <c r="I2788" i="1"/>
  <c r="K2782" i="1"/>
  <c r="J2782" i="1"/>
  <c r="I2782" i="1"/>
  <c r="K2775" i="1"/>
  <c r="J2775" i="1"/>
  <c r="I2775" i="1"/>
  <c r="K2758" i="1"/>
  <c r="J2758" i="1"/>
  <c r="I2758" i="1"/>
  <c r="K2748" i="1"/>
  <c r="J2748" i="1"/>
  <c r="I2748" i="1"/>
  <c r="K2740" i="1"/>
  <c r="J2740" i="1"/>
  <c r="I2740" i="1"/>
  <c r="K2730" i="1"/>
  <c r="J2730" i="1"/>
  <c r="I2730" i="1"/>
  <c r="K2725" i="1"/>
  <c r="J2725" i="1"/>
  <c r="I2725" i="1"/>
  <c r="K2716" i="1"/>
  <c r="J2716" i="1"/>
  <c r="I2716" i="1"/>
  <c r="K2705" i="1"/>
  <c r="J2705" i="1"/>
  <c r="I2705" i="1"/>
  <c r="K2695" i="1"/>
  <c r="J2695" i="1"/>
  <c r="I2695" i="1"/>
  <c r="K2676" i="1"/>
  <c r="J2676" i="1"/>
  <c r="I2676" i="1"/>
  <c r="E710" i="15"/>
  <c r="R705" i="15"/>
  <c r="V705" i="15" s="1"/>
  <c r="Q705" i="15"/>
  <c r="M705" i="15"/>
  <c r="L705" i="15"/>
  <c r="U701" i="15"/>
  <c r="T701" i="15"/>
  <c r="S701" i="15"/>
  <c r="P701" i="15"/>
  <c r="O701" i="15"/>
  <c r="Z700" i="15"/>
  <c r="V700" i="15"/>
  <c r="X699" i="15"/>
  <c r="Q699" i="15"/>
  <c r="R699" i="15" s="1"/>
  <c r="V699" i="15" s="1"/>
  <c r="M699" i="15"/>
  <c r="L699" i="15"/>
  <c r="AC698" i="15"/>
  <c r="AD698" i="15" s="1"/>
  <c r="AB698" i="15"/>
  <c r="M698" i="15"/>
  <c r="L698" i="15"/>
  <c r="G698" i="15"/>
  <c r="N698" i="15" s="1"/>
  <c r="Q698" i="15" s="1"/>
  <c r="R698" i="15" s="1"/>
  <c r="V698" i="15" s="1"/>
  <c r="AC697" i="15"/>
  <c r="AB697" i="15"/>
  <c r="AD697" i="15" s="1"/>
  <c r="K697" i="15"/>
  <c r="G697" i="15"/>
  <c r="N697" i="15" s="1"/>
  <c r="Q697" i="15" s="1"/>
  <c r="AC696" i="15"/>
  <c r="AB696" i="15"/>
  <c r="N696" i="15"/>
  <c r="K696" i="15"/>
  <c r="G696" i="15"/>
  <c r="K693" i="15"/>
  <c r="H693" i="15"/>
  <c r="AB692" i="15"/>
  <c r="U692" i="15"/>
  <c r="T692" i="15"/>
  <c r="S692" i="15"/>
  <c r="P692" i="15"/>
  <c r="O692" i="15"/>
  <c r="K692" i="15"/>
  <c r="H692" i="15"/>
  <c r="Y691" i="15"/>
  <c r="X691" i="15"/>
  <c r="R691" i="15"/>
  <c r="V691" i="15" s="1"/>
  <c r="M691" i="15"/>
  <c r="L691" i="15"/>
  <c r="Q690" i="15"/>
  <c r="R690" i="15" s="1"/>
  <c r="V690" i="15" s="1"/>
  <c r="N690" i="15"/>
  <c r="M690" i="15"/>
  <c r="L690" i="15"/>
  <c r="AD689" i="15"/>
  <c r="AC689" i="15"/>
  <c r="AB689" i="15"/>
  <c r="AA689" i="15"/>
  <c r="Z689" i="15"/>
  <c r="Q689" i="15"/>
  <c r="M689" i="15"/>
  <c r="L689" i="15"/>
  <c r="K689" i="15"/>
  <c r="R689" i="15" s="1"/>
  <c r="V689" i="15" s="1"/>
  <c r="G689" i="15"/>
  <c r="AC688" i="15"/>
  <c r="AD688" i="15" s="1"/>
  <c r="AB688" i="15"/>
  <c r="M688" i="15"/>
  <c r="L688" i="15"/>
  <c r="K688" i="15"/>
  <c r="G688" i="15"/>
  <c r="N688" i="15" s="1"/>
  <c r="Q688" i="15" s="1"/>
  <c r="R688" i="15" s="1"/>
  <c r="V688" i="15" s="1"/>
  <c r="AC687" i="15"/>
  <c r="AD687" i="15" s="1"/>
  <c r="AB687" i="15"/>
  <c r="M687" i="15"/>
  <c r="L687" i="15"/>
  <c r="K687" i="15"/>
  <c r="G687" i="15"/>
  <c r="N687" i="15" s="1"/>
  <c r="Q687" i="15" s="1"/>
  <c r="R687" i="15" s="1"/>
  <c r="V687" i="15" s="1"/>
  <c r="AC686" i="15"/>
  <c r="AD686" i="15" s="1"/>
  <c r="AB686" i="15"/>
  <c r="M686" i="15"/>
  <c r="L686" i="15"/>
  <c r="K686" i="15"/>
  <c r="G686" i="15"/>
  <c r="N686" i="15" s="1"/>
  <c r="Q686" i="15" s="1"/>
  <c r="R686" i="15" s="1"/>
  <c r="V686" i="15" s="1"/>
  <c r="AC685" i="15"/>
  <c r="AB685" i="15"/>
  <c r="M685" i="15"/>
  <c r="L685" i="15"/>
  <c r="L692" i="15" s="1"/>
  <c r="K685" i="15"/>
  <c r="G685" i="15"/>
  <c r="N685" i="15" s="1"/>
  <c r="AA681" i="15"/>
  <c r="W681" i="15"/>
  <c r="W682" i="15" s="1"/>
  <c r="R681" i="15"/>
  <c r="V681" i="15" s="1"/>
  <c r="X681" i="15" s="1"/>
  <c r="L681" i="15"/>
  <c r="AD678" i="15"/>
  <c r="AC678" i="15"/>
  <c r="AB678" i="15"/>
  <c r="U678" i="15"/>
  <c r="T678" i="15"/>
  <c r="S678" i="15"/>
  <c r="P678" i="15"/>
  <c r="O678" i="15"/>
  <c r="N678" i="15"/>
  <c r="L678" i="15"/>
  <c r="V677" i="15"/>
  <c r="Z677" i="15" s="1"/>
  <c r="R677" i="15"/>
  <c r="Q677" i="15"/>
  <c r="M677" i="15"/>
  <c r="R676" i="15"/>
  <c r="V676" i="15" s="1"/>
  <c r="Q676" i="15"/>
  <c r="K676" i="15"/>
  <c r="Q675" i="15"/>
  <c r="K675" i="15"/>
  <c r="R674" i="15"/>
  <c r="V674" i="15" s="1"/>
  <c r="AA674" i="15" s="1"/>
  <c r="Q674" i="15"/>
  <c r="K674" i="15"/>
  <c r="Q673" i="15"/>
  <c r="R673" i="15" s="1"/>
  <c r="V673" i="15" s="1"/>
  <c r="K673" i="15"/>
  <c r="Q672" i="15"/>
  <c r="K672" i="15"/>
  <c r="R672" i="15" s="1"/>
  <c r="V672" i="15" s="1"/>
  <c r="Q671" i="15"/>
  <c r="K671" i="15"/>
  <c r="R671" i="15" s="1"/>
  <c r="V671" i="15" s="1"/>
  <c r="R670" i="15"/>
  <c r="V670" i="15" s="1"/>
  <c r="Q670" i="15"/>
  <c r="K670" i="15"/>
  <c r="M670" i="15" s="1"/>
  <c r="AD664" i="15"/>
  <c r="AC664" i="15"/>
  <c r="AB664" i="15"/>
  <c r="U664" i="15"/>
  <c r="T664" i="15"/>
  <c r="S664" i="15"/>
  <c r="P664" i="15"/>
  <c r="O664" i="15"/>
  <c r="N664" i="15"/>
  <c r="K664" i="15"/>
  <c r="J664" i="15"/>
  <c r="I664" i="15"/>
  <c r="H664" i="15"/>
  <c r="X663" i="15"/>
  <c r="V663" i="15"/>
  <c r="AA663" i="15" s="1"/>
  <c r="R663" i="15"/>
  <c r="M663" i="15"/>
  <c r="L663" i="15"/>
  <c r="AA662" i="15"/>
  <c r="W662" i="15"/>
  <c r="R662" i="15"/>
  <c r="V662" i="15" s="1"/>
  <c r="X662" i="15" s="1"/>
  <c r="Q662" i="15"/>
  <c r="M662" i="15"/>
  <c r="L662" i="15"/>
  <c r="V661" i="15"/>
  <c r="AA661" i="15" s="1"/>
  <c r="R661" i="15"/>
  <c r="Q661" i="15"/>
  <c r="M661" i="15"/>
  <c r="L661" i="15"/>
  <c r="L664" i="15" s="1"/>
  <c r="Q660" i="15"/>
  <c r="R660" i="15" s="1"/>
  <c r="V660" i="15" s="1"/>
  <c r="Y660" i="15" s="1"/>
  <c r="M660" i="15"/>
  <c r="L660" i="15"/>
  <c r="Y659" i="15"/>
  <c r="R659" i="15"/>
  <c r="V659" i="15" s="1"/>
  <c r="Z659" i="15" s="1"/>
  <c r="Q659" i="15"/>
  <c r="M659" i="15"/>
  <c r="L659" i="15"/>
  <c r="Q658" i="15"/>
  <c r="M658" i="15"/>
  <c r="L658" i="15"/>
  <c r="AD654" i="15"/>
  <c r="AC654" i="15"/>
  <c r="AB654" i="15"/>
  <c r="U654" i="15"/>
  <c r="T654" i="15"/>
  <c r="S654" i="15"/>
  <c r="P654" i="15"/>
  <c r="O654" i="15"/>
  <c r="N654" i="15"/>
  <c r="L654" i="15"/>
  <c r="K654" i="15"/>
  <c r="H654" i="15"/>
  <c r="Q653" i="15"/>
  <c r="R653" i="15" s="1"/>
  <c r="V653" i="15" s="1"/>
  <c r="M653" i="15"/>
  <c r="Q652" i="15"/>
  <c r="R652" i="15" s="1"/>
  <c r="M652" i="15"/>
  <c r="V651" i="15"/>
  <c r="Y651" i="15" s="1"/>
  <c r="Q651" i="15"/>
  <c r="R651" i="15" s="1"/>
  <c r="M651" i="15"/>
  <c r="Y650" i="15"/>
  <c r="V650" i="15"/>
  <c r="AA650" i="15" s="1"/>
  <c r="R650" i="15"/>
  <c r="Q650" i="15"/>
  <c r="M650" i="15"/>
  <c r="M654" i="15" s="1"/>
  <c r="AA649" i="15"/>
  <c r="W649" i="15"/>
  <c r="V649" i="15"/>
  <c r="X649" i="15" s="1"/>
  <c r="Q649" i="15"/>
  <c r="R649" i="15" s="1"/>
  <c r="M649" i="15"/>
  <c r="H646" i="15"/>
  <c r="F646" i="15"/>
  <c r="Y641" i="15"/>
  <c r="V641" i="15"/>
  <c r="X641" i="15" s="1"/>
  <c r="R641" i="15"/>
  <c r="Q641" i="15"/>
  <c r="K638" i="15"/>
  <c r="U637" i="15"/>
  <c r="T637" i="15"/>
  <c r="S637" i="15"/>
  <c r="P637" i="15"/>
  <c r="O637" i="15"/>
  <c r="Y636" i="15"/>
  <c r="V636" i="15"/>
  <c r="Z636" i="15" s="1"/>
  <c r="R636" i="15"/>
  <c r="R635" i="15"/>
  <c r="V635" i="15" s="1"/>
  <c r="Z635" i="15" s="1"/>
  <c r="AC634" i="15"/>
  <c r="AD634" i="15" s="1"/>
  <c r="AB634" i="15"/>
  <c r="M634" i="15"/>
  <c r="L634" i="15"/>
  <c r="K634" i="15"/>
  <c r="G634" i="15"/>
  <c r="N634" i="15" s="1"/>
  <c r="Q634" i="15" s="1"/>
  <c r="R634" i="15" s="1"/>
  <c r="V634" i="15" s="1"/>
  <c r="AC633" i="15"/>
  <c r="AD633" i="15" s="1"/>
  <c r="AB633" i="15"/>
  <c r="M633" i="15"/>
  <c r="L633" i="15"/>
  <c r="K633" i="15"/>
  <c r="G633" i="15"/>
  <c r="N633" i="15" s="1"/>
  <c r="Q633" i="15" s="1"/>
  <c r="R633" i="15" s="1"/>
  <c r="V633" i="15" s="1"/>
  <c r="AC632" i="15"/>
  <c r="AD632" i="15" s="1"/>
  <c r="AB632" i="15"/>
  <c r="M632" i="15"/>
  <c r="L632" i="15"/>
  <c r="K632" i="15"/>
  <c r="G632" i="15"/>
  <c r="N632" i="15" s="1"/>
  <c r="Q632" i="15" s="1"/>
  <c r="R632" i="15" s="1"/>
  <c r="V632" i="15" s="1"/>
  <c r="AC631" i="15"/>
  <c r="AD631" i="15" s="1"/>
  <c r="AB631" i="15"/>
  <c r="M631" i="15"/>
  <c r="L631" i="15"/>
  <c r="K631" i="15"/>
  <c r="G631" i="15"/>
  <c r="N631" i="15" s="1"/>
  <c r="Q631" i="15" s="1"/>
  <c r="R631" i="15" s="1"/>
  <c r="V631" i="15" s="1"/>
  <c r="AC630" i="15"/>
  <c r="AD630" i="15" s="1"/>
  <c r="AB630" i="15"/>
  <c r="M630" i="15"/>
  <c r="L630" i="15"/>
  <c r="K630" i="15"/>
  <c r="G630" i="15"/>
  <c r="N630" i="15" s="1"/>
  <c r="Q630" i="15" s="1"/>
  <c r="R630" i="15" s="1"/>
  <c r="V630" i="15" s="1"/>
  <c r="AC629" i="15"/>
  <c r="AD629" i="15" s="1"/>
  <c r="AB629" i="15"/>
  <c r="M629" i="15"/>
  <c r="L629" i="15"/>
  <c r="K629" i="15"/>
  <c r="G629" i="15"/>
  <c r="N629" i="15" s="1"/>
  <c r="Q629" i="15" s="1"/>
  <c r="R629" i="15" s="1"/>
  <c r="V629" i="15" s="1"/>
  <c r="AC628" i="15"/>
  <c r="AD628" i="15" s="1"/>
  <c r="AB628" i="15"/>
  <c r="M628" i="15"/>
  <c r="L628" i="15"/>
  <c r="K628" i="15"/>
  <c r="G628" i="15"/>
  <c r="N628" i="15" s="1"/>
  <c r="Q628" i="15" s="1"/>
  <c r="R628" i="15" s="1"/>
  <c r="V628" i="15" s="1"/>
  <c r="AC627" i="15"/>
  <c r="AC637" i="15" s="1"/>
  <c r="AB627" i="15"/>
  <c r="M627" i="15"/>
  <c r="L627" i="15"/>
  <c r="K627" i="15"/>
  <c r="G627" i="15"/>
  <c r="N627" i="15" s="1"/>
  <c r="Q627" i="15" s="1"/>
  <c r="R627" i="15" s="1"/>
  <c r="V627" i="15" s="1"/>
  <c r="AC626" i="15"/>
  <c r="AD626" i="15" s="1"/>
  <c r="AB626" i="15"/>
  <c r="M626" i="15"/>
  <c r="L626" i="15"/>
  <c r="K626" i="15"/>
  <c r="G626" i="15"/>
  <c r="N626" i="15" s="1"/>
  <c r="Q626" i="15" s="1"/>
  <c r="R626" i="15" s="1"/>
  <c r="V626" i="15" s="1"/>
  <c r="X625" i="15"/>
  <c r="W625" i="15"/>
  <c r="V625" i="15"/>
  <c r="AC624" i="15"/>
  <c r="AB624" i="15"/>
  <c r="AB637" i="15" s="1"/>
  <c r="N624" i="15"/>
  <c r="K624" i="15"/>
  <c r="M624" i="15" s="1"/>
  <c r="M637" i="15" s="1"/>
  <c r="G624" i="15"/>
  <c r="U620" i="15"/>
  <c r="T620" i="15"/>
  <c r="S620" i="15"/>
  <c r="P620" i="15"/>
  <c r="O620" i="15"/>
  <c r="V619" i="15"/>
  <c r="Z619" i="15" s="1"/>
  <c r="R619" i="15"/>
  <c r="M619" i="15"/>
  <c r="L619" i="15"/>
  <c r="AD618" i="15"/>
  <c r="AC618" i="15"/>
  <c r="AB618" i="15"/>
  <c r="M618" i="15"/>
  <c r="K618" i="15"/>
  <c r="R618" i="15" s="1"/>
  <c r="V618" i="15" s="1"/>
  <c r="G618" i="15"/>
  <c r="N618" i="15" s="1"/>
  <c r="Q618" i="15" s="1"/>
  <c r="AD617" i="15"/>
  <c r="AC617" i="15"/>
  <c r="AB617" i="15"/>
  <c r="M617" i="15"/>
  <c r="K617" i="15"/>
  <c r="R617" i="15" s="1"/>
  <c r="V617" i="15" s="1"/>
  <c r="G617" i="15"/>
  <c r="N617" i="15" s="1"/>
  <c r="Q617" i="15" s="1"/>
  <c r="AD616" i="15"/>
  <c r="AC616" i="15"/>
  <c r="AB616" i="15"/>
  <c r="V616" i="15"/>
  <c r="M616" i="15"/>
  <c r="K616" i="15"/>
  <c r="R616" i="15" s="1"/>
  <c r="G616" i="15"/>
  <c r="N616" i="15" s="1"/>
  <c r="Q616" i="15" s="1"/>
  <c r="AD615" i="15"/>
  <c r="AC615" i="15"/>
  <c r="AB615" i="15"/>
  <c r="V615" i="15"/>
  <c r="M615" i="15"/>
  <c r="K615" i="15"/>
  <c r="R615" i="15" s="1"/>
  <c r="G615" i="15"/>
  <c r="N615" i="15" s="1"/>
  <c r="Q615" i="15" s="1"/>
  <c r="AD614" i="15"/>
  <c r="AC614" i="15"/>
  <c r="AB614" i="15"/>
  <c r="V614" i="15"/>
  <c r="M614" i="15"/>
  <c r="K614" i="15"/>
  <c r="R614" i="15" s="1"/>
  <c r="G614" i="15"/>
  <c r="N614" i="15" s="1"/>
  <c r="Q614" i="15" s="1"/>
  <c r="AD613" i="15"/>
  <c r="AC613" i="15"/>
  <c r="AB613" i="15"/>
  <c r="V613" i="15"/>
  <c r="M613" i="15"/>
  <c r="K613" i="15"/>
  <c r="R613" i="15" s="1"/>
  <c r="G613" i="15"/>
  <c r="N613" i="15" s="1"/>
  <c r="Q613" i="15" s="1"/>
  <c r="AD612" i="15"/>
  <c r="AC612" i="15"/>
  <c r="AB612" i="15"/>
  <c r="V612" i="15"/>
  <c r="M612" i="15"/>
  <c r="K612" i="15"/>
  <c r="R612" i="15" s="1"/>
  <c r="G612" i="15"/>
  <c r="N612" i="15" s="1"/>
  <c r="Q612" i="15" s="1"/>
  <c r="AD611" i="15"/>
  <c r="AC611" i="15"/>
  <c r="AB611" i="15"/>
  <c r="V611" i="15"/>
  <c r="M611" i="15"/>
  <c r="K611" i="15"/>
  <c r="R611" i="15" s="1"/>
  <c r="G611" i="15"/>
  <c r="N611" i="15" s="1"/>
  <c r="Q611" i="15" s="1"/>
  <c r="AD610" i="15"/>
  <c r="AC610" i="15"/>
  <c r="AB610" i="15"/>
  <c r="K610" i="15"/>
  <c r="M610" i="15" s="1"/>
  <c r="G610" i="15"/>
  <c r="N610" i="15" s="1"/>
  <c r="Q610" i="15" s="1"/>
  <c r="X609" i="15"/>
  <c r="V609" i="15"/>
  <c r="W609" i="15" s="1"/>
  <c r="AC608" i="15"/>
  <c r="AC620" i="15" s="1"/>
  <c r="AB608" i="15"/>
  <c r="AB620" i="15" s="1"/>
  <c r="M608" i="15"/>
  <c r="K608" i="15"/>
  <c r="G608" i="15"/>
  <c r="N608" i="15" s="1"/>
  <c r="N620" i="15" s="1"/>
  <c r="U604" i="15"/>
  <c r="T604" i="15"/>
  <c r="S604" i="15"/>
  <c r="O604" i="15"/>
  <c r="Z603" i="15"/>
  <c r="V603" i="15"/>
  <c r="X603" i="15" s="1"/>
  <c r="R603" i="15"/>
  <c r="AA602" i="15"/>
  <c r="W602" i="15"/>
  <c r="R602" i="15"/>
  <c r="V602" i="15" s="1"/>
  <c r="Y602" i="15" s="1"/>
  <c r="AC601" i="15"/>
  <c r="AB601" i="15"/>
  <c r="N601" i="15"/>
  <c r="Q601" i="15" s="1"/>
  <c r="R601" i="15" s="1"/>
  <c r="V601" i="15" s="1"/>
  <c r="L601" i="15"/>
  <c r="K601" i="15"/>
  <c r="M601" i="15" s="1"/>
  <c r="G601" i="15"/>
  <c r="AC600" i="15"/>
  <c r="AB600" i="15"/>
  <c r="N600" i="15"/>
  <c r="Q600" i="15" s="1"/>
  <c r="R600" i="15" s="1"/>
  <c r="V600" i="15" s="1"/>
  <c r="L600" i="15"/>
  <c r="K600" i="15"/>
  <c r="M600" i="15" s="1"/>
  <c r="G600" i="15"/>
  <c r="AC599" i="15"/>
  <c r="AB599" i="15"/>
  <c r="N599" i="15"/>
  <c r="Q599" i="15" s="1"/>
  <c r="R599" i="15" s="1"/>
  <c r="V599" i="15" s="1"/>
  <c r="L599" i="15"/>
  <c r="K599" i="15"/>
  <c r="M599" i="15" s="1"/>
  <c r="G599" i="15"/>
  <c r="AC598" i="15"/>
  <c r="AB598" i="15"/>
  <c r="P598" i="15"/>
  <c r="P604" i="15" s="1"/>
  <c r="K598" i="15"/>
  <c r="L598" i="15" s="1"/>
  <c r="G598" i="15"/>
  <c r="N598" i="15" s="1"/>
  <c r="AD597" i="15"/>
  <c r="AC597" i="15"/>
  <c r="AB597" i="15"/>
  <c r="Q597" i="15"/>
  <c r="K597" i="15"/>
  <c r="G597" i="15"/>
  <c r="N597" i="15" s="1"/>
  <c r="AC596" i="15"/>
  <c r="AB596" i="15"/>
  <c r="AD596" i="15" s="1"/>
  <c r="Q596" i="15"/>
  <c r="K596" i="15"/>
  <c r="M596" i="15" s="1"/>
  <c r="G596" i="15"/>
  <c r="N596" i="15" s="1"/>
  <c r="AD595" i="15"/>
  <c r="AC595" i="15"/>
  <c r="AB595" i="15"/>
  <c r="Q595" i="15"/>
  <c r="K595" i="15"/>
  <c r="G595" i="15"/>
  <c r="N595" i="15" s="1"/>
  <c r="AC594" i="15"/>
  <c r="AB594" i="15"/>
  <c r="AD594" i="15" s="1"/>
  <c r="Q594" i="15"/>
  <c r="K594" i="15"/>
  <c r="M594" i="15" s="1"/>
  <c r="G594" i="15"/>
  <c r="N594" i="15" s="1"/>
  <c r="AD593" i="15"/>
  <c r="AC593" i="15"/>
  <c r="AB593" i="15"/>
  <c r="Q593" i="15"/>
  <c r="K593" i="15"/>
  <c r="G593" i="15"/>
  <c r="N593" i="15" s="1"/>
  <c r="X592" i="15"/>
  <c r="V592" i="15"/>
  <c r="W592" i="15" s="1"/>
  <c r="AC591" i="15"/>
  <c r="AC604" i="15" s="1"/>
  <c r="AB591" i="15"/>
  <c r="M591" i="15"/>
  <c r="K591" i="15"/>
  <c r="G591" i="15"/>
  <c r="N591" i="15" s="1"/>
  <c r="N604" i="15" s="1"/>
  <c r="U587" i="15"/>
  <c r="T587" i="15"/>
  <c r="S587" i="15"/>
  <c r="P587" i="15"/>
  <c r="O587" i="15"/>
  <c r="Q586" i="15"/>
  <c r="K586" i="15"/>
  <c r="G586" i="15"/>
  <c r="N586" i="15" s="1"/>
  <c r="AA585" i="15"/>
  <c r="Y585" i="15"/>
  <c r="X585" i="15"/>
  <c r="W585" i="15"/>
  <c r="V585" i="15"/>
  <c r="Z585" i="15" s="1"/>
  <c r="AD584" i="15"/>
  <c r="AC584" i="15"/>
  <c r="AB584" i="15"/>
  <c r="M584" i="15"/>
  <c r="K584" i="15"/>
  <c r="G584" i="15"/>
  <c r="N584" i="15" s="1"/>
  <c r="Q584" i="15" s="1"/>
  <c r="AC583" i="15"/>
  <c r="AB583" i="15"/>
  <c r="AD583" i="15" s="1"/>
  <c r="M583" i="15"/>
  <c r="K583" i="15"/>
  <c r="G583" i="15"/>
  <c r="N583" i="15" s="1"/>
  <c r="Q583" i="15" s="1"/>
  <c r="AD582" i="15"/>
  <c r="AC582" i="15"/>
  <c r="AB582" i="15"/>
  <c r="M582" i="15"/>
  <c r="L582" i="15"/>
  <c r="G582" i="15"/>
  <c r="N582" i="15" s="1"/>
  <c r="Q582" i="15" s="1"/>
  <c r="R582" i="15" s="1"/>
  <c r="V582" i="15" s="1"/>
  <c r="AC581" i="15"/>
  <c r="AB581" i="15"/>
  <c r="AD581" i="15" s="1"/>
  <c r="Y581" i="15"/>
  <c r="R581" i="15"/>
  <c r="V581" i="15" s="1"/>
  <c r="AA581" i="15" s="1"/>
  <c r="N581" i="15"/>
  <c r="Q581" i="15" s="1"/>
  <c r="M581" i="15"/>
  <c r="L581" i="15"/>
  <c r="G581" i="15"/>
  <c r="AD580" i="15"/>
  <c r="AC580" i="15"/>
  <c r="AB580" i="15"/>
  <c r="M580" i="15"/>
  <c r="L580" i="15"/>
  <c r="G580" i="15"/>
  <c r="N580" i="15" s="1"/>
  <c r="Q580" i="15" s="1"/>
  <c r="R580" i="15" s="1"/>
  <c r="V580" i="15" s="1"/>
  <c r="AC579" i="15"/>
  <c r="AB579" i="15"/>
  <c r="AD579" i="15" s="1"/>
  <c r="Y579" i="15"/>
  <c r="R579" i="15"/>
  <c r="V579" i="15" s="1"/>
  <c r="AA579" i="15" s="1"/>
  <c r="N579" i="15"/>
  <c r="Q579" i="15" s="1"/>
  <c r="M579" i="15"/>
  <c r="L579" i="15"/>
  <c r="G579" i="15"/>
  <c r="AD578" i="15"/>
  <c r="AC578" i="15"/>
  <c r="AB578" i="15"/>
  <c r="M578" i="15"/>
  <c r="L578" i="15"/>
  <c r="G578" i="15"/>
  <c r="N578" i="15" s="1"/>
  <c r="Q578" i="15" s="1"/>
  <c r="R578" i="15" s="1"/>
  <c r="V578" i="15" s="1"/>
  <c r="AC577" i="15"/>
  <c r="AB577" i="15"/>
  <c r="AD577" i="15" s="1"/>
  <c r="L577" i="15"/>
  <c r="K577" i="15"/>
  <c r="M577" i="15" s="1"/>
  <c r="G577" i="15"/>
  <c r="N577" i="15" s="1"/>
  <c r="Q577" i="15" s="1"/>
  <c r="R577" i="15" s="1"/>
  <c r="V577" i="15" s="1"/>
  <c r="AC576" i="15"/>
  <c r="AC587" i="15" s="1"/>
  <c r="AB576" i="15"/>
  <c r="AD576" i="15" s="1"/>
  <c r="L576" i="15"/>
  <c r="K576" i="15"/>
  <c r="M576" i="15" s="1"/>
  <c r="G576" i="15"/>
  <c r="N576" i="15" s="1"/>
  <c r="Q576" i="15" s="1"/>
  <c r="R576" i="15" s="1"/>
  <c r="V576" i="15" s="1"/>
  <c r="W575" i="15"/>
  <c r="V575" i="15"/>
  <c r="X575" i="15" s="1"/>
  <c r="AD574" i="15"/>
  <c r="AC574" i="15"/>
  <c r="AB574" i="15"/>
  <c r="M574" i="15"/>
  <c r="L574" i="15"/>
  <c r="K574" i="15"/>
  <c r="G574" i="15"/>
  <c r="N574" i="15" s="1"/>
  <c r="U568" i="15"/>
  <c r="T568" i="15"/>
  <c r="S568" i="15"/>
  <c r="P568" i="15"/>
  <c r="O568" i="15"/>
  <c r="M567" i="15"/>
  <c r="L567" i="15"/>
  <c r="G567" i="15"/>
  <c r="N567" i="15" s="1"/>
  <c r="Q567" i="15" s="1"/>
  <c r="R567" i="15" s="1"/>
  <c r="V567" i="15" s="1"/>
  <c r="M566" i="15"/>
  <c r="L566" i="15"/>
  <c r="G566" i="15"/>
  <c r="N566" i="15" s="1"/>
  <c r="Q566" i="15" s="1"/>
  <c r="R566" i="15" s="1"/>
  <c r="V566" i="15" s="1"/>
  <c r="M565" i="15"/>
  <c r="L565" i="15"/>
  <c r="G565" i="15"/>
  <c r="N565" i="15" s="1"/>
  <c r="Q565" i="15" s="1"/>
  <c r="R565" i="15" s="1"/>
  <c r="V565" i="15" s="1"/>
  <c r="AC564" i="15"/>
  <c r="AD564" i="15" s="1"/>
  <c r="AB564" i="15"/>
  <c r="N564" i="15"/>
  <c r="Q564" i="15" s="1"/>
  <c r="R564" i="15" s="1"/>
  <c r="V564" i="15" s="1"/>
  <c r="M564" i="15"/>
  <c r="L564" i="15"/>
  <c r="G564" i="15"/>
  <c r="AC563" i="15"/>
  <c r="AC568" i="15" s="1"/>
  <c r="AB563" i="15"/>
  <c r="AD563" i="15" s="1"/>
  <c r="AD568" i="15" s="1"/>
  <c r="K563" i="15"/>
  <c r="M563" i="15" s="1"/>
  <c r="M568" i="15" s="1"/>
  <c r="G563" i="15"/>
  <c r="N563" i="15" s="1"/>
  <c r="Q559" i="15"/>
  <c r="R559" i="15" s="1"/>
  <c r="V559" i="15" s="1"/>
  <c r="M559" i="15"/>
  <c r="L559" i="15"/>
  <c r="U555" i="15"/>
  <c r="T555" i="15"/>
  <c r="S555" i="15"/>
  <c r="P555" i="15"/>
  <c r="O555" i="15"/>
  <c r="R554" i="15"/>
  <c r="V554" i="15" s="1"/>
  <c r="V553" i="15"/>
  <c r="X553" i="15" s="1"/>
  <c r="R553" i="15"/>
  <c r="AC552" i="15"/>
  <c r="AB552" i="15"/>
  <c r="AD552" i="15" s="1"/>
  <c r="Q552" i="15"/>
  <c r="K552" i="15"/>
  <c r="G552" i="15"/>
  <c r="N552" i="15" s="1"/>
  <c r="AC551" i="15"/>
  <c r="AB551" i="15"/>
  <c r="AD551" i="15" s="1"/>
  <c r="K551" i="15"/>
  <c r="G551" i="15"/>
  <c r="N551" i="15" s="1"/>
  <c r="Q551" i="15" s="1"/>
  <c r="AC550" i="15"/>
  <c r="AC555" i="15" s="1"/>
  <c r="AB550" i="15"/>
  <c r="Q550" i="15"/>
  <c r="K550" i="15"/>
  <c r="G550" i="15"/>
  <c r="N550" i="15" s="1"/>
  <c r="AC547" i="15"/>
  <c r="AB547" i="15"/>
  <c r="U547" i="15"/>
  <c r="T547" i="15"/>
  <c r="S547" i="15"/>
  <c r="P547" i="15"/>
  <c r="O547" i="15"/>
  <c r="L547" i="15"/>
  <c r="K547" i="15"/>
  <c r="AD546" i="15"/>
  <c r="AD547" i="15" s="1"/>
  <c r="M546" i="15"/>
  <c r="M547" i="15" s="1"/>
  <c r="L546" i="15"/>
  <c r="G546" i="15"/>
  <c r="N546" i="15" s="1"/>
  <c r="AC542" i="15"/>
  <c r="U542" i="15"/>
  <c r="T542" i="15"/>
  <c r="S542" i="15"/>
  <c r="P542" i="15"/>
  <c r="O542" i="15"/>
  <c r="K542" i="15"/>
  <c r="V541" i="15"/>
  <c r="R541" i="15"/>
  <c r="AC540" i="15"/>
  <c r="AB540" i="15"/>
  <c r="AD540" i="15" s="1"/>
  <c r="M540" i="15"/>
  <c r="L540" i="15"/>
  <c r="G540" i="15"/>
  <c r="N540" i="15" s="1"/>
  <c r="Q540" i="15" s="1"/>
  <c r="R540" i="15" s="1"/>
  <c r="V540" i="15" s="1"/>
  <c r="AC539" i="15"/>
  <c r="AB539" i="15"/>
  <c r="L539" i="15"/>
  <c r="L542" i="15" s="1"/>
  <c r="K539" i="15"/>
  <c r="K543" i="15" s="1"/>
  <c r="G539" i="15"/>
  <c r="N539" i="15" s="1"/>
  <c r="U535" i="15"/>
  <c r="T535" i="15"/>
  <c r="S535" i="15"/>
  <c r="P535" i="15"/>
  <c r="O535" i="15"/>
  <c r="R534" i="15"/>
  <c r="V534" i="15" s="1"/>
  <c r="AA534" i="15" s="1"/>
  <c r="N534" i="15"/>
  <c r="Q534" i="15" s="1"/>
  <c r="L534" i="15"/>
  <c r="K534" i="15"/>
  <c r="M534" i="15" s="1"/>
  <c r="N533" i="15"/>
  <c r="Q533" i="15" s="1"/>
  <c r="R533" i="15" s="1"/>
  <c r="V533" i="15" s="1"/>
  <c r="L533" i="15"/>
  <c r="K533" i="15"/>
  <c r="M533" i="15" s="1"/>
  <c r="G533" i="15"/>
  <c r="AC532" i="15"/>
  <c r="AB532" i="15"/>
  <c r="N532" i="15"/>
  <c r="Q532" i="15" s="1"/>
  <c r="L532" i="15"/>
  <c r="K532" i="15"/>
  <c r="M532" i="15" s="1"/>
  <c r="G532" i="15"/>
  <c r="AC531" i="15"/>
  <c r="AB531" i="15"/>
  <c r="N531" i="15"/>
  <c r="Q531" i="15" s="1"/>
  <c r="L531" i="15"/>
  <c r="K531" i="15"/>
  <c r="M531" i="15" s="1"/>
  <c r="G531" i="15"/>
  <c r="AC530" i="15"/>
  <c r="AB530" i="15"/>
  <c r="N530" i="15"/>
  <c r="Q530" i="15" s="1"/>
  <c r="L530" i="15"/>
  <c r="K530" i="15"/>
  <c r="M530" i="15" s="1"/>
  <c r="G530" i="15"/>
  <c r="AC529" i="15"/>
  <c r="AB529" i="15"/>
  <c r="N529" i="15"/>
  <c r="Q529" i="15" s="1"/>
  <c r="L529" i="15"/>
  <c r="K529" i="15"/>
  <c r="M529" i="15" s="1"/>
  <c r="G529" i="15"/>
  <c r="AC528" i="15"/>
  <c r="AC535" i="15" s="1"/>
  <c r="AB528" i="15"/>
  <c r="N528" i="15"/>
  <c r="N535" i="15" s="1"/>
  <c r="L528" i="15"/>
  <c r="L535" i="15" s="1"/>
  <c r="K528" i="15"/>
  <c r="G528" i="15"/>
  <c r="AD525" i="15"/>
  <c r="AC525" i="15"/>
  <c r="AB525" i="15"/>
  <c r="U525" i="15"/>
  <c r="T525" i="15"/>
  <c r="S525" i="15"/>
  <c r="P525" i="15"/>
  <c r="O525" i="15"/>
  <c r="K525" i="15"/>
  <c r="AC524" i="15"/>
  <c r="AD524" i="15" s="1"/>
  <c r="AB524" i="15"/>
  <c r="M524" i="15"/>
  <c r="M525" i="15" s="1"/>
  <c r="L524" i="15"/>
  <c r="L525" i="15" s="1"/>
  <c r="K524" i="15"/>
  <c r="G524" i="15"/>
  <c r="N524" i="15" s="1"/>
  <c r="U520" i="15"/>
  <c r="T520" i="15"/>
  <c r="S520" i="15"/>
  <c r="P520" i="15"/>
  <c r="O520" i="15"/>
  <c r="K520" i="15"/>
  <c r="K521" i="15" s="1"/>
  <c r="AD519" i="15"/>
  <c r="AC519" i="15"/>
  <c r="AB519" i="15"/>
  <c r="M519" i="15"/>
  <c r="L519" i="15"/>
  <c r="K519" i="15"/>
  <c r="G519" i="15"/>
  <c r="N519" i="15" s="1"/>
  <c r="Q519" i="15" s="1"/>
  <c r="R519" i="15" s="1"/>
  <c r="V519" i="15" s="1"/>
  <c r="AC518" i="15"/>
  <c r="AD518" i="15" s="1"/>
  <c r="AB518" i="15"/>
  <c r="M518" i="15"/>
  <c r="L518" i="15"/>
  <c r="K518" i="15"/>
  <c r="G518" i="15"/>
  <c r="N518" i="15" s="1"/>
  <c r="Q518" i="15" s="1"/>
  <c r="R518" i="15" s="1"/>
  <c r="V518" i="15" s="1"/>
  <c r="AD517" i="15"/>
  <c r="AC517" i="15"/>
  <c r="AB517" i="15"/>
  <c r="M517" i="15"/>
  <c r="L517" i="15"/>
  <c r="K517" i="15"/>
  <c r="G517" i="15"/>
  <c r="N517" i="15" s="1"/>
  <c r="Q517" i="15" s="1"/>
  <c r="R517" i="15" s="1"/>
  <c r="V517" i="15" s="1"/>
  <c r="AC516" i="15"/>
  <c r="AD516" i="15" s="1"/>
  <c r="AB516" i="15"/>
  <c r="M516" i="15"/>
  <c r="L516" i="15"/>
  <c r="K516" i="15"/>
  <c r="G516" i="15"/>
  <c r="N516" i="15" s="1"/>
  <c r="Q516" i="15" s="1"/>
  <c r="R516" i="15" s="1"/>
  <c r="V516" i="15" s="1"/>
  <c r="AD515" i="15"/>
  <c r="AC515" i="15"/>
  <c r="AB515" i="15"/>
  <c r="M515" i="15"/>
  <c r="L515" i="15"/>
  <c r="K515" i="15"/>
  <c r="G515" i="15"/>
  <c r="N515" i="15" s="1"/>
  <c r="Q515" i="15" s="1"/>
  <c r="R515" i="15" s="1"/>
  <c r="V515" i="15" s="1"/>
  <c r="AC514" i="15"/>
  <c r="AD514" i="15" s="1"/>
  <c r="AB514" i="15"/>
  <c r="M514" i="15"/>
  <c r="L514" i="15"/>
  <c r="K514" i="15"/>
  <c r="G514" i="15"/>
  <c r="N514" i="15" s="1"/>
  <c r="Q514" i="15" s="1"/>
  <c r="R514" i="15" s="1"/>
  <c r="V514" i="15" s="1"/>
  <c r="AD513" i="15"/>
  <c r="AC513" i="15"/>
  <c r="AB513" i="15"/>
  <c r="AB520" i="15" s="1"/>
  <c r="M513" i="15"/>
  <c r="M520" i="15" s="1"/>
  <c r="L513" i="15"/>
  <c r="L520" i="15" s="1"/>
  <c r="K513" i="15"/>
  <c r="G513" i="15"/>
  <c r="N513" i="15" s="1"/>
  <c r="AC510" i="15"/>
  <c r="U510" i="15"/>
  <c r="T510" i="15"/>
  <c r="S510" i="15"/>
  <c r="P510" i="15"/>
  <c r="O510" i="15"/>
  <c r="H510" i="15"/>
  <c r="AD509" i="15"/>
  <c r="AC509" i="15"/>
  <c r="AB509" i="15"/>
  <c r="K509" i="15"/>
  <c r="L509" i="15" s="1"/>
  <c r="G509" i="15"/>
  <c r="N509" i="15" s="1"/>
  <c r="Q509" i="15" s="1"/>
  <c r="R509" i="15" s="1"/>
  <c r="V509" i="15" s="1"/>
  <c r="AC508" i="15"/>
  <c r="AB508" i="15"/>
  <c r="AB510" i="15" s="1"/>
  <c r="L508" i="15"/>
  <c r="L510" i="15" s="1"/>
  <c r="K508" i="15"/>
  <c r="K510" i="15" s="1"/>
  <c r="G508" i="15"/>
  <c r="N508" i="15" s="1"/>
  <c r="Q508" i="15" s="1"/>
  <c r="R508" i="15" s="1"/>
  <c r="V508" i="15" s="1"/>
  <c r="AD507" i="15"/>
  <c r="M507" i="15"/>
  <c r="L507" i="15"/>
  <c r="G507" i="15"/>
  <c r="N507" i="15" s="1"/>
  <c r="U504" i="15"/>
  <c r="T504" i="15"/>
  <c r="S504" i="15"/>
  <c r="P504" i="15"/>
  <c r="O504" i="15"/>
  <c r="W503" i="15"/>
  <c r="V503" i="15"/>
  <c r="X503" i="15" s="1"/>
  <c r="R503" i="15"/>
  <c r="R502" i="15"/>
  <c r="V502" i="15" s="1"/>
  <c r="AD501" i="15"/>
  <c r="AC501" i="15"/>
  <c r="AB501" i="15"/>
  <c r="K501" i="15"/>
  <c r="L501" i="15" s="1"/>
  <c r="G501" i="15"/>
  <c r="N501" i="15" s="1"/>
  <c r="Q501" i="15" s="1"/>
  <c r="R501" i="15" s="1"/>
  <c r="V501" i="15" s="1"/>
  <c r="AD500" i="15"/>
  <c r="AC500" i="15"/>
  <c r="AB500" i="15"/>
  <c r="K500" i="15"/>
  <c r="L500" i="15" s="1"/>
  <c r="G500" i="15"/>
  <c r="N500" i="15" s="1"/>
  <c r="Q500" i="15" s="1"/>
  <c r="R500" i="15" s="1"/>
  <c r="V500" i="15" s="1"/>
  <c r="AC499" i="15"/>
  <c r="AB499" i="15"/>
  <c r="AD499" i="15" s="1"/>
  <c r="N499" i="15"/>
  <c r="Q499" i="15" s="1"/>
  <c r="R499" i="15" s="1"/>
  <c r="V499" i="15" s="1"/>
  <c r="M499" i="15"/>
  <c r="K499" i="15"/>
  <c r="L499" i="15" s="1"/>
  <c r="G499" i="15"/>
  <c r="AC498" i="15"/>
  <c r="AB498" i="15"/>
  <c r="AD498" i="15" s="1"/>
  <c r="N498" i="15"/>
  <c r="Q498" i="15" s="1"/>
  <c r="R498" i="15" s="1"/>
  <c r="V498" i="15" s="1"/>
  <c r="M498" i="15"/>
  <c r="K498" i="15"/>
  <c r="L498" i="15" s="1"/>
  <c r="G498" i="15"/>
  <c r="AD497" i="15"/>
  <c r="AC497" i="15"/>
  <c r="AB497" i="15"/>
  <c r="Q497" i="15"/>
  <c r="R497" i="15" s="1"/>
  <c r="V497" i="15" s="1"/>
  <c r="M497" i="15"/>
  <c r="L497" i="15"/>
  <c r="K497" i="15"/>
  <c r="G497" i="15"/>
  <c r="AD496" i="15"/>
  <c r="AC496" i="15"/>
  <c r="AB496" i="15"/>
  <c r="M496" i="15"/>
  <c r="L496" i="15"/>
  <c r="K496" i="15"/>
  <c r="G496" i="15"/>
  <c r="N496" i="15" s="1"/>
  <c r="Q496" i="15" s="1"/>
  <c r="R496" i="15" s="1"/>
  <c r="V496" i="15" s="1"/>
  <c r="AC495" i="15"/>
  <c r="AD495" i="15" s="1"/>
  <c r="AB495" i="15"/>
  <c r="M495" i="15"/>
  <c r="L495" i="15"/>
  <c r="K495" i="15"/>
  <c r="G495" i="15"/>
  <c r="N495" i="15" s="1"/>
  <c r="Q495" i="15" s="1"/>
  <c r="R495" i="15" s="1"/>
  <c r="V495" i="15" s="1"/>
  <c r="AD494" i="15"/>
  <c r="AC494" i="15"/>
  <c r="AB494" i="15"/>
  <c r="Q494" i="15"/>
  <c r="L494" i="15"/>
  <c r="K494" i="15"/>
  <c r="M494" i="15" s="1"/>
  <c r="G494" i="15"/>
  <c r="AC493" i="15"/>
  <c r="AB493" i="15"/>
  <c r="AD493" i="15" s="1"/>
  <c r="M493" i="15"/>
  <c r="L493" i="15"/>
  <c r="K493" i="15"/>
  <c r="G493" i="15"/>
  <c r="N493" i="15" s="1"/>
  <c r="Q493" i="15" s="1"/>
  <c r="R493" i="15" s="1"/>
  <c r="V493" i="15" s="1"/>
  <c r="AD492" i="15"/>
  <c r="AC492" i="15"/>
  <c r="AB492" i="15"/>
  <c r="M492" i="15"/>
  <c r="K492" i="15"/>
  <c r="L492" i="15" s="1"/>
  <c r="G492" i="15"/>
  <c r="N492" i="15" s="1"/>
  <c r="Q492" i="15" s="1"/>
  <c r="R492" i="15" s="1"/>
  <c r="V492" i="15" s="1"/>
  <c r="AD491" i="15"/>
  <c r="AC491" i="15"/>
  <c r="AB491" i="15"/>
  <c r="K491" i="15"/>
  <c r="L491" i="15" s="1"/>
  <c r="G491" i="15"/>
  <c r="N491" i="15" s="1"/>
  <c r="Q491" i="15" s="1"/>
  <c r="R491" i="15" s="1"/>
  <c r="V491" i="15" s="1"/>
  <c r="AC490" i="15"/>
  <c r="AB490" i="15"/>
  <c r="AD490" i="15" s="1"/>
  <c r="L490" i="15"/>
  <c r="K490" i="15"/>
  <c r="M490" i="15" s="1"/>
  <c r="G490" i="15"/>
  <c r="N490" i="15" s="1"/>
  <c r="Q490" i="15" s="1"/>
  <c r="R490" i="15" s="1"/>
  <c r="V490" i="15" s="1"/>
  <c r="AC489" i="15"/>
  <c r="AB489" i="15"/>
  <c r="AD489" i="15" s="1"/>
  <c r="M489" i="15"/>
  <c r="L489" i="15"/>
  <c r="K489" i="15"/>
  <c r="G489" i="15"/>
  <c r="N489" i="15" s="1"/>
  <c r="Q489" i="15" s="1"/>
  <c r="R489" i="15" s="1"/>
  <c r="V489" i="15" s="1"/>
  <c r="AD488" i="15"/>
  <c r="AC488" i="15"/>
  <c r="AB488" i="15"/>
  <c r="M488" i="15"/>
  <c r="K488" i="15"/>
  <c r="L488" i="15" s="1"/>
  <c r="G488" i="15"/>
  <c r="N488" i="15" s="1"/>
  <c r="Q488" i="15" s="1"/>
  <c r="R488" i="15" s="1"/>
  <c r="V488" i="15" s="1"/>
  <c r="AD487" i="15"/>
  <c r="AC487" i="15"/>
  <c r="AB487" i="15"/>
  <c r="K487" i="15"/>
  <c r="L487" i="15" s="1"/>
  <c r="G487" i="15"/>
  <c r="N487" i="15" s="1"/>
  <c r="Q487" i="15" s="1"/>
  <c r="R487" i="15" s="1"/>
  <c r="V487" i="15" s="1"/>
  <c r="AC486" i="15"/>
  <c r="AB486" i="15"/>
  <c r="AD486" i="15" s="1"/>
  <c r="L486" i="15"/>
  <c r="K486" i="15"/>
  <c r="M486" i="15" s="1"/>
  <c r="G486" i="15"/>
  <c r="N486" i="15" s="1"/>
  <c r="Q486" i="15" s="1"/>
  <c r="R486" i="15" s="1"/>
  <c r="V486" i="15" s="1"/>
  <c r="AC485" i="15"/>
  <c r="AB485" i="15"/>
  <c r="AD485" i="15" s="1"/>
  <c r="M485" i="15"/>
  <c r="L485" i="15"/>
  <c r="K485" i="15"/>
  <c r="G485" i="15"/>
  <c r="N485" i="15" s="1"/>
  <c r="Q485" i="15" s="1"/>
  <c r="R485" i="15" s="1"/>
  <c r="V485" i="15" s="1"/>
  <c r="AD484" i="15"/>
  <c r="AC484" i="15"/>
  <c r="AB484" i="15"/>
  <c r="M484" i="15"/>
  <c r="K484" i="15"/>
  <c r="L484" i="15" s="1"/>
  <c r="G484" i="15"/>
  <c r="N484" i="15" s="1"/>
  <c r="Q484" i="15" s="1"/>
  <c r="R484" i="15" s="1"/>
  <c r="V484" i="15" s="1"/>
  <c r="AD483" i="15"/>
  <c r="AC483" i="15"/>
  <c r="AB483" i="15"/>
  <c r="K483" i="15"/>
  <c r="L483" i="15" s="1"/>
  <c r="G483" i="15"/>
  <c r="N483" i="15" s="1"/>
  <c r="Q483" i="15" s="1"/>
  <c r="R483" i="15" s="1"/>
  <c r="V483" i="15" s="1"/>
  <c r="AC482" i="15"/>
  <c r="AB482" i="15"/>
  <c r="AD482" i="15" s="1"/>
  <c r="L482" i="15"/>
  <c r="K482" i="15"/>
  <c r="M482" i="15" s="1"/>
  <c r="G482" i="15"/>
  <c r="N482" i="15" s="1"/>
  <c r="Q482" i="15" s="1"/>
  <c r="R482" i="15" s="1"/>
  <c r="V482" i="15" s="1"/>
  <c r="AC481" i="15"/>
  <c r="AB481" i="15"/>
  <c r="AD481" i="15" s="1"/>
  <c r="M481" i="15"/>
  <c r="L481" i="15"/>
  <c r="K481" i="15"/>
  <c r="G481" i="15"/>
  <c r="N481" i="15" s="1"/>
  <c r="Q481" i="15" s="1"/>
  <c r="R481" i="15" s="1"/>
  <c r="V481" i="15" s="1"/>
  <c r="AD480" i="15"/>
  <c r="AC480" i="15"/>
  <c r="AB480" i="15"/>
  <c r="M480" i="15"/>
  <c r="K480" i="15"/>
  <c r="L480" i="15" s="1"/>
  <c r="G480" i="15"/>
  <c r="N480" i="15" s="1"/>
  <c r="Q480" i="15" s="1"/>
  <c r="R480" i="15" s="1"/>
  <c r="V480" i="15" s="1"/>
  <c r="AD479" i="15"/>
  <c r="AC479" i="15"/>
  <c r="AB479" i="15"/>
  <c r="K479" i="15"/>
  <c r="L479" i="15" s="1"/>
  <c r="G479" i="15"/>
  <c r="N479" i="15" s="1"/>
  <c r="Q479" i="15" s="1"/>
  <c r="R479" i="15" s="1"/>
  <c r="V479" i="15" s="1"/>
  <c r="AC478" i="15"/>
  <c r="AB478" i="15"/>
  <c r="AD478" i="15" s="1"/>
  <c r="K478" i="15"/>
  <c r="M478" i="15" s="1"/>
  <c r="G478" i="15"/>
  <c r="N478" i="15" s="1"/>
  <c r="Q478" i="15" s="1"/>
  <c r="R478" i="15" s="1"/>
  <c r="V478" i="15" s="1"/>
  <c r="AC477" i="15"/>
  <c r="AB477" i="15"/>
  <c r="AD477" i="15" s="1"/>
  <c r="Q477" i="15"/>
  <c r="R477" i="15" s="1"/>
  <c r="V477" i="15" s="1"/>
  <c r="M477" i="15"/>
  <c r="L477" i="15"/>
  <c r="G477" i="15"/>
  <c r="N477" i="15" s="1"/>
  <c r="AC476" i="15"/>
  <c r="AB476" i="15"/>
  <c r="AD476" i="15" s="1"/>
  <c r="N476" i="15"/>
  <c r="Q476" i="15" s="1"/>
  <c r="R476" i="15" s="1"/>
  <c r="V476" i="15" s="1"/>
  <c r="K476" i="15"/>
  <c r="M476" i="15" s="1"/>
  <c r="G476" i="15"/>
  <c r="AC475" i="15"/>
  <c r="AB475" i="15"/>
  <c r="AD475" i="15" s="1"/>
  <c r="R475" i="15"/>
  <c r="V475" i="15" s="1"/>
  <c r="N475" i="15"/>
  <c r="Q475" i="15" s="1"/>
  <c r="K475" i="15"/>
  <c r="M475" i="15" s="1"/>
  <c r="G475" i="15"/>
  <c r="AC474" i="15"/>
  <c r="AB474" i="15"/>
  <c r="AD474" i="15" s="1"/>
  <c r="N474" i="15"/>
  <c r="Q474" i="15" s="1"/>
  <c r="R474" i="15" s="1"/>
  <c r="V474" i="15" s="1"/>
  <c r="K474" i="15"/>
  <c r="M474" i="15" s="1"/>
  <c r="G474" i="15"/>
  <c r="AC473" i="15"/>
  <c r="AB473" i="15"/>
  <c r="AD473" i="15" s="1"/>
  <c r="N473" i="15"/>
  <c r="Q473" i="15" s="1"/>
  <c r="R473" i="15" s="1"/>
  <c r="V473" i="15" s="1"/>
  <c r="L473" i="15"/>
  <c r="K473" i="15"/>
  <c r="M473" i="15" s="1"/>
  <c r="G473" i="15"/>
  <c r="AC472" i="15"/>
  <c r="AB472" i="15"/>
  <c r="AD472" i="15" s="1"/>
  <c r="N472" i="15"/>
  <c r="Q472" i="15" s="1"/>
  <c r="R472" i="15" s="1"/>
  <c r="V472" i="15" s="1"/>
  <c r="K472" i="15"/>
  <c r="M472" i="15" s="1"/>
  <c r="G472" i="15"/>
  <c r="AC471" i="15"/>
  <c r="AB471" i="15"/>
  <c r="AD471" i="15" s="1"/>
  <c r="R471" i="15"/>
  <c r="V471" i="15" s="1"/>
  <c r="N471" i="15"/>
  <c r="Q471" i="15" s="1"/>
  <c r="K471" i="15"/>
  <c r="M471" i="15" s="1"/>
  <c r="G471" i="15"/>
  <c r="AC470" i="15"/>
  <c r="AB470" i="15"/>
  <c r="AD470" i="15" s="1"/>
  <c r="N470" i="15"/>
  <c r="Q470" i="15" s="1"/>
  <c r="R470" i="15" s="1"/>
  <c r="V470" i="15" s="1"/>
  <c r="K470" i="15"/>
  <c r="M470" i="15" s="1"/>
  <c r="G470" i="15"/>
  <c r="AC469" i="15"/>
  <c r="AB469" i="15"/>
  <c r="AD469" i="15" s="1"/>
  <c r="N469" i="15"/>
  <c r="Q469" i="15" s="1"/>
  <c r="R469" i="15" s="1"/>
  <c r="V469" i="15" s="1"/>
  <c r="L469" i="15"/>
  <c r="K469" i="15"/>
  <c r="M469" i="15" s="1"/>
  <c r="G469" i="15"/>
  <c r="AC468" i="15"/>
  <c r="AB468" i="15"/>
  <c r="AD468" i="15" s="1"/>
  <c r="N468" i="15"/>
  <c r="Q468" i="15" s="1"/>
  <c r="R468" i="15" s="1"/>
  <c r="V468" i="15" s="1"/>
  <c r="K468" i="15"/>
  <c r="M468" i="15" s="1"/>
  <c r="G468" i="15"/>
  <c r="AC467" i="15"/>
  <c r="AB467" i="15"/>
  <c r="AD467" i="15" s="1"/>
  <c r="M467" i="15"/>
  <c r="K467" i="15"/>
  <c r="L467" i="15" s="1"/>
  <c r="G467" i="15"/>
  <c r="N467" i="15" s="1"/>
  <c r="Q467" i="15" s="1"/>
  <c r="R467" i="15" s="1"/>
  <c r="V467" i="15" s="1"/>
  <c r="AD466" i="15"/>
  <c r="AC466" i="15"/>
  <c r="AB466" i="15"/>
  <c r="N466" i="15"/>
  <c r="Q466" i="15" s="1"/>
  <c r="R466" i="15" s="1"/>
  <c r="V466" i="15" s="1"/>
  <c r="M466" i="15"/>
  <c r="K466" i="15"/>
  <c r="L466" i="15" s="1"/>
  <c r="G466" i="15"/>
  <c r="AD465" i="15"/>
  <c r="AC465" i="15"/>
  <c r="AB465" i="15"/>
  <c r="N465" i="15"/>
  <c r="Q465" i="15" s="1"/>
  <c r="R465" i="15" s="1"/>
  <c r="V465" i="15" s="1"/>
  <c r="M465" i="15"/>
  <c r="K465" i="15"/>
  <c r="L465" i="15" s="1"/>
  <c r="G465" i="15"/>
  <c r="AD464" i="15"/>
  <c r="AC464" i="15"/>
  <c r="AB464" i="15"/>
  <c r="N464" i="15"/>
  <c r="Q464" i="15" s="1"/>
  <c r="R464" i="15" s="1"/>
  <c r="V464" i="15" s="1"/>
  <c r="M464" i="15"/>
  <c r="K464" i="15"/>
  <c r="L464" i="15" s="1"/>
  <c r="G464" i="15"/>
  <c r="AD463" i="15"/>
  <c r="AC463" i="15"/>
  <c r="AB463" i="15"/>
  <c r="M463" i="15"/>
  <c r="K463" i="15"/>
  <c r="L463" i="15" s="1"/>
  <c r="G463" i="15"/>
  <c r="N463" i="15" s="1"/>
  <c r="Q463" i="15" s="1"/>
  <c r="R463" i="15" s="1"/>
  <c r="V463" i="15" s="1"/>
  <c r="AD462" i="15"/>
  <c r="AC462" i="15"/>
  <c r="AB462" i="15"/>
  <c r="N462" i="15"/>
  <c r="Q462" i="15" s="1"/>
  <c r="R462" i="15" s="1"/>
  <c r="V462" i="15" s="1"/>
  <c r="M462" i="15"/>
  <c r="K462" i="15"/>
  <c r="L462" i="15" s="1"/>
  <c r="G462" i="15"/>
  <c r="AD461" i="15"/>
  <c r="AC461" i="15"/>
  <c r="AB461" i="15"/>
  <c r="N461" i="15"/>
  <c r="Q461" i="15" s="1"/>
  <c r="R461" i="15" s="1"/>
  <c r="V461" i="15" s="1"/>
  <c r="M461" i="15"/>
  <c r="K461" i="15"/>
  <c r="L461" i="15" s="1"/>
  <c r="G461" i="15"/>
  <c r="AD460" i="15"/>
  <c r="AC460" i="15"/>
  <c r="AB460" i="15"/>
  <c r="N460" i="15"/>
  <c r="Q460" i="15" s="1"/>
  <c r="R460" i="15" s="1"/>
  <c r="V460" i="15" s="1"/>
  <c r="M460" i="15"/>
  <c r="K460" i="15"/>
  <c r="L460" i="15" s="1"/>
  <c r="G460" i="15"/>
  <c r="AD459" i="15"/>
  <c r="AC459" i="15"/>
  <c r="AB459" i="15"/>
  <c r="V459" i="15"/>
  <c r="M459" i="15"/>
  <c r="K459" i="15"/>
  <c r="L459" i="15" s="1"/>
  <c r="G459" i="15"/>
  <c r="N459" i="15" s="1"/>
  <c r="Q459" i="15" s="1"/>
  <c r="R459" i="15" s="1"/>
  <c r="AD458" i="15"/>
  <c r="AC458" i="15"/>
  <c r="AB458" i="15"/>
  <c r="N458" i="15"/>
  <c r="Q458" i="15" s="1"/>
  <c r="R458" i="15" s="1"/>
  <c r="V458" i="15" s="1"/>
  <c r="AA458" i="15" s="1"/>
  <c r="M458" i="15"/>
  <c r="K458" i="15"/>
  <c r="L458" i="15" s="1"/>
  <c r="G458" i="15"/>
  <c r="AD457" i="15"/>
  <c r="AC457" i="15"/>
  <c r="AB457" i="15"/>
  <c r="N457" i="15"/>
  <c r="Q457" i="15" s="1"/>
  <c r="R457" i="15" s="1"/>
  <c r="V457" i="15" s="1"/>
  <c r="Z457" i="15" s="1"/>
  <c r="M457" i="15"/>
  <c r="K457" i="15"/>
  <c r="L457" i="15" s="1"/>
  <c r="G457" i="15"/>
  <c r="AD456" i="15"/>
  <c r="AC456" i="15"/>
  <c r="AB456" i="15"/>
  <c r="N456" i="15"/>
  <c r="Q456" i="15" s="1"/>
  <c r="R456" i="15" s="1"/>
  <c r="V456" i="15" s="1"/>
  <c r="W456" i="15" s="1"/>
  <c r="M456" i="15"/>
  <c r="K456" i="15"/>
  <c r="L456" i="15" s="1"/>
  <c r="G456" i="15"/>
  <c r="AD455" i="15"/>
  <c r="AC455" i="15"/>
  <c r="AB455" i="15"/>
  <c r="M455" i="15"/>
  <c r="K455" i="15"/>
  <c r="L455" i="15" s="1"/>
  <c r="G455" i="15"/>
  <c r="N455" i="15" s="1"/>
  <c r="Q455" i="15" s="1"/>
  <c r="R455" i="15" s="1"/>
  <c r="V455" i="15" s="1"/>
  <c r="AD454" i="15"/>
  <c r="AC454" i="15"/>
  <c r="AB454" i="15"/>
  <c r="AA454" i="15"/>
  <c r="N454" i="15"/>
  <c r="Q454" i="15" s="1"/>
  <c r="R454" i="15" s="1"/>
  <c r="V454" i="15" s="1"/>
  <c r="M454" i="15"/>
  <c r="K454" i="15"/>
  <c r="L454" i="15" s="1"/>
  <c r="G454" i="15"/>
  <c r="AD453" i="15"/>
  <c r="AC453" i="15"/>
  <c r="AB453" i="15"/>
  <c r="Z453" i="15"/>
  <c r="N453" i="15"/>
  <c r="Q453" i="15" s="1"/>
  <c r="R453" i="15" s="1"/>
  <c r="V453" i="15" s="1"/>
  <c r="M453" i="15"/>
  <c r="K453" i="15"/>
  <c r="L453" i="15" s="1"/>
  <c r="G453" i="15"/>
  <c r="AD452" i="15"/>
  <c r="AC452" i="15"/>
  <c r="AB452" i="15"/>
  <c r="N452" i="15"/>
  <c r="Q452" i="15" s="1"/>
  <c r="R452" i="15" s="1"/>
  <c r="V452" i="15" s="1"/>
  <c r="K452" i="15"/>
  <c r="L452" i="15" s="1"/>
  <c r="G452" i="15"/>
  <c r="AD451" i="15"/>
  <c r="AC451" i="15"/>
  <c r="AB451" i="15"/>
  <c r="Q451" i="15"/>
  <c r="R451" i="15" s="1"/>
  <c r="V451" i="15" s="1"/>
  <c r="K451" i="15"/>
  <c r="G451" i="15"/>
  <c r="N451" i="15" s="1"/>
  <c r="AC450" i="15"/>
  <c r="AB450" i="15"/>
  <c r="AD450" i="15" s="1"/>
  <c r="N450" i="15"/>
  <c r="Q450" i="15" s="1"/>
  <c r="R450" i="15" s="1"/>
  <c r="V450" i="15" s="1"/>
  <c r="K450" i="15"/>
  <c r="L450" i="15" s="1"/>
  <c r="G450" i="15"/>
  <c r="AC449" i="15"/>
  <c r="AB449" i="15"/>
  <c r="AD449" i="15" s="1"/>
  <c r="N449" i="15"/>
  <c r="Q449" i="15" s="1"/>
  <c r="R449" i="15" s="1"/>
  <c r="V449" i="15" s="1"/>
  <c r="M449" i="15"/>
  <c r="K449" i="15"/>
  <c r="L449" i="15" s="1"/>
  <c r="G449" i="15"/>
  <c r="AD448" i="15"/>
  <c r="AC448" i="15"/>
  <c r="AB448" i="15"/>
  <c r="K448" i="15"/>
  <c r="L448" i="15" s="1"/>
  <c r="G448" i="15"/>
  <c r="N448" i="15" s="1"/>
  <c r="Q448" i="15" s="1"/>
  <c r="R448" i="15" s="1"/>
  <c r="V448" i="15" s="1"/>
  <c r="AD447" i="15"/>
  <c r="AC447" i="15"/>
  <c r="AB447" i="15"/>
  <c r="Q447" i="15"/>
  <c r="K447" i="15"/>
  <c r="G447" i="15"/>
  <c r="N447" i="15" s="1"/>
  <c r="AC446" i="15"/>
  <c r="AB446" i="15"/>
  <c r="AD446" i="15" s="1"/>
  <c r="N446" i="15"/>
  <c r="Q446" i="15" s="1"/>
  <c r="R446" i="15" s="1"/>
  <c r="V446" i="15" s="1"/>
  <c r="M446" i="15"/>
  <c r="K446" i="15"/>
  <c r="L446" i="15" s="1"/>
  <c r="G446" i="15"/>
  <c r="AC445" i="15"/>
  <c r="AB445" i="15"/>
  <c r="AD445" i="15" s="1"/>
  <c r="N445" i="15"/>
  <c r="Q445" i="15" s="1"/>
  <c r="R445" i="15" s="1"/>
  <c r="V445" i="15" s="1"/>
  <c r="X445" i="15" s="1"/>
  <c r="M445" i="15"/>
  <c r="K445" i="15"/>
  <c r="L445" i="15" s="1"/>
  <c r="G445" i="15"/>
  <c r="AD444" i="15"/>
  <c r="AC444" i="15"/>
  <c r="AB444" i="15"/>
  <c r="K444" i="15"/>
  <c r="L444" i="15" s="1"/>
  <c r="G444" i="15"/>
  <c r="N444" i="15" s="1"/>
  <c r="Q444" i="15" s="1"/>
  <c r="R444" i="15" s="1"/>
  <c r="V444" i="15" s="1"/>
  <c r="AD443" i="15"/>
  <c r="AC443" i="15"/>
  <c r="AB443" i="15"/>
  <c r="K443" i="15"/>
  <c r="G443" i="15"/>
  <c r="N443" i="15" s="1"/>
  <c r="Q443" i="15" s="1"/>
  <c r="R443" i="15" s="1"/>
  <c r="V443" i="15" s="1"/>
  <c r="AC442" i="15"/>
  <c r="AB442" i="15"/>
  <c r="AD442" i="15" s="1"/>
  <c r="N442" i="15"/>
  <c r="Q442" i="15" s="1"/>
  <c r="K442" i="15"/>
  <c r="L442" i="15" s="1"/>
  <c r="G442" i="15"/>
  <c r="AC441" i="15"/>
  <c r="AB441" i="15"/>
  <c r="AD441" i="15" s="1"/>
  <c r="X441" i="15"/>
  <c r="N441" i="15"/>
  <c r="Q441" i="15" s="1"/>
  <c r="R441" i="15" s="1"/>
  <c r="V441" i="15" s="1"/>
  <c r="W441" i="15" s="1"/>
  <c r="M441" i="15"/>
  <c r="K441" i="15"/>
  <c r="L441" i="15" s="1"/>
  <c r="G441" i="15"/>
  <c r="AD440" i="15"/>
  <c r="AC440" i="15"/>
  <c r="AB440" i="15"/>
  <c r="N440" i="15"/>
  <c r="Q440" i="15" s="1"/>
  <c r="R440" i="15" s="1"/>
  <c r="V440" i="15" s="1"/>
  <c r="K440" i="15"/>
  <c r="L440" i="15" s="1"/>
  <c r="G440" i="15"/>
  <c r="AD439" i="15"/>
  <c r="AC439" i="15"/>
  <c r="AB439" i="15"/>
  <c r="K439" i="15"/>
  <c r="G439" i="15"/>
  <c r="N439" i="15" s="1"/>
  <c r="Q439" i="15" s="1"/>
  <c r="R439" i="15" s="1"/>
  <c r="V439" i="15" s="1"/>
  <c r="AC438" i="15"/>
  <c r="AB438" i="15"/>
  <c r="AD438" i="15" s="1"/>
  <c r="N438" i="15"/>
  <c r="Q438" i="15" s="1"/>
  <c r="K438" i="15"/>
  <c r="L438" i="15" s="1"/>
  <c r="G438" i="15"/>
  <c r="AC437" i="15"/>
  <c r="AB437" i="15"/>
  <c r="AD437" i="15" s="1"/>
  <c r="X437" i="15"/>
  <c r="W437" i="15"/>
  <c r="N437" i="15"/>
  <c r="Q437" i="15" s="1"/>
  <c r="R437" i="15" s="1"/>
  <c r="V437" i="15" s="1"/>
  <c r="M437" i="15"/>
  <c r="K437" i="15"/>
  <c r="L437" i="15" s="1"/>
  <c r="G437" i="15"/>
  <c r="AD436" i="15"/>
  <c r="AC436" i="15"/>
  <c r="AB436" i="15"/>
  <c r="K436" i="15"/>
  <c r="G436" i="15"/>
  <c r="N436" i="15" s="1"/>
  <c r="Q436" i="15" s="1"/>
  <c r="R436" i="15" s="1"/>
  <c r="V436" i="15" s="1"/>
  <c r="AD435" i="15"/>
  <c r="AC435" i="15"/>
  <c r="AB435" i="15"/>
  <c r="Q435" i="15"/>
  <c r="R435" i="15" s="1"/>
  <c r="V435" i="15" s="1"/>
  <c r="M435" i="15"/>
  <c r="K435" i="15"/>
  <c r="L435" i="15" s="1"/>
  <c r="G435" i="15"/>
  <c r="N435" i="15" s="1"/>
  <c r="AC434" i="15"/>
  <c r="AB434" i="15"/>
  <c r="AD434" i="15" s="1"/>
  <c r="N434" i="15"/>
  <c r="Q434" i="15" s="1"/>
  <c r="K434" i="15"/>
  <c r="L434" i="15" s="1"/>
  <c r="G434" i="15"/>
  <c r="AC433" i="15"/>
  <c r="AB433" i="15"/>
  <c r="AD433" i="15" s="1"/>
  <c r="M433" i="15"/>
  <c r="K433" i="15"/>
  <c r="L433" i="15" s="1"/>
  <c r="G433" i="15"/>
  <c r="N433" i="15" s="1"/>
  <c r="Q433" i="15" s="1"/>
  <c r="R433" i="15" s="1"/>
  <c r="V433" i="15" s="1"/>
  <c r="AD432" i="15"/>
  <c r="AC432" i="15"/>
  <c r="AB432" i="15"/>
  <c r="N432" i="15"/>
  <c r="Q432" i="15" s="1"/>
  <c r="R432" i="15" s="1"/>
  <c r="V432" i="15" s="1"/>
  <c r="K432" i="15"/>
  <c r="G432" i="15"/>
  <c r="AD431" i="15"/>
  <c r="AC431" i="15"/>
  <c r="AB431" i="15"/>
  <c r="Q431" i="15"/>
  <c r="M431" i="15"/>
  <c r="K431" i="15"/>
  <c r="L431" i="15" s="1"/>
  <c r="G431" i="15"/>
  <c r="N431" i="15" s="1"/>
  <c r="AC430" i="15"/>
  <c r="AB430" i="15"/>
  <c r="AD430" i="15" s="1"/>
  <c r="N430" i="15"/>
  <c r="Q430" i="15" s="1"/>
  <c r="R430" i="15" s="1"/>
  <c r="V430" i="15" s="1"/>
  <c r="K430" i="15"/>
  <c r="L430" i="15" s="1"/>
  <c r="G430" i="15"/>
  <c r="AD429" i="15"/>
  <c r="AC429" i="15"/>
  <c r="AB429" i="15"/>
  <c r="N429" i="15"/>
  <c r="Q429" i="15" s="1"/>
  <c r="R429" i="15" s="1"/>
  <c r="V429" i="15" s="1"/>
  <c r="M429" i="15"/>
  <c r="K429" i="15"/>
  <c r="L429" i="15" s="1"/>
  <c r="G429" i="15"/>
  <c r="AD428" i="15"/>
  <c r="AC428" i="15"/>
  <c r="AB428" i="15"/>
  <c r="N428" i="15"/>
  <c r="Q428" i="15" s="1"/>
  <c r="R428" i="15" s="1"/>
  <c r="V428" i="15" s="1"/>
  <c r="K428" i="15"/>
  <c r="G428" i="15"/>
  <c r="AC427" i="15"/>
  <c r="AB427" i="15"/>
  <c r="AD427" i="15" s="1"/>
  <c r="K427" i="15"/>
  <c r="L427" i="15" s="1"/>
  <c r="G427" i="15"/>
  <c r="N427" i="15" s="1"/>
  <c r="Q427" i="15" s="1"/>
  <c r="R427" i="15" s="1"/>
  <c r="V427" i="15" s="1"/>
  <c r="AC426" i="15"/>
  <c r="AB426" i="15"/>
  <c r="AD426" i="15" s="1"/>
  <c r="N426" i="15"/>
  <c r="Q426" i="15" s="1"/>
  <c r="R426" i="15" s="1"/>
  <c r="V426" i="15" s="1"/>
  <c r="M426" i="15"/>
  <c r="K426" i="15"/>
  <c r="L426" i="15" s="1"/>
  <c r="G426" i="15"/>
  <c r="AD425" i="15"/>
  <c r="AC425" i="15"/>
  <c r="AB425" i="15"/>
  <c r="Z425" i="15"/>
  <c r="X425" i="15"/>
  <c r="W425" i="15"/>
  <c r="Q425" i="15"/>
  <c r="R425" i="15" s="1"/>
  <c r="V425" i="15" s="1"/>
  <c r="M425" i="15"/>
  <c r="L425" i="15"/>
  <c r="K425" i="15"/>
  <c r="G425" i="15"/>
  <c r="AC424" i="15"/>
  <c r="AD424" i="15" s="1"/>
  <c r="AB424" i="15"/>
  <c r="M424" i="15"/>
  <c r="L424" i="15"/>
  <c r="K424" i="15"/>
  <c r="G424" i="15"/>
  <c r="N424" i="15" s="1"/>
  <c r="Q424" i="15" s="1"/>
  <c r="R424" i="15" s="1"/>
  <c r="V424" i="15" s="1"/>
  <c r="AC423" i="15"/>
  <c r="AD423" i="15" s="1"/>
  <c r="AB423" i="15"/>
  <c r="N423" i="15"/>
  <c r="Q423" i="15" s="1"/>
  <c r="R423" i="15" s="1"/>
  <c r="V423" i="15" s="1"/>
  <c r="L423" i="15"/>
  <c r="K423" i="15"/>
  <c r="M423" i="15" s="1"/>
  <c r="G423" i="15"/>
  <c r="AC422" i="15"/>
  <c r="AB422" i="15"/>
  <c r="AD422" i="15" s="1"/>
  <c r="N422" i="15"/>
  <c r="Q422" i="15" s="1"/>
  <c r="R422" i="15" s="1"/>
  <c r="V422" i="15" s="1"/>
  <c r="L422" i="15"/>
  <c r="K422" i="15"/>
  <c r="M422" i="15" s="1"/>
  <c r="G422" i="15"/>
  <c r="AC421" i="15"/>
  <c r="AB421" i="15"/>
  <c r="AD421" i="15" s="1"/>
  <c r="N421" i="15"/>
  <c r="Q421" i="15" s="1"/>
  <c r="R421" i="15" s="1"/>
  <c r="V421" i="15" s="1"/>
  <c r="L421" i="15"/>
  <c r="K421" i="15"/>
  <c r="M421" i="15" s="1"/>
  <c r="G421" i="15"/>
  <c r="AC420" i="15"/>
  <c r="AB420" i="15"/>
  <c r="AD420" i="15" s="1"/>
  <c r="N420" i="15"/>
  <c r="Q420" i="15" s="1"/>
  <c r="R420" i="15" s="1"/>
  <c r="V420" i="15" s="1"/>
  <c r="L420" i="15"/>
  <c r="K420" i="15"/>
  <c r="M420" i="15" s="1"/>
  <c r="G420" i="15"/>
  <c r="AC419" i="15"/>
  <c r="AB419" i="15"/>
  <c r="AD419" i="15" s="1"/>
  <c r="N419" i="15"/>
  <c r="Q419" i="15" s="1"/>
  <c r="R419" i="15" s="1"/>
  <c r="V419" i="15" s="1"/>
  <c r="L419" i="15"/>
  <c r="K419" i="15"/>
  <c r="M419" i="15" s="1"/>
  <c r="G419" i="15"/>
  <c r="AC418" i="15"/>
  <c r="AB418" i="15"/>
  <c r="AD418" i="15" s="1"/>
  <c r="N418" i="15"/>
  <c r="Q418" i="15" s="1"/>
  <c r="R418" i="15" s="1"/>
  <c r="V418" i="15" s="1"/>
  <c r="L418" i="15"/>
  <c r="K418" i="15"/>
  <c r="M418" i="15" s="1"/>
  <c r="G418" i="15"/>
  <c r="AC417" i="15"/>
  <c r="AB417" i="15"/>
  <c r="AD417" i="15" s="1"/>
  <c r="N417" i="15"/>
  <c r="Q417" i="15" s="1"/>
  <c r="R417" i="15" s="1"/>
  <c r="V417" i="15" s="1"/>
  <c r="L417" i="15"/>
  <c r="K417" i="15"/>
  <c r="M417" i="15" s="1"/>
  <c r="G417" i="15"/>
  <c r="AC416" i="15"/>
  <c r="AB416" i="15"/>
  <c r="AD416" i="15" s="1"/>
  <c r="N416" i="15"/>
  <c r="Q416" i="15" s="1"/>
  <c r="R416" i="15" s="1"/>
  <c r="V416" i="15" s="1"/>
  <c r="L416" i="15"/>
  <c r="K416" i="15"/>
  <c r="M416" i="15" s="1"/>
  <c r="G416" i="15"/>
  <c r="AC415" i="15"/>
  <c r="AB415" i="15"/>
  <c r="AD415" i="15" s="1"/>
  <c r="N415" i="15"/>
  <c r="Q415" i="15" s="1"/>
  <c r="R415" i="15" s="1"/>
  <c r="V415" i="15" s="1"/>
  <c r="L415" i="15"/>
  <c r="K415" i="15"/>
  <c r="M415" i="15" s="1"/>
  <c r="G415" i="15"/>
  <c r="AC414" i="15"/>
  <c r="AB414" i="15"/>
  <c r="AD414" i="15" s="1"/>
  <c r="N414" i="15"/>
  <c r="Q414" i="15" s="1"/>
  <c r="R414" i="15" s="1"/>
  <c r="V414" i="15" s="1"/>
  <c r="L414" i="15"/>
  <c r="K414" i="15"/>
  <c r="M414" i="15" s="1"/>
  <c r="G414" i="15"/>
  <c r="AC413" i="15"/>
  <c r="AB413" i="15"/>
  <c r="AD413" i="15" s="1"/>
  <c r="N413" i="15"/>
  <c r="Q413" i="15" s="1"/>
  <c r="R413" i="15" s="1"/>
  <c r="V413" i="15" s="1"/>
  <c r="L413" i="15"/>
  <c r="K413" i="15"/>
  <c r="M413" i="15" s="1"/>
  <c r="G413" i="15"/>
  <c r="AC412" i="15"/>
  <c r="AB412" i="15"/>
  <c r="AD412" i="15" s="1"/>
  <c r="N412" i="15"/>
  <c r="Q412" i="15" s="1"/>
  <c r="R412" i="15" s="1"/>
  <c r="V412" i="15" s="1"/>
  <c r="L412" i="15"/>
  <c r="K412" i="15"/>
  <c r="M412" i="15" s="1"/>
  <c r="G412" i="15"/>
  <c r="AC411" i="15"/>
  <c r="AB411" i="15"/>
  <c r="AD411" i="15" s="1"/>
  <c r="N411" i="15"/>
  <c r="Q411" i="15" s="1"/>
  <c r="R411" i="15" s="1"/>
  <c r="V411" i="15" s="1"/>
  <c r="L411" i="15"/>
  <c r="K411" i="15"/>
  <c r="M411" i="15" s="1"/>
  <c r="G411" i="15"/>
  <c r="AC410" i="15"/>
  <c r="AB410" i="15"/>
  <c r="AD410" i="15" s="1"/>
  <c r="N410" i="15"/>
  <c r="Q410" i="15" s="1"/>
  <c r="R410" i="15" s="1"/>
  <c r="V410" i="15" s="1"/>
  <c r="L410" i="15"/>
  <c r="K410" i="15"/>
  <c r="M410" i="15" s="1"/>
  <c r="G410" i="15"/>
  <c r="AC409" i="15"/>
  <c r="AB409" i="15"/>
  <c r="AD409" i="15" s="1"/>
  <c r="N409" i="15"/>
  <c r="Q409" i="15" s="1"/>
  <c r="R409" i="15" s="1"/>
  <c r="V409" i="15" s="1"/>
  <c r="L409" i="15"/>
  <c r="K409" i="15"/>
  <c r="M409" i="15" s="1"/>
  <c r="G409" i="15"/>
  <c r="AC408" i="15"/>
  <c r="AB408" i="15"/>
  <c r="AD408" i="15" s="1"/>
  <c r="N408" i="15"/>
  <c r="Q408" i="15" s="1"/>
  <c r="R408" i="15" s="1"/>
  <c r="V408" i="15" s="1"/>
  <c r="L408" i="15"/>
  <c r="K408" i="15"/>
  <c r="M408" i="15" s="1"/>
  <c r="G408" i="15"/>
  <c r="AC407" i="15"/>
  <c r="AB407" i="15"/>
  <c r="AD407" i="15" s="1"/>
  <c r="N407" i="15"/>
  <c r="Q407" i="15" s="1"/>
  <c r="R407" i="15" s="1"/>
  <c r="V407" i="15" s="1"/>
  <c r="L407" i="15"/>
  <c r="K407" i="15"/>
  <c r="M407" i="15" s="1"/>
  <c r="G407" i="15"/>
  <c r="AC406" i="15"/>
  <c r="AB406" i="15"/>
  <c r="AD406" i="15" s="1"/>
  <c r="N406" i="15"/>
  <c r="L406" i="15"/>
  <c r="K406" i="15"/>
  <c r="M406" i="15" s="1"/>
  <c r="G406" i="15"/>
  <c r="AC405" i="15"/>
  <c r="AC504" i="15" s="1"/>
  <c r="AB405" i="15"/>
  <c r="Q405" i="15"/>
  <c r="R405" i="15" s="1"/>
  <c r="K405" i="15"/>
  <c r="G405" i="15"/>
  <c r="U401" i="15"/>
  <c r="T401" i="15"/>
  <c r="S401" i="15"/>
  <c r="P401" i="15"/>
  <c r="O401" i="15"/>
  <c r="Z400" i="15"/>
  <c r="X400" i="15"/>
  <c r="W400" i="15"/>
  <c r="V400" i="15"/>
  <c r="Y400" i="15" s="1"/>
  <c r="R400" i="15"/>
  <c r="R399" i="15"/>
  <c r="V399" i="15" s="1"/>
  <c r="AC398" i="15"/>
  <c r="AB398" i="15"/>
  <c r="AD398" i="15" s="1"/>
  <c r="K398" i="15"/>
  <c r="M398" i="15" s="1"/>
  <c r="G398" i="15"/>
  <c r="N398" i="15" s="1"/>
  <c r="Q398" i="15" s="1"/>
  <c r="R398" i="15" s="1"/>
  <c r="V398" i="15" s="1"/>
  <c r="AC397" i="15"/>
  <c r="AB397" i="15"/>
  <c r="AD397" i="15" s="1"/>
  <c r="K397" i="15"/>
  <c r="M397" i="15" s="1"/>
  <c r="G397" i="15"/>
  <c r="N397" i="15" s="1"/>
  <c r="Q397" i="15" s="1"/>
  <c r="R397" i="15" s="1"/>
  <c r="V397" i="15" s="1"/>
  <c r="AC396" i="15"/>
  <c r="AB396" i="15"/>
  <c r="AD396" i="15" s="1"/>
  <c r="K396" i="15"/>
  <c r="M396" i="15" s="1"/>
  <c r="G396" i="15"/>
  <c r="N396" i="15" s="1"/>
  <c r="Q396" i="15" s="1"/>
  <c r="R396" i="15" s="1"/>
  <c r="V396" i="15" s="1"/>
  <c r="AC395" i="15"/>
  <c r="AB395" i="15"/>
  <c r="AD395" i="15" s="1"/>
  <c r="K395" i="15"/>
  <c r="M395" i="15" s="1"/>
  <c r="G395" i="15"/>
  <c r="N395" i="15" s="1"/>
  <c r="Q395" i="15" s="1"/>
  <c r="R395" i="15" s="1"/>
  <c r="V395" i="15" s="1"/>
  <c r="AC394" i="15"/>
  <c r="AB394" i="15"/>
  <c r="AD394" i="15" s="1"/>
  <c r="K394" i="15"/>
  <c r="M394" i="15" s="1"/>
  <c r="G394" i="15"/>
  <c r="N394" i="15" s="1"/>
  <c r="Q394" i="15" s="1"/>
  <c r="R394" i="15" s="1"/>
  <c r="V394" i="15" s="1"/>
  <c r="AC393" i="15"/>
  <c r="AB393" i="15"/>
  <c r="AD393" i="15" s="1"/>
  <c r="K393" i="15"/>
  <c r="M393" i="15" s="1"/>
  <c r="G393" i="15"/>
  <c r="N393" i="15" s="1"/>
  <c r="Q393" i="15" s="1"/>
  <c r="R393" i="15" s="1"/>
  <c r="V393" i="15" s="1"/>
  <c r="AC392" i="15"/>
  <c r="AB392" i="15"/>
  <c r="AD392" i="15" s="1"/>
  <c r="K392" i="15"/>
  <c r="M392" i="15" s="1"/>
  <c r="G392" i="15"/>
  <c r="N392" i="15" s="1"/>
  <c r="Q392" i="15" s="1"/>
  <c r="R392" i="15" s="1"/>
  <c r="V392" i="15" s="1"/>
  <c r="AC391" i="15"/>
  <c r="AB391" i="15"/>
  <c r="AD391" i="15" s="1"/>
  <c r="K391" i="15"/>
  <c r="M391" i="15" s="1"/>
  <c r="G391" i="15"/>
  <c r="N391" i="15" s="1"/>
  <c r="Q391" i="15" s="1"/>
  <c r="R391" i="15" s="1"/>
  <c r="V391" i="15" s="1"/>
  <c r="AC390" i="15"/>
  <c r="AB390" i="15"/>
  <c r="AD390" i="15" s="1"/>
  <c r="K390" i="15"/>
  <c r="M390" i="15" s="1"/>
  <c r="G390" i="15"/>
  <c r="N390" i="15" s="1"/>
  <c r="Q390" i="15" s="1"/>
  <c r="R390" i="15" s="1"/>
  <c r="V390" i="15" s="1"/>
  <c r="AC389" i="15"/>
  <c r="AB389" i="15"/>
  <c r="AD389" i="15" s="1"/>
  <c r="K389" i="15"/>
  <c r="M389" i="15" s="1"/>
  <c r="G389" i="15"/>
  <c r="N389" i="15" s="1"/>
  <c r="Q389" i="15" s="1"/>
  <c r="R389" i="15" s="1"/>
  <c r="V389" i="15" s="1"/>
  <c r="AC388" i="15"/>
  <c r="AB388" i="15"/>
  <c r="AD388" i="15" s="1"/>
  <c r="K388" i="15"/>
  <c r="M388" i="15" s="1"/>
  <c r="G388" i="15"/>
  <c r="N388" i="15" s="1"/>
  <c r="Q388" i="15" s="1"/>
  <c r="R388" i="15" s="1"/>
  <c r="V388" i="15" s="1"/>
  <c r="AC387" i="15"/>
  <c r="AB387" i="15"/>
  <c r="AD387" i="15" s="1"/>
  <c r="K387" i="15"/>
  <c r="M387" i="15" s="1"/>
  <c r="G387" i="15"/>
  <c r="N387" i="15" s="1"/>
  <c r="Q387" i="15" s="1"/>
  <c r="R387" i="15" s="1"/>
  <c r="V387" i="15" s="1"/>
  <c r="AC386" i="15"/>
  <c r="AB386" i="15"/>
  <c r="AD386" i="15" s="1"/>
  <c r="K386" i="15"/>
  <c r="M386" i="15" s="1"/>
  <c r="G386" i="15"/>
  <c r="N386" i="15" s="1"/>
  <c r="Q386" i="15" s="1"/>
  <c r="R386" i="15" s="1"/>
  <c r="V386" i="15" s="1"/>
  <c r="AC385" i="15"/>
  <c r="AB385" i="15"/>
  <c r="AD385" i="15" s="1"/>
  <c r="K385" i="15"/>
  <c r="M385" i="15" s="1"/>
  <c r="G385" i="15"/>
  <c r="N385" i="15" s="1"/>
  <c r="Q385" i="15" s="1"/>
  <c r="R385" i="15" s="1"/>
  <c r="V385" i="15" s="1"/>
  <c r="AC384" i="15"/>
  <c r="AB384" i="15"/>
  <c r="AD384" i="15" s="1"/>
  <c r="Q384" i="15"/>
  <c r="R384" i="15" s="1"/>
  <c r="V384" i="15" s="1"/>
  <c r="Y384" i="15" s="1"/>
  <c r="K384" i="15"/>
  <c r="M384" i="15" s="1"/>
  <c r="G384" i="15"/>
  <c r="N384" i="15" s="1"/>
  <c r="AC383" i="15"/>
  <c r="AB383" i="15"/>
  <c r="AD383" i="15" s="1"/>
  <c r="K383" i="15"/>
  <c r="M383" i="15" s="1"/>
  <c r="G383" i="15"/>
  <c r="N383" i="15" s="1"/>
  <c r="Q383" i="15" s="1"/>
  <c r="R383" i="15" s="1"/>
  <c r="V383" i="15" s="1"/>
  <c r="AC382" i="15"/>
  <c r="AB382" i="15"/>
  <c r="AD382" i="15" s="1"/>
  <c r="Q382" i="15"/>
  <c r="R382" i="15" s="1"/>
  <c r="V382" i="15" s="1"/>
  <c r="Y382" i="15" s="1"/>
  <c r="K382" i="15"/>
  <c r="M382" i="15" s="1"/>
  <c r="G382" i="15"/>
  <c r="N382" i="15" s="1"/>
  <c r="AC381" i="15"/>
  <c r="AB381" i="15"/>
  <c r="AD381" i="15" s="1"/>
  <c r="K381" i="15"/>
  <c r="G381" i="15"/>
  <c r="N381" i="15" s="1"/>
  <c r="Q381" i="15" s="1"/>
  <c r="R381" i="15" s="1"/>
  <c r="V381" i="15" s="1"/>
  <c r="AC380" i="15"/>
  <c r="AB380" i="15"/>
  <c r="AD380" i="15" s="1"/>
  <c r="K380" i="15"/>
  <c r="G380" i="15"/>
  <c r="N380" i="15" s="1"/>
  <c r="Q380" i="15" s="1"/>
  <c r="R380" i="15" s="1"/>
  <c r="V380" i="15" s="1"/>
  <c r="AC379" i="15"/>
  <c r="AB379" i="15"/>
  <c r="AD379" i="15" s="1"/>
  <c r="K379" i="15"/>
  <c r="G379" i="15"/>
  <c r="N379" i="15" s="1"/>
  <c r="Q379" i="15" s="1"/>
  <c r="R379" i="15" s="1"/>
  <c r="V379" i="15" s="1"/>
  <c r="AC378" i="15"/>
  <c r="AB378" i="15"/>
  <c r="AD378" i="15" s="1"/>
  <c r="K378" i="15"/>
  <c r="G378" i="15"/>
  <c r="N378" i="15" s="1"/>
  <c r="Q378" i="15" s="1"/>
  <c r="R378" i="15" s="1"/>
  <c r="V378" i="15" s="1"/>
  <c r="AC377" i="15"/>
  <c r="AB377" i="15"/>
  <c r="AD377" i="15" s="1"/>
  <c r="K377" i="15"/>
  <c r="G377" i="15"/>
  <c r="N377" i="15" s="1"/>
  <c r="Q377" i="15" s="1"/>
  <c r="R377" i="15" s="1"/>
  <c r="V377" i="15" s="1"/>
  <c r="AC376" i="15"/>
  <c r="AB376" i="15"/>
  <c r="AD376" i="15" s="1"/>
  <c r="K376" i="15"/>
  <c r="G376" i="15"/>
  <c r="N376" i="15" s="1"/>
  <c r="Q376" i="15" s="1"/>
  <c r="R376" i="15" s="1"/>
  <c r="V376" i="15" s="1"/>
  <c r="AC375" i="15"/>
  <c r="AB375" i="15"/>
  <c r="AD375" i="15" s="1"/>
  <c r="K375" i="15"/>
  <c r="G375" i="15"/>
  <c r="N375" i="15" s="1"/>
  <c r="Q375" i="15" s="1"/>
  <c r="R375" i="15" s="1"/>
  <c r="V375" i="15" s="1"/>
  <c r="AC374" i="15"/>
  <c r="AB374" i="15"/>
  <c r="AD374" i="15" s="1"/>
  <c r="K374" i="15"/>
  <c r="G374" i="15"/>
  <c r="N374" i="15" s="1"/>
  <c r="Q374" i="15" s="1"/>
  <c r="R374" i="15" s="1"/>
  <c r="V374" i="15" s="1"/>
  <c r="AC373" i="15"/>
  <c r="AB373" i="15"/>
  <c r="AD373" i="15" s="1"/>
  <c r="K373" i="15"/>
  <c r="G373" i="15"/>
  <c r="N373" i="15" s="1"/>
  <c r="Q373" i="15" s="1"/>
  <c r="R373" i="15" s="1"/>
  <c r="V373" i="15" s="1"/>
  <c r="AC372" i="15"/>
  <c r="AB372" i="15"/>
  <c r="AD372" i="15" s="1"/>
  <c r="K372" i="15"/>
  <c r="G372" i="15"/>
  <c r="N372" i="15" s="1"/>
  <c r="Q372" i="15" s="1"/>
  <c r="R372" i="15" s="1"/>
  <c r="V372" i="15" s="1"/>
  <c r="AC371" i="15"/>
  <c r="AB371" i="15"/>
  <c r="AD371" i="15" s="1"/>
  <c r="K371" i="15"/>
  <c r="G371" i="15"/>
  <c r="N371" i="15" s="1"/>
  <c r="Q371" i="15" s="1"/>
  <c r="R371" i="15" s="1"/>
  <c r="V371" i="15" s="1"/>
  <c r="AC370" i="15"/>
  <c r="AB370" i="15"/>
  <c r="AD370" i="15" s="1"/>
  <c r="K370" i="15"/>
  <c r="G370" i="15"/>
  <c r="N370" i="15" s="1"/>
  <c r="Q370" i="15" s="1"/>
  <c r="R370" i="15" s="1"/>
  <c r="V370" i="15" s="1"/>
  <c r="AC369" i="15"/>
  <c r="AB369" i="15"/>
  <c r="AD369" i="15" s="1"/>
  <c r="K369" i="15"/>
  <c r="G369" i="15"/>
  <c r="N369" i="15" s="1"/>
  <c r="Q369" i="15" s="1"/>
  <c r="R369" i="15" s="1"/>
  <c r="V369" i="15" s="1"/>
  <c r="AC368" i="15"/>
  <c r="AB368" i="15"/>
  <c r="AD368" i="15" s="1"/>
  <c r="K368" i="15"/>
  <c r="G368" i="15"/>
  <c r="N368" i="15" s="1"/>
  <c r="Q368" i="15" s="1"/>
  <c r="R368" i="15" s="1"/>
  <c r="V368" i="15" s="1"/>
  <c r="AC367" i="15"/>
  <c r="AB367" i="15"/>
  <c r="AD367" i="15" s="1"/>
  <c r="K367" i="15"/>
  <c r="G367" i="15"/>
  <c r="N367" i="15" s="1"/>
  <c r="Q367" i="15" s="1"/>
  <c r="R367" i="15" s="1"/>
  <c r="V367" i="15" s="1"/>
  <c r="AC366" i="15"/>
  <c r="AB366" i="15"/>
  <c r="AD366" i="15" s="1"/>
  <c r="K366" i="15"/>
  <c r="G366" i="15"/>
  <c r="N366" i="15" s="1"/>
  <c r="Q366" i="15" s="1"/>
  <c r="R366" i="15" s="1"/>
  <c r="V366" i="15" s="1"/>
  <c r="AC365" i="15"/>
  <c r="AB365" i="15"/>
  <c r="AD365" i="15" s="1"/>
  <c r="K365" i="15"/>
  <c r="G365" i="15"/>
  <c r="N365" i="15" s="1"/>
  <c r="Q365" i="15" s="1"/>
  <c r="R365" i="15" s="1"/>
  <c r="V365" i="15" s="1"/>
  <c r="AC364" i="15"/>
  <c r="AB364" i="15"/>
  <c r="AD364" i="15" s="1"/>
  <c r="K364" i="15"/>
  <c r="G364" i="15"/>
  <c r="N364" i="15" s="1"/>
  <c r="Q364" i="15" s="1"/>
  <c r="R364" i="15" s="1"/>
  <c r="V364" i="15" s="1"/>
  <c r="AC363" i="15"/>
  <c r="AB363" i="15"/>
  <c r="AD363" i="15" s="1"/>
  <c r="K363" i="15"/>
  <c r="G363" i="15"/>
  <c r="N363" i="15" s="1"/>
  <c r="Q363" i="15" s="1"/>
  <c r="R363" i="15" s="1"/>
  <c r="V363" i="15" s="1"/>
  <c r="AC362" i="15"/>
  <c r="AB362" i="15"/>
  <c r="AD362" i="15" s="1"/>
  <c r="K362" i="15"/>
  <c r="G362" i="15"/>
  <c r="N362" i="15" s="1"/>
  <c r="Q362" i="15" s="1"/>
  <c r="R362" i="15" s="1"/>
  <c r="V362" i="15" s="1"/>
  <c r="AC361" i="15"/>
  <c r="AB361" i="15"/>
  <c r="AD361" i="15" s="1"/>
  <c r="K361" i="15"/>
  <c r="G361" i="15"/>
  <c r="N361" i="15" s="1"/>
  <c r="Q361" i="15" s="1"/>
  <c r="R361" i="15" s="1"/>
  <c r="V361" i="15" s="1"/>
  <c r="AC360" i="15"/>
  <c r="AB360" i="15"/>
  <c r="AD360" i="15" s="1"/>
  <c r="K360" i="15"/>
  <c r="G360" i="15"/>
  <c r="N360" i="15" s="1"/>
  <c r="Q360" i="15" s="1"/>
  <c r="R360" i="15" s="1"/>
  <c r="V360" i="15" s="1"/>
  <c r="AC359" i="15"/>
  <c r="AB359" i="15"/>
  <c r="AD359" i="15" s="1"/>
  <c r="K359" i="15"/>
  <c r="G359" i="15"/>
  <c r="N359" i="15" s="1"/>
  <c r="Q359" i="15" s="1"/>
  <c r="R359" i="15" s="1"/>
  <c r="V359" i="15" s="1"/>
  <c r="AC358" i="15"/>
  <c r="AB358" i="15"/>
  <c r="AD358" i="15" s="1"/>
  <c r="M358" i="15"/>
  <c r="L358" i="15"/>
  <c r="K358" i="15"/>
  <c r="G358" i="15"/>
  <c r="N358" i="15" s="1"/>
  <c r="Q358" i="15" s="1"/>
  <c r="R358" i="15" s="1"/>
  <c r="V358" i="15" s="1"/>
  <c r="AC357" i="15"/>
  <c r="AD357" i="15" s="1"/>
  <c r="AB357" i="15"/>
  <c r="M357" i="15"/>
  <c r="L357" i="15"/>
  <c r="K357" i="15"/>
  <c r="G357" i="15"/>
  <c r="N357" i="15" s="1"/>
  <c r="Q357" i="15" s="1"/>
  <c r="R357" i="15" s="1"/>
  <c r="V357" i="15" s="1"/>
  <c r="AD356" i="15"/>
  <c r="AC356" i="15"/>
  <c r="AB356" i="15"/>
  <c r="M356" i="15"/>
  <c r="L356" i="15"/>
  <c r="K356" i="15"/>
  <c r="G356" i="15"/>
  <c r="N356" i="15" s="1"/>
  <c r="Q356" i="15" s="1"/>
  <c r="R356" i="15" s="1"/>
  <c r="V356" i="15" s="1"/>
  <c r="AD355" i="15"/>
  <c r="AC355" i="15"/>
  <c r="AB355" i="15"/>
  <c r="M355" i="15"/>
  <c r="L355" i="15"/>
  <c r="K355" i="15"/>
  <c r="G355" i="15"/>
  <c r="N355" i="15" s="1"/>
  <c r="Q355" i="15" s="1"/>
  <c r="R355" i="15" s="1"/>
  <c r="V355" i="15" s="1"/>
  <c r="AD354" i="15"/>
  <c r="AC354" i="15"/>
  <c r="AB354" i="15"/>
  <c r="M354" i="15"/>
  <c r="L354" i="15"/>
  <c r="K354" i="15"/>
  <c r="G354" i="15"/>
  <c r="N354" i="15" s="1"/>
  <c r="Q354" i="15" s="1"/>
  <c r="R354" i="15" s="1"/>
  <c r="V354" i="15" s="1"/>
  <c r="AD353" i="15"/>
  <c r="AC353" i="15"/>
  <c r="AB353" i="15"/>
  <c r="M353" i="15"/>
  <c r="L353" i="15"/>
  <c r="K353" i="15"/>
  <c r="G353" i="15"/>
  <c r="N353" i="15" s="1"/>
  <c r="Q353" i="15" s="1"/>
  <c r="R353" i="15" s="1"/>
  <c r="V353" i="15" s="1"/>
  <c r="AD352" i="15"/>
  <c r="AC352" i="15"/>
  <c r="AB352" i="15"/>
  <c r="M352" i="15"/>
  <c r="L352" i="15"/>
  <c r="K352" i="15"/>
  <c r="G352" i="15"/>
  <c r="N352" i="15" s="1"/>
  <c r="Q352" i="15" s="1"/>
  <c r="R352" i="15" s="1"/>
  <c r="V352" i="15" s="1"/>
  <c r="AD351" i="15"/>
  <c r="AC351" i="15"/>
  <c r="AB351" i="15"/>
  <c r="M351" i="15"/>
  <c r="L351" i="15"/>
  <c r="K351" i="15"/>
  <c r="G351" i="15"/>
  <c r="N351" i="15" s="1"/>
  <c r="Q351" i="15" s="1"/>
  <c r="R351" i="15" s="1"/>
  <c r="V351" i="15" s="1"/>
  <c r="AD350" i="15"/>
  <c r="AC350" i="15"/>
  <c r="AB350" i="15"/>
  <c r="M350" i="15"/>
  <c r="L350" i="15"/>
  <c r="K350" i="15"/>
  <c r="G350" i="15"/>
  <c r="N350" i="15" s="1"/>
  <c r="Q350" i="15" s="1"/>
  <c r="R350" i="15" s="1"/>
  <c r="V350" i="15" s="1"/>
  <c r="AD349" i="15"/>
  <c r="AC349" i="15"/>
  <c r="AB349" i="15"/>
  <c r="M349" i="15"/>
  <c r="L349" i="15"/>
  <c r="K349" i="15"/>
  <c r="G349" i="15"/>
  <c r="N349" i="15" s="1"/>
  <c r="Q349" i="15" s="1"/>
  <c r="R349" i="15" s="1"/>
  <c r="V349" i="15" s="1"/>
  <c r="AD348" i="15"/>
  <c r="AC348" i="15"/>
  <c r="AB348" i="15"/>
  <c r="M348" i="15"/>
  <c r="L348" i="15"/>
  <c r="K348" i="15"/>
  <c r="G348" i="15"/>
  <c r="N348" i="15" s="1"/>
  <c r="Q348" i="15" s="1"/>
  <c r="R348" i="15" s="1"/>
  <c r="V348" i="15" s="1"/>
  <c r="AD347" i="15"/>
  <c r="AC347" i="15"/>
  <c r="AB347" i="15"/>
  <c r="M347" i="15"/>
  <c r="L347" i="15"/>
  <c r="K347" i="15"/>
  <c r="G347" i="15"/>
  <c r="N347" i="15" s="1"/>
  <c r="Q347" i="15" s="1"/>
  <c r="R347" i="15" s="1"/>
  <c r="V347" i="15" s="1"/>
  <c r="AD346" i="15"/>
  <c r="AC346" i="15"/>
  <c r="AB346" i="15"/>
  <c r="M346" i="15"/>
  <c r="L346" i="15"/>
  <c r="K346" i="15"/>
  <c r="G346" i="15"/>
  <c r="N346" i="15" s="1"/>
  <c r="Q346" i="15" s="1"/>
  <c r="R346" i="15" s="1"/>
  <c r="V346" i="15" s="1"/>
  <c r="AD345" i="15"/>
  <c r="AC345" i="15"/>
  <c r="AB345" i="15"/>
  <c r="M345" i="15"/>
  <c r="L345" i="15"/>
  <c r="K345" i="15"/>
  <c r="G345" i="15"/>
  <c r="N345" i="15" s="1"/>
  <c r="Q345" i="15" s="1"/>
  <c r="R345" i="15" s="1"/>
  <c r="V345" i="15" s="1"/>
  <c r="AD344" i="15"/>
  <c r="AC344" i="15"/>
  <c r="AB344" i="15"/>
  <c r="M344" i="15"/>
  <c r="L344" i="15"/>
  <c r="K344" i="15"/>
  <c r="G344" i="15"/>
  <c r="N344" i="15" s="1"/>
  <c r="Q344" i="15" s="1"/>
  <c r="R344" i="15" s="1"/>
  <c r="V344" i="15" s="1"/>
  <c r="AD343" i="15"/>
  <c r="AC343" i="15"/>
  <c r="AB343" i="15"/>
  <c r="M343" i="15"/>
  <c r="L343" i="15"/>
  <c r="K343" i="15"/>
  <c r="G343" i="15"/>
  <c r="N343" i="15" s="1"/>
  <c r="Q343" i="15" s="1"/>
  <c r="R343" i="15" s="1"/>
  <c r="V343" i="15" s="1"/>
  <c r="AD342" i="15"/>
  <c r="AC342" i="15"/>
  <c r="AB342" i="15"/>
  <c r="M342" i="15"/>
  <c r="L342" i="15"/>
  <c r="K342" i="15"/>
  <c r="G342" i="15"/>
  <c r="N342" i="15" s="1"/>
  <c r="Q342" i="15" s="1"/>
  <c r="R342" i="15" s="1"/>
  <c r="V342" i="15" s="1"/>
  <c r="AD341" i="15"/>
  <c r="AC341" i="15"/>
  <c r="AB341" i="15"/>
  <c r="M341" i="15"/>
  <c r="L341" i="15"/>
  <c r="K341" i="15"/>
  <c r="G341" i="15"/>
  <c r="N341" i="15" s="1"/>
  <c r="Q341" i="15" s="1"/>
  <c r="R341" i="15" s="1"/>
  <c r="V341" i="15" s="1"/>
  <c r="AD340" i="15"/>
  <c r="AC340" i="15"/>
  <c r="AB340" i="15"/>
  <c r="M340" i="15"/>
  <c r="L340" i="15"/>
  <c r="K340" i="15"/>
  <c r="G340" i="15"/>
  <c r="N340" i="15" s="1"/>
  <c r="Q340" i="15" s="1"/>
  <c r="R340" i="15" s="1"/>
  <c r="V340" i="15" s="1"/>
  <c r="AD339" i="15"/>
  <c r="AC339" i="15"/>
  <c r="AB339" i="15"/>
  <c r="M339" i="15"/>
  <c r="L339" i="15"/>
  <c r="K339" i="15"/>
  <c r="G339" i="15"/>
  <c r="N339" i="15" s="1"/>
  <c r="Q339" i="15" s="1"/>
  <c r="R339" i="15" s="1"/>
  <c r="V339" i="15" s="1"/>
  <c r="AD338" i="15"/>
  <c r="AC338" i="15"/>
  <c r="AB338" i="15"/>
  <c r="M338" i="15"/>
  <c r="L338" i="15"/>
  <c r="K338" i="15"/>
  <c r="G338" i="15"/>
  <c r="N338" i="15" s="1"/>
  <c r="Q338" i="15" s="1"/>
  <c r="R338" i="15" s="1"/>
  <c r="V338" i="15" s="1"/>
  <c r="AD337" i="15"/>
  <c r="AC337" i="15"/>
  <c r="AB337" i="15"/>
  <c r="M337" i="15"/>
  <c r="L337" i="15"/>
  <c r="K337" i="15"/>
  <c r="G337" i="15"/>
  <c r="N337" i="15" s="1"/>
  <c r="Q337" i="15" s="1"/>
  <c r="R337" i="15" s="1"/>
  <c r="V337" i="15" s="1"/>
  <c r="AD336" i="15"/>
  <c r="AC336" i="15"/>
  <c r="AB336" i="15"/>
  <c r="M336" i="15"/>
  <c r="L336" i="15"/>
  <c r="K336" i="15"/>
  <c r="G336" i="15"/>
  <c r="N336" i="15" s="1"/>
  <c r="Q336" i="15" s="1"/>
  <c r="R336" i="15" s="1"/>
  <c r="V336" i="15" s="1"/>
  <c r="AD335" i="15"/>
  <c r="AC335" i="15"/>
  <c r="AB335" i="15"/>
  <c r="M335" i="15"/>
  <c r="L335" i="15"/>
  <c r="K335" i="15"/>
  <c r="G335" i="15"/>
  <c r="N335" i="15" s="1"/>
  <c r="Q335" i="15" s="1"/>
  <c r="R335" i="15" s="1"/>
  <c r="V335" i="15" s="1"/>
  <c r="AD334" i="15"/>
  <c r="AC334" i="15"/>
  <c r="AB334" i="15"/>
  <c r="M334" i="15"/>
  <c r="L334" i="15"/>
  <c r="K334" i="15"/>
  <c r="G334" i="15"/>
  <c r="N334" i="15" s="1"/>
  <c r="Q334" i="15" s="1"/>
  <c r="R334" i="15" s="1"/>
  <c r="V334" i="15" s="1"/>
  <c r="AD333" i="15"/>
  <c r="AC333" i="15"/>
  <c r="AB333" i="15"/>
  <c r="M333" i="15"/>
  <c r="L333" i="15"/>
  <c r="K333" i="15"/>
  <c r="G333" i="15"/>
  <c r="N333" i="15" s="1"/>
  <c r="Q333" i="15" s="1"/>
  <c r="R333" i="15" s="1"/>
  <c r="V333" i="15" s="1"/>
  <c r="AD332" i="15"/>
  <c r="AC332" i="15"/>
  <c r="AB332" i="15"/>
  <c r="M332" i="15"/>
  <c r="L332" i="15"/>
  <c r="K332" i="15"/>
  <c r="G332" i="15"/>
  <c r="N332" i="15" s="1"/>
  <c r="Q332" i="15" s="1"/>
  <c r="R332" i="15" s="1"/>
  <c r="V332" i="15" s="1"/>
  <c r="AD331" i="15"/>
  <c r="AC331" i="15"/>
  <c r="AB331" i="15"/>
  <c r="M331" i="15"/>
  <c r="L331" i="15"/>
  <c r="K331" i="15"/>
  <c r="G331" i="15"/>
  <c r="N331" i="15" s="1"/>
  <c r="Q331" i="15" s="1"/>
  <c r="R331" i="15" s="1"/>
  <c r="V331" i="15" s="1"/>
  <c r="AD330" i="15"/>
  <c r="AC330" i="15"/>
  <c r="AC401" i="15" s="1"/>
  <c r="AB330" i="15"/>
  <c r="M330" i="15"/>
  <c r="L330" i="15"/>
  <c r="K330" i="15"/>
  <c r="K401" i="15" s="1"/>
  <c r="G330" i="15"/>
  <c r="N330" i="15" s="1"/>
  <c r="AB326" i="15"/>
  <c r="U326" i="15"/>
  <c r="T326" i="15"/>
  <c r="S326" i="15"/>
  <c r="P326" i="15"/>
  <c r="O326" i="15"/>
  <c r="K326" i="15"/>
  <c r="V325" i="15"/>
  <c r="W325" i="15" s="1"/>
  <c r="AD324" i="15"/>
  <c r="AD326" i="15" s="1"/>
  <c r="AC327" i="15" s="1"/>
  <c r="AC324" i="15"/>
  <c r="AC326" i="15" s="1"/>
  <c r="AB324" i="15"/>
  <c r="M324" i="15"/>
  <c r="M326" i="15" s="1"/>
  <c r="L324" i="15"/>
  <c r="L326" i="15" s="1"/>
  <c r="K324" i="15"/>
  <c r="G324" i="15"/>
  <c r="N324" i="15" s="1"/>
  <c r="AC320" i="15"/>
  <c r="U320" i="15"/>
  <c r="T320" i="15"/>
  <c r="S320" i="15"/>
  <c r="P320" i="15"/>
  <c r="O320" i="15"/>
  <c r="V319" i="15"/>
  <c r="X319" i="15" s="1"/>
  <c r="AC318" i="15"/>
  <c r="AB318" i="15"/>
  <c r="AB320" i="15" s="1"/>
  <c r="K318" i="15"/>
  <c r="L318" i="15" s="1"/>
  <c r="L320" i="15" s="1"/>
  <c r="G318" i="15"/>
  <c r="N318" i="15" s="1"/>
  <c r="AC315" i="15"/>
  <c r="AC316" i="15" s="1"/>
  <c r="U315" i="15"/>
  <c r="T315" i="15"/>
  <c r="S315" i="15"/>
  <c r="P315" i="15"/>
  <c r="O315" i="15"/>
  <c r="X314" i="15"/>
  <c r="W314" i="15"/>
  <c r="V314" i="15"/>
  <c r="AC313" i="15"/>
  <c r="AB313" i="15"/>
  <c r="AD313" i="15" s="1"/>
  <c r="AD315" i="15" s="1"/>
  <c r="N313" i="15"/>
  <c r="N315" i="15" s="1"/>
  <c r="L313" i="15"/>
  <c r="L315" i="15" s="1"/>
  <c r="K313" i="15"/>
  <c r="G313" i="15"/>
  <c r="U309" i="15"/>
  <c r="T309" i="15"/>
  <c r="S309" i="15"/>
  <c r="P309" i="15"/>
  <c r="O309" i="15"/>
  <c r="K309" i="15"/>
  <c r="X308" i="15"/>
  <c r="W308" i="15"/>
  <c r="V308" i="15"/>
  <c r="AD307" i="15"/>
  <c r="AD309" i="15" s="1"/>
  <c r="AC307" i="15"/>
  <c r="AC309" i="15" s="1"/>
  <c r="AB307" i="15"/>
  <c r="AB309" i="15" s="1"/>
  <c r="K307" i="15"/>
  <c r="M307" i="15" s="1"/>
  <c r="M309" i="15" s="1"/>
  <c r="G307" i="15"/>
  <c r="N307" i="15" s="1"/>
  <c r="Q307" i="15" s="1"/>
  <c r="AD303" i="15"/>
  <c r="AC304" i="15" s="1"/>
  <c r="AB303" i="15"/>
  <c r="U303" i="15"/>
  <c r="T303" i="15"/>
  <c r="S303" i="15"/>
  <c r="P303" i="15"/>
  <c r="O303" i="15"/>
  <c r="K303" i="15"/>
  <c r="V302" i="15"/>
  <c r="W302" i="15" s="1"/>
  <c r="AD301" i="15"/>
  <c r="AC301" i="15"/>
  <c r="AC303" i="15" s="1"/>
  <c r="AB301" i="15"/>
  <c r="M301" i="15"/>
  <c r="M303" i="15" s="1"/>
  <c r="L301" i="15"/>
  <c r="L303" i="15" s="1"/>
  <c r="K301" i="15"/>
  <c r="G301" i="15"/>
  <c r="N301" i="15" s="1"/>
  <c r="AC298" i="15"/>
  <c r="AD297" i="15"/>
  <c r="AC297" i="15"/>
  <c r="AB297" i="15"/>
  <c r="U297" i="15"/>
  <c r="T297" i="15"/>
  <c r="S297" i="15"/>
  <c r="Q297" i="15"/>
  <c r="P297" i="15"/>
  <c r="O297" i="15"/>
  <c r="N297" i="15"/>
  <c r="L297" i="15"/>
  <c r="K297" i="15"/>
  <c r="Y296" i="15"/>
  <c r="Y297" i="15" s="1"/>
  <c r="X296" i="15"/>
  <c r="X297" i="15" s="1"/>
  <c r="V296" i="15"/>
  <c r="Z296" i="15" s="1"/>
  <c r="Z297" i="15" s="1"/>
  <c r="R296" i="15"/>
  <c r="R297" i="15" s="1"/>
  <c r="M296" i="15"/>
  <c r="M297" i="15" s="1"/>
  <c r="L296" i="15"/>
  <c r="U292" i="15"/>
  <c r="T292" i="15"/>
  <c r="S292" i="15"/>
  <c r="P292" i="15"/>
  <c r="O292" i="15"/>
  <c r="R291" i="15"/>
  <c r="V291" i="15" s="1"/>
  <c r="R290" i="15"/>
  <c r="V290" i="15" s="1"/>
  <c r="Z290" i="15" s="1"/>
  <c r="AD289" i="15"/>
  <c r="AC289" i="15"/>
  <c r="AB289" i="15"/>
  <c r="M289" i="15"/>
  <c r="L289" i="15"/>
  <c r="K289" i="15"/>
  <c r="G289" i="15"/>
  <c r="N289" i="15" s="1"/>
  <c r="Q289" i="15" s="1"/>
  <c r="R289" i="15" s="1"/>
  <c r="V289" i="15" s="1"/>
  <c r="AC288" i="15"/>
  <c r="AD288" i="15" s="1"/>
  <c r="AB288" i="15"/>
  <c r="R288" i="15"/>
  <c r="V288" i="15" s="1"/>
  <c r="M288" i="15"/>
  <c r="L288" i="15"/>
  <c r="K288" i="15"/>
  <c r="G288" i="15"/>
  <c r="N288" i="15" s="1"/>
  <c r="AD287" i="15"/>
  <c r="AC287" i="15"/>
  <c r="AB287" i="15"/>
  <c r="K287" i="15"/>
  <c r="M287" i="15" s="1"/>
  <c r="G287" i="15"/>
  <c r="N287" i="15" s="1"/>
  <c r="Q287" i="15" s="1"/>
  <c r="R287" i="15" s="1"/>
  <c r="V287" i="15" s="1"/>
  <c r="AC286" i="15"/>
  <c r="AB286" i="15"/>
  <c r="AD286" i="15" s="1"/>
  <c r="K286" i="15"/>
  <c r="L286" i="15" s="1"/>
  <c r="G286" i="15"/>
  <c r="N286" i="15" s="1"/>
  <c r="Q286" i="15" s="1"/>
  <c r="R286" i="15" s="1"/>
  <c r="V286" i="15" s="1"/>
  <c r="AC285" i="15"/>
  <c r="AB285" i="15"/>
  <c r="AD285" i="15" s="1"/>
  <c r="M285" i="15"/>
  <c r="L285" i="15"/>
  <c r="K285" i="15"/>
  <c r="G285" i="15"/>
  <c r="N285" i="15" s="1"/>
  <c r="Q285" i="15" s="1"/>
  <c r="R285" i="15" s="1"/>
  <c r="V285" i="15" s="1"/>
  <c r="AC284" i="15"/>
  <c r="AD284" i="15" s="1"/>
  <c r="AB284" i="15"/>
  <c r="M284" i="15"/>
  <c r="L284" i="15"/>
  <c r="K284" i="15"/>
  <c r="G284" i="15"/>
  <c r="N284" i="15" s="1"/>
  <c r="Q284" i="15" s="1"/>
  <c r="R284" i="15" s="1"/>
  <c r="V284" i="15" s="1"/>
  <c r="AD283" i="15"/>
  <c r="AC283" i="15"/>
  <c r="AB283" i="15"/>
  <c r="K283" i="15"/>
  <c r="M283" i="15" s="1"/>
  <c r="G283" i="15"/>
  <c r="N283" i="15" s="1"/>
  <c r="Q283" i="15" s="1"/>
  <c r="R283" i="15" s="1"/>
  <c r="V283" i="15" s="1"/>
  <c r="AC282" i="15"/>
  <c r="AB282" i="15"/>
  <c r="AD282" i="15" s="1"/>
  <c r="K282" i="15"/>
  <c r="L282" i="15" s="1"/>
  <c r="G282" i="15"/>
  <c r="N282" i="15" s="1"/>
  <c r="Q282" i="15" s="1"/>
  <c r="R282" i="15" s="1"/>
  <c r="V282" i="15" s="1"/>
  <c r="AC281" i="15"/>
  <c r="AB281" i="15"/>
  <c r="AD281" i="15" s="1"/>
  <c r="M281" i="15"/>
  <c r="L281" i="15"/>
  <c r="K281" i="15"/>
  <c r="K293" i="15" s="1"/>
  <c r="G281" i="15"/>
  <c r="N281" i="15" s="1"/>
  <c r="Q281" i="15" s="1"/>
  <c r="R281" i="15" s="1"/>
  <c r="V281" i="15" s="1"/>
  <c r="AC280" i="15"/>
  <c r="AD280" i="15" s="1"/>
  <c r="AB280" i="15"/>
  <c r="AB292" i="15" s="1"/>
  <c r="M280" i="15"/>
  <c r="L280" i="15"/>
  <c r="K280" i="15"/>
  <c r="K292" i="15" s="1"/>
  <c r="G280" i="15"/>
  <c r="N280" i="15" s="1"/>
  <c r="AB275" i="15"/>
  <c r="U275" i="15"/>
  <c r="T275" i="15"/>
  <c r="S275" i="15"/>
  <c r="P275" i="15"/>
  <c r="O275" i="15"/>
  <c r="K275" i="15"/>
  <c r="Y274" i="15"/>
  <c r="X274" i="15"/>
  <c r="V274" i="15"/>
  <c r="Z274" i="15" s="1"/>
  <c r="R274" i="15"/>
  <c r="Y273" i="15"/>
  <c r="R273" i="15"/>
  <c r="V273" i="15" s="1"/>
  <c r="Z273" i="15" s="1"/>
  <c r="AD272" i="15"/>
  <c r="AC272" i="15"/>
  <c r="AB272" i="15"/>
  <c r="M272" i="15"/>
  <c r="L272" i="15"/>
  <c r="K272" i="15"/>
  <c r="G272" i="15"/>
  <c r="N272" i="15" s="1"/>
  <c r="Q272" i="15" s="1"/>
  <c r="R272" i="15" s="1"/>
  <c r="V272" i="15" s="1"/>
  <c r="AC271" i="15"/>
  <c r="AD271" i="15" s="1"/>
  <c r="AB271" i="15"/>
  <c r="M271" i="15"/>
  <c r="L271" i="15"/>
  <c r="K271" i="15"/>
  <c r="G271" i="15"/>
  <c r="N271" i="15" s="1"/>
  <c r="Q271" i="15" s="1"/>
  <c r="R271" i="15" s="1"/>
  <c r="V271" i="15" s="1"/>
  <c r="AD270" i="15"/>
  <c r="AC270" i="15"/>
  <c r="AB270" i="15"/>
  <c r="M270" i="15"/>
  <c r="L270" i="15"/>
  <c r="K270" i="15"/>
  <c r="G270" i="15"/>
  <c r="N270" i="15" s="1"/>
  <c r="Q270" i="15" s="1"/>
  <c r="R270" i="15" s="1"/>
  <c r="V270" i="15" s="1"/>
  <c r="AC269" i="15"/>
  <c r="AD269" i="15" s="1"/>
  <c r="AB269" i="15"/>
  <c r="M269" i="15"/>
  <c r="L269" i="15"/>
  <c r="K269" i="15"/>
  <c r="G269" i="15"/>
  <c r="N269" i="15" s="1"/>
  <c r="Q269" i="15" s="1"/>
  <c r="R269" i="15" s="1"/>
  <c r="V269" i="15" s="1"/>
  <c r="AD268" i="15"/>
  <c r="AC268" i="15"/>
  <c r="AB268" i="15"/>
  <c r="M268" i="15"/>
  <c r="L268" i="15"/>
  <c r="K268" i="15"/>
  <c r="G268" i="15"/>
  <c r="N268" i="15" s="1"/>
  <c r="Q268" i="15" s="1"/>
  <c r="R268" i="15" s="1"/>
  <c r="V268" i="15" s="1"/>
  <c r="AC267" i="15"/>
  <c r="AD267" i="15" s="1"/>
  <c r="AB267" i="15"/>
  <c r="M267" i="15"/>
  <c r="L267" i="15"/>
  <c r="K267" i="15"/>
  <c r="G267" i="15"/>
  <c r="N267" i="15" s="1"/>
  <c r="Q267" i="15" s="1"/>
  <c r="R267" i="15" s="1"/>
  <c r="V267" i="15" s="1"/>
  <c r="AD266" i="15"/>
  <c r="AC266" i="15"/>
  <c r="AB266" i="15"/>
  <c r="M266" i="15"/>
  <c r="L266" i="15"/>
  <c r="K266" i="15"/>
  <c r="G266" i="15"/>
  <c r="N266" i="15" s="1"/>
  <c r="Q266" i="15" s="1"/>
  <c r="R266" i="15" s="1"/>
  <c r="V266" i="15" s="1"/>
  <c r="AC265" i="15"/>
  <c r="AD265" i="15" s="1"/>
  <c r="AB265" i="15"/>
  <c r="M265" i="15"/>
  <c r="L265" i="15"/>
  <c r="K265" i="15"/>
  <c r="G265" i="15"/>
  <c r="N265" i="15" s="1"/>
  <c r="Q265" i="15" s="1"/>
  <c r="R265" i="15" s="1"/>
  <c r="V265" i="15" s="1"/>
  <c r="AD264" i="15"/>
  <c r="AC264" i="15"/>
  <c r="AB264" i="15"/>
  <c r="M264" i="15"/>
  <c r="L264" i="15"/>
  <c r="K264" i="15"/>
  <c r="G264" i="15"/>
  <c r="N264" i="15" s="1"/>
  <c r="Q264" i="15" s="1"/>
  <c r="R264" i="15" s="1"/>
  <c r="V264" i="15" s="1"/>
  <c r="AD263" i="15"/>
  <c r="AC263" i="15"/>
  <c r="AB263" i="15"/>
  <c r="M263" i="15"/>
  <c r="L263" i="15"/>
  <c r="K263" i="15"/>
  <c r="G263" i="15"/>
  <c r="N263" i="15" s="1"/>
  <c r="Q263" i="15" s="1"/>
  <c r="R263" i="15" s="1"/>
  <c r="V263" i="15" s="1"/>
  <c r="AD262" i="15"/>
  <c r="AC262" i="15"/>
  <c r="AB262" i="15"/>
  <c r="M262" i="15"/>
  <c r="L262" i="15"/>
  <c r="K262" i="15"/>
  <c r="G262" i="15"/>
  <c r="N262" i="15" s="1"/>
  <c r="Q262" i="15" s="1"/>
  <c r="R262" i="15" s="1"/>
  <c r="V262" i="15" s="1"/>
  <c r="AD261" i="15"/>
  <c r="AC261" i="15"/>
  <c r="AB261" i="15"/>
  <c r="M261" i="15"/>
  <c r="L261" i="15"/>
  <c r="K261" i="15"/>
  <c r="G261" i="15"/>
  <c r="N261" i="15" s="1"/>
  <c r="Q261" i="15" s="1"/>
  <c r="R261" i="15" s="1"/>
  <c r="V261" i="15" s="1"/>
  <c r="AD260" i="15"/>
  <c r="AC260" i="15"/>
  <c r="AB260" i="15"/>
  <c r="M260" i="15"/>
  <c r="L260" i="15"/>
  <c r="K260" i="15"/>
  <c r="K276" i="15" s="1"/>
  <c r="G260" i="15"/>
  <c r="N260" i="15" s="1"/>
  <c r="Q260" i="15" s="1"/>
  <c r="R260" i="15" s="1"/>
  <c r="V260" i="15" s="1"/>
  <c r="AD259" i="15"/>
  <c r="AC259" i="15"/>
  <c r="AC275" i="15" s="1"/>
  <c r="AB259" i="15"/>
  <c r="M259" i="15"/>
  <c r="M275" i="15" s="1"/>
  <c r="L259" i="15"/>
  <c r="L275" i="15" s="1"/>
  <c r="K259" i="15"/>
  <c r="G259" i="15"/>
  <c r="N259" i="15" s="1"/>
  <c r="AC256" i="15"/>
  <c r="AB256" i="15"/>
  <c r="AD256" i="15" s="1"/>
  <c r="AC257" i="15" s="1"/>
  <c r="K256" i="15"/>
  <c r="G256" i="15"/>
  <c r="N256" i="15" s="1"/>
  <c r="Q256" i="15" s="1"/>
  <c r="R256" i="15" s="1"/>
  <c r="V256" i="15" s="1"/>
  <c r="K254" i="15"/>
  <c r="U253" i="15"/>
  <c r="T253" i="15"/>
  <c r="S253" i="15"/>
  <c r="P253" i="15"/>
  <c r="O253" i="15"/>
  <c r="AA252" i="15"/>
  <c r="Y252" i="15"/>
  <c r="X252" i="15"/>
  <c r="W252" i="15"/>
  <c r="V252" i="15"/>
  <c r="Z252" i="15" s="1"/>
  <c r="AC251" i="15"/>
  <c r="AD251" i="15" s="1"/>
  <c r="AB251" i="15"/>
  <c r="M251" i="15"/>
  <c r="L251" i="15"/>
  <c r="K251" i="15"/>
  <c r="G251" i="15"/>
  <c r="N251" i="15" s="1"/>
  <c r="Q251" i="15" s="1"/>
  <c r="R251" i="15" s="1"/>
  <c r="V251" i="15" s="1"/>
  <c r="AC250" i="15"/>
  <c r="AD250" i="15" s="1"/>
  <c r="AB250" i="15"/>
  <c r="R250" i="15"/>
  <c r="V250" i="15" s="1"/>
  <c r="Y250" i="15" s="1"/>
  <c r="L250" i="15"/>
  <c r="K250" i="15"/>
  <c r="M250" i="15" s="1"/>
  <c r="G250" i="15"/>
  <c r="N250" i="15" s="1"/>
  <c r="Q250" i="15" s="1"/>
  <c r="AC249" i="15"/>
  <c r="AB249" i="15"/>
  <c r="AB253" i="15" s="1"/>
  <c r="K249" i="15"/>
  <c r="M249" i="15" s="1"/>
  <c r="G249" i="15"/>
  <c r="N249" i="15" s="1"/>
  <c r="K247" i="15"/>
  <c r="AB246" i="15"/>
  <c r="U246" i="15"/>
  <c r="T246" i="15"/>
  <c r="S246" i="15"/>
  <c r="P246" i="15"/>
  <c r="O246" i="15"/>
  <c r="K246" i="15"/>
  <c r="V245" i="15"/>
  <c r="Z245" i="15" s="1"/>
  <c r="AC244" i="15"/>
  <c r="AD244" i="15" s="1"/>
  <c r="AB244" i="15"/>
  <c r="M244" i="15"/>
  <c r="L244" i="15"/>
  <c r="K244" i="15"/>
  <c r="G244" i="15"/>
  <c r="N244" i="15" s="1"/>
  <c r="Q244" i="15" s="1"/>
  <c r="R244" i="15" s="1"/>
  <c r="V244" i="15" s="1"/>
  <c r="AC243" i="15"/>
  <c r="AD243" i="15" s="1"/>
  <c r="AB243" i="15"/>
  <c r="M243" i="15"/>
  <c r="L243" i="15"/>
  <c r="K243" i="15"/>
  <c r="G243" i="15"/>
  <c r="N243" i="15" s="1"/>
  <c r="Q243" i="15" s="1"/>
  <c r="R243" i="15" s="1"/>
  <c r="V243" i="15" s="1"/>
  <c r="AC242" i="15"/>
  <c r="AD242" i="15" s="1"/>
  <c r="AB242" i="15"/>
  <c r="M242" i="15"/>
  <c r="M246" i="15" s="1"/>
  <c r="L242" i="15"/>
  <c r="L246" i="15" s="1"/>
  <c r="K242" i="15"/>
  <c r="G242" i="15"/>
  <c r="N242" i="15" s="1"/>
  <c r="Q242" i="15" s="1"/>
  <c r="R242" i="15" s="1"/>
  <c r="V242" i="15" s="1"/>
  <c r="AC241" i="15"/>
  <c r="AC246" i="15" s="1"/>
  <c r="AB241" i="15"/>
  <c r="M241" i="15"/>
  <c r="L241" i="15"/>
  <c r="K241" i="15"/>
  <c r="G241" i="15"/>
  <c r="N241" i="15" s="1"/>
  <c r="U237" i="15"/>
  <c r="T237" i="15"/>
  <c r="S237" i="15"/>
  <c r="P237" i="15"/>
  <c r="O237" i="15"/>
  <c r="V236" i="15"/>
  <c r="X236" i="15" s="1"/>
  <c r="R236" i="15"/>
  <c r="R235" i="15"/>
  <c r="V235" i="15" s="1"/>
  <c r="AD234" i="15"/>
  <c r="AC234" i="15"/>
  <c r="AB234" i="15"/>
  <c r="N234" i="15"/>
  <c r="Q234" i="15" s="1"/>
  <c r="R234" i="15" s="1"/>
  <c r="V234" i="15" s="1"/>
  <c r="M234" i="15"/>
  <c r="L234" i="15"/>
  <c r="G234" i="15"/>
  <c r="AD233" i="15"/>
  <c r="AC233" i="15"/>
  <c r="AB233" i="15"/>
  <c r="M233" i="15"/>
  <c r="L233" i="15"/>
  <c r="K233" i="15"/>
  <c r="G233" i="15"/>
  <c r="N233" i="15" s="1"/>
  <c r="Q233" i="15" s="1"/>
  <c r="R233" i="15" s="1"/>
  <c r="V233" i="15" s="1"/>
  <c r="AC232" i="15"/>
  <c r="AD232" i="15" s="1"/>
  <c r="AB232" i="15"/>
  <c r="N232" i="15"/>
  <c r="Q232" i="15" s="1"/>
  <c r="R232" i="15" s="1"/>
  <c r="V232" i="15" s="1"/>
  <c r="M232" i="15"/>
  <c r="L232" i="15"/>
  <c r="G232" i="15"/>
  <c r="AC231" i="15"/>
  <c r="AD231" i="15" s="1"/>
  <c r="AB231" i="15"/>
  <c r="M231" i="15"/>
  <c r="K231" i="15"/>
  <c r="L231" i="15" s="1"/>
  <c r="G231" i="15"/>
  <c r="N231" i="15" s="1"/>
  <c r="Q231" i="15" s="1"/>
  <c r="R231" i="15" s="1"/>
  <c r="V231" i="15" s="1"/>
  <c r="AD230" i="15"/>
  <c r="AC230" i="15"/>
  <c r="AB230" i="15"/>
  <c r="Q230" i="15"/>
  <c r="R230" i="15" s="1"/>
  <c r="V230" i="15" s="1"/>
  <c r="M230" i="15"/>
  <c r="L230" i="15"/>
  <c r="G230" i="15"/>
  <c r="N230" i="15" s="1"/>
  <c r="AC229" i="15"/>
  <c r="AB229" i="15"/>
  <c r="N229" i="15"/>
  <c r="Q229" i="15" s="1"/>
  <c r="R229" i="15" s="1"/>
  <c r="V229" i="15" s="1"/>
  <c r="M229" i="15"/>
  <c r="L229" i="15"/>
  <c r="G229" i="15"/>
  <c r="AD228" i="15"/>
  <c r="AC228" i="15"/>
  <c r="AB228" i="15"/>
  <c r="AB237" i="15" s="1"/>
  <c r="M228" i="15"/>
  <c r="L228" i="15"/>
  <c r="G228" i="15"/>
  <c r="N228" i="15" s="1"/>
  <c r="Q228" i="15" s="1"/>
  <c r="R228" i="15" s="1"/>
  <c r="V228" i="15" s="1"/>
  <c r="AC227" i="15"/>
  <c r="AD227" i="15" s="1"/>
  <c r="AB227" i="15"/>
  <c r="M227" i="15"/>
  <c r="M237" i="15" s="1"/>
  <c r="L227" i="15"/>
  <c r="L237" i="15" s="1"/>
  <c r="K227" i="15"/>
  <c r="G227" i="15"/>
  <c r="N227" i="15" s="1"/>
  <c r="Q227" i="15" s="1"/>
  <c r="R227" i="15" s="1"/>
  <c r="V227" i="15" s="1"/>
  <c r="AC226" i="15"/>
  <c r="AD226" i="15" s="1"/>
  <c r="AB226" i="15"/>
  <c r="M226" i="15"/>
  <c r="L226" i="15"/>
  <c r="K226" i="15"/>
  <c r="K238" i="15" s="1"/>
  <c r="G226" i="15"/>
  <c r="N226" i="15" s="1"/>
  <c r="U221" i="15"/>
  <c r="T221" i="15"/>
  <c r="S221" i="15"/>
  <c r="P221" i="15"/>
  <c r="R220" i="15"/>
  <c r="V220" i="15" s="1"/>
  <c r="AC219" i="15"/>
  <c r="AB219" i="15"/>
  <c r="AD219" i="15" s="1"/>
  <c r="Q219" i="15"/>
  <c r="R219" i="15" s="1"/>
  <c r="V219" i="15" s="1"/>
  <c r="P219" i="15"/>
  <c r="K219" i="15"/>
  <c r="M219" i="15" s="1"/>
  <c r="G219" i="15"/>
  <c r="N219" i="15" s="1"/>
  <c r="AC218" i="15"/>
  <c r="AB218" i="15"/>
  <c r="AD218" i="15" s="1"/>
  <c r="M218" i="15"/>
  <c r="L218" i="15"/>
  <c r="K218" i="15"/>
  <c r="G218" i="15"/>
  <c r="N218" i="15" s="1"/>
  <c r="Q218" i="15" s="1"/>
  <c r="R218" i="15" s="1"/>
  <c r="V218" i="15" s="1"/>
  <c r="AC217" i="15"/>
  <c r="AD217" i="15" s="1"/>
  <c r="AB217" i="15"/>
  <c r="M217" i="15"/>
  <c r="K217" i="15"/>
  <c r="L217" i="15" s="1"/>
  <c r="G217" i="15"/>
  <c r="N217" i="15" s="1"/>
  <c r="Q217" i="15" s="1"/>
  <c r="R217" i="15" s="1"/>
  <c r="V217" i="15" s="1"/>
  <c r="AD216" i="15"/>
  <c r="AC216" i="15"/>
  <c r="AB216" i="15"/>
  <c r="K216" i="15"/>
  <c r="L216" i="15" s="1"/>
  <c r="G216" i="15"/>
  <c r="N216" i="15" s="1"/>
  <c r="Q216" i="15" s="1"/>
  <c r="R216" i="15" s="1"/>
  <c r="V216" i="15" s="1"/>
  <c r="AC215" i="15"/>
  <c r="AB215" i="15"/>
  <c r="AD215" i="15" s="1"/>
  <c r="K215" i="15"/>
  <c r="M215" i="15" s="1"/>
  <c r="G215" i="15"/>
  <c r="N215" i="15" s="1"/>
  <c r="Q215" i="15" s="1"/>
  <c r="R215" i="15" s="1"/>
  <c r="V215" i="15" s="1"/>
  <c r="AC214" i="15"/>
  <c r="AB214" i="15"/>
  <c r="AD214" i="15" s="1"/>
  <c r="M214" i="15"/>
  <c r="L214" i="15"/>
  <c r="K214" i="15"/>
  <c r="G214" i="15"/>
  <c r="N214" i="15" s="1"/>
  <c r="Q214" i="15" s="1"/>
  <c r="R214" i="15" s="1"/>
  <c r="V214" i="15" s="1"/>
  <c r="AC213" i="15"/>
  <c r="AD213" i="15" s="1"/>
  <c r="AB213" i="15"/>
  <c r="M213" i="15"/>
  <c r="K213" i="15"/>
  <c r="L213" i="15" s="1"/>
  <c r="G213" i="15"/>
  <c r="N213" i="15" s="1"/>
  <c r="Q213" i="15" s="1"/>
  <c r="R213" i="15" s="1"/>
  <c r="V213" i="15" s="1"/>
  <c r="AD212" i="15"/>
  <c r="AC212" i="15"/>
  <c r="AB212" i="15"/>
  <c r="K212" i="15"/>
  <c r="L212" i="15" s="1"/>
  <c r="G212" i="15"/>
  <c r="N212" i="15" s="1"/>
  <c r="Q212" i="15" s="1"/>
  <c r="R212" i="15" s="1"/>
  <c r="V212" i="15" s="1"/>
  <c r="AC211" i="15"/>
  <c r="AB211" i="15"/>
  <c r="AD211" i="15" s="1"/>
  <c r="K211" i="15"/>
  <c r="M211" i="15" s="1"/>
  <c r="G211" i="15"/>
  <c r="N211" i="15" s="1"/>
  <c r="Q211" i="15" s="1"/>
  <c r="R211" i="15" s="1"/>
  <c r="V211" i="15" s="1"/>
  <c r="AC210" i="15"/>
  <c r="AB210" i="15"/>
  <c r="AD210" i="15" s="1"/>
  <c r="M210" i="15"/>
  <c r="L210" i="15"/>
  <c r="K210" i="15"/>
  <c r="G210" i="15"/>
  <c r="N210" i="15" s="1"/>
  <c r="Q210" i="15" s="1"/>
  <c r="R210" i="15" s="1"/>
  <c r="V210" i="15" s="1"/>
  <c r="AC209" i="15"/>
  <c r="AD209" i="15" s="1"/>
  <c r="AB209" i="15"/>
  <c r="M209" i="15"/>
  <c r="K209" i="15"/>
  <c r="L209" i="15" s="1"/>
  <c r="G209" i="15"/>
  <c r="N209" i="15" s="1"/>
  <c r="Q209" i="15" s="1"/>
  <c r="R209" i="15" s="1"/>
  <c r="V209" i="15" s="1"/>
  <c r="AD208" i="15"/>
  <c r="AC208" i="15"/>
  <c r="AB208" i="15"/>
  <c r="Q208" i="15"/>
  <c r="R208" i="15" s="1"/>
  <c r="V208" i="15" s="1"/>
  <c r="M208" i="15"/>
  <c r="L208" i="15"/>
  <c r="G208" i="15"/>
  <c r="N208" i="15" s="1"/>
  <c r="AC207" i="15"/>
  <c r="AB207" i="15"/>
  <c r="N207" i="15"/>
  <c r="Q207" i="15" s="1"/>
  <c r="R207" i="15" s="1"/>
  <c r="V207" i="15" s="1"/>
  <c r="K207" i="15"/>
  <c r="M207" i="15" s="1"/>
  <c r="G207" i="15"/>
  <c r="AC206" i="15"/>
  <c r="AB206" i="15"/>
  <c r="O206" i="15"/>
  <c r="O221" i="15" s="1"/>
  <c r="K206" i="15"/>
  <c r="L206" i="15" s="1"/>
  <c r="G206" i="15"/>
  <c r="N206" i="15" s="1"/>
  <c r="Q206" i="15" s="1"/>
  <c r="R206" i="15" s="1"/>
  <c r="V206" i="15" s="1"/>
  <c r="AC205" i="15"/>
  <c r="AB205" i="15"/>
  <c r="AD205" i="15" s="1"/>
  <c r="K205" i="15"/>
  <c r="M205" i="15" s="1"/>
  <c r="G205" i="15"/>
  <c r="N205" i="15" s="1"/>
  <c r="Q205" i="15" s="1"/>
  <c r="R205" i="15" s="1"/>
  <c r="V205" i="15" s="1"/>
  <c r="AC204" i="15"/>
  <c r="AB204" i="15"/>
  <c r="AD204" i="15" s="1"/>
  <c r="M204" i="15"/>
  <c r="L204" i="15"/>
  <c r="K204" i="15"/>
  <c r="G204" i="15"/>
  <c r="N204" i="15" s="1"/>
  <c r="Q204" i="15" s="1"/>
  <c r="R204" i="15" s="1"/>
  <c r="V204" i="15" s="1"/>
  <c r="AC203" i="15"/>
  <c r="AD203" i="15" s="1"/>
  <c r="AB203" i="15"/>
  <c r="AB221" i="15" s="1"/>
  <c r="M203" i="15"/>
  <c r="K203" i="15"/>
  <c r="L203" i="15" s="1"/>
  <c r="G203" i="15"/>
  <c r="N203" i="15" s="1"/>
  <c r="Q203" i="15" s="1"/>
  <c r="R202" i="15"/>
  <c r="V202" i="15" s="1"/>
  <c r="M202" i="15"/>
  <c r="L202" i="15"/>
  <c r="R201" i="15"/>
  <c r="V201" i="15" s="1"/>
  <c r="M201" i="15"/>
  <c r="L201" i="15"/>
  <c r="R200" i="15"/>
  <c r="V200" i="15" s="1"/>
  <c r="M200" i="15"/>
  <c r="L200" i="15"/>
  <c r="K199" i="15"/>
  <c r="R199" i="15" s="1"/>
  <c r="U195" i="15"/>
  <c r="T195" i="15"/>
  <c r="S195" i="15"/>
  <c r="O195" i="15"/>
  <c r="R194" i="15"/>
  <c r="V194" i="15" s="1"/>
  <c r="Q194" i="15"/>
  <c r="M194" i="15"/>
  <c r="L194" i="15"/>
  <c r="AD193" i="15"/>
  <c r="AC193" i="15"/>
  <c r="AB193" i="15"/>
  <c r="K193" i="15"/>
  <c r="L193" i="15" s="1"/>
  <c r="G193" i="15"/>
  <c r="N193" i="15" s="1"/>
  <c r="AC192" i="15"/>
  <c r="AB192" i="15"/>
  <c r="AD192" i="15" s="1"/>
  <c r="P192" i="15"/>
  <c r="P195" i="15" s="1"/>
  <c r="N192" i="15"/>
  <c r="Q192" i="15" s="1"/>
  <c r="R192" i="15" s="1"/>
  <c r="V192" i="15" s="1"/>
  <c r="L192" i="15"/>
  <c r="K192" i="15"/>
  <c r="M192" i="15" s="1"/>
  <c r="G192" i="15"/>
  <c r="AC191" i="15"/>
  <c r="AC195" i="15" s="1"/>
  <c r="AB191" i="15"/>
  <c r="AD191" i="15" s="1"/>
  <c r="AD195" i="15" s="1"/>
  <c r="N191" i="15"/>
  <c r="Q191" i="15" s="1"/>
  <c r="L191" i="15"/>
  <c r="L195" i="15" s="1"/>
  <c r="K191" i="15"/>
  <c r="G191" i="15"/>
  <c r="H187" i="15"/>
  <c r="U186" i="15"/>
  <c r="T186" i="15"/>
  <c r="S186" i="15"/>
  <c r="P186" i="15"/>
  <c r="O186" i="15"/>
  <c r="V185" i="15"/>
  <c r="R185" i="15"/>
  <c r="AC184" i="15"/>
  <c r="AB184" i="15"/>
  <c r="AD184" i="15" s="1"/>
  <c r="W184" i="15"/>
  <c r="N184" i="15"/>
  <c r="Q184" i="15" s="1"/>
  <c r="R184" i="15" s="1"/>
  <c r="V184" i="15" s="1"/>
  <c r="M184" i="15"/>
  <c r="K184" i="15"/>
  <c r="L184" i="15" s="1"/>
  <c r="G184" i="15"/>
  <c r="AD183" i="15"/>
  <c r="AC183" i="15"/>
  <c r="AB183" i="15"/>
  <c r="X183" i="15"/>
  <c r="N183" i="15"/>
  <c r="Q183" i="15" s="1"/>
  <c r="R183" i="15" s="1"/>
  <c r="V183" i="15" s="1"/>
  <c r="K183" i="15"/>
  <c r="L183" i="15" s="1"/>
  <c r="G183" i="15"/>
  <c r="AD182" i="15"/>
  <c r="AC182" i="15"/>
  <c r="AB182" i="15"/>
  <c r="Q182" i="15"/>
  <c r="R182" i="15" s="1"/>
  <c r="V182" i="15" s="1"/>
  <c r="K182" i="15"/>
  <c r="L182" i="15" s="1"/>
  <c r="G182" i="15"/>
  <c r="N182" i="15" s="1"/>
  <c r="AC181" i="15"/>
  <c r="AB181" i="15"/>
  <c r="AD181" i="15" s="1"/>
  <c r="N181" i="15"/>
  <c r="Q181" i="15" s="1"/>
  <c r="K181" i="15"/>
  <c r="G181" i="15"/>
  <c r="AC180" i="15"/>
  <c r="AB180" i="15"/>
  <c r="AD180" i="15" s="1"/>
  <c r="W180" i="15"/>
  <c r="P180" i="15"/>
  <c r="N180" i="15"/>
  <c r="Q180" i="15" s="1"/>
  <c r="R180" i="15" s="1"/>
  <c r="V180" i="15" s="1"/>
  <c r="K180" i="15"/>
  <c r="M180" i="15" s="1"/>
  <c r="G180" i="15"/>
  <c r="AC179" i="15"/>
  <c r="AB179" i="15"/>
  <c r="N179" i="15"/>
  <c r="Q179" i="15" s="1"/>
  <c r="R179" i="15" s="1"/>
  <c r="V179" i="15" s="1"/>
  <c r="K179" i="15"/>
  <c r="M179" i="15" s="1"/>
  <c r="G179" i="15"/>
  <c r="AC178" i="15"/>
  <c r="AB178" i="15"/>
  <c r="X178" i="15"/>
  <c r="N178" i="15"/>
  <c r="Q178" i="15" s="1"/>
  <c r="R178" i="15" s="1"/>
  <c r="V178" i="15" s="1"/>
  <c r="K178" i="15"/>
  <c r="M178" i="15" s="1"/>
  <c r="G178" i="15"/>
  <c r="AC177" i="15"/>
  <c r="AB177" i="15"/>
  <c r="N177" i="15"/>
  <c r="Q177" i="15" s="1"/>
  <c r="R177" i="15" s="1"/>
  <c r="V177" i="15" s="1"/>
  <c r="K177" i="15"/>
  <c r="L177" i="15" s="1"/>
  <c r="G177" i="15"/>
  <c r="AC176" i="15"/>
  <c r="AB176" i="15"/>
  <c r="AD176" i="15" s="1"/>
  <c r="K176" i="15"/>
  <c r="L176" i="15" s="1"/>
  <c r="G176" i="15"/>
  <c r="N176" i="15" s="1"/>
  <c r="Q176" i="15" s="1"/>
  <c r="R176" i="15" s="1"/>
  <c r="V176" i="15" s="1"/>
  <c r="AC175" i="15"/>
  <c r="AB175" i="15"/>
  <c r="AD175" i="15" s="1"/>
  <c r="K175" i="15"/>
  <c r="L175" i="15" s="1"/>
  <c r="G175" i="15"/>
  <c r="N175" i="15" s="1"/>
  <c r="Q175" i="15" s="1"/>
  <c r="R175" i="15" s="1"/>
  <c r="V175" i="15" s="1"/>
  <c r="R174" i="15"/>
  <c r="V174" i="15" s="1"/>
  <c r="R173" i="15"/>
  <c r="V173" i="15" s="1"/>
  <c r="W173" i="15" s="1"/>
  <c r="M173" i="15"/>
  <c r="L173" i="15"/>
  <c r="AC172" i="15"/>
  <c r="AB172" i="15"/>
  <c r="AB186" i="15" s="1"/>
  <c r="N172" i="15"/>
  <c r="M172" i="15"/>
  <c r="L172" i="15"/>
  <c r="G172" i="15"/>
  <c r="AC169" i="15"/>
  <c r="X168" i="15"/>
  <c r="R168" i="15"/>
  <c r="V168" i="15" s="1"/>
  <c r="K165" i="15"/>
  <c r="AC164" i="15"/>
  <c r="U164" i="15"/>
  <c r="T164" i="15"/>
  <c r="S164" i="15"/>
  <c r="P164" i="15"/>
  <c r="O164" i="15"/>
  <c r="M164" i="15"/>
  <c r="AC163" i="15"/>
  <c r="AD163" i="15" s="1"/>
  <c r="AB163" i="15"/>
  <c r="M163" i="15"/>
  <c r="L163" i="15"/>
  <c r="K163" i="15"/>
  <c r="G163" i="15"/>
  <c r="N163" i="15" s="1"/>
  <c r="Q163" i="15" s="1"/>
  <c r="R163" i="15" s="1"/>
  <c r="V163" i="15" s="1"/>
  <c r="AC162" i="15"/>
  <c r="AD162" i="15" s="1"/>
  <c r="AB162" i="15"/>
  <c r="M162" i="15"/>
  <c r="L162" i="15"/>
  <c r="K162" i="15"/>
  <c r="G162" i="15"/>
  <c r="N162" i="15" s="1"/>
  <c r="Q162" i="15" s="1"/>
  <c r="R162" i="15" s="1"/>
  <c r="V162" i="15" s="1"/>
  <c r="Y161" i="15"/>
  <c r="R161" i="15"/>
  <c r="V161" i="15" s="1"/>
  <c r="AC160" i="15"/>
  <c r="AB160" i="15"/>
  <c r="AB164" i="15" s="1"/>
  <c r="M160" i="15"/>
  <c r="K160" i="15"/>
  <c r="K164" i="15" s="1"/>
  <c r="G160" i="15"/>
  <c r="N160" i="15" s="1"/>
  <c r="U157" i="15"/>
  <c r="T157" i="15"/>
  <c r="S157" i="15"/>
  <c r="P157" i="15"/>
  <c r="O157" i="15"/>
  <c r="AC156" i="15"/>
  <c r="AC157" i="15" s="1"/>
  <c r="AB156" i="15"/>
  <c r="AD156" i="15" s="1"/>
  <c r="K156" i="15"/>
  <c r="G156" i="15"/>
  <c r="N156" i="15" s="1"/>
  <c r="Q156" i="15" s="1"/>
  <c r="R156" i="15" s="1"/>
  <c r="V156" i="15" s="1"/>
  <c r="X155" i="15"/>
  <c r="R155" i="15"/>
  <c r="V155" i="15" s="1"/>
  <c r="AD154" i="15"/>
  <c r="AC154" i="15"/>
  <c r="AB154" i="15"/>
  <c r="M154" i="15"/>
  <c r="L154" i="15"/>
  <c r="K154" i="15"/>
  <c r="G154" i="15"/>
  <c r="N154" i="15" s="1"/>
  <c r="U149" i="15"/>
  <c r="T149" i="15"/>
  <c r="S149" i="15"/>
  <c r="P149" i="15"/>
  <c r="O149" i="15"/>
  <c r="K149" i="15"/>
  <c r="AC148" i="15"/>
  <c r="AB148" i="15"/>
  <c r="AD148" i="15" s="1"/>
  <c r="W148" i="15"/>
  <c r="N148" i="15"/>
  <c r="Q148" i="15" s="1"/>
  <c r="R148" i="15" s="1"/>
  <c r="V148" i="15" s="1"/>
  <c r="M148" i="15"/>
  <c r="L148" i="15"/>
  <c r="G148" i="15"/>
  <c r="Z147" i="15"/>
  <c r="V147" i="15"/>
  <c r="AC146" i="15"/>
  <c r="AC149" i="15" s="1"/>
  <c r="AB146" i="15"/>
  <c r="AB149" i="15" s="1"/>
  <c r="M146" i="15"/>
  <c r="M149" i="15" s="1"/>
  <c r="K146" i="15"/>
  <c r="L146" i="15" s="1"/>
  <c r="L149" i="15" s="1"/>
  <c r="G146" i="15"/>
  <c r="N146" i="15" s="1"/>
  <c r="AC142" i="15"/>
  <c r="U142" i="15"/>
  <c r="T142" i="15"/>
  <c r="S142" i="15"/>
  <c r="P142" i="15"/>
  <c r="O142" i="15"/>
  <c r="Z141" i="15"/>
  <c r="V141" i="15"/>
  <c r="AC140" i="15"/>
  <c r="AB140" i="15"/>
  <c r="AD140" i="15" s="1"/>
  <c r="K140" i="15"/>
  <c r="L140" i="15" s="1"/>
  <c r="G140" i="15"/>
  <c r="N140" i="15" s="1"/>
  <c r="Q140" i="15" s="1"/>
  <c r="R140" i="15" s="1"/>
  <c r="V140" i="15" s="1"/>
  <c r="AC139" i="15"/>
  <c r="AB139" i="15"/>
  <c r="AD139" i="15" s="1"/>
  <c r="W139" i="15"/>
  <c r="N139" i="15"/>
  <c r="Q139" i="15" s="1"/>
  <c r="R139" i="15" s="1"/>
  <c r="V139" i="15" s="1"/>
  <c r="K139" i="15"/>
  <c r="K143" i="15" s="1"/>
  <c r="G139" i="15"/>
  <c r="AC138" i="15"/>
  <c r="AB138" i="15"/>
  <c r="AB142" i="15" s="1"/>
  <c r="M138" i="15"/>
  <c r="K138" i="15"/>
  <c r="K142" i="15" s="1"/>
  <c r="G138" i="15"/>
  <c r="N138" i="15" s="1"/>
  <c r="U134" i="15"/>
  <c r="T134" i="15"/>
  <c r="S134" i="15"/>
  <c r="P134" i="15"/>
  <c r="O134" i="15"/>
  <c r="W133" i="15"/>
  <c r="V133" i="15"/>
  <c r="AA133" i="15" s="1"/>
  <c r="R133" i="15"/>
  <c r="AC132" i="15"/>
  <c r="AB132" i="15"/>
  <c r="AD132" i="15" s="1"/>
  <c r="Q132" i="15"/>
  <c r="R132" i="15" s="1"/>
  <c r="V132" i="15" s="1"/>
  <c r="L132" i="15"/>
  <c r="K132" i="15"/>
  <c r="M132" i="15" s="1"/>
  <c r="G132" i="15"/>
  <c r="N132" i="15" s="1"/>
  <c r="AC131" i="15"/>
  <c r="AC134" i="15" s="1"/>
  <c r="AB131" i="15"/>
  <c r="K131" i="15"/>
  <c r="L131" i="15" s="1"/>
  <c r="G131" i="15"/>
  <c r="N131" i="15" s="1"/>
  <c r="N134" i="15" s="1"/>
  <c r="Z130" i="15"/>
  <c r="V130" i="15"/>
  <c r="Y130" i="15" s="1"/>
  <c r="AD129" i="15"/>
  <c r="AC129" i="15"/>
  <c r="AB129" i="15"/>
  <c r="N129" i="15"/>
  <c r="Q129" i="15" s="1"/>
  <c r="R129" i="15" s="1"/>
  <c r="V129" i="15" s="1"/>
  <c r="M129" i="15"/>
  <c r="K129" i="15"/>
  <c r="K134" i="15" s="1"/>
  <c r="G129" i="15"/>
  <c r="U125" i="15"/>
  <c r="T125" i="15"/>
  <c r="S125" i="15"/>
  <c r="P125" i="15"/>
  <c r="O125" i="15"/>
  <c r="W124" i="15"/>
  <c r="V124" i="15"/>
  <c r="AA124" i="15" s="1"/>
  <c r="Y123" i="15"/>
  <c r="X123" i="15"/>
  <c r="V123" i="15"/>
  <c r="Z123" i="15" s="1"/>
  <c r="AD122" i="15"/>
  <c r="AC122" i="15"/>
  <c r="AB122" i="15"/>
  <c r="M122" i="15"/>
  <c r="L122" i="15"/>
  <c r="K122" i="15"/>
  <c r="G122" i="15"/>
  <c r="N122" i="15" s="1"/>
  <c r="Q122" i="15" s="1"/>
  <c r="R122" i="15" s="1"/>
  <c r="V122" i="15" s="1"/>
  <c r="AD121" i="15"/>
  <c r="AC121" i="15"/>
  <c r="AB121" i="15"/>
  <c r="M121" i="15"/>
  <c r="L121" i="15"/>
  <c r="K121" i="15"/>
  <c r="G121" i="15"/>
  <c r="N121" i="15" s="1"/>
  <c r="Q121" i="15" s="1"/>
  <c r="R121" i="15" s="1"/>
  <c r="V121" i="15" s="1"/>
  <c r="AC120" i="15"/>
  <c r="AD120" i="15" s="1"/>
  <c r="AB120" i="15"/>
  <c r="V120" i="15"/>
  <c r="Z120" i="15" s="1"/>
  <c r="R120" i="15"/>
  <c r="N120" i="15"/>
  <c r="Q120" i="15" s="1"/>
  <c r="M120" i="15"/>
  <c r="L120" i="15"/>
  <c r="G120" i="15"/>
  <c r="AC119" i="15"/>
  <c r="AB119" i="15"/>
  <c r="AD119" i="15" s="1"/>
  <c r="Q119" i="15"/>
  <c r="R119" i="15" s="1"/>
  <c r="V119" i="15" s="1"/>
  <c r="L119" i="15"/>
  <c r="K119" i="15"/>
  <c r="M119" i="15" s="1"/>
  <c r="G119" i="15"/>
  <c r="N119" i="15" s="1"/>
  <c r="AC118" i="15"/>
  <c r="AB118" i="15"/>
  <c r="AD118" i="15" s="1"/>
  <c r="Q118" i="15"/>
  <c r="R118" i="15" s="1"/>
  <c r="V118" i="15" s="1"/>
  <c r="L118" i="15"/>
  <c r="K118" i="15"/>
  <c r="M118" i="15" s="1"/>
  <c r="G118" i="15"/>
  <c r="N118" i="15" s="1"/>
  <c r="AC117" i="15"/>
  <c r="AB117" i="15"/>
  <c r="K117" i="15"/>
  <c r="M117" i="15" s="1"/>
  <c r="G117" i="15"/>
  <c r="N117" i="15" s="1"/>
  <c r="Q117" i="15" s="1"/>
  <c r="R117" i="15" s="1"/>
  <c r="V117" i="15" s="1"/>
  <c r="AC116" i="15"/>
  <c r="AB116" i="15"/>
  <c r="K116" i="15"/>
  <c r="M116" i="15" s="1"/>
  <c r="G116" i="15"/>
  <c r="N116" i="15" s="1"/>
  <c r="Q116" i="15" s="1"/>
  <c r="R116" i="15" s="1"/>
  <c r="V116" i="15" s="1"/>
  <c r="AC115" i="15"/>
  <c r="AB115" i="15"/>
  <c r="AD115" i="15" s="1"/>
  <c r="Q115" i="15"/>
  <c r="R115" i="15" s="1"/>
  <c r="V115" i="15" s="1"/>
  <c r="L115" i="15"/>
  <c r="K115" i="15"/>
  <c r="M115" i="15" s="1"/>
  <c r="G115" i="15"/>
  <c r="N115" i="15" s="1"/>
  <c r="AC114" i="15"/>
  <c r="AB114" i="15"/>
  <c r="AD114" i="15" s="1"/>
  <c r="Q114" i="15"/>
  <c r="R114" i="15" s="1"/>
  <c r="V114" i="15" s="1"/>
  <c r="L114" i="15"/>
  <c r="K114" i="15"/>
  <c r="M114" i="15" s="1"/>
  <c r="G114" i="15"/>
  <c r="N114" i="15" s="1"/>
  <c r="AC113" i="15"/>
  <c r="AB113" i="15"/>
  <c r="K113" i="15"/>
  <c r="M113" i="15" s="1"/>
  <c r="G113" i="15"/>
  <c r="N113" i="15" s="1"/>
  <c r="Q113" i="15" s="1"/>
  <c r="R113" i="15" s="1"/>
  <c r="V113" i="15" s="1"/>
  <c r="AC112" i="15"/>
  <c r="AC125" i="15" s="1"/>
  <c r="AB112" i="15"/>
  <c r="K112" i="15"/>
  <c r="G112" i="15"/>
  <c r="N112" i="15" s="1"/>
  <c r="N125" i="15" s="1"/>
  <c r="AC111" i="15"/>
  <c r="AB111" i="15"/>
  <c r="Q111" i="15"/>
  <c r="R111" i="15" s="1"/>
  <c r="L111" i="15"/>
  <c r="K111" i="15"/>
  <c r="G111" i="15"/>
  <c r="N111" i="15" s="1"/>
  <c r="K108" i="15"/>
  <c r="AB107" i="15"/>
  <c r="U107" i="15"/>
  <c r="T107" i="15"/>
  <c r="S107" i="15"/>
  <c r="P107" i="15"/>
  <c r="O107" i="15"/>
  <c r="K107" i="15"/>
  <c r="Y106" i="15"/>
  <c r="X106" i="15"/>
  <c r="R106" i="15"/>
  <c r="V106" i="15" s="1"/>
  <c r="AA105" i="15"/>
  <c r="X105" i="15"/>
  <c r="W105" i="15"/>
  <c r="R105" i="15"/>
  <c r="V105" i="15" s="1"/>
  <c r="AC104" i="15"/>
  <c r="AD104" i="15" s="1"/>
  <c r="AB104" i="15"/>
  <c r="M104" i="15"/>
  <c r="L104" i="15"/>
  <c r="K104" i="15"/>
  <c r="G104" i="15"/>
  <c r="N104" i="15" s="1"/>
  <c r="Q104" i="15" s="1"/>
  <c r="R104" i="15" s="1"/>
  <c r="V104" i="15" s="1"/>
  <c r="AC103" i="15"/>
  <c r="AD103" i="15" s="1"/>
  <c r="AB103" i="15"/>
  <c r="M103" i="15"/>
  <c r="L103" i="15"/>
  <c r="K103" i="15"/>
  <c r="G103" i="15"/>
  <c r="N103" i="15" s="1"/>
  <c r="Q103" i="15" s="1"/>
  <c r="R103" i="15" s="1"/>
  <c r="V103" i="15" s="1"/>
  <c r="AD102" i="15"/>
  <c r="AC102" i="15"/>
  <c r="AB102" i="15"/>
  <c r="M102" i="15"/>
  <c r="M107" i="15" s="1"/>
  <c r="L102" i="15"/>
  <c r="L107" i="15" s="1"/>
  <c r="K102" i="15"/>
  <c r="G102" i="15"/>
  <c r="N102" i="15" s="1"/>
  <c r="AC97" i="15"/>
  <c r="AC96" i="15"/>
  <c r="U96" i="15"/>
  <c r="T96" i="15"/>
  <c r="S96" i="15"/>
  <c r="P96" i="15"/>
  <c r="O96" i="15"/>
  <c r="AA95" i="15"/>
  <c r="Z95" i="15"/>
  <c r="V95" i="15"/>
  <c r="W95" i="15" s="1"/>
  <c r="R95" i="15"/>
  <c r="R94" i="15"/>
  <c r="V94" i="15" s="1"/>
  <c r="AC93" i="15"/>
  <c r="AB93" i="15"/>
  <c r="AD93" i="15" s="1"/>
  <c r="K93" i="15"/>
  <c r="G93" i="15"/>
  <c r="N93" i="15" s="1"/>
  <c r="Q93" i="15" s="1"/>
  <c r="R93" i="15" s="1"/>
  <c r="V93" i="15" s="1"/>
  <c r="AC92" i="15"/>
  <c r="AB92" i="15"/>
  <c r="AD92" i="15" s="1"/>
  <c r="N92" i="15"/>
  <c r="Q92" i="15" s="1"/>
  <c r="R92" i="15" s="1"/>
  <c r="V92" i="15" s="1"/>
  <c r="K92" i="15"/>
  <c r="G92" i="15"/>
  <c r="AC91" i="15"/>
  <c r="AB91" i="15"/>
  <c r="Q91" i="15"/>
  <c r="R91" i="15" s="1"/>
  <c r="V91" i="15" s="1"/>
  <c r="AA91" i="15" s="1"/>
  <c r="N91" i="15"/>
  <c r="N96" i="15" s="1"/>
  <c r="K91" i="15"/>
  <c r="G91" i="15"/>
  <c r="K88" i="15"/>
  <c r="U87" i="15"/>
  <c r="T87" i="15"/>
  <c r="S87" i="15"/>
  <c r="O87" i="15"/>
  <c r="K87" i="15"/>
  <c r="AA86" i="15"/>
  <c r="Y86" i="15"/>
  <c r="X86" i="15"/>
  <c r="W86" i="15"/>
  <c r="V86" i="15"/>
  <c r="Z86" i="15" s="1"/>
  <c r="Y85" i="15"/>
  <c r="X85" i="15"/>
  <c r="V85" i="15"/>
  <c r="Z85" i="15" s="1"/>
  <c r="Z84" i="15"/>
  <c r="V84" i="15"/>
  <c r="Y84" i="15" s="1"/>
  <c r="AD83" i="15"/>
  <c r="AD87" i="15" s="1"/>
  <c r="AC83" i="15"/>
  <c r="AB83" i="15"/>
  <c r="N83" i="15"/>
  <c r="Q83" i="15" s="1"/>
  <c r="R83" i="15" s="1"/>
  <c r="V83" i="15" s="1"/>
  <c r="M83" i="15"/>
  <c r="K83" i="15"/>
  <c r="L83" i="15" s="1"/>
  <c r="G83" i="15"/>
  <c r="AD82" i="15"/>
  <c r="AC82" i="15"/>
  <c r="AC87" i="15" s="1"/>
  <c r="AB82" i="15"/>
  <c r="AB87" i="15" s="1"/>
  <c r="N82" i="15"/>
  <c r="P82" i="15" s="1"/>
  <c r="P87" i="15" s="1"/>
  <c r="M82" i="15"/>
  <c r="M87" i="15" s="1"/>
  <c r="L82" i="15"/>
  <c r="L87" i="15" s="1"/>
  <c r="G82" i="15"/>
  <c r="AC76" i="15"/>
  <c r="AB76" i="15"/>
  <c r="U76" i="15"/>
  <c r="T76" i="15"/>
  <c r="S76" i="15"/>
  <c r="P76" i="15"/>
  <c r="O76" i="15"/>
  <c r="M76" i="15"/>
  <c r="K76" i="15"/>
  <c r="AC75" i="15"/>
  <c r="AB75" i="15"/>
  <c r="M75" i="15"/>
  <c r="L75" i="15"/>
  <c r="L76" i="15" s="1"/>
  <c r="G75" i="15"/>
  <c r="N75" i="15" s="1"/>
  <c r="Q75" i="15" s="1"/>
  <c r="R75" i="15" s="1"/>
  <c r="V75" i="15" s="1"/>
  <c r="AC74" i="15"/>
  <c r="AB74" i="15"/>
  <c r="AD74" i="15" s="1"/>
  <c r="N74" i="15"/>
  <c r="N76" i="15" s="1"/>
  <c r="M74" i="15"/>
  <c r="L74" i="15"/>
  <c r="G74" i="15"/>
  <c r="AC70" i="15"/>
  <c r="U70" i="15"/>
  <c r="T70" i="15"/>
  <c r="S70" i="15"/>
  <c r="P70" i="15"/>
  <c r="O70" i="15"/>
  <c r="AA69" i="15"/>
  <c r="Z69" i="15"/>
  <c r="W69" i="15"/>
  <c r="V69" i="15"/>
  <c r="R69" i="15"/>
  <c r="V68" i="15"/>
  <c r="X68" i="15" s="1"/>
  <c r="R68" i="15"/>
  <c r="M68" i="15"/>
  <c r="L68" i="15"/>
  <c r="G68" i="15"/>
  <c r="AD67" i="15"/>
  <c r="AC67" i="15"/>
  <c r="AB67" i="15"/>
  <c r="K67" i="15"/>
  <c r="L67" i="15" s="1"/>
  <c r="G67" i="15"/>
  <c r="N67" i="15" s="1"/>
  <c r="AC66" i="15"/>
  <c r="AB66" i="15"/>
  <c r="AD66" i="15" s="1"/>
  <c r="N66" i="15"/>
  <c r="Q66" i="15" s="1"/>
  <c r="M66" i="15"/>
  <c r="K66" i="15"/>
  <c r="G66" i="15"/>
  <c r="Z65" i="15"/>
  <c r="X65" i="15"/>
  <c r="W65" i="15"/>
  <c r="V65" i="15"/>
  <c r="Y65" i="15" s="1"/>
  <c r="R65" i="15"/>
  <c r="M65" i="15"/>
  <c r="L65" i="15"/>
  <c r="AC64" i="15"/>
  <c r="AB64" i="15"/>
  <c r="AB70" i="15" s="1"/>
  <c r="W64" i="15"/>
  <c r="V64" i="15"/>
  <c r="Y64" i="15" s="1"/>
  <c r="R64" i="15"/>
  <c r="M64" i="15"/>
  <c r="L64" i="15"/>
  <c r="K61" i="15"/>
  <c r="AC60" i="15"/>
  <c r="U60" i="15"/>
  <c r="T60" i="15"/>
  <c r="S60" i="15"/>
  <c r="P60" i="15"/>
  <c r="O60" i="15"/>
  <c r="K60" i="15"/>
  <c r="V59" i="15"/>
  <c r="Y59" i="15" s="1"/>
  <c r="Q59" i="15"/>
  <c r="R59" i="15" s="1"/>
  <c r="AC58" i="15"/>
  <c r="AD58" i="15" s="1"/>
  <c r="AB58" i="15"/>
  <c r="M58" i="15"/>
  <c r="L58" i="15"/>
  <c r="K58" i="15"/>
  <c r="G58" i="15"/>
  <c r="N58" i="15" s="1"/>
  <c r="Q58" i="15" s="1"/>
  <c r="R58" i="15" s="1"/>
  <c r="V58" i="15" s="1"/>
  <c r="AD57" i="15"/>
  <c r="AC57" i="15"/>
  <c r="AB57" i="15"/>
  <c r="M57" i="15"/>
  <c r="L57" i="15"/>
  <c r="K57" i="15"/>
  <c r="G57" i="15"/>
  <c r="N57" i="15" s="1"/>
  <c r="W56" i="15"/>
  <c r="V56" i="15"/>
  <c r="X56" i="15" s="1"/>
  <c r="R56" i="15"/>
  <c r="Q56" i="15"/>
  <c r="M56" i="15"/>
  <c r="L56" i="15"/>
  <c r="AC55" i="15"/>
  <c r="AB55" i="15"/>
  <c r="AB60" i="15" s="1"/>
  <c r="W55" i="15"/>
  <c r="V55" i="15"/>
  <c r="Y55" i="15" s="1"/>
  <c r="Q55" i="15"/>
  <c r="R55" i="15" s="1"/>
  <c r="M55" i="15"/>
  <c r="M60" i="15" s="1"/>
  <c r="L55" i="15"/>
  <c r="L60" i="15" s="1"/>
  <c r="K51" i="15"/>
  <c r="L51" i="15" s="1"/>
  <c r="AB47" i="15"/>
  <c r="U47" i="15"/>
  <c r="T47" i="15"/>
  <c r="S47" i="15"/>
  <c r="P47" i="15"/>
  <c r="O47" i="15"/>
  <c r="R46" i="15"/>
  <c r="V46" i="15" s="1"/>
  <c r="Q46" i="15"/>
  <c r="V45" i="15"/>
  <c r="W45" i="15" s="1"/>
  <c r="Q45" i="15"/>
  <c r="R45" i="15" s="1"/>
  <c r="AC44" i="15"/>
  <c r="AD44" i="15" s="1"/>
  <c r="AB44" i="15"/>
  <c r="N44" i="15"/>
  <c r="Q44" i="15" s="1"/>
  <c r="R44" i="15" s="1"/>
  <c r="V44" i="15" s="1"/>
  <c r="M44" i="15"/>
  <c r="L44" i="15"/>
  <c r="G44" i="15"/>
  <c r="AC43" i="15"/>
  <c r="AB43" i="15"/>
  <c r="AD43" i="15" s="1"/>
  <c r="M43" i="15"/>
  <c r="L43" i="15"/>
  <c r="K43" i="15"/>
  <c r="G43" i="15"/>
  <c r="N43" i="15" s="1"/>
  <c r="Q43" i="15" s="1"/>
  <c r="R43" i="15" s="1"/>
  <c r="V43" i="15" s="1"/>
  <c r="AD42" i="15"/>
  <c r="AC42" i="15"/>
  <c r="AB42" i="15"/>
  <c r="M42" i="15"/>
  <c r="K42" i="15"/>
  <c r="L42" i="15" s="1"/>
  <c r="G42" i="15"/>
  <c r="N42" i="15" s="1"/>
  <c r="Q42" i="15" s="1"/>
  <c r="R42" i="15" s="1"/>
  <c r="V42" i="15" s="1"/>
  <c r="AD41" i="15"/>
  <c r="AC41" i="15"/>
  <c r="AB41" i="15"/>
  <c r="M41" i="15"/>
  <c r="L41" i="15"/>
  <c r="G41" i="15"/>
  <c r="N41" i="15" s="1"/>
  <c r="Q41" i="15" s="1"/>
  <c r="R41" i="15" s="1"/>
  <c r="V41" i="15" s="1"/>
  <c r="AC40" i="15"/>
  <c r="AC47" i="15" s="1"/>
  <c r="AB40" i="15"/>
  <c r="K40" i="15"/>
  <c r="L40" i="15" s="1"/>
  <c r="L47" i="15" s="1"/>
  <c r="G40" i="15"/>
  <c r="N40" i="15" s="1"/>
  <c r="K37" i="15"/>
  <c r="J37" i="15"/>
  <c r="AC36" i="15"/>
  <c r="U36" i="15"/>
  <c r="T36" i="15"/>
  <c r="S36" i="15"/>
  <c r="P36" i="15"/>
  <c r="O36" i="15"/>
  <c r="Q35" i="15"/>
  <c r="R35" i="15" s="1"/>
  <c r="V35" i="15" s="1"/>
  <c r="M35" i="15"/>
  <c r="L35" i="15"/>
  <c r="Q34" i="15"/>
  <c r="R34" i="15" s="1"/>
  <c r="V34" i="15" s="1"/>
  <c r="M34" i="15"/>
  <c r="L34" i="15"/>
  <c r="AC33" i="15"/>
  <c r="AB33" i="15"/>
  <c r="AD33" i="15" s="1"/>
  <c r="N33" i="15"/>
  <c r="Q33" i="15" s="1"/>
  <c r="R33" i="15" s="1"/>
  <c r="V33" i="15" s="1"/>
  <c r="L33" i="15"/>
  <c r="K33" i="15"/>
  <c r="M33" i="15" s="1"/>
  <c r="G33" i="15"/>
  <c r="AC32" i="15"/>
  <c r="AB32" i="15"/>
  <c r="AD32" i="15" s="1"/>
  <c r="N32" i="15"/>
  <c r="Q32" i="15" s="1"/>
  <c r="R32" i="15" s="1"/>
  <c r="V32" i="15" s="1"/>
  <c r="L32" i="15"/>
  <c r="K32" i="15"/>
  <c r="M32" i="15" s="1"/>
  <c r="G32" i="15"/>
  <c r="AC31" i="15"/>
  <c r="AB31" i="15"/>
  <c r="AD31" i="15" s="1"/>
  <c r="N31" i="15"/>
  <c r="Q31" i="15" s="1"/>
  <c r="R31" i="15" s="1"/>
  <c r="V31" i="15" s="1"/>
  <c r="L31" i="15"/>
  <c r="K31" i="15"/>
  <c r="M31" i="15" s="1"/>
  <c r="G31" i="15"/>
  <c r="AC30" i="15"/>
  <c r="AB30" i="15"/>
  <c r="AD30" i="15" s="1"/>
  <c r="N30" i="15"/>
  <c r="Q30" i="15" s="1"/>
  <c r="R30" i="15" s="1"/>
  <c r="V30" i="15" s="1"/>
  <c r="L30" i="15"/>
  <c r="K30" i="15"/>
  <c r="M30" i="15" s="1"/>
  <c r="G30" i="15"/>
  <c r="AC29" i="15"/>
  <c r="AB29" i="15"/>
  <c r="AD29" i="15" s="1"/>
  <c r="N29" i="15"/>
  <c r="Q29" i="15" s="1"/>
  <c r="R29" i="15" s="1"/>
  <c r="V29" i="15" s="1"/>
  <c r="L29" i="15"/>
  <c r="K29" i="15"/>
  <c r="M29" i="15" s="1"/>
  <c r="G29" i="15"/>
  <c r="AC28" i="15"/>
  <c r="AB28" i="15"/>
  <c r="AD28" i="15" s="1"/>
  <c r="N28" i="15"/>
  <c r="Q28" i="15" s="1"/>
  <c r="R28" i="15" s="1"/>
  <c r="V28" i="15" s="1"/>
  <c r="L28" i="15"/>
  <c r="K28" i="15"/>
  <c r="M28" i="15" s="1"/>
  <c r="G28" i="15"/>
  <c r="AC27" i="15"/>
  <c r="AB27" i="15"/>
  <c r="AD27" i="15" s="1"/>
  <c r="N27" i="15"/>
  <c r="Q27" i="15" s="1"/>
  <c r="R27" i="15" s="1"/>
  <c r="V27" i="15" s="1"/>
  <c r="L27" i="15"/>
  <c r="K27" i="15"/>
  <c r="M27" i="15" s="1"/>
  <c r="G27" i="15"/>
  <c r="AC26" i="15"/>
  <c r="AB26" i="15"/>
  <c r="AD26" i="15" s="1"/>
  <c r="N26" i="15"/>
  <c r="Q26" i="15" s="1"/>
  <c r="R26" i="15" s="1"/>
  <c r="V26" i="15" s="1"/>
  <c r="L26" i="15"/>
  <c r="K26" i="15"/>
  <c r="M26" i="15" s="1"/>
  <c r="G26" i="15"/>
  <c r="AC25" i="15"/>
  <c r="AB25" i="15"/>
  <c r="AD25" i="15" s="1"/>
  <c r="N25" i="15"/>
  <c r="Q25" i="15" s="1"/>
  <c r="R25" i="15" s="1"/>
  <c r="V25" i="15" s="1"/>
  <c r="L25" i="15"/>
  <c r="K25" i="15"/>
  <c r="M25" i="15" s="1"/>
  <c r="G25" i="15"/>
  <c r="AC24" i="15"/>
  <c r="AB24" i="15"/>
  <c r="AD24" i="15" s="1"/>
  <c r="N24" i="15"/>
  <c r="Q24" i="15" s="1"/>
  <c r="R24" i="15" s="1"/>
  <c r="V24" i="15" s="1"/>
  <c r="L24" i="15"/>
  <c r="K24" i="15"/>
  <c r="M24" i="15" s="1"/>
  <c r="G24" i="15"/>
  <c r="AC23" i="15"/>
  <c r="AB23" i="15"/>
  <c r="AD23" i="15" s="1"/>
  <c r="N23" i="15"/>
  <c r="Q23" i="15" s="1"/>
  <c r="R23" i="15" s="1"/>
  <c r="V23" i="15" s="1"/>
  <c r="L23" i="15"/>
  <c r="K23" i="15"/>
  <c r="M23" i="15" s="1"/>
  <c r="G23" i="15"/>
  <c r="AC22" i="15"/>
  <c r="AB22" i="15"/>
  <c r="AD22" i="15" s="1"/>
  <c r="N22" i="15"/>
  <c r="Q22" i="15" s="1"/>
  <c r="R22" i="15" s="1"/>
  <c r="V22" i="15" s="1"/>
  <c r="L22" i="15"/>
  <c r="K22" i="15"/>
  <c r="M22" i="15" s="1"/>
  <c r="G22" i="15"/>
  <c r="AC21" i="15"/>
  <c r="AB21" i="15"/>
  <c r="AD21" i="15" s="1"/>
  <c r="N21" i="15"/>
  <c r="Q21" i="15" s="1"/>
  <c r="R21" i="15" s="1"/>
  <c r="V21" i="15" s="1"/>
  <c r="L21" i="15"/>
  <c r="K21" i="15"/>
  <c r="M21" i="15" s="1"/>
  <c r="G21" i="15"/>
  <c r="AC20" i="15"/>
  <c r="AB20" i="15"/>
  <c r="AD20" i="15" s="1"/>
  <c r="AD36" i="15" s="1"/>
  <c r="N20" i="15"/>
  <c r="N36" i="15" s="1"/>
  <c r="L20" i="15"/>
  <c r="L36" i="15" s="1"/>
  <c r="K20" i="15"/>
  <c r="M20" i="15" s="1"/>
  <c r="M36" i="15" s="1"/>
  <c r="G20" i="15"/>
  <c r="K17" i="15"/>
  <c r="U16" i="15"/>
  <c r="T16" i="15"/>
  <c r="T710" i="15" s="1"/>
  <c r="S16" i="15"/>
  <c r="P16" i="15"/>
  <c r="O16" i="15"/>
  <c r="O710" i="15" s="1"/>
  <c r="N15" i="15"/>
  <c r="Q15" i="15" s="1"/>
  <c r="R15" i="15" s="1"/>
  <c r="V15" i="15" s="1"/>
  <c r="M15" i="15"/>
  <c r="L15" i="15"/>
  <c r="N14" i="15"/>
  <c r="Q14" i="15" s="1"/>
  <c r="R14" i="15" s="1"/>
  <c r="V14" i="15" s="1"/>
  <c r="AD13" i="15"/>
  <c r="AC13" i="15"/>
  <c r="AB13" i="15"/>
  <c r="M13" i="15"/>
  <c r="L13" i="15"/>
  <c r="G13" i="15"/>
  <c r="N13" i="15" s="1"/>
  <c r="Q13" i="15" s="1"/>
  <c r="R13" i="15" s="1"/>
  <c r="V13" i="15" s="1"/>
  <c r="AC12" i="15"/>
  <c r="AD12" i="15" s="1"/>
  <c r="AB12" i="15"/>
  <c r="M12" i="15"/>
  <c r="L12" i="15"/>
  <c r="K12" i="15"/>
  <c r="G12" i="15"/>
  <c r="N12" i="15" s="1"/>
  <c r="Q12" i="15" s="1"/>
  <c r="R12" i="15" s="1"/>
  <c r="V12" i="15" s="1"/>
  <c r="N11" i="15"/>
  <c r="Q11" i="15" s="1"/>
  <c r="R11" i="15" s="1"/>
  <c r="V11" i="15" s="1"/>
  <c r="Q10" i="15"/>
  <c r="R10" i="15" s="1"/>
  <c r="V10" i="15" s="1"/>
  <c r="M10" i="15"/>
  <c r="L10" i="15"/>
  <c r="AC9" i="15"/>
  <c r="AC16" i="15" s="1"/>
  <c r="AB9" i="15"/>
  <c r="AD9" i="15" s="1"/>
  <c r="K9" i="15"/>
  <c r="L9" i="15" s="1"/>
  <c r="L16" i="15" s="1"/>
  <c r="G9" i="15"/>
  <c r="G710" i="15" s="1"/>
  <c r="E24" i="14"/>
  <c r="D18" i="14"/>
  <c r="C18" i="14"/>
  <c r="E18" i="14" s="1"/>
  <c r="I9" i="14"/>
  <c r="I12" i="14" s="1"/>
  <c r="H9" i="14"/>
  <c r="H12" i="14" s="1"/>
  <c r="G9" i="14"/>
  <c r="G12" i="14" s="1"/>
  <c r="C8" i="14"/>
  <c r="N146" i="13"/>
  <c r="M146" i="13"/>
  <c r="L146" i="13"/>
  <c r="K146" i="13"/>
  <c r="I146" i="13"/>
  <c r="H146" i="13"/>
  <c r="G146" i="13"/>
  <c r="F146" i="13"/>
  <c r="E146" i="13"/>
  <c r="D146" i="13"/>
  <c r="E127" i="13"/>
  <c r="D127" i="13"/>
  <c r="M116" i="13"/>
  <c r="L116" i="13"/>
  <c r="K116" i="13"/>
  <c r="I116" i="13"/>
  <c r="E116" i="13"/>
  <c r="D116" i="13"/>
  <c r="N110" i="13"/>
  <c r="M110" i="13"/>
  <c r="M127" i="13" s="1"/>
  <c r="L110" i="13"/>
  <c r="L127" i="13" s="1"/>
  <c r="K110" i="13"/>
  <c r="K127" i="13" s="1"/>
  <c r="I110" i="13"/>
  <c r="I127" i="13" s="1"/>
  <c r="H110" i="13"/>
  <c r="G110" i="13"/>
  <c r="F110" i="13"/>
  <c r="E110" i="13"/>
  <c r="D110" i="13"/>
  <c r="N94" i="13"/>
  <c r="M94" i="13"/>
  <c r="L94" i="13"/>
  <c r="K94" i="13"/>
  <c r="I94" i="13"/>
  <c r="E94" i="13"/>
  <c r="E118" i="13" s="1"/>
  <c r="D94" i="13"/>
  <c r="D118" i="13" s="1"/>
  <c r="N62" i="13"/>
  <c r="M62" i="13"/>
  <c r="L62" i="13"/>
  <c r="K62" i="13"/>
  <c r="I62" i="13"/>
  <c r="D62" i="13"/>
  <c r="E61" i="13"/>
  <c r="E62" i="13" s="1"/>
  <c r="D61" i="13"/>
  <c r="J41" i="13"/>
  <c r="N35" i="13"/>
  <c r="M35" i="13"/>
  <c r="L35" i="13"/>
  <c r="K35" i="13"/>
  <c r="I35" i="13"/>
  <c r="H35" i="13"/>
  <c r="G35" i="13"/>
  <c r="F35" i="13"/>
  <c r="E35" i="13"/>
  <c r="D35" i="13"/>
  <c r="J34" i="13"/>
  <c r="J33" i="13"/>
  <c r="N30" i="13"/>
  <c r="M30" i="13"/>
  <c r="L30" i="13"/>
  <c r="K30" i="13"/>
  <c r="I30" i="13"/>
  <c r="J29" i="13"/>
  <c r="J27" i="13"/>
  <c r="E27" i="13"/>
  <c r="E30" i="13" s="1"/>
  <c r="E36" i="13" s="1"/>
  <c r="D27" i="13"/>
  <c r="D30" i="13" s="1"/>
  <c r="D36" i="13" s="1"/>
  <c r="D8" i="14" s="1"/>
  <c r="J24" i="13"/>
  <c r="J21" i="13"/>
  <c r="J18" i="13"/>
  <c r="J17" i="13"/>
  <c r="J16" i="13"/>
  <c r="J14" i="13"/>
  <c r="J13" i="13"/>
  <c r="N11" i="13"/>
  <c r="M11" i="13"/>
  <c r="L11" i="13"/>
  <c r="K11" i="13"/>
  <c r="I11" i="13"/>
  <c r="E11" i="13"/>
  <c r="D11" i="13"/>
  <c r="J9" i="13"/>
  <c r="J8" i="13"/>
  <c r="J29" i="12"/>
  <c r="G26" i="12"/>
  <c r="G29" i="12" s="1"/>
  <c r="B19" i="12" s="1"/>
  <c r="E21" i="12"/>
  <c r="J13" i="12"/>
  <c r="I13" i="12"/>
  <c r="H13" i="12"/>
  <c r="G13" i="12"/>
  <c r="F13" i="12"/>
  <c r="E13" i="12"/>
  <c r="D13" i="12"/>
  <c r="C13" i="12"/>
  <c r="K12" i="12"/>
  <c r="L11" i="12"/>
  <c r="M11" i="12" s="1"/>
  <c r="J11" i="12"/>
  <c r="K10" i="12"/>
  <c r="K13" i="12" s="1"/>
  <c r="M9" i="12"/>
  <c r="B9" i="12"/>
  <c r="M8" i="12"/>
  <c r="M7" i="12"/>
  <c r="M6" i="12"/>
  <c r="B6" i="12"/>
  <c r="B5" i="12"/>
  <c r="M5" i="12" s="1"/>
  <c r="M4" i="12"/>
  <c r="AA715" i="11"/>
  <c r="Z715" i="11"/>
  <c r="Y715" i="11"/>
  <c r="X715" i="11"/>
  <c r="W715" i="11"/>
  <c r="E714" i="11"/>
  <c r="AF709" i="11"/>
  <c r="Y709" i="11"/>
  <c r="R709" i="11"/>
  <c r="V709" i="11" s="1"/>
  <c r="Q709" i="11"/>
  <c r="M709" i="11"/>
  <c r="L709" i="11"/>
  <c r="J706" i="11"/>
  <c r="U705" i="11"/>
  <c r="T705" i="11"/>
  <c r="S705" i="11"/>
  <c r="P705" i="11"/>
  <c r="O705" i="11"/>
  <c r="J705" i="11"/>
  <c r="I705" i="11"/>
  <c r="AF704" i="11"/>
  <c r="X704" i="11"/>
  <c r="V704" i="11"/>
  <c r="AA704" i="11" s="1"/>
  <c r="AF703" i="11"/>
  <c r="Q703" i="11"/>
  <c r="R703" i="11" s="1"/>
  <c r="V703" i="11" s="1"/>
  <c r="M703" i="11"/>
  <c r="L703" i="11"/>
  <c r="AF702" i="11"/>
  <c r="AC702" i="11"/>
  <c r="AD702" i="11" s="1"/>
  <c r="AB702" i="11"/>
  <c r="N702" i="11"/>
  <c r="Q702" i="11" s="1"/>
  <c r="R702" i="11" s="1"/>
  <c r="V702" i="11" s="1"/>
  <c r="AA702" i="11" s="1"/>
  <c r="M702" i="11"/>
  <c r="L702" i="11"/>
  <c r="G702" i="11"/>
  <c r="AF701" i="11"/>
  <c r="AD701" i="11"/>
  <c r="AC701" i="11"/>
  <c r="AC705" i="11" s="1"/>
  <c r="AB701" i="11"/>
  <c r="Q701" i="11"/>
  <c r="R701" i="11" s="1"/>
  <c r="V701" i="11" s="1"/>
  <c r="M701" i="11"/>
  <c r="L701" i="11"/>
  <c r="G701" i="11"/>
  <c r="AF700" i="11"/>
  <c r="AF705" i="11" s="1"/>
  <c r="AC700" i="11"/>
  <c r="AB700" i="11"/>
  <c r="Q700" i="11"/>
  <c r="M700" i="11"/>
  <c r="M705" i="11" s="1"/>
  <c r="L700" i="11"/>
  <c r="G700" i="11"/>
  <c r="J696" i="11"/>
  <c r="AC695" i="11"/>
  <c r="AB695" i="11"/>
  <c r="U695" i="11"/>
  <c r="T695" i="11"/>
  <c r="S695" i="11"/>
  <c r="P695" i="11"/>
  <c r="O695" i="11"/>
  <c r="J695" i="11"/>
  <c r="I695" i="11"/>
  <c r="AF694" i="11"/>
  <c r="R694" i="11"/>
  <c r="V694" i="11" s="1"/>
  <c r="W694" i="11" s="1"/>
  <c r="Q694" i="11"/>
  <c r="M694" i="11"/>
  <c r="L694" i="11"/>
  <c r="AF693" i="11"/>
  <c r="X693" i="11"/>
  <c r="Q693" i="11"/>
  <c r="R693" i="11" s="1"/>
  <c r="V693" i="11" s="1"/>
  <c r="N693" i="11"/>
  <c r="M693" i="11"/>
  <c r="L693" i="11"/>
  <c r="AF692" i="11"/>
  <c r="AD692" i="11"/>
  <c r="M692" i="11"/>
  <c r="L692" i="11"/>
  <c r="G692" i="11"/>
  <c r="N692" i="11" s="1"/>
  <c r="Q692" i="11" s="1"/>
  <c r="R692" i="11" s="1"/>
  <c r="V692" i="11" s="1"/>
  <c r="AF691" i="11"/>
  <c r="AD691" i="11"/>
  <c r="R691" i="11"/>
  <c r="V691" i="11" s="1"/>
  <c r="N691" i="11"/>
  <c r="Q691" i="11" s="1"/>
  <c r="M691" i="11"/>
  <c r="L691" i="11"/>
  <c r="G691" i="11"/>
  <c r="AF690" i="11"/>
  <c r="AD690" i="11"/>
  <c r="M690" i="11"/>
  <c r="L690" i="11"/>
  <c r="G690" i="11"/>
  <c r="N690" i="11" s="1"/>
  <c r="Q690" i="11" s="1"/>
  <c r="R690" i="11" s="1"/>
  <c r="V690" i="11" s="1"/>
  <c r="AF689" i="11"/>
  <c r="AD689" i="11"/>
  <c r="AA689" i="11"/>
  <c r="N689" i="11"/>
  <c r="Q689" i="11" s="1"/>
  <c r="R689" i="11" s="1"/>
  <c r="V689" i="11" s="1"/>
  <c r="W689" i="11" s="1"/>
  <c r="M689" i="11"/>
  <c r="L689" i="11"/>
  <c r="L695" i="11" s="1"/>
  <c r="G689" i="11"/>
  <c r="AF688" i="11"/>
  <c r="AF695" i="11" s="1"/>
  <c r="AD688" i="11"/>
  <c r="AD695" i="11" s="1"/>
  <c r="Q688" i="11"/>
  <c r="M688" i="11"/>
  <c r="M695" i="11" s="1"/>
  <c r="L688" i="11"/>
  <c r="G688" i="11"/>
  <c r="N688" i="11" s="1"/>
  <c r="N695" i="11" s="1"/>
  <c r="AF684" i="11"/>
  <c r="Y684" i="11"/>
  <c r="R684" i="11"/>
  <c r="V684" i="11" s="1"/>
  <c r="L684" i="11"/>
  <c r="AD680" i="11"/>
  <c r="AC680" i="11"/>
  <c r="AB680" i="11"/>
  <c r="U680" i="11"/>
  <c r="T680" i="11"/>
  <c r="S680" i="11"/>
  <c r="P680" i="11"/>
  <c r="O680" i="11"/>
  <c r="N680" i="11"/>
  <c r="L680" i="11"/>
  <c r="J680" i="11"/>
  <c r="I680" i="11"/>
  <c r="AF679" i="11"/>
  <c r="Q679" i="11"/>
  <c r="R679" i="11" s="1"/>
  <c r="V679" i="11" s="1"/>
  <c r="M679" i="11"/>
  <c r="AF678" i="11"/>
  <c r="AA678" i="11"/>
  <c r="X678" i="11"/>
  <c r="Q678" i="11"/>
  <c r="R678" i="11" s="1"/>
  <c r="V678" i="11" s="1"/>
  <c r="W678" i="11" s="1"/>
  <c r="M678" i="11"/>
  <c r="AF677" i="11"/>
  <c r="V677" i="11"/>
  <c r="AA677" i="11" s="1"/>
  <c r="R677" i="11"/>
  <c r="Q677" i="11"/>
  <c r="M677" i="11"/>
  <c r="AF676" i="11"/>
  <c r="V676" i="11"/>
  <c r="R676" i="11"/>
  <c r="Q676" i="11"/>
  <c r="M676" i="11"/>
  <c r="AF675" i="11"/>
  <c r="R675" i="11"/>
  <c r="V675" i="11" s="1"/>
  <c r="Q675" i="11"/>
  <c r="M675" i="11"/>
  <c r="AF674" i="11"/>
  <c r="AA674" i="11"/>
  <c r="Q674" i="11"/>
  <c r="R674" i="11" s="1"/>
  <c r="V674" i="11" s="1"/>
  <c r="X674" i="11" s="1"/>
  <c r="M674" i="11"/>
  <c r="AF673" i="11"/>
  <c r="AA673" i="11"/>
  <c r="Z673" i="11"/>
  <c r="W673" i="11"/>
  <c r="V673" i="11"/>
  <c r="R673" i="11"/>
  <c r="Q673" i="11"/>
  <c r="M673" i="11"/>
  <c r="M680" i="11" s="1"/>
  <c r="AF672" i="11"/>
  <c r="R672" i="11"/>
  <c r="V672" i="11" s="1"/>
  <c r="Q672" i="11"/>
  <c r="M672" i="11"/>
  <c r="AF667" i="11"/>
  <c r="AD667" i="11"/>
  <c r="AC667" i="11"/>
  <c r="AB667" i="11"/>
  <c r="U667" i="11"/>
  <c r="T667" i="11"/>
  <c r="S667" i="11"/>
  <c r="P667" i="11"/>
  <c r="O667" i="11"/>
  <c r="N667" i="11"/>
  <c r="M667" i="11"/>
  <c r="AF666" i="11"/>
  <c r="Q666" i="11"/>
  <c r="R666" i="11" s="1"/>
  <c r="M666" i="11"/>
  <c r="L666" i="11"/>
  <c r="AF665" i="11"/>
  <c r="V665" i="11"/>
  <c r="Y665" i="11" s="1"/>
  <c r="Q665" i="11"/>
  <c r="R665" i="11" s="1"/>
  <c r="M665" i="11"/>
  <c r="L665" i="11"/>
  <c r="L667" i="11" s="1"/>
  <c r="AD661" i="11"/>
  <c r="AC661" i="11"/>
  <c r="AB661" i="11"/>
  <c r="U661" i="11"/>
  <c r="T661" i="11"/>
  <c r="S661" i="11"/>
  <c r="Q661" i="11"/>
  <c r="P661" i="11"/>
  <c r="O661" i="11"/>
  <c r="N661" i="11"/>
  <c r="L661" i="11"/>
  <c r="J661" i="11"/>
  <c r="AF660" i="11"/>
  <c r="AF661" i="11" s="1"/>
  <c r="Y660" i="11"/>
  <c r="Y661" i="11" s="1"/>
  <c r="R660" i="11"/>
  <c r="V660" i="11" s="1"/>
  <c r="Z660" i="11" s="1"/>
  <c r="Z661" i="11" s="1"/>
  <c r="M660" i="11"/>
  <c r="M661" i="11" s="1"/>
  <c r="L660" i="11"/>
  <c r="AD655" i="11"/>
  <c r="AC655" i="11"/>
  <c r="AB655" i="11"/>
  <c r="U655" i="11"/>
  <c r="T655" i="11"/>
  <c r="S655" i="11"/>
  <c r="Q655" i="11"/>
  <c r="P655" i="11"/>
  <c r="O655" i="11"/>
  <c r="N655" i="11"/>
  <c r="L655" i="11"/>
  <c r="J655" i="11"/>
  <c r="I655" i="11"/>
  <c r="AG654" i="11"/>
  <c r="AF654" i="11"/>
  <c r="Q654" i="11"/>
  <c r="R654" i="11" s="1"/>
  <c r="V654" i="11" s="1"/>
  <c r="M654" i="11"/>
  <c r="AF653" i="11"/>
  <c r="Q653" i="11"/>
  <c r="R653" i="11" s="1"/>
  <c r="V653" i="11" s="1"/>
  <c r="M653" i="11"/>
  <c r="AF652" i="11"/>
  <c r="R652" i="11"/>
  <c r="V652" i="11" s="1"/>
  <c r="Q652" i="11"/>
  <c r="M652" i="11"/>
  <c r="AF651" i="11"/>
  <c r="Q651" i="11"/>
  <c r="R651" i="11" s="1"/>
  <c r="V651" i="11" s="1"/>
  <c r="M651" i="11"/>
  <c r="AF650" i="11"/>
  <c r="Q650" i="11"/>
  <c r="R650" i="11" s="1"/>
  <c r="M650" i="11"/>
  <c r="M655" i="11" s="1"/>
  <c r="F646" i="11"/>
  <c r="AF642" i="11"/>
  <c r="Q642" i="11"/>
  <c r="R642" i="11" s="1"/>
  <c r="V642" i="11" s="1"/>
  <c r="AJ641" i="11"/>
  <c r="AI641" i="11"/>
  <c r="AF639" i="11"/>
  <c r="J639" i="11"/>
  <c r="U638" i="11"/>
  <c r="T638" i="11"/>
  <c r="S638" i="11"/>
  <c r="P638" i="11"/>
  <c r="O638" i="11"/>
  <c r="N638" i="11"/>
  <c r="L638" i="11"/>
  <c r="J638" i="11"/>
  <c r="I638" i="11"/>
  <c r="AF637" i="11"/>
  <c r="R637" i="11"/>
  <c r="V637" i="11" s="1"/>
  <c r="AF636" i="11"/>
  <c r="Y636" i="11"/>
  <c r="X636" i="11"/>
  <c r="R636" i="11"/>
  <c r="V636" i="11" s="1"/>
  <c r="Z636" i="11" s="1"/>
  <c r="AF635" i="11"/>
  <c r="AC635" i="11"/>
  <c r="AD635" i="11" s="1"/>
  <c r="AB635" i="11"/>
  <c r="R635" i="11"/>
  <c r="V635" i="11" s="1"/>
  <c r="Q635" i="11"/>
  <c r="M635" i="11"/>
  <c r="L635" i="11"/>
  <c r="G635" i="11"/>
  <c r="AF634" i="11"/>
  <c r="AC634" i="11"/>
  <c r="AB634" i="11"/>
  <c r="AD634" i="11" s="1"/>
  <c r="R634" i="11"/>
  <c r="V634" i="11" s="1"/>
  <c r="Z634" i="11" s="1"/>
  <c r="Q634" i="11"/>
  <c r="M634" i="11"/>
  <c r="L634" i="11"/>
  <c r="G634" i="11"/>
  <c r="AF633" i="11"/>
  <c r="AD633" i="11"/>
  <c r="AC633" i="11"/>
  <c r="AB633" i="11"/>
  <c r="R633" i="11"/>
  <c r="V633" i="11" s="1"/>
  <c r="Q633" i="11"/>
  <c r="M633" i="11"/>
  <c r="L633" i="11"/>
  <c r="G633" i="11"/>
  <c r="AF632" i="11"/>
  <c r="AC632" i="11"/>
  <c r="AB632" i="11"/>
  <c r="Q632" i="11"/>
  <c r="R632" i="11" s="1"/>
  <c r="V632" i="11" s="1"/>
  <c r="M632" i="11"/>
  <c r="L632" i="11"/>
  <c r="G632" i="11"/>
  <c r="AF631" i="11"/>
  <c r="AC631" i="11"/>
  <c r="AD631" i="11" s="1"/>
  <c r="AB631" i="11"/>
  <c r="R631" i="11"/>
  <c r="V631" i="11" s="1"/>
  <c r="Q631" i="11"/>
  <c r="M631" i="11"/>
  <c r="L631" i="11"/>
  <c r="G631" i="11"/>
  <c r="AF630" i="11"/>
  <c r="AC630" i="11"/>
  <c r="AB630" i="11"/>
  <c r="AD630" i="11" s="1"/>
  <c r="R630" i="11"/>
  <c r="V630" i="11" s="1"/>
  <c r="Z630" i="11" s="1"/>
  <c r="Q630" i="11"/>
  <c r="M630" i="11"/>
  <c r="L630" i="11"/>
  <c r="G630" i="11"/>
  <c r="AF629" i="11"/>
  <c r="AD629" i="11"/>
  <c r="AC629" i="11"/>
  <c r="AB629" i="11"/>
  <c r="R629" i="11"/>
  <c r="V629" i="11" s="1"/>
  <c r="Q629" i="11"/>
  <c r="M629" i="11"/>
  <c r="L629" i="11"/>
  <c r="G629" i="11"/>
  <c r="AF628" i="11"/>
  <c r="AC628" i="11"/>
  <c r="AB628" i="11"/>
  <c r="Q628" i="11"/>
  <c r="R628" i="11" s="1"/>
  <c r="M628" i="11"/>
  <c r="L628" i="11"/>
  <c r="G628" i="11"/>
  <c r="AF627" i="11"/>
  <c r="AC627" i="11"/>
  <c r="AD627" i="11" s="1"/>
  <c r="AB627" i="11"/>
  <c r="R627" i="11"/>
  <c r="V627" i="11" s="1"/>
  <c r="Q627" i="11"/>
  <c r="M627" i="11"/>
  <c r="L627" i="11"/>
  <c r="G627" i="11"/>
  <c r="AF626" i="11"/>
  <c r="V626" i="11"/>
  <c r="X626" i="11" s="1"/>
  <c r="AF625" i="11"/>
  <c r="AF638" i="11" s="1"/>
  <c r="AD625" i="11"/>
  <c r="AC625" i="11"/>
  <c r="AC638" i="11" s="1"/>
  <c r="AB625" i="11"/>
  <c r="R625" i="11"/>
  <c r="V625" i="11" s="1"/>
  <c r="Q625" i="11"/>
  <c r="Q638" i="11" s="1"/>
  <c r="M625" i="11"/>
  <c r="M638" i="11" s="1"/>
  <c r="L625" i="11"/>
  <c r="G625" i="11"/>
  <c r="J622" i="11"/>
  <c r="U621" i="11"/>
  <c r="T621" i="11"/>
  <c r="S621" i="11"/>
  <c r="P621" i="11"/>
  <c r="O621" i="11"/>
  <c r="J621" i="11"/>
  <c r="I621" i="11"/>
  <c r="AF620" i="11"/>
  <c r="R620" i="11"/>
  <c r="V620" i="11" s="1"/>
  <c r="M620" i="11"/>
  <c r="L620" i="11"/>
  <c r="AF619" i="11"/>
  <c r="AC619" i="11"/>
  <c r="AB619" i="11"/>
  <c r="AD619" i="11" s="1"/>
  <c r="Q619" i="11"/>
  <c r="R619" i="11" s="1"/>
  <c r="V619" i="11" s="1"/>
  <c r="M619" i="11"/>
  <c r="L619" i="11"/>
  <c r="G619" i="11"/>
  <c r="N619" i="11" s="1"/>
  <c r="AF618" i="11"/>
  <c r="AC618" i="11"/>
  <c r="AB618" i="11"/>
  <c r="AD618" i="11" s="1"/>
  <c r="M618" i="11"/>
  <c r="L618" i="11"/>
  <c r="G618" i="11"/>
  <c r="N618" i="11" s="1"/>
  <c r="Q618" i="11" s="1"/>
  <c r="R618" i="11" s="1"/>
  <c r="V618" i="11" s="1"/>
  <c r="AF617" i="11"/>
  <c r="AD617" i="11"/>
  <c r="AC617" i="11"/>
  <c r="AB617" i="11"/>
  <c r="Q617" i="11"/>
  <c r="R617" i="11" s="1"/>
  <c r="V617" i="11" s="1"/>
  <c r="M617" i="11"/>
  <c r="L617" i="11"/>
  <c r="G617" i="11"/>
  <c r="AF616" i="11"/>
  <c r="AD616" i="11"/>
  <c r="AC616" i="11"/>
  <c r="AB616" i="11"/>
  <c r="Q616" i="11"/>
  <c r="R616" i="11" s="1"/>
  <c r="V616" i="11" s="1"/>
  <c r="M616" i="11"/>
  <c r="L616" i="11"/>
  <c r="G616" i="11"/>
  <c r="AF615" i="11"/>
  <c r="AD615" i="11"/>
  <c r="AC615" i="11"/>
  <c r="AB615" i="11"/>
  <c r="Q615" i="11"/>
  <c r="R615" i="11" s="1"/>
  <c r="V615" i="11" s="1"/>
  <c r="M615" i="11"/>
  <c r="L615" i="11"/>
  <c r="G615" i="11"/>
  <c r="AF614" i="11"/>
  <c r="AC614" i="11"/>
  <c r="AD614" i="11" s="1"/>
  <c r="AB614" i="11"/>
  <c r="Q614" i="11"/>
  <c r="R614" i="11" s="1"/>
  <c r="V614" i="11" s="1"/>
  <c r="M614" i="11"/>
  <c r="L614" i="11"/>
  <c r="G614" i="11"/>
  <c r="AF613" i="11"/>
  <c r="AC613" i="11"/>
  <c r="AB613" i="11"/>
  <c r="AD613" i="11" s="1"/>
  <c r="Q613" i="11"/>
  <c r="R613" i="11" s="1"/>
  <c r="V613" i="11" s="1"/>
  <c r="M613" i="11"/>
  <c r="L613" i="11"/>
  <c r="G613" i="11"/>
  <c r="AF612" i="11"/>
  <c r="AD612" i="11"/>
  <c r="AC612" i="11"/>
  <c r="AB612" i="11"/>
  <c r="Q612" i="11"/>
  <c r="R612" i="11" s="1"/>
  <c r="V612" i="11" s="1"/>
  <c r="M612" i="11"/>
  <c r="L612" i="11"/>
  <c r="G612" i="11"/>
  <c r="AF611" i="11"/>
  <c r="AC611" i="11"/>
  <c r="AB611" i="11"/>
  <c r="AD611" i="11" s="1"/>
  <c r="M611" i="11"/>
  <c r="L611" i="11"/>
  <c r="G611" i="11"/>
  <c r="N611" i="11" s="1"/>
  <c r="AF610" i="11"/>
  <c r="V610" i="11"/>
  <c r="W610" i="11" s="1"/>
  <c r="AF609" i="11"/>
  <c r="AF621" i="11" s="1"/>
  <c r="AD609" i="11"/>
  <c r="AC609" i="11"/>
  <c r="AB609" i="11"/>
  <c r="N609" i="11"/>
  <c r="Q609" i="11" s="1"/>
  <c r="M609" i="11"/>
  <c r="L609" i="11"/>
  <c r="L621" i="11" s="1"/>
  <c r="G609" i="11"/>
  <c r="J606" i="11"/>
  <c r="U605" i="11"/>
  <c r="T605" i="11"/>
  <c r="S605" i="11"/>
  <c r="P605" i="11"/>
  <c r="O605" i="11"/>
  <c r="J605" i="11"/>
  <c r="I605" i="11"/>
  <c r="AF604" i="11"/>
  <c r="R604" i="11"/>
  <c r="V604" i="11" s="1"/>
  <c r="AF603" i="11"/>
  <c r="AF605" i="11" s="1"/>
  <c r="R603" i="11"/>
  <c r="V603" i="11" s="1"/>
  <c r="AF602" i="11"/>
  <c r="AD602" i="11"/>
  <c r="AC602" i="11"/>
  <c r="AB602" i="11"/>
  <c r="N602" i="11"/>
  <c r="Q602" i="11" s="1"/>
  <c r="R602" i="11" s="1"/>
  <c r="V602" i="11" s="1"/>
  <c r="M602" i="11"/>
  <c r="L602" i="11"/>
  <c r="G602" i="11"/>
  <c r="AF601" i="11"/>
  <c r="AC601" i="11"/>
  <c r="AD601" i="11" s="1"/>
  <c r="AB601" i="11"/>
  <c r="N601" i="11"/>
  <c r="Q601" i="11" s="1"/>
  <c r="R601" i="11" s="1"/>
  <c r="V601" i="11" s="1"/>
  <c r="M601" i="11"/>
  <c r="L601" i="11"/>
  <c r="G601" i="11"/>
  <c r="AF600" i="11"/>
  <c r="AC600" i="11"/>
  <c r="AB600" i="11"/>
  <c r="AD600" i="11" s="1"/>
  <c r="Q600" i="11"/>
  <c r="R600" i="11" s="1"/>
  <c r="V600" i="11" s="1"/>
  <c r="M600" i="11"/>
  <c r="L600" i="11"/>
  <c r="G600" i="11"/>
  <c r="AF599" i="11"/>
  <c r="AD599" i="11"/>
  <c r="AC599" i="11"/>
  <c r="AB599" i="11"/>
  <c r="Q599" i="11"/>
  <c r="R599" i="11" s="1"/>
  <c r="V599" i="11" s="1"/>
  <c r="M599" i="11"/>
  <c r="L599" i="11"/>
  <c r="G599" i="11"/>
  <c r="AF598" i="11"/>
  <c r="AC598" i="11"/>
  <c r="AB598" i="11"/>
  <c r="AD598" i="11" s="1"/>
  <c r="Q598" i="11"/>
  <c r="R598" i="11" s="1"/>
  <c r="V598" i="11" s="1"/>
  <c r="M598" i="11"/>
  <c r="L598" i="11"/>
  <c r="G598" i="11"/>
  <c r="AF597" i="11"/>
  <c r="AD597" i="11"/>
  <c r="AC597" i="11"/>
  <c r="AB597" i="11"/>
  <c r="Q597" i="11"/>
  <c r="R597" i="11" s="1"/>
  <c r="V597" i="11" s="1"/>
  <c r="M597" i="11"/>
  <c r="L597" i="11"/>
  <c r="G597" i="11"/>
  <c r="AF596" i="11"/>
  <c r="AC596" i="11"/>
  <c r="AB596" i="11"/>
  <c r="AD596" i="11" s="1"/>
  <c r="Q596" i="11"/>
  <c r="R596" i="11" s="1"/>
  <c r="V596" i="11" s="1"/>
  <c r="M596" i="11"/>
  <c r="L596" i="11"/>
  <c r="G596" i="11"/>
  <c r="AF595" i="11"/>
  <c r="AD595" i="11"/>
  <c r="AC595" i="11"/>
  <c r="AB595" i="11"/>
  <c r="Q595" i="11"/>
  <c r="R595" i="11" s="1"/>
  <c r="V595" i="11" s="1"/>
  <c r="M595" i="11"/>
  <c r="M605" i="11" s="1"/>
  <c r="L595" i="11"/>
  <c r="L605" i="11" s="1"/>
  <c r="G595" i="11"/>
  <c r="AF594" i="11"/>
  <c r="AC594" i="11"/>
  <c r="AB594" i="11"/>
  <c r="AD594" i="11" s="1"/>
  <c r="Q594" i="11"/>
  <c r="R594" i="11" s="1"/>
  <c r="V594" i="11" s="1"/>
  <c r="M594" i="11"/>
  <c r="L594" i="11"/>
  <c r="G594" i="11"/>
  <c r="AJ593" i="11"/>
  <c r="AI593" i="11"/>
  <c r="AF593" i="11"/>
  <c r="X593" i="11"/>
  <c r="W593" i="11"/>
  <c r="V593" i="11"/>
  <c r="AF592" i="11"/>
  <c r="AF606" i="11" s="1"/>
  <c r="AC592" i="11"/>
  <c r="AC605" i="11" s="1"/>
  <c r="AB592" i="11"/>
  <c r="AD592" i="11" s="1"/>
  <c r="AD605" i="11" s="1"/>
  <c r="N592" i="11"/>
  <c r="Q592" i="11" s="1"/>
  <c r="M592" i="11"/>
  <c r="L592" i="11"/>
  <c r="G592" i="11"/>
  <c r="J589" i="11"/>
  <c r="U588" i="11"/>
  <c r="T588" i="11"/>
  <c r="S588" i="11"/>
  <c r="P588" i="11"/>
  <c r="O588" i="11"/>
  <c r="M588" i="11"/>
  <c r="J588" i="11"/>
  <c r="I588" i="11"/>
  <c r="AG587" i="11"/>
  <c r="AI587" i="11" s="1"/>
  <c r="AJ587" i="11" s="1"/>
  <c r="AF587" i="11"/>
  <c r="AF586" i="11"/>
  <c r="AA586" i="11"/>
  <c r="Y586" i="11"/>
  <c r="X586" i="11"/>
  <c r="W586" i="11"/>
  <c r="AG586" i="11" s="1"/>
  <c r="AI586" i="11" s="1"/>
  <c r="AJ586" i="11" s="1"/>
  <c r="V586" i="11"/>
  <c r="Z586" i="11" s="1"/>
  <c r="AF585" i="11"/>
  <c r="AC585" i="11"/>
  <c r="AB585" i="11"/>
  <c r="AD585" i="11" s="1"/>
  <c r="Q585" i="11"/>
  <c r="R585" i="11" s="1"/>
  <c r="V585" i="11" s="1"/>
  <c r="M585" i="11"/>
  <c r="L585" i="11"/>
  <c r="G585" i="11"/>
  <c r="AF584" i="11"/>
  <c r="AD584" i="11"/>
  <c r="AC584" i="11"/>
  <c r="AB584" i="11"/>
  <c r="Q584" i="11"/>
  <c r="R584" i="11" s="1"/>
  <c r="V584" i="11" s="1"/>
  <c r="M584" i="11"/>
  <c r="L584" i="11"/>
  <c r="G584" i="11"/>
  <c r="AF583" i="11"/>
  <c r="AC583" i="11"/>
  <c r="AB583" i="11"/>
  <c r="AD583" i="11" s="1"/>
  <c r="Q583" i="11"/>
  <c r="R583" i="11" s="1"/>
  <c r="V583" i="11" s="1"/>
  <c r="M583" i="11"/>
  <c r="L583" i="11"/>
  <c r="G583" i="11"/>
  <c r="AF582" i="11"/>
  <c r="AD582" i="11"/>
  <c r="AC582" i="11"/>
  <c r="AB582" i="11"/>
  <c r="Q582" i="11"/>
  <c r="R582" i="11" s="1"/>
  <c r="V582" i="11" s="1"/>
  <c r="M582" i="11"/>
  <c r="L582" i="11"/>
  <c r="G582" i="11"/>
  <c r="AF581" i="11"/>
  <c r="AC581" i="11"/>
  <c r="AB581" i="11"/>
  <c r="AD581" i="11" s="1"/>
  <c r="Q581" i="11"/>
  <c r="R581" i="11" s="1"/>
  <c r="V581" i="11" s="1"/>
  <c r="M581" i="11"/>
  <c r="L581" i="11"/>
  <c r="G581" i="11"/>
  <c r="AF580" i="11"/>
  <c r="AD580" i="11"/>
  <c r="AC580" i="11"/>
  <c r="AB580" i="11"/>
  <c r="Q580" i="11"/>
  <c r="R580" i="11" s="1"/>
  <c r="V580" i="11" s="1"/>
  <c r="M580" i="11"/>
  <c r="L580" i="11"/>
  <c r="G580" i="11"/>
  <c r="AF579" i="11"/>
  <c r="AC579" i="11"/>
  <c r="AB579" i="11"/>
  <c r="AD579" i="11" s="1"/>
  <c r="Q579" i="11"/>
  <c r="R579" i="11" s="1"/>
  <c r="V579" i="11" s="1"/>
  <c r="M579" i="11"/>
  <c r="L579" i="11"/>
  <c r="G579" i="11"/>
  <c r="AF578" i="11"/>
  <c r="AD578" i="11"/>
  <c r="AC578" i="11"/>
  <c r="AB578" i="11"/>
  <c r="Q578" i="11"/>
  <c r="R578" i="11" s="1"/>
  <c r="V578" i="11" s="1"/>
  <c r="M578" i="11"/>
  <c r="L578" i="11"/>
  <c r="G578" i="11"/>
  <c r="AF577" i="11"/>
  <c r="AC577" i="11"/>
  <c r="AB577" i="11"/>
  <c r="AD577" i="11" s="1"/>
  <c r="Q577" i="11"/>
  <c r="R577" i="11" s="1"/>
  <c r="V577" i="11" s="1"/>
  <c r="M577" i="11"/>
  <c r="L577" i="11"/>
  <c r="G577" i="11"/>
  <c r="AF576" i="11"/>
  <c r="AF589" i="11" s="1"/>
  <c r="X576" i="11"/>
  <c r="V576" i="11"/>
  <c r="W576" i="11" s="1"/>
  <c r="AG576" i="11" s="1"/>
  <c r="AI576" i="11" s="1"/>
  <c r="AJ576" i="11" s="1"/>
  <c r="AF575" i="11"/>
  <c r="AF588" i="11" s="1"/>
  <c r="AC575" i="11"/>
  <c r="AD575" i="11" s="1"/>
  <c r="AB575" i="11"/>
  <c r="AB588" i="11" s="1"/>
  <c r="M575" i="11"/>
  <c r="L575" i="11"/>
  <c r="L588" i="11" s="1"/>
  <c r="G575" i="11"/>
  <c r="N575" i="11" s="1"/>
  <c r="AC569" i="11"/>
  <c r="U569" i="11"/>
  <c r="T569" i="11"/>
  <c r="S569" i="11"/>
  <c r="P569" i="11"/>
  <c r="O569" i="11"/>
  <c r="J569" i="11"/>
  <c r="I569" i="11"/>
  <c r="AF568" i="11"/>
  <c r="N568" i="11"/>
  <c r="Q568" i="11" s="1"/>
  <c r="R568" i="11" s="1"/>
  <c r="V568" i="11" s="1"/>
  <c r="M568" i="11"/>
  <c r="L568" i="11"/>
  <c r="G568" i="11"/>
  <c r="AF567" i="11"/>
  <c r="N567" i="11"/>
  <c r="Q567" i="11" s="1"/>
  <c r="R567" i="11" s="1"/>
  <c r="V567" i="11" s="1"/>
  <c r="M567" i="11"/>
  <c r="L567" i="11"/>
  <c r="G567" i="11"/>
  <c r="AF566" i="11"/>
  <c r="N566" i="11"/>
  <c r="Q566" i="11" s="1"/>
  <c r="R566" i="11" s="1"/>
  <c r="V566" i="11" s="1"/>
  <c r="M566" i="11"/>
  <c r="L566" i="11"/>
  <c r="G566" i="11"/>
  <c r="AF565" i="11"/>
  <c r="AC565" i="11"/>
  <c r="AB565" i="11"/>
  <c r="AD565" i="11" s="1"/>
  <c r="M565" i="11"/>
  <c r="L565" i="11"/>
  <c r="G565" i="11"/>
  <c r="N565" i="11" s="1"/>
  <c r="AF564" i="11"/>
  <c r="AF569" i="11" s="1"/>
  <c r="AC564" i="11"/>
  <c r="AB564" i="11"/>
  <c r="AB569" i="11" s="1"/>
  <c r="Q564" i="11"/>
  <c r="R564" i="11" s="1"/>
  <c r="M564" i="11"/>
  <c r="M569" i="11" s="1"/>
  <c r="L564" i="11"/>
  <c r="L569" i="11" s="1"/>
  <c r="G564" i="11"/>
  <c r="AF560" i="11"/>
  <c r="Q560" i="11"/>
  <c r="R560" i="11" s="1"/>
  <c r="V560" i="11" s="1"/>
  <c r="M560" i="11"/>
  <c r="L560" i="11"/>
  <c r="J556" i="11"/>
  <c r="AF555" i="11"/>
  <c r="U555" i="11"/>
  <c r="T555" i="11"/>
  <c r="S555" i="11"/>
  <c r="P555" i="11"/>
  <c r="O555" i="11"/>
  <c r="J555" i="11"/>
  <c r="I555" i="11"/>
  <c r="AF554" i="11"/>
  <c r="Y554" i="11"/>
  <c r="R554" i="11"/>
  <c r="V554" i="11" s="1"/>
  <c r="AF553" i="11"/>
  <c r="R553" i="11"/>
  <c r="V553" i="11" s="1"/>
  <c r="AF552" i="11"/>
  <c r="AD552" i="11"/>
  <c r="AC552" i="11"/>
  <c r="AB552" i="11"/>
  <c r="N552" i="11"/>
  <c r="Q552" i="11" s="1"/>
  <c r="R552" i="11" s="1"/>
  <c r="V552" i="11" s="1"/>
  <c r="M552" i="11"/>
  <c r="L552" i="11"/>
  <c r="G552" i="11"/>
  <c r="AF551" i="11"/>
  <c r="AC551" i="11"/>
  <c r="AD551" i="11" s="1"/>
  <c r="AB551" i="11"/>
  <c r="N551" i="11"/>
  <c r="Q551" i="11" s="1"/>
  <c r="R551" i="11" s="1"/>
  <c r="V551" i="11" s="1"/>
  <c r="M551" i="11"/>
  <c r="L551" i="11"/>
  <c r="G551" i="11"/>
  <c r="AF550" i="11"/>
  <c r="AF556" i="11" s="1"/>
  <c r="AC550" i="11"/>
  <c r="AC555" i="11" s="1"/>
  <c r="AB550" i="11"/>
  <c r="M550" i="11"/>
  <c r="M555" i="11" s="1"/>
  <c r="L550" i="11"/>
  <c r="G550" i="11"/>
  <c r="N550" i="11" s="1"/>
  <c r="N555" i="11" s="1"/>
  <c r="AC547" i="11"/>
  <c r="AC548" i="11" s="1"/>
  <c r="AB547" i="11"/>
  <c r="U547" i="11"/>
  <c r="T547" i="11"/>
  <c r="S547" i="11"/>
  <c r="Q547" i="11"/>
  <c r="P547" i="11"/>
  <c r="O547" i="11"/>
  <c r="N547" i="11"/>
  <c r="J547" i="11"/>
  <c r="AF546" i="11"/>
  <c r="AF547" i="11" s="1"/>
  <c r="AD546" i="11"/>
  <c r="AD547" i="11" s="1"/>
  <c r="Q546" i="11"/>
  <c r="R546" i="11" s="1"/>
  <c r="M546" i="11"/>
  <c r="M547" i="11" s="1"/>
  <c r="L546" i="11"/>
  <c r="L547" i="11" s="1"/>
  <c r="G546" i="11"/>
  <c r="J543" i="11"/>
  <c r="U542" i="11"/>
  <c r="T542" i="11"/>
  <c r="S542" i="11"/>
  <c r="P542" i="11"/>
  <c r="O542" i="11"/>
  <c r="N542" i="11"/>
  <c r="M542" i="11"/>
  <c r="J542" i="11"/>
  <c r="I542" i="11"/>
  <c r="AF541" i="11"/>
  <c r="AF543" i="11" s="1"/>
  <c r="AA541" i="11"/>
  <c r="W541" i="11"/>
  <c r="R541" i="11"/>
  <c r="V541" i="11" s="1"/>
  <c r="AF540" i="11"/>
  <c r="AF542" i="11" s="1"/>
  <c r="AC540" i="11"/>
  <c r="AD540" i="11" s="1"/>
  <c r="AB540" i="11"/>
  <c r="N540" i="11"/>
  <c r="Q540" i="11" s="1"/>
  <c r="Q542" i="11" s="1"/>
  <c r="M540" i="11"/>
  <c r="L540" i="11"/>
  <c r="G540" i="11"/>
  <c r="AF539" i="11"/>
  <c r="AC539" i="11"/>
  <c r="AB539" i="11"/>
  <c r="Q539" i="11"/>
  <c r="R539" i="11" s="1"/>
  <c r="M539" i="11"/>
  <c r="L539" i="11"/>
  <c r="G539" i="11"/>
  <c r="J533" i="11"/>
  <c r="U532" i="11"/>
  <c r="T532" i="11"/>
  <c r="S532" i="11"/>
  <c r="P532" i="11"/>
  <c r="O532" i="11"/>
  <c r="J532" i="11"/>
  <c r="I532" i="11"/>
  <c r="AF531" i="11"/>
  <c r="N531" i="11"/>
  <c r="Q531" i="11" s="1"/>
  <c r="R531" i="11" s="1"/>
  <c r="V531" i="11" s="1"/>
  <c r="M531" i="11"/>
  <c r="L531" i="11"/>
  <c r="AF530" i="11"/>
  <c r="V530" i="11"/>
  <c r="Z530" i="11" s="1"/>
  <c r="N530" i="11"/>
  <c r="Q530" i="11" s="1"/>
  <c r="R530" i="11" s="1"/>
  <c r="M530" i="11"/>
  <c r="L530" i="11"/>
  <c r="G530" i="11"/>
  <c r="AF529" i="11"/>
  <c r="AC529" i="11"/>
  <c r="AD529" i="11" s="1"/>
  <c r="AB529" i="11"/>
  <c r="R529" i="11"/>
  <c r="V529" i="11" s="1"/>
  <c r="Q529" i="11"/>
  <c r="M529" i="11"/>
  <c r="L529" i="11"/>
  <c r="G529" i="11"/>
  <c r="AF528" i="11"/>
  <c r="AC528" i="11"/>
  <c r="AB528" i="11"/>
  <c r="AD528" i="11" s="1"/>
  <c r="AA528" i="11"/>
  <c r="Q528" i="11"/>
  <c r="R528" i="11" s="1"/>
  <c r="V528" i="11" s="1"/>
  <c r="W528" i="11" s="1"/>
  <c r="M528" i="11"/>
  <c r="L528" i="11"/>
  <c r="G528" i="11"/>
  <c r="AF527" i="11"/>
  <c r="AC527" i="11"/>
  <c r="AD527" i="11" s="1"/>
  <c r="AB527" i="11"/>
  <c r="Y527" i="11"/>
  <c r="R527" i="11"/>
  <c r="V527" i="11" s="1"/>
  <c r="Q527" i="11"/>
  <c r="M527" i="11"/>
  <c r="L527" i="11"/>
  <c r="G527" i="11"/>
  <c r="AF526" i="11"/>
  <c r="AC526" i="11"/>
  <c r="AB526" i="11"/>
  <c r="AD526" i="11" s="1"/>
  <c r="AA526" i="11"/>
  <c r="W526" i="11"/>
  <c r="Q526" i="11"/>
  <c r="R526" i="11" s="1"/>
  <c r="V526" i="11" s="1"/>
  <c r="M526" i="11"/>
  <c r="M532" i="11" s="1"/>
  <c r="L526" i="11"/>
  <c r="G526" i="11"/>
  <c r="AF525" i="11"/>
  <c r="AC525" i="11"/>
  <c r="AD525" i="11" s="1"/>
  <c r="AB525" i="11"/>
  <c r="AB532" i="11" s="1"/>
  <c r="R525" i="11"/>
  <c r="Q525" i="11"/>
  <c r="M525" i="11"/>
  <c r="L525" i="11"/>
  <c r="L532" i="11" s="1"/>
  <c r="G525" i="11"/>
  <c r="AF523" i="11"/>
  <c r="AC522" i="11"/>
  <c r="AB522" i="11"/>
  <c r="U522" i="11"/>
  <c r="T522" i="11"/>
  <c r="S522" i="11"/>
  <c r="R522" i="11"/>
  <c r="Q522" i="11"/>
  <c r="P522" i="11"/>
  <c r="O522" i="11"/>
  <c r="N522" i="11"/>
  <c r="J522" i="11"/>
  <c r="I522" i="11"/>
  <c r="AF521" i="11"/>
  <c r="AF522" i="11" s="1"/>
  <c r="AD521" i="11"/>
  <c r="AC521" i="11"/>
  <c r="AB521" i="11"/>
  <c r="V521" i="11"/>
  <c r="AA521" i="11" s="1"/>
  <c r="Q521" i="11"/>
  <c r="R521" i="11" s="1"/>
  <c r="M521" i="11"/>
  <c r="M522" i="11" s="1"/>
  <c r="L521" i="11"/>
  <c r="L522" i="11" s="1"/>
  <c r="G521" i="11"/>
  <c r="J518" i="11"/>
  <c r="U517" i="11"/>
  <c r="T517" i="11"/>
  <c r="S517" i="11"/>
  <c r="P517" i="11"/>
  <c r="O517" i="11"/>
  <c r="N517" i="11"/>
  <c r="J517" i="11"/>
  <c r="I517" i="11"/>
  <c r="AF516" i="11"/>
  <c r="AC516" i="11"/>
  <c r="AB516" i="11"/>
  <c r="AD516" i="11" s="1"/>
  <c r="AA516" i="11"/>
  <c r="X516" i="11"/>
  <c r="W516" i="11"/>
  <c r="Q516" i="11"/>
  <c r="R516" i="11" s="1"/>
  <c r="V516" i="11" s="1"/>
  <c r="M516" i="11"/>
  <c r="L516" i="11"/>
  <c r="G516" i="11"/>
  <c r="AF515" i="11"/>
  <c r="AD515" i="11"/>
  <c r="AC515" i="11"/>
  <c r="AB515" i="11"/>
  <c r="R515" i="11"/>
  <c r="V515" i="11" s="1"/>
  <c r="Q515" i="11"/>
  <c r="M515" i="11"/>
  <c r="L515" i="11"/>
  <c r="G515" i="11"/>
  <c r="AF514" i="11"/>
  <c r="AC514" i="11"/>
  <c r="AB514" i="11"/>
  <c r="AD514" i="11" s="1"/>
  <c r="X514" i="11"/>
  <c r="Q514" i="11"/>
  <c r="R514" i="11" s="1"/>
  <c r="V514" i="11" s="1"/>
  <c r="AA514" i="11" s="1"/>
  <c r="M514" i="11"/>
  <c r="L514" i="11"/>
  <c r="G514" i="11"/>
  <c r="AF513" i="11"/>
  <c r="AC513" i="11"/>
  <c r="AD513" i="11" s="1"/>
  <c r="AB513" i="11"/>
  <c r="Z513" i="11"/>
  <c r="V513" i="11"/>
  <c r="Y513" i="11" s="1"/>
  <c r="R513" i="11"/>
  <c r="Q513" i="11"/>
  <c r="M513" i="11"/>
  <c r="L513" i="11"/>
  <c r="G513" i="11"/>
  <c r="AF512" i="11"/>
  <c r="AC512" i="11"/>
  <c r="AB512" i="11"/>
  <c r="AD512" i="11" s="1"/>
  <c r="AA512" i="11"/>
  <c r="Q512" i="11"/>
  <c r="R512" i="11" s="1"/>
  <c r="V512" i="11" s="1"/>
  <c r="X512" i="11" s="1"/>
  <c r="M512" i="11"/>
  <c r="L512" i="11"/>
  <c r="G512" i="11"/>
  <c r="AF511" i="11"/>
  <c r="AC511" i="11"/>
  <c r="AD511" i="11" s="1"/>
  <c r="AB511" i="11"/>
  <c r="R511" i="11"/>
  <c r="V511" i="11" s="1"/>
  <c r="Q511" i="11"/>
  <c r="M511" i="11"/>
  <c r="L511" i="11"/>
  <c r="G511" i="11"/>
  <c r="AF510" i="11"/>
  <c r="AF517" i="11" s="1"/>
  <c r="AC510" i="11"/>
  <c r="AC517" i="11" s="1"/>
  <c r="AB510" i="11"/>
  <c r="Q510" i="11"/>
  <c r="M510" i="11"/>
  <c r="L510" i="11"/>
  <c r="G510" i="11"/>
  <c r="U507" i="11"/>
  <c r="T507" i="11"/>
  <c r="S507" i="11"/>
  <c r="P507" i="11"/>
  <c r="O507" i="11"/>
  <c r="J507" i="11"/>
  <c r="I507" i="11"/>
  <c r="AF506" i="11"/>
  <c r="AC506" i="11"/>
  <c r="AB506" i="11"/>
  <c r="AD506" i="11" s="1"/>
  <c r="N506" i="11"/>
  <c r="Q506" i="11" s="1"/>
  <c r="R506" i="11" s="1"/>
  <c r="V506" i="11" s="1"/>
  <c r="M506" i="11"/>
  <c r="L506" i="11"/>
  <c r="G506" i="11"/>
  <c r="AF505" i="11"/>
  <c r="AD505" i="11"/>
  <c r="AD507" i="11" s="1"/>
  <c r="AC505" i="11"/>
  <c r="AC507" i="11" s="1"/>
  <c r="AB505" i="11"/>
  <c r="AB507" i="11" s="1"/>
  <c r="Q505" i="11"/>
  <c r="R505" i="11" s="1"/>
  <c r="V505" i="11" s="1"/>
  <c r="M505" i="11"/>
  <c r="L505" i="11"/>
  <c r="G505" i="11"/>
  <c r="AF504" i="11"/>
  <c r="AF508" i="11" s="1"/>
  <c r="AD504" i="11"/>
  <c r="N504" i="11"/>
  <c r="Q504" i="11" s="1"/>
  <c r="M504" i="11"/>
  <c r="M507" i="11" s="1"/>
  <c r="L504" i="11"/>
  <c r="L507" i="11" s="1"/>
  <c r="G504" i="11"/>
  <c r="J500" i="11"/>
  <c r="U499" i="11"/>
  <c r="T499" i="11"/>
  <c r="S499" i="11"/>
  <c r="P499" i="11"/>
  <c r="O499" i="11"/>
  <c r="N499" i="11"/>
  <c r="J499" i="11"/>
  <c r="I499" i="11"/>
  <c r="AF498" i="11"/>
  <c r="R498" i="11"/>
  <c r="V498" i="11" s="1"/>
  <c r="AA498" i="11" s="1"/>
  <c r="AF497" i="11"/>
  <c r="AA497" i="11"/>
  <c r="V497" i="11"/>
  <c r="Z497" i="11" s="1"/>
  <c r="R497" i="11"/>
  <c r="AF496" i="11"/>
  <c r="AC496" i="11"/>
  <c r="AB496" i="11"/>
  <c r="R496" i="11"/>
  <c r="V496" i="11" s="1"/>
  <c r="Q496" i="11"/>
  <c r="M496" i="11"/>
  <c r="L496" i="11"/>
  <c r="G496" i="11"/>
  <c r="AF495" i="11"/>
  <c r="AD495" i="11"/>
  <c r="AC495" i="11"/>
  <c r="AB495" i="11"/>
  <c r="Q495" i="11"/>
  <c r="R495" i="11" s="1"/>
  <c r="V495" i="11" s="1"/>
  <c r="M495" i="11"/>
  <c r="L495" i="11"/>
  <c r="G495" i="11"/>
  <c r="AF494" i="11"/>
  <c r="AC494" i="11"/>
  <c r="AB494" i="11"/>
  <c r="AD494" i="11" s="1"/>
  <c r="Q494" i="11"/>
  <c r="R494" i="11" s="1"/>
  <c r="V494" i="11" s="1"/>
  <c r="M494" i="11"/>
  <c r="L494" i="11"/>
  <c r="G494" i="11"/>
  <c r="AF493" i="11"/>
  <c r="AD493" i="11"/>
  <c r="AC493" i="11"/>
  <c r="AB493" i="11"/>
  <c r="Q493" i="11"/>
  <c r="R493" i="11" s="1"/>
  <c r="V493" i="11" s="1"/>
  <c r="M493" i="11"/>
  <c r="L493" i="11"/>
  <c r="G493" i="11"/>
  <c r="AF492" i="11"/>
  <c r="AC492" i="11"/>
  <c r="AD492" i="11" s="1"/>
  <c r="AB492" i="11"/>
  <c r="R492" i="11"/>
  <c r="V492" i="11" s="1"/>
  <c r="Q492" i="11"/>
  <c r="M492" i="11"/>
  <c r="L492" i="11"/>
  <c r="G492" i="11"/>
  <c r="AF491" i="11"/>
  <c r="AC491" i="11"/>
  <c r="AB491" i="11"/>
  <c r="AD491" i="11" s="1"/>
  <c r="Q491" i="11"/>
  <c r="R491" i="11" s="1"/>
  <c r="V491" i="11" s="1"/>
  <c r="M491" i="11"/>
  <c r="L491" i="11"/>
  <c r="G491" i="11"/>
  <c r="AF490" i="11"/>
  <c r="AC490" i="11"/>
  <c r="AD490" i="11" s="1"/>
  <c r="AB490" i="11"/>
  <c r="R490" i="11"/>
  <c r="V490" i="11" s="1"/>
  <c r="Q490" i="11"/>
  <c r="M490" i="11"/>
  <c r="L490" i="11"/>
  <c r="G490" i="11"/>
  <c r="AF489" i="11"/>
  <c r="AC489" i="11"/>
  <c r="AB489" i="11"/>
  <c r="AD489" i="11" s="1"/>
  <c r="Q489" i="11"/>
  <c r="R489" i="11" s="1"/>
  <c r="V489" i="11" s="1"/>
  <c r="M489" i="11"/>
  <c r="L489" i="11"/>
  <c r="G489" i="11"/>
  <c r="AF488" i="11"/>
  <c r="AC488" i="11"/>
  <c r="AD488" i="11" s="1"/>
  <c r="AB488" i="11"/>
  <c r="R488" i="11"/>
  <c r="V488" i="11" s="1"/>
  <c r="Q488" i="11"/>
  <c r="M488" i="11"/>
  <c r="L488" i="11"/>
  <c r="G488" i="11"/>
  <c r="AF487" i="11"/>
  <c r="AC487" i="11"/>
  <c r="AB487" i="11"/>
  <c r="AD487" i="11" s="1"/>
  <c r="Q487" i="11"/>
  <c r="R487" i="11" s="1"/>
  <c r="V487" i="11" s="1"/>
  <c r="M487" i="11"/>
  <c r="L487" i="11"/>
  <c r="G487" i="11"/>
  <c r="AF486" i="11"/>
  <c r="AC486" i="11"/>
  <c r="AD486" i="11" s="1"/>
  <c r="AB486" i="11"/>
  <c r="R486" i="11"/>
  <c r="V486" i="11" s="1"/>
  <c r="Q486" i="11"/>
  <c r="M486" i="11"/>
  <c r="L486" i="11"/>
  <c r="G486" i="11"/>
  <c r="AF485" i="11"/>
  <c r="AC485" i="11"/>
  <c r="AB485" i="11"/>
  <c r="AD485" i="11" s="1"/>
  <c r="Q485" i="11"/>
  <c r="R485" i="11" s="1"/>
  <c r="V485" i="11" s="1"/>
  <c r="M485" i="11"/>
  <c r="L485" i="11"/>
  <c r="G485" i="11"/>
  <c r="AF484" i="11"/>
  <c r="AC484" i="11"/>
  <c r="AD484" i="11" s="1"/>
  <c r="AB484" i="11"/>
  <c r="R484" i="11"/>
  <c r="V484" i="11" s="1"/>
  <c r="Q484" i="11"/>
  <c r="M484" i="11"/>
  <c r="L484" i="11"/>
  <c r="G484" i="11"/>
  <c r="AF483" i="11"/>
  <c r="AC483" i="11"/>
  <c r="AB483" i="11"/>
  <c r="AD483" i="11" s="1"/>
  <c r="Q483" i="11"/>
  <c r="R483" i="11" s="1"/>
  <c r="V483" i="11" s="1"/>
  <c r="M483" i="11"/>
  <c r="L483" i="11"/>
  <c r="G483" i="11"/>
  <c r="AF482" i="11"/>
  <c r="AC482" i="11"/>
  <c r="AD482" i="11" s="1"/>
  <c r="AB482" i="11"/>
  <c r="R482" i="11"/>
  <c r="V482" i="11" s="1"/>
  <c r="Q482" i="11"/>
  <c r="M482" i="11"/>
  <c r="L482" i="11"/>
  <c r="G482" i="11"/>
  <c r="AF481" i="11"/>
  <c r="AC481" i="11"/>
  <c r="AB481" i="11"/>
  <c r="AD481" i="11" s="1"/>
  <c r="Q481" i="11"/>
  <c r="R481" i="11" s="1"/>
  <c r="V481" i="11" s="1"/>
  <c r="M481" i="11"/>
  <c r="L481" i="11"/>
  <c r="G481" i="11"/>
  <c r="AF480" i="11"/>
  <c r="AC480" i="11"/>
  <c r="AD480" i="11" s="1"/>
  <c r="AB480" i="11"/>
  <c r="R480" i="11"/>
  <c r="V480" i="11" s="1"/>
  <c r="Q480" i="11"/>
  <c r="M480" i="11"/>
  <c r="L480" i="11"/>
  <c r="G480" i="11"/>
  <c r="AF479" i="11"/>
  <c r="AC479" i="11"/>
  <c r="AB479" i="11"/>
  <c r="AD479" i="11" s="1"/>
  <c r="Q479" i="11"/>
  <c r="R479" i="11" s="1"/>
  <c r="V479" i="11" s="1"/>
  <c r="M479" i="11"/>
  <c r="L479" i="11"/>
  <c r="G479" i="11"/>
  <c r="AF478" i="11"/>
  <c r="AC478" i="11"/>
  <c r="AD478" i="11" s="1"/>
  <c r="AB478" i="11"/>
  <c r="R478" i="11"/>
  <c r="V478" i="11" s="1"/>
  <c r="Q478" i="11"/>
  <c r="M478" i="11"/>
  <c r="L478" i="11"/>
  <c r="G478" i="11"/>
  <c r="AF477" i="11"/>
  <c r="AC477" i="11"/>
  <c r="AB477" i="11"/>
  <c r="AD477" i="11" s="1"/>
  <c r="Q477" i="11"/>
  <c r="R477" i="11" s="1"/>
  <c r="V477" i="11" s="1"/>
  <c r="M477" i="11"/>
  <c r="L477" i="11"/>
  <c r="G477" i="11"/>
  <c r="AF476" i="11"/>
  <c r="AC476" i="11"/>
  <c r="AD476" i="11" s="1"/>
  <c r="AB476" i="11"/>
  <c r="R476" i="11"/>
  <c r="V476" i="11" s="1"/>
  <c r="Q476" i="11"/>
  <c r="M476" i="11"/>
  <c r="L476" i="11"/>
  <c r="G476" i="11"/>
  <c r="AF475" i="11"/>
  <c r="AC475" i="11"/>
  <c r="AB475" i="11"/>
  <c r="AD475" i="11" s="1"/>
  <c r="Q475" i="11"/>
  <c r="R475" i="11" s="1"/>
  <c r="V475" i="11" s="1"/>
  <c r="M475" i="11"/>
  <c r="L475" i="11"/>
  <c r="G475" i="11"/>
  <c r="AF474" i="11"/>
  <c r="AC474" i="11"/>
  <c r="AD474" i="11" s="1"/>
  <c r="AB474" i="11"/>
  <c r="R474" i="11"/>
  <c r="V474" i="11" s="1"/>
  <c r="Q474" i="11"/>
  <c r="M474" i="11"/>
  <c r="L474" i="11"/>
  <c r="G474" i="11"/>
  <c r="AF473" i="11"/>
  <c r="AC473" i="11"/>
  <c r="AB473" i="11"/>
  <c r="AD473" i="11" s="1"/>
  <c r="Q473" i="11"/>
  <c r="R473" i="11" s="1"/>
  <c r="V473" i="11" s="1"/>
  <c r="M473" i="11"/>
  <c r="L473" i="11"/>
  <c r="G473" i="11"/>
  <c r="AF472" i="11"/>
  <c r="AC472" i="11"/>
  <c r="AD472" i="11" s="1"/>
  <c r="AB472" i="11"/>
  <c r="R472" i="11"/>
  <c r="V472" i="11" s="1"/>
  <c r="Q472" i="11"/>
  <c r="M472" i="11"/>
  <c r="L472" i="11"/>
  <c r="G472" i="11"/>
  <c r="AF471" i="11"/>
  <c r="AC471" i="11"/>
  <c r="AB471" i="11"/>
  <c r="AD471" i="11" s="1"/>
  <c r="Q471" i="11"/>
  <c r="R471" i="11" s="1"/>
  <c r="V471" i="11" s="1"/>
  <c r="M471" i="11"/>
  <c r="L471" i="11"/>
  <c r="G471" i="11"/>
  <c r="AF470" i="11"/>
  <c r="AC470" i="11"/>
  <c r="AD470" i="11" s="1"/>
  <c r="AB470" i="11"/>
  <c r="R470" i="11"/>
  <c r="V470" i="11" s="1"/>
  <c r="Q470" i="11"/>
  <c r="M470" i="11"/>
  <c r="L470" i="11"/>
  <c r="G470" i="11"/>
  <c r="AF469" i="11"/>
  <c r="AC469" i="11"/>
  <c r="AB469" i="11"/>
  <c r="AD469" i="11" s="1"/>
  <c r="Q469" i="11"/>
  <c r="R469" i="11" s="1"/>
  <c r="V469" i="11" s="1"/>
  <c r="M469" i="11"/>
  <c r="L469" i="11"/>
  <c r="G469" i="11"/>
  <c r="AF468" i="11"/>
  <c r="AC468" i="11"/>
  <c r="AD468" i="11" s="1"/>
  <c r="AB468" i="11"/>
  <c r="R468" i="11"/>
  <c r="V468" i="11" s="1"/>
  <c r="Q468" i="11"/>
  <c r="M468" i="11"/>
  <c r="L468" i="11"/>
  <c r="G468" i="11"/>
  <c r="AF467" i="11"/>
  <c r="AC467" i="11"/>
  <c r="AB467" i="11"/>
  <c r="AD467" i="11" s="1"/>
  <c r="Q467" i="11"/>
  <c r="R467" i="11" s="1"/>
  <c r="V467" i="11" s="1"/>
  <c r="M467" i="11"/>
  <c r="L467" i="11"/>
  <c r="G467" i="11"/>
  <c r="AF466" i="11"/>
  <c r="AC466" i="11"/>
  <c r="AD466" i="11" s="1"/>
  <c r="AB466" i="11"/>
  <c r="R466" i="11"/>
  <c r="V466" i="11" s="1"/>
  <c r="Q466" i="11"/>
  <c r="M466" i="11"/>
  <c r="L466" i="11"/>
  <c r="G466" i="11"/>
  <c r="AF465" i="11"/>
  <c r="AC465" i="11"/>
  <c r="AB465" i="11"/>
  <c r="AD465" i="11" s="1"/>
  <c r="Q465" i="11"/>
  <c r="R465" i="11" s="1"/>
  <c r="V465" i="11" s="1"/>
  <c r="M465" i="11"/>
  <c r="L465" i="11"/>
  <c r="G465" i="11"/>
  <c r="AF464" i="11"/>
  <c r="AC464" i="11"/>
  <c r="AD464" i="11" s="1"/>
  <c r="AB464" i="11"/>
  <c r="R464" i="11"/>
  <c r="V464" i="11" s="1"/>
  <c r="Q464" i="11"/>
  <c r="M464" i="11"/>
  <c r="L464" i="11"/>
  <c r="G464" i="11"/>
  <c r="AF463" i="11"/>
  <c r="AC463" i="11"/>
  <c r="AB463" i="11"/>
  <c r="AD463" i="11" s="1"/>
  <c r="Q463" i="11"/>
  <c r="R463" i="11" s="1"/>
  <c r="V463" i="11" s="1"/>
  <c r="M463" i="11"/>
  <c r="L463" i="11"/>
  <c r="G463" i="11"/>
  <c r="AF462" i="11"/>
  <c r="AC462" i="11"/>
  <c r="AD462" i="11" s="1"/>
  <c r="AB462" i="11"/>
  <c r="R462" i="11"/>
  <c r="V462" i="11" s="1"/>
  <c r="Q462" i="11"/>
  <c r="M462" i="11"/>
  <c r="L462" i="11"/>
  <c r="G462" i="11"/>
  <c r="AF461" i="11"/>
  <c r="AC461" i="11"/>
  <c r="AB461" i="11"/>
  <c r="AD461" i="11" s="1"/>
  <c r="Q461" i="11"/>
  <c r="R461" i="11" s="1"/>
  <c r="V461" i="11" s="1"/>
  <c r="M461" i="11"/>
  <c r="L461" i="11"/>
  <c r="G461" i="11"/>
  <c r="AF460" i="11"/>
  <c r="AC460" i="11"/>
  <c r="AD460" i="11" s="1"/>
  <c r="AB460" i="11"/>
  <c r="R460" i="11"/>
  <c r="V460" i="11" s="1"/>
  <c r="Q460" i="11"/>
  <c r="M460" i="11"/>
  <c r="L460" i="11"/>
  <c r="G460" i="11"/>
  <c r="AF459" i="11"/>
  <c r="AC459" i="11"/>
  <c r="AB459" i="11"/>
  <c r="AD459" i="11" s="1"/>
  <c r="Q459" i="11"/>
  <c r="R459" i="11" s="1"/>
  <c r="V459" i="11" s="1"/>
  <c r="M459" i="11"/>
  <c r="L459" i="11"/>
  <c r="G459" i="11"/>
  <c r="AF458" i="11"/>
  <c r="AC458" i="11"/>
  <c r="AD458" i="11" s="1"/>
  <c r="AB458" i="11"/>
  <c r="R458" i="11"/>
  <c r="V458" i="11" s="1"/>
  <c r="Q458" i="11"/>
  <c r="M458" i="11"/>
  <c r="L458" i="11"/>
  <c r="G458" i="11"/>
  <c r="AF457" i="11"/>
  <c r="AC457" i="11"/>
  <c r="AB457" i="11"/>
  <c r="AD457" i="11" s="1"/>
  <c r="Q457" i="11"/>
  <c r="R457" i="11" s="1"/>
  <c r="V457" i="11" s="1"/>
  <c r="M457" i="11"/>
  <c r="L457" i="11"/>
  <c r="G457" i="11"/>
  <c r="AF456" i="11"/>
  <c r="AC456" i="11"/>
  <c r="AD456" i="11" s="1"/>
  <c r="AB456" i="11"/>
  <c r="R456" i="11"/>
  <c r="V456" i="11" s="1"/>
  <c r="Q456" i="11"/>
  <c r="M456" i="11"/>
  <c r="L456" i="11"/>
  <c r="G456" i="11"/>
  <c r="AF455" i="11"/>
  <c r="AC455" i="11"/>
  <c r="AB455" i="11"/>
  <c r="AD455" i="11" s="1"/>
  <c r="Q455" i="11"/>
  <c r="R455" i="11" s="1"/>
  <c r="V455" i="11" s="1"/>
  <c r="M455" i="11"/>
  <c r="L455" i="11"/>
  <c r="G455" i="11"/>
  <c r="AF454" i="11"/>
  <c r="AC454" i="11"/>
  <c r="AD454" i="11" s="1"/>
  <c r="AB454" i="11"/>
  <c r="R454" i="11"/>
  <c r="V454" i="11" s="1"/>
  <c r="Q454" i="11"/>
  <c r="M454" i="11"/>
  <c r="L454" i="11"/>
  <c r="G454" i="11"/>
  <c r="AF453" i="11"/>
  <c r="AC453" i="11"/>
  <c r="AB453" i="11"/>
  <c r="AD453" i="11" s="1"/>
  <c r="Q453" i="11"/>
  <c r="R453" i="11" s="1"/>
  <c r="V453" i="11" s="1"/>
  <c r="M453" i="11"/>
  <c r="L453" i="11"/>
  <c r="G453" i="11"/>
  <c r="AF452" i="11"/>
  <c r="AC452" i="11"/>
  <c r="AD452" i="11" s="1"/>
  <c r="AB452" i="11"/>
  <c r="R452" i="11"/>
  <c r="V452" i="11" s="1"/>
  <c r="Q452" i="11"/>
  <c r="M452" i="11"/>
  <c r="L452" i="11"/>
  <c r="G452" i="11"/>
  <c r="AF451" i="11"/>
  <c r="AC451" i="11"/>
  <c r="AB451" i="11"/>
  <c r="AD451" i="11" s="1"/>
  <c r="Q451" i="11"/>
  <c r="R451" i="11" s="1"/>
  <c r="V451" i="11" s="1"/>
  <c r="M451" i="11"/>
  <c r="L451" i="11"/>
  <c r="G451" i="11"/>
  <c r="AF450" i="11"/>
  <c r="AC450" i="11"/>
  <c r="AD450" i="11" s="1"/>
  <c r="AB450" i="11"/>
  <c r="R450" i="11"/>
  <c r="V450" i="11" s="1"/>
  <c r="Q450" i="11"/>
  <c r="M450" i="11"/>
  <c r="L450" i="11"/>
  <c r="G450" i="11"/>
  <c r="AF449" i="11"/>
  <c r="AC449" i="11"/>
  <c r="AB449" i="11"/>
  <c r="AD449" i="11" s="1"/>
  <c r="Q449" i="11"/>
  <c r="R449" i="11" s="1"/>
  <c r="V449" i="11" s="1"/>
  <c r="M449" i="11"/>
  <c r="L449" i="11"/>
  <c r="G449" i="11"/>
  <c r="AF448" i="11"/>
  <c r="AC448" i="11"/>
  <c r="AD448" i="11" s="1"/>
  <c r="AB448" i="11"/>
  <c r="R448" i="11"/>
  <c r="V448" i="11" s="1"/>
  <c r="Q448" i="11"/>
  <c r="M448" i="11"/>
  <c r="L448" i="11"/>
  <c r="G448" i="11"/>
  <c r="AF447" i="11"/>
  <c r="AC447" i="11"/>
  <c r="AB447" i="11"/>
  <c r="AD447" i="11" s="1"/>
  <c r="Q447" i="11"/>
  <c r="R447" i="11" s="1"/>
  <c r="V447" i="11" s="1"/>
  <c r="M447" i="11"/>
  <c r="L447" i="11"/>
  <c r="G447" i="11"/>
  <c r="AF446" i="11"/>
  <c r="AC446" i="11"/>
  <c r="AD446" i="11" s="1"/>
  <c r="AB446" i="11"/>
  <c r="R446" i="11"/>
  <c r="V446" i="11" s="1"/>
  <c r="Q446" i="11"/>
  <c r="M446" i="11"/>
  <c r="L446" i="11"/>
  <c r="G446" i="11"/>
  <c r="AF445" i="11"/>
  <c r="AC445" i="11"/>
  <c r="AB445" i="11"/>
  <c r="AD445" i="11" s="1"/>
  <c r="Q445" i="11"/>
  <c r="R445" i="11" s="1"/>
  <c r="V445" i="11" s="1"/>
  <c r="M445" i="11"/>
  <c r="L445" i="11"/>
  <c r="G445" i="11"/>
  <c r="AF444" i="11"/>
  <c r="AC444" i="11"/>
  <c r="AD444" i="11" s="1"/>
  <c r="AB444" i="11"/>
  <c r="R444" i="11"/>
  <c r="V444" i="11" s="1"/>
  <c r="Q444" i="11"/>
  <c r="M444" i="11"/>
  <c r="L444" i="11"/>
  <c r="G444" i="11"/>
  <c r="AF443" i="11"/>
  <c r="AC443" i="11"/>
  <c r="AB443" i="11"/>
  <c r="AD443" i="11" s="1"/>
  <c r="Q443" i="11"/>
  <c r="R443" i="11" s="1"/>
  <c r="V443" i="11" s="1"/>
  <c r="M443" i="11"/>
  <c r="L443" i="11"/>
  <c r="G443" i="11"/>
  <c r="AF442" i="11"/>
  <c r="AC442" i="11"/>
  <c r="AD442" i="11" s="1"/>
  <c r="AB442" i="11"/>
  <c r="R442" i="11"/>
  <c r="V442" i="11" s="1"/>
  <c r="Q442" i="11"/>
  <c r="M442" i="11"/>
  <c r="L442" i="11"/>
  <c r="G442" i="11"/>
  <c r="AF441" i="11"/>
  <c r="AC441" i="11"/>
  <c r="AB441" i="11"/>
  <c r="AD441" i="11" s="1"/>
  <c r="Q441" i="11"/>
  <c r="R441" i="11" s="1"/>
  <c r="V441" i="11" s="1"/>
  <c r="M441" i="11"/>
  <c r="L441" i="11"/>
  <c r="G441" i="11"/>
  <c r="AF440" i="11"/>
  <c r="AC440" i="11"/>
  <c r="AD440" i="11" s="1"/>
  <c r="AB440" i="11"/>
  <c r="R440" i="11"/>
  <c r="V440" i="11" s="1"/>
  <c r="Q440" i="11"/>
  <c r="M440" i="11"/>
  <c r="L440" i="11"/>
  <c r="G440" i="11"/>
  <c r="AF439" i="11"/>
  <c r="AC439" i="11"/>
  <c r="AB439" i="11"/>
  <c r="AD439" i="11" s="1"/>
  <c r="Q439" i="11"/>
  <c r="R439" i="11" s="1"/>
  <c r="V439" i="11" s="1"/>
  <c r="M439" i="11"/>
  <c r="L439" i="11"/>
  <c r="G439" i="11"/>
  <c r="AF438" i="11"/>
  <c r="AC438" i="11"/>
  <c r="AD438" i="11" s="1"/>
  <c r="AB438" i="11"/>
  <c r="R438" i="11"/>
  <c r="V438" i="11" s="1"/>
  <c r="Q438" i="11"/>
  <c r="M438" i="11"/>
  <c r="L438" i="11"/>
  <c r="G438" i="11"/>
  <c r="AF437" i="11"/>
  <c r="AC437" i="11"/>
  <c r="AB437" i="11"/>
  <c r="AD437" i="11" s="1"/>
  <c r="Q437" i="11"/>
  <c r="R437" i="11" s="1"/>
  <c r="V437" i="11" s="1"/>
  <c r="M437" i="11"/>
  <c r="L437" i="11"/>
  <c r="G437" i="11"/>
  <c r="AF436" i="11"/>
  <c r="AC436" i="11"/>
  <c r="AD436" i="11" s="1"/>
  <c r="AB436" i="11"/>
  <c r="R436" i="11"/>
  <c r="V436" i="11" s="1"/>
  <c r="Q436" i="11"/>
  <c r="M436" i="11"/>
  <c r="L436" i="11"/>
  <c r="G436" i="11"/>
  <c r="AF435" i="11"/>
  <c r="AC435" i="11"/>
  <c r="AB435" i="11"/>
  <c r="AD435" i="11" s="1"/>
  <c r="Q435" i="11"/>
  <c r="R435" i="11" s="1"/>
  <c r="V435" i="11" s="1"/>
  <c r="M435" i="11"/>
  <c r="L435" i="11"/>
  <c r="G435" i="11"/>
  <c r="AF434" i="11"/>
  <c r="AC434" i="11"/>
  <c r="AD434" i="11" s="1"/>
  <c r="AB434" i="11"/>
  <c r="R434" i="11"/>
  <c r="V434" i="11" s="1"/>
  <c r="Q434" i="11"/>
  <c r="M434" i="11"/>
  <c r="L434" i="11"/>
  <c r="G434" i="11"/>
  <c r="AF433" i="11"/>
  <c r="AC433" i="11"/>
  <c r="AB433" i="11"/>
  <c r="AD433" i="11" s="1"/>
  <c r="Q433" i="11"/>
  <c r="R433" i="11" s="1"/>
  <c r="V433" i="11" s="1"/>
  <c r="M433" i="11"/>
  <c r="L433" i="11"/>
  <c r="G433" i="11"/>
  <c r="AF432" i="11"/>
  <c r="AC432" i="11"/>
  <c r="AD432" i="11" s="1"/>
  <c r="AB432" i="11"/>
  <c r="R432" i="11"/>
  <c r="V432" i="11" s="1"/>
  <c r="Q432" i="11"/>
  <c r="M432" i="11"/>
  <c r="L432" i="11"/>
  <c r="G432" i="11"/>
  <c r="AF431" i="11"/>
  <c r="AC431" i="11"/>
  <c r="AB431" i="11"/>
  <c r="AD431" i="11" s="1"/>
  <c r="Q431" i="11"/>
  <c r="R431" i="11" s="1"/>
  <c r="V431" i="11" s="1"/>
  <c r="M431" i="11"/>
  <c r="L431" i="11"/>
  <c r="G431" i="11"/>
  <c r="AF430" i="11"/>
  <c r="AC430" i="11"/>
  <c r="AD430" i="11" s="1"/>
  <c r="AB430" i="11"/>
  <c r="R430" i="11"/>
  <c r="V430" i="11" s="1"/>
  <c r="Q430" i="11"/>
  <c r="M430" i="11"/>
  <c r="L430" i="11"/>
  <c r="G430" i="11"/>
  <c r="AF429" i="11"/>
  <c r="AC429" i="11"/>
  <c r="AB429" i="11"/>
  <c r="AD429" i="11" s="1"/>
  <c r="AA429" i="11"/>
  <c r="W429" i="11"/>
  <c r="Q429" i="11"/>
  <c r="R429" i="11" s="1"/>
  <c r="V429" i="11" s="1"/>
  <c r="M429" i="11"/>
  <c r="L429" i="11"/>
  <c r="G429" i="11"/>
  <c r="AF428" i="11"/>
  <c r="AC428" i="11"/>
  <c r="AD428" i="11" s="1"/>
  <c r="AB428" i="11"/>
  <c r="R428" i="11"/>
  <c r="V428" i="11" s="1"/>
  <c r="Y428" i="11" s="1"/>
  <c r="Q428" i="11"/>
  <c r="M428" i="11"/>
  <c r="L428" i="11"/>
  <c r="G428" i="11"/>
  <c r="AF427" i="11"/>
  <c r="AC427" i="11"/>
  <c r="AB427" i="11"/>
  <c r="AD427" i="11" s="1"/>
  <c r="Q427" i="11"/>
  <c r="R427" i="11" s="1"/>
  <c r="V427" i="11" s="1"/>
  <c r="M427" i="11"/>
  <c r="L427" i="11"/>
  <c r="G427" i="11"/>
  <c r="AF426" i="11"/>
  <c r="AC426" i="11"/>
  <c r="AD426" i="11" s="1"/>
  <c r="AB426" i="11"/>
  <c r="Y426" i="11"/>
  <c r="R426" i="11"/>
  <c r="V426" i="11" s="1"/>
  <c r="Q426" i="11"/>
  <c r="M426" i="11"/>
  <c r="L426" i="11"/>
  <c r="G426" i="11"/>
  <c r="AF425" i="11"/>
  <c r="AC425" i="11"/>
  <c r="AB425" i="11"/>
  <c r="AD425" i="11" s="1"/>
  <c r="Q425" i="11"/>
  <c r="R425" i="11" s="1"/>
  <c r="V425" i="11" s="1"/>
  <c r="AA425" i="11" s="1"/>
  <c r="M425" i="11"/>
  <c r="L425" i="11"/>
  <c r="G425" i="11"/>
  <c r="AF424" i="11"/>
  <c r="AC424" i="11"/>
  <c r="AD424" i="11" s="1"/>
  <c r="AB424" i="11"/>
  <c r="R424" i="11"/>
  <c r="V424" i="11" s="1"/>
  <c r="Q424" i="11"/>
  <c r="M424" i="11"/>
  <c r="L424" i="11"/>
  <c r="G424" i="11"/>
  <c r="AF423" i="11"/>
  <c r="AC423" i="11"/>
  <c r="AB423" i="11"/>
  <c r="AD423" i="11" s="1"/>
  <c r="AA423" i="11"/>
  <c r="Q423" i="11"/>
  <c r="R423" i="11" s="1"/>
  <c r="V423" i="11" s="1"/>
  <c r="W423" i="11" s="1"/>
  <c r="M423" i="11"/>
  <c r="L423" i="11"/>
  <c r="G423" i="11"/>
  <c r="AF422" i="11"/>
  <c r="AC422" i="11"/>
  <c r="AD422" i="11" s="1"/>
  <c r="AB422" i="11"/>
  <c r="R422" i="11"/>
  <c r="V422" i="11" s="1"/>
  <c r="Q422" i="11"/>
  <c r="M422" i="11"/>
  <c r="L422" i="11"/>
  <c r="G422" i="11"/>
  <c r="AF421" i="11"/>
  <c r="AC421" i="11"/>
  <c r="AB421" i="11"/>
  <c r="AD421" i="11" s="1"/>
  <c r="AA421" i="11"/>
  <c r="W421" i="11"/>
  <c r="Q421" i="11"/>
  <c r="R421" i="11" s="1"/>
  <c r="V421" i="11" s="1"/>
  <c r="M421" i="11"/>
  <c r="L421" i="11"/>
  <c r="G421" i="11"/>
  <c r="AF420" i="11"/>
  <c r="AC420" i="11"/>
  <c r="AD420" i="11" s="1"/>
  <c r="AB420" i="11"/>
  <c r="R420" i="11"/>
  <c r="V420" i="11" s="1"/>
  <c r="Y420" i="11" s="1"/>
  <c r="Q420" i="11"/>
  <c r="M420" i="11"/>
  <c r="L420" i="11"/>
  <c r="G420" i="11"/>
  <c r="AF419" i="11"/>
  <c r="AC419" i="11"/>
  <c r="AB419" i="11"/>
  <c r="AD419" i="11" s="1"/>
  <c r="Q419" i="11"/>
  <c r="R419" i="11" s="1"/>
  <c r="V419" i="11" s="1"/>
  <c r="M419" i="11"/>
  <c r="L419" i="11"/>
  <c r="G419" i="11"/>
  <c r="AF418" i="11"/>
  <c r="AC418" i="11"/>
  <c r="AD418" i="11" s="1"/>
  <c r="AB418" i="11"/>
  <c r="Y418" i="11"/>
  <c r="R418" i="11"/>
  <c r="V418" i="11" s="1"/>
  <c r="Q418" i="11"/>
  <c r="M418" i="11"/>
  <c r="L418" i="11"/>
  <c r="G418" i="11"/>
  <c r="AF417" i="11"/>
  <c r="AC417" i="11"/>
  <c r="AB417" i="11"/>
  <c r="AD417" i="11" s="1"/>
  <c r="Q417" i="11"/>
  <c r="R417" i="11" s="1"/>
  <c r="V417" i="11" s="1"/>
  <c r="AA417" i="11" s="1"/>
  <c r="M417" i="11"/>
  <c r="L417" i="11"/>
  <c r="G417" i="11"/>
  <c r="AF416" i="11"/>
  <c r="AC416" i="11"/>
  <c r="AD416" i="11" s="1"/>
  <c r="AB416" i="11"/>
  <c r="R416" i="11"/>
  <c r="V416" i="11" s="1"/>
  <c r="Q416" i="11"/>
  <c r="M416" i="11"/>
  <c r="L416" i="11"/>
  <c r="G416" i="11"/>
  <c r="AF415" i="11"/>
  <c r="AC415" i="11"/>
  <c r="AB415" i="11"/>
  <c r="AD415" i="11" s="1"/>
  <c r="AA415" i="11"/>
  <c r="Q415" i="11"/>
  <c r="R415" i="11" s="1"/>
  <c r="V415" i="11" s="1"/>
  <c r="W415" i="11" s="1"/>
  <c r="M415" i="11"/>
  <c r="L415" i="11"/>
  <c r="G415" i="11"/>
  <c r="AF414" i="11"/>
  <c r="AC414" i="11"/>
  <c r="AD414" i="11" s="1"/>
  <c r="AB414" i="11"/>
  <c r="R414" i="11"/>
  <c r="V414" i="11" s="1"/>
  <c r="Q414" i="11"/>
  <c r="M414" i="11"/>
  <c r="L414" i="11"/>
  <c r="G414" i="11"/>
  <c r="AF413" i="11"/>
  <c r="AC413" i="11"/>
  <c r="AB413" i="11"/>
  <c r="AD413" i="11" s="1"/>
  <c r="AA413" i="11"/>
  <c r="W413" i="11"/>
  <c r="Q413" i="11"/>
  <c r="R413" i="11" s="1"/>
  <c r="V413" i="11" s="1"/>
  <c r="M413" i="11"/>
  <c r="L413" i="11"/>
  <c r="G413" i="11"/>
  <c r="AF412" i="11"/>
  <c r="AC412" i="11"/>
  <c r="AD412" i="11" s="1"/>
  <c r="AB412" i="11"/>
  <c r="R412" i="11"/>
  <c r="V412" i="11" s="1"/>
  <c r="Y412" i="11" s="1"/>
  <c r="Q412" i="11"/>
  <c r="M412" i="11"/>
  <c r="L412" i="11"/>
  <c r="G412" i="11"/>
  <c r="AF411" i="11"/>
  <c r="AC411" i="11"/>
  <c r="AB411" i="11"/>
  <c r="AD411" i="11" s="1"/>
  <c r="Q411" i="11"/>
  <c r="R411" i="11" s="1"/>
  <c r="V411" i="11" s="1"/>
  <c r="M411" i="11"/>
  <c r="L411" i="11"/>
  <c r="G411" i="11"/>
  <c r="AF410" i="11"/>
  <c r="AC410" i="11"/>
  <c r="AD410" i="11" s="1"/>
  <c r="AB410" i="11"/>
  <c r="Y410" i="11"/>
  <c r="R410" i="11"/>
  <c r="V410" i="11" s="1"/>
  <c r="Q410" i="11"/>
  <c r="M410" i="11"/>
  <c r="L410" i="11"/>
  <c r="G410" i="11"/>
  <c r="AF409" i="11"/>
  <c r="AC409" i="11"/>
  <c r="AB409" i="11"/>
  <c r="AD409" i="11" s="1"/>
  <c r="Q409" i="11"/>
  <c r="R409" i="11" s="1"/>
  <c r="V409" i="11" s="1"/>
  <c r="AA409" i="11" s="1"/>
  <c r="M409" i="11"/>
  <c r="L409" i="11"/>
  <c r="G409" i="11"/>
  <c r="AF408" i="11"/>
  <c r="AC408" i="11"/>
  <c r="AD408" i="11" s="1"/>
  <c r="AB408" i="11"/>
  <c r="R408" i="11"/>
  <c r="V408" i="11" s="1"/>
  <c r="Q408" i="11"/>
  <c r="M408" i="11"/>
  <c r="L408" i="11"/>
  <c r="G408" i="11"/>
  <c r="AF407" i="11"/>
  <c r="AC407" i="11"/>
  <c r="AB407" i="11"/>
  <c r="AD407" i="11" s="1"/>
  <c r="AA407" i="11"/>
  <c r="Q407" i="11"/>
  <c r="R407" i="11" s="1"/>
  <c r="V407" i="11" s="1"/>
  <c r="W407" i="11" s="1"/>
  <c r="M407" i="11"/>
  <c r="L407" i="11"/>
  <c r="G407" i="11"/>
  <c r="AF406" i="11"/>
  <c r="AC406" i="11"/>
  <c r="AD406" i="11" s="1"/>
  <c r="AB406" i="11"/>
  <c r="R406" i="11"/>
  <c r="V406" i="11" s="1"/>
  <c r="Q406" i="11"/>
  <c r="M406" i="11"/>
  <c r="L406" i="11"/>
  <c r="G406" i="11"/>
  <c r="AF405" i="11"/>
  <c r="AC405" i="11"/>
  <c r="AB405" i="11"/>
  <c r="AD405" i="11" s="1"/>
  <c r="AA405" i="11"/>
  <c r="W405" i="11"/>
  <c r="Q405" i="11"/>
  <c r="R405" i="11" s="1"/>
  <c r="V405" i="11" s="1"/>
  <c r="M405" i="11"/>
  <c r="L405" i="11"/>
  <c r="G405" i="11"/>
  <c r="AF404" i="11"/>
  <c r="AC404" i="11"/>
  <c r="AD404" i="11" s="1"/>
  <c r="AB404" i="11"/>
  <c r="R404" i="11"/>
  <c r="V404" i="11" s="1"/>
  <c r="Y404" i="11" s="1"/>
  <c r="Q404" i="11"/>
  <c r="M404" i="11"/>
  <c r="L404" i="11"/>
  <c r="G404" i="11"/>
  <c r="AF403" i="11"/>
  <c r="AC403" i="11"/>
  <c r="AB403" i="11"/>
  <c r="AD403" i="11" s="1"/>
  <c r="Q403" i="11"/>
  <c r="R403" i="11" s="1"/>
  <c r="V403" i="11" s="1"/>
  <c r="M403" i="11"/>
  <c r="L403" i="11"/>
  <c r="G403" i="11"/>
  <c r="AF402" i="11"/>
  <c r="AC402" i="11"/>
  <c r="AB402" i="11"/>
  <c r="R402" i="11"/>
  <c r="Q402" i="11"/>
  <c r="Q499" i="11" s="1"/>
  <c r="M402" i="11"/>
  <c r="L402" i="11"/>
  <c r="L499" i="11" s="1"/>
  <c r="G402" i="11"/>
  <c r="J399" i="11"/>
  <c r="U398" i="11"/>
  <c r="T398" i="11"/>
  <c r="S398" i="11"/>
  <c r="P398" i="11"/>
  <c r="O398" i="11"/>
  <c r="J398" i="11"/>
  <c r="I398" i="11"/>
  <c r="AF397" i="11"/>
  <c r="R397" i="11"/>
  <c r="V397" i="11" s="1"/>
  <c r="AF396" i="11"/>
  <c r="Y396" i="11"/>
  <c r="X396" i="11"/>
  <c r="R396" i="11"/>
  <c r="V396" i="11" s="1"/>
  <c r="AF395" i="11"/>
  <c r="AD395" i="11"/>
  <c r="AC395" i="11"/>
  <c r="AB395" i="11"/>
  <c r="N395" i="11"/>
  <c r="Q395" i="11" s="1"/>
  <c r="R395" i="11" s="1"/>
  <c r="V395" i="11" s="1"/>
  <c r="M395" i="11"/>
  <c r="L395" i="11"/>
  <c r="G395" i="11"/>
  <c r="AF394" i="11"/>
  <c r="AC394" i="11"/>
  <c r="AD394" i="11" s="1"/>
  <c r="AB394" i="11"/>
  <c r="R394" i="11"/>
  <c r="V394" i="11" s="1"/>
  <c r="N394" i="11"/>
  <c r="Q394" i="11" s="1"/>
  <c r="M394" i="11"/>
  <c r="L394" i="11"/>
  <c r="G394" i="11"/>
  <c r="AF393" i="11"/>
  <c r="AC393" i="11"/>
  <c r="AB393" i="11"/>
  <c r="M393" i="11"/>
  <c r="L393" i="11"/>
  <c r="G393" i="11"/>
  <c r="N393" i="11" s="1"/>
  <c r="N398" i="11" s="1"/>
  <c r="AF392" i="11"/>
  <c r="AC392" i="11"/>
  <c r="AB392" i="11"/>
  <c r="AD392" i="11" s="1"/>
  <c r="Q392" i="11"/>
  <c r="R392" i="11" s="1"/>
  <c r="V392" i="11" s="1"/>
  <c r="AA392" i="11" s="1"/>
  <c r="M392" i="11"/>
  <c r="L392" i="11"/>
  <c r="G392" i="11"/>
  <c r="AF391" i="11"/>
  <c r="AC391" i="11"/>
  <c r="AD391" i="11" s="1"/>
  <c r="AB391" i="11"/>
  <c r="V391" i="11"/>
  <c r="R391" i="11"/>
  <c r="Q391" i="11"/>
  <c r="M391" i="11"/>
  <c r="L391" i="11"/>
  <c r="G391" i="11"/>
  <c r="AF390" i="11"/>
  <c r="AC390" i="11"/>
  <c r="AB390" i="11"/>
  <c r="AD390" i="11" s="1"/>
  <c r="AA390" i="11"/>
  <c r="X390" i="11"/>
  <c r="W390" i="11"/>
  <c r="Q390" i="11"/>
  <c r="R390" i="11" s="1"/>
  <c r="V390" i="11" s="1"/>
  <c r="M390" i="11"/>
  <c r="L390" i="11"/>
  <c r="G390" i="11"/>
  <c r="AF389" i="11"/>
  <c r="AD389" i="11"/>
  <c r="AC389" i="11"/>
  <c r="AB389" i="11"/>
  <c r="R389" i="11"/>
  <c r="V389" i="11" s="1"/>
  <c r="Q389" i="11"/>
  <c r="M389" i="11"/>
  <c r="L389" i="11"/>
  <c r="G389" i="11"/>
  <c r="AF388" i="11"/>
  <c r="AC388" i="11"/>
  <c r="AB388" i="11"/>
  <c r="AD388" i="11" s="1"/>
  <c r="AA388" i="11"/>
  <c r="X388" i="11"/>
  <c r="Q388" i="11"/>
  <c r="R388" i="11" s="1"/>
  <c r="V388" i="11" s="1"/>
  <c r="W388" i="11" s="1"/>
  <c r="M388" i="11"/>
  <c r="L388" i="11"/>
  <c r="G388" i="11"/>
  <c r="AF387" i="11"/>
  <c r="AC387" i="11"/>
  <c r="AD387" i="11" s="1"/>
  <c r="AB387" i="11"/>
  <c r="R387" i="11"/>
  <c r="V387" i="11" s="1"/>
  <c r="Q387" i="11"/>
  <c r="M387" i="11"/>
  <c r="L387" i="11"/>
  <c r="G387" i="11"/>
  <c r="AF386" i="11"/>
  <c r="AC386" i="11"/>
  <c r="AB386" i="11"/>
  <c r="AD386" i="11" s="1"/>
  <c r="AA386" i="11"/>
  <c r="Q386" i="11"/>
  <c r="R386" i="11" s="1"/>
  <c r="V386" i="11" s="1"/>
  <c r="X386" i="11" s="1"/>
  <c r="M386" i="11"/>
  <c r="L386" i="11"/>
  <c r="G386" i="11"/>
  <c r="AF385" i="11"/>
  <c r="AC385" i="11"/>
  <c r="AD385" i="11" s="1"/>
  <c r="AB385" i="11"/>
  <c r="R385" i="11"/>
  <c r="V385" i="11" s="1"/>
  <c r="Q385" i="11"/>
  <c r="M385" i="11"/>
  <c r="L385" i="11"/>
  <c r="G385" i="11"/>
  <c r="AF384" i="11"/>
  <c r="AC384" i="11"/>
  <c r="AB384" i="11"/>
  <c r="AD384" i="11" s="1"/>
  <c r="Q384" i="11"/>
  <c r="R384" i="11" s="1"/>
  <c r="V384" i="11" s="1"/>
  <c r="AA384" i="11" s="1"/>
  <c r="M384" i="11"/>
  <c r="L384" i="11"/>
  <c r="G384" i="11"/>
  <c r="AF383" i="11"/>
  <c r="AC383" i="11"/>
  <c r="AD383" i="11" s="1"/>
  <c r="AB383" i="11"/>
  <c r="V383" i="11"/>
  <c r="R383" i="11"/>
  <c r="Q383" i="11"/>
  <c r="M383" i="11"/>
  <c r="L383" i="11"/>
  <c r="G383" i="11"/>
  <c r="AF382" i="11"/>
  <c r="AC382" i="11"/>
  <c r="AB382" i="11"/>
  <c r="AD382" i="11" s="1"/>
  <c r="AA382" i="11"/>
  <c r="X382" i="11"/>
  <c r="W382" i="11"/>
  <c r="Q382" i="11"/>
  <c r="R382" i="11" s="1"/>
  <c r="V382" i="11" s="1"/>
  <c r="M382" i="11"/>
  <c r="L382" i="11"/>
  <c r="G382" i="11"/>
  <c r="AF381" i="11"/>
  <c r="AD381" i="11"/>
  <c r="AC381" i="11"/>
  <c r="AB381" i="11"/>
  <c r="R381" i="11"/>
  <c r="V381" i="11" s="1"/>
  <c r="Q381" i="11"/>
  <c r="M381" i="11"/>
  <c r="L381" i="11"/>
  <c r="G381" i="11"/>
  <c r="AF380" i="11"/>
  <c r="AC380" i="11"/>
  <c r="AB380" i="11"/>
  <c r="AD380" i="11" s="1"/>
  <c r="AA380" i="11"/>
  <c r="X380" i="11"/>
  <c r="Q380" i="11"/>
  <c r="R380" i="11" s="1"/>
  <c r="V380" i="11" s="1"/>
  <c r="W380" i="11" s="1"/>
  <c r="M380" i="11"/>
  <c r="L380" i="11"/>
  <c r="G380" i="11"/>
  <c r="AF379" i="11"/>
  <c r="AC379" i="11"/>
  <c r="AD379" i="11" s="1"/>
  <c r="AB379" i="11"/>
  <c r="R379" i="11"/>
  <c r="V379" i="11" s="1"/>
  <c r="Q379" i="11"/>
  <c r="M379" i="11"/>
  <c r="L379" i="11"/>
  <c r="G379" i="11"/>
  <c r="AF378" i="11"/>
  <c r="AC378" i="11"/>
  <c r="AB378" i="11"/>
  <c r="AD378" i="11" s="1"/>
  <c r="AA378" i="11"/>
  <c r="Q378" i="11"/>
  <c r="R378" i="11" s="1"/>
  <c r="V378" i="11" s="1"/>
  <c r="X378" i="11" s="1"/>
  <c r="M378" i="11"/>
  <c r="L378" i="11"/>
  <c r="G378" i="11"/>
  <c r="AF377" i="11"/>
  <c r="AC377" i="11"/>
  <c r="AD377" i="11" s="1"/>
  <c r="AB377" i="11"/>
  <c r="R377" i="11"/>
  <c r="V377" i="11" s="1"/>
  <c r="Q377" i="11"/>
  <c r="M377" i="11"/>
  <c r="L377" i="11"/>
  <c r="G377" i="11"/>
  <c r="AF376" i="11"/>
  <c r="AC376" i="11"/>
  <c r="AB376" i="11"/>
  <c r="AD376" i="11" s="1"/>
  <c r="Q376" i="11"/>
  <c r="R376" i="11" s="1"/>
  <c r="V376" i="11" s="1"/>
  <c r="AA376" i="11" s="1"/>
  <c r="M376" i="11"/>
  <c r="L376" i="11"/>
  <c r="G376" i="11"/>
  <c r="AF375" i="11"/>
  <c r="AC375" i="11"/>
  <c r="AD375" i="11" s="1"/>
  <c r="AB375" i="11"/>
  <c r="V375" i="11"/>
  <c r="R375" i="11"/>
  <c r="Q375" i="11"/>
  <c r="M375" i="11"/>
  <c r="L375" i="11"/>
  <c r="G375" i="11"/>
  <c r="AF374" i="11"/>
  <c r="AC374" i="11"/>
  <c r="AB374" i="11"/>
  <c r="Q374" i="11"/>
  <c r="R374" i="11" s="1"/>
  <c r="V374" i="11" s="1"/>
  <c r="M374" i="11"/>
  <c r="L374" i="11"/>
  <c r="G374" i="11"/>
  <c r="AF373" i="11"/>
  <c r="AC373" i="11"/>
  <c r="AD373" i="11" s="1"/>
  <c r="AB373" i="11"/>
  <c r="R373" i="11"/>
  <c r="V373" i="11" s="1"/>
  <c r="Q373" i="11"/>
  <c r="M373" i="11"/>
  <c r="L373" i="11"/>
  <c r="G373" i="11"/>
  <c r="AF372" i="11"/>
  <c r="AC372" i="11"/>
  <c r="AB372" i="11"/>
  <c r="AD372" i="11" s="1"/>
  <c r="R372" i="11"/>
  <c r="V372" i="11" s="1"/>
  <c r="Z372" i="11" s="1"/>
  <c r="Q372" i="11"/>
  <c r="M372" i="11"/>
  <c r="L372" i="11"/>
  <c r="G372" i="11"/>
  <c r="AF371" i="11"/>
  <c r="AD371" i="11"/>
  <c r="AC371" i="11"/>
  <c r="AB371" i="11"/>
  <c r="R371" i="11"/>
  <c r="V371" i="11" s="1"/>
  <c r="Q371" i="11"/>
  <c r="M371" i="11"/>
  <c r="L371" i="11"/>
  <c r="G371" i="11"/>
  <c r="AF370" i="11"/>
  <c r="AC370" i="11"/>
  <c r="AB370" i="11"/>
  <c r="Q370" i="11"/>
  <c r="R370" i="11" s="1"/>
  <c r="V370" i="11" s="1"/>
  <c r="M370" i="11"/>
  <c r="L370" i="11"/>
  <c r="G370" i="11"/>
  <c r="AF369" i="11"/>
  <c r="AC369" i="11"/>
  <c r="AD369" i="11" s="1"/>
  <c r="AB369" i="11"/>
  <c r="R369" i="11"/>
  <c r="V369" i="11" s="1"/>
  <c r="Q369" i="11"/>
  <c r="M369" i="11"/>
  <c r="L369" i="11"/>
  <c r="G369" i="11"/>
  <c r="AF368" i="11"/>
  <c r="AC368" i="11"/>
  <c r="AB368" i="11"/>
  <c r="AD368" i="11" s="1"/>
  <c r="R368" i="11"/>
  <c r="V368" i="11" s="1"/>
  <c r="Z368" i="11" s="1"/>
  <c r="Q368" i="11"/>
  <c r="M368" i="11"/>
  <c r="L368" i="11"/>
  <c r="G368" i="11"/>
  <c r="AF367" i="11"/>
  <c r="AD367" i="11"/>
  <c r="AC367" i="11"/>
  <c r="AB367" i="11"/>
  <c r="R367" i="11"/>
  <c r="V367" i="11" s="1"/>
  <c r="Q367" i="11"/>
  <c r="M367" i="11"/>
  <c r="L367" i="11"/>
  <c r="G367" i="11"/>
  <c r="AF366" i="11"/>
  <c r="AC366" i="11"/>
  <c r="AB366" i="11"/>
  <c r="Q366" i="11"/>
  <c r="R366" i="11" s="1"/>
  <c r="V366" i="11" s="1"/>
  <c r="M366" i="11"/>
  <c r="L366" i="11"/>
  <c r="G366" i="11"/>
  <c r="AF365" i="11"/>
  <c r="AC365" i="11"/>
  <c r="AD365" i="11" s="1"/>
  <c r="AB365" i="11"/>
  <c r="R365" i="11"/>
  <c r="V365" i="11" s="1"/>
  <c r="Q365" i="11"/>
  <c r="M365" i="11"/>
  <c r="L365" i="11"/>
  <c r="G365" i="11"/>
  <c r="AF364" i="11"/>
  <c r="AC364" i="11"/>
  <c r="AB364" i="11"/>
  <c r="AD364" i="11" s="1"/>
  <c r="R364" i="11"/>
  <c r="V364" i="11" s="1"/>
  <c r="Z364" i="11" s="1"/>
  <c r="Q364" i="11"/>
  <c r="M364" i="11"/>
  <c r="L364" i="11"/>
  <c r="G364" i="11"/>
  <c r="AF363" i="11"/>
  <c r="AD363" i="11"/>
  <c r="AC363" i="11"/>
  <c r="AB363" i="11"/>
  <c r="R363" i="11"/>
  <c r="V363" i="11" s="1"/>
  <c r="Q363" i="11"/>
  <c r="M363" i="11"/>
  <c r="L363" i="11"/>
  <c r="G363" i="11"/>
  <c r="AF362" i="11"/>
  <c r="AC362" i="11"/>
  <c r="AB362" i="11"/>
  <c r="Q362" i="11"/>
  <c r="R362" i="11" s="1"/>
  <c r="V362" i="11" s="1"/>
  <c r="M362" i="11"/>
  <c r="L362" i="11"/>
  <c r="G362" i="11"/>
  <c r="AF361" i="11"/>
  <c r="AC361" i="11"/>
  <c r="AD361" i="11" s="1"/>
  <c r="AB361" i="11"/>
  <c r="R361" i="11"/>
  <c r="V361" i="11" s="1"/>
  <c r="Q361" i="11"/>
  <c r="M361" i="11"/>
  <c r="L361" i="11"/>
  <c r="G361" i="11"/>
  <c r="AF360" i="11"/>
  <c r="AC360" i="11"/>
  <c r="AB360" i="11"/>
  <c r="AD360" i="11" s="1"/>
  <c r="R360" i="11"/>
  <c r="V360" i="11" s="1"/>
  <c r="Z360" i="11" s="1"/>
  <c r="Q360" i="11"/>
  <c r="M360" i="11"/>
  <c r="L360" i="11"/>
  <c r="G360" i="11"/>
  <c r="AF359" i="11"/>
  <c r="AD359" i="11"/>
  <c r="AC359" i="11"/>
  <c r="AB359" i="11"/>
  <c r="R359" i="11"/>
  <c r="V359" i="11" s="1"/>
  <c r="Q359" i="11"/>
  <c r="M359" i="11"/>
  <c r="L359" i="11"/>
  <c r="G359" i="11"/>
  <c r="AF358" i="11"/>
  <c r="AC358" i="11"/>
  <c r="AB358" i="11"/>
  <c r="Q358" i="11"/>
  <c r="R358" i="11" s="1"/>
  <c r="V358" i="11" s="1"/>
  <c r="M358" i="11"/>
  <c r="L358" i="11"/>
  <c r="G358" i="11"/>
  <c r="AF357" i="11"/>
  <c r="AC357" i="11"/>
  <c r="AD357" i="11" s="1"/>
  <c r="AB357" i="11"/>
  <c r="R357" i="11"/>
  <c r="V357" i="11" s="1"/>
  <c r="Q357" i="11"/>
  <c r="M357" i="11"/>
  <c r="L357" i="11"/>
  <c r="G357" i="11"/>
  <c r="AF356" i="11"/>
  <c r="AC356" i="11"/>
  <c r="AB356" i="11"/>
  <c r="AD356" i="11" s="1"/>
  <c r="R356" i="11"/>
  <c r="V356" i="11" s="1"/>
  <c r="Z356" i="11" s="1"/>
  <c r="Q356" i="11"/>
  <c r="M356" i="11"/>
  <c r="L356" i="11"/>
  <c r="G356" i="11"/>
  <c r="AF355" i="11"/>
  <c r="AD355" i="11"/>
  <c r="AC355" i="11"/>
  <c r="AB355" i="11"/>
  <c r="R355" i="11"/>
  <c r="V355" i="11" s="1"/>
  <c r="Q355" i="11"/>
  <c r="M355" i="11"/>
  <c r="L355" i="11"/>
  <c r="G355" i="11"/>
  <c r="AF354" i="11"/>
  <c r="AC354" i="11"/>
  <c r="AB354" i="11"/>
  <c r="Q354" i="11"/>
  <c r="R354" i="11" s="1"/>
  <c r="V354" i="11" s="1"/>
  <c r="M354" i="11"/>
  <c r="L354" i="11"/>
  <c r="G354" i="11"/>
  <c r="AF353" i="11"/>
  <c r="AC353" i="11"/>
  <c r="AD353" i="11" s="1"/>
  <c r="AB353" i="11"/>
  <c r="R353" i="11"/>
  <c r="V353" i="11" s="1"/>
  <c r="Q353" i="11"/>
  <c r="M353" i="11"/>
  <c r="L353" i="11"/>
  <c r="G353" i="11"/>
  <c r="AF352" i="11"/>
  <c r="AC352" i="11"/>
  <c r="AB352" i="11"/>
  <c r="AD352" i="11" s="1"/>
  <c r="R352" i="11"/>
  <c r="V352" i="11" s="1"/>
  <c r="Z352" i="11" s="1"/>
  <c r="Q352" i="11"/>
  <c r="M352" i="11"/>
  <c r="L352" i="11"/>
  <c r="G352" i="11"/>
  <c r="AF351" i="11"/>
  <c r="AD351" i="11"/>
  <c r="AC351" i="11"/>
  <c r="AB351" i="11"/>
  <c r="R351" i="11"/>
  <c r="V351" i="11" s="1"/>
  <c r="Q351" i="11"/>
  <c r="M351" i="11"/>
  <c r="L351" i="11"/>
  <c r="G351" i="11"/>
  <c r="AF350" i="11"/>
  <c r="AC350" i="11"/>
  <c r="AB350" i="11"/>
  <c r="Q350" i="11"/>
  <c r="R350" i="11" s="1"/>
  <c r="V350" i="11" s="1"/>
  <c r="M350" i="11"/>
  <c r="L350" i="11"/>
  <c r="G350" i="11"/>
  <c r="AF349" i="11"/>
  <c r="AC349" i="11"/>
  <c r="AD349" i="11" s="1"/>
  <c r="AB349" i="11"/>
  <c r="R349" i="11"/>
  <c r="V349" i="11" s="1"/>
  <c r="Q349" i="11"/>
  <c r="M349" i="11"/>
  <c r="L349" i="11"/>
  <c r="G349" i="11"/>
  <c r="AF348" i="11"/>
  <c r="AC348" i="11"/>
  <c r="AB348" i="11"/>
  <c r="AD348" i="11" s="1"/>
  <c r="R348" i="11"/>
  <c r="V348" i="11" s="1"/>
  <c r="Z348" i="11" s="1"/>
  <c r="Q348" i="11"/>
  <c r="M348" i="11"/>
  <c r="L348" i="11"/>
  <c r="G348" i="11"/>
  <c r="AF347" i="11"/>
  <c r="AC347" i="11"/>
  <c r="AB347" i="11"/>
  <c r="AD347" i="11" s="1"/>
  <c r="Q347" i="11"/>
  <c r="R347" i="11" s="1"/>
  <c r="V347" i="11" s="1"/>
  <c r="M347" i="11"/>
  <c r="L347" i="11"/>
  <c r="G347" i="11"/>
  <c r="AF346" i="11"/>
  <c r="AC346" i="11"/>
  <c r="AD346" i="11" s="1"/>
  <c r="AB346" i="11"/>
  <c r="R346" i="11"/>
  <c r="V346" i="11" s="1"/>
  <c r="Q346" i="11"/>
  <c r="M346" i="11"/>
  <c r="L346" i="11"/>
  <c r="G346" i="11"/>
  <c r="AF345" i="11"/>
  <c r="AC345" i="11"/>
  <c r="AB345" i="11"/>
  <c r="AD345" i="11" s="1"/>
  <c r="Q345" i="11"/>
  <c r="R345" i="11" s="1"/>
  <c r="V345" i="11" s="1"/>
  <c r="M345" i="11"/>
  <c r="L345" i="11"/>
  <c r="G345" i="11"/>
  <c r="AF344" i="11"/>
  <c r="AC344" i="11"/>
  <c r="AD344" i="11" s="1"/>
  <c r="AB344" i="11"/>
  <c r="R344" i="11"/>
  <c r="V344" i="11" s="1"/>
  <c r="Q344" i="11"/>
  <c r="M344" i="11"/>
  <c r="L344" i="11"/>
  <c r="G344" i="11"/>
  <c r="AF343" i="11"/>
  <c r="AC343" i="11"/>
  <c r="AB343" i="11"/>
  <c r="AD343" i="11" s="1"/>
  <c r="Q343" i="11"/>
  <c r="R343" i="11" s="1"/>
  <c r="V343" i="11" s="1"/>
  <c r="M343" i="11"/>
  <c r="L343" i="11"/>
  <c r="G343" i="11"/>
  <c r="AF342" i="11"/>
  <c r="AC342" i="11"/>
  <c r="AD342" i="11" s="1"/>
  <c r="AB342" i="11"/>
  <c r="R342" i="11"/>
  <c r="V342" i="11" s="1"/>
  <c r="Q342" i="11"/>
  <c r="M342" i="11"/>
  <c r="L342" i="11"/>
  <c r="G342" i="11"/>
  <c r="AF341" i="11"/>
  <c r="AC341" i="11"/>
  <c r="AB341" i="11"/>
  <c r="AD341" i="11" s="1"/>
  <c r="Q341" i="11"/>
  <c r="R341" i="11" s="1"/>
  <c r="V341" i="11" s="1"/>
  <c r="M341" i="11"/>
  <c r="L341" i="11"/>
  <c r="G341" i="11"/>
  <c r="AF340" i="11"/>
  <c r="AC340" i="11"/>
  <c r="AD340" i="11" s="1"/>
  <c r="AB340" i="11"/>
  <c r="R340" i="11"/>
  <c r="V340" i="11" s="1"/>
  <c r="Q340" i="11"/>
  <c r="M340" i="11"/>
  <c r="L340" i="11"/>
  <c r="G340" i="11"/>
  <c r="AF339" i="11"/>
  <c r="AC339" i="11"/>
  <c r="AB339" i="11"/>
  <c r="AD339" i="11" s="1"/>
  <c r="Q339" i="11"/>
  <c r="R339" i="11" s="1"/>
  <c r="V339" i="11" s="1"/>
  <c r="M339" i="11"/>
  <c r="L339" i="11"/>
  <c r="G339" i="11"/>
  <c r="AF338" i="11"/>
  <c r="AC338" i="11"/>
  <c r="AD338" i="11" s="1"/>
  <c r="AB338" i="11"/>
  <c r="R338" i="11"/>
  <c r="V338" i="11" s="1"/>
  <c r="Q338" i="11"/>
  <c r="M338" i="11"/>
  <c r="L338" i="11"/>
  <c r="G338" i="11"/>
  <c r="AF337" i="11"/>
  <c r="AC337" i="11"/>
  <c r="AB337" i="11"/>
  <c r="AD337" i="11" s="1"/>
  <c r="Q337" i="11"/>
  <c r="R337" i="11" s="1"/>
  <c r="V337" i="11" s="1"/>
  <c r="M337" i="11"/>
  <c r="L337" i="11"/>
  <c r="G337" i="11"/>
  <c r="AF336" i="11"/>
  <c r="AC336" i="11"/>
  <c r="AD336" i="11" s="1"/>
  <c r="AB336" i="11"/>
  <c r="R336" i="11"/>
  <c r="V336" i="11" s="1"/>
  <c r="Q336" i="11"/>
  <c r="M336" i="11"/>
  <c r="L336" i="11"/>
  <c r="G336" i="11"/>
  <c r="AF335" i="11"/>
  <c r="AC335" i="11"/>
  <c r="AB335" i="11"/>
  <c r="AD335" i="11" s="1"/>
  <c r="Q335" i="11"/>
  <c r="R335" i="11" s="1"/>
  <c r="V335" i="11" s="1"/>
  <c r="M335" i="11"/>
  <c r="L335" i="11"/>
  <c r="G335" i="11"/>
  <c r="AF334" i="11"/>
  <c r="AC334" i="11"/>
  <c r="AD334" i="11" s="1"/>
  <c r="AB334" i="11"/>
  <c r="R334" i="11"/>
  <c r="V334" i="11" s="1"/>
  <c r="Q334" i="11"/>
  <c r="M334" i="11"/>
  <c r="L334" i="11"/>
  <c r="G334" i="11"/>
  <c r="AF333" i="11"/>
  <c r="AC333" i="11"/>
  <c r="AB333" i="11"/>
  <c r="AD333" i="11" s="1"/>
  <c r="Q333" i="11"/>
  <c r="R333" i="11" s="1"/>
  <c r="V333" i="11" s="1"/>
  <c r="M333" i="11"/>
  <c r="L333" i="11"/>
  <c r="G333" i="11"/>
  <c r="AF332" i="11"/>
  <c r="AC332" i="11"/>
  <c r="AD332" i="11" s="1"/>
  <c r="AB332" i="11"/>
  <c r="R332" i="11"/>
  <c r="V332" i="11" s="1"/>
  <c r="Q332" i="11"/>
  <c r="M332" i="11"/>
  <c r="L332" i="11"/>
  <c r="G332" i="11"/>
  <c r="AF331" i="11"/>
  <c r="AC331" i="11"/>
  <c r="AB331" i="11"/>
  <c r="AD331" i="11" s="1"/>
  <c r="Q331" i="11"/>
  <c r="R331" i="11" s="1"/>
  <c r="V331" i="11" s="1"/>
  <c r="M331" i="11"/>
  <c r="L331" i="11"/>
  <c r="G331" i="11"/>
  <c r="AF330" i="11"/>
  <c r="AC330" i="11"/>
  <c r="AD330" i="11" s="1"/>
  <c r="AB330" i="11"/>
  <c r="R330" i="11"/>
  <c r="V330" i="11" s="1"/>
  <c r="Q330" i="11"/>
  <c r="M330" i="11"/>
  <c r="L330" i="11"/>
  <c r="G330" i="11"/>
  <c r="AF329" i="11"/>
  <c r="AC329" i="11"/>
  <c r="AB329" i="11"/>
  <c r="AD329" i="11" s="1"/>
  <c r="Q329" i="11"/>
  <c r="R329" i="11" s="1"/>
  <c r="V329" i="11" s="1"/>
  <c r="M329" i="11"/>
  <c r="L329" i="11"/>
  <c r="G329" i="11"/>
  <c r="AF328" i="11"/>
  <c r="AC328" i="11"/>
  <c r="AD328" i="11" s="1"/>
  <c r="AB328" i="11"/>
  <c r="R328" i="11"/>
  <c r="V328" i="11" s="1"/>
  <c r="Q328" i="11"/>
  <c r="M328" i="11"/>
  <c r="L328" i="11"/>
  <c r="G328" i="11"/>
  <c r="AF327" i="11"/>
  <c r="AF399" i="11" s="1"/>
  <c r="AC327" i="11"/>
  <c r="AB327" i="11"/>
  <c r="AB398" i="11" s="1"/>
  <c r="Q327" i="11"/>
  <c r="R327" i="11" s="1"/>
  <c r="M327" i="11"/>
  <c r="L327" i="11"/>
  <c r="L398" i="11" s="1"/>
  <c r="G327" i="11"/>
  <c r="U323" i="11"/>
  <c r="T323" i="11"/>
  <c r="S323" i="11"/>
  <c r="P323" i="11"/>
  <c r="O323" i="11"/>
  <c r="N323" i="11"/>
  <c r="J323" i="11"/>
  <c r="I323" i="11"/>
  <c r="AF322" i="11"/>
  <c r="V322" i="11"/>
  <c r="W322" i="11" s="1"/>
  <c r="AF321" i="11"/>
  <c r="AF323" i="11" s="1"/>
  <c r="AD321" i="11"/>
  <c r="AD323" i="11" s="1"/>
  <c r="AC321" i="11"/>
  <c r="AC323" i="11" s="1"/>
  <c r="AC324" i="11" s="1"/>
  <c r="AB321" i="11"/>
  <c r="AB323" i="11" s="1"/>
  <c r="Q321" i="11"/>
  <c r="Q323" i="11" s="1"/>
  <c r="M321" i="11"/>
  <c r="M323" i="11" s="1"/>
  <c r="L321" i="11"/>
  <c r="L323" i="11" s="1"/>
  <c r="G321" i="11"/>
  <c r="AF318" i="11"/>
  <c r="U318" i="11"/>
  <c r="T318" i="11"/>
  <c r="S318" i="11"/>
  <c r="P318" i="11"/>
  <c r="O318" i="11"/>
  <c r="J318" i="11"/>
  <c r="I318" i="11"/>
  <c r="AF317" i="11"/>
  <c r="X317" i="11"/>
  <c r="W317" i="11"/>
  <c r="AG317" i="11" s="1"/>
  <c r="V317" i="11"/>
  <c r="AF316" i="11"/>
  <c r="AC316" i="11"/>
  <c r="AC318" i="11" s="1"/>
  <c r="AB316" i="11"/>
  <c r="AB318" i="11" s="1"/>
  <c r="M316" i="11"/>
  <c r="M318" i="11" s="1"/>
  <c r="L316" i="11"/>
  <c r="L318" i="11" s="1"/>
  <c r="G316" i="11"/>
  <c r="N316" i="11" s="1"/>
  <c r="AC313" i="11"/>
  <c r="U313" i="11"/>
  <c r="T313" i="11"/>
  <c r="S313" i="11"/>
  <c r="Q313" i="11"/>
  <c r="P313" i="11"/>
  <c r="O313" i="11"/>
  <c r="N313" i="11"/>
  <c r="J313" i="11"/>
  <c r="I313" i="11"/>
  <c r="AF312" i="11"/>
  <c r="V312" i="11"/>
  <c r="X312" i="11" s="1"/>
  <c r="AF311" i="11"/>
  <c r="AF313" i="11" s="1"/>
  <c r="AC311" i="11"/>
  <c r="AB311" i="11"/>
  <c r="AB313" i="11" s="1"/>
  <c r="Q311" i="11"/>
  <c r="R311" i="11" s="1"/>
  <c r="M311" i="11"/>
  <c r="M313" i="11" s="1"/>
  <c r="L311" i="11"/>
  <c r="L313" i="11" s="1"/>
  <c r="G311" i="11"/>
  <c r="U308" i="11"/>
  <c r="T308" i="11"/>
  <c r="S308" i="11"/>
  <c r="P308" i="11"/>
  <c r="O308" i="11"/>
  <c r="N308" i="11"/>
  <c r="L308" i="11"/>
  <c r="J308" i="11"/>
  <c r="I308" i="11"/>
  <c r="AF307" i="11"/>
  <c r="V307" i="11"/>
  <c r="X307" i="11" s="1"/>
  <c r="AF306" i="11"/>
  <c r="AF308" i="11" s="1"/>
  <c r="AC306" i="11"/>
  <c r="AC308" i="11" s="1"/>
  <c r="AB306" i="11"/>
  <c r="AB308" i="11" s="1"/>
  <c r="Q306" i="11"/>
  <c r="Q308" i="11" s="1"/>
  <c r="M306" i="11"/>
  <c r="M308" i="11" s="1"/>
  <c r="L306" i="11"/>
  <c r="G306" i="11"/>
  <c r="U303" i="11"/>
  <c r="T303" i="11"/>
  <c r="S303" i="11"/>
  <c r="P303" i="11"/>
  <c r="O303" i="11"/>
  <c r="N303" i="11"/>
  <c r="L303" i="11"/>
  <c r="J303" i="11"/>
  <c r="I303" i="11"/>
  <c r="AF302" i="11"/>
  <c r="V302" i="11"/>
  <c r="X302" i="11" s="1"/>
  <c r="AF301" i="11"/>
  <c r="AF303" i="11" s="1"/>
  <c r="AC301" i="11"/>
  <c r="AC303" i="11" s="1"/>
  <c r="AB301" i="11"/>
  <c r="AB303" i="11" s="1"/>
  <c r="Q301" i="11"/>
  <c r="Q303" i="11" s="1"/>
  <c r="M301" i="11"/>
  <c r="M303" i="11" s="1"/>
  <c r="L301" i="11"/>
  <c r="G301" i="11"/>
  <c r="AC298" i="11"/>
  <c r="AF297" i="11"/>
  <c r="AD297" i="11"/>
  <c r="AC297" i="11"/>
  <c r="AB297" i="11"/>
  <c r="U297" i="11"/>
  <c r="T297" i="11"/>
  <c r="S297" i="11"/>
  <c r="Q297" i="11"/>
  <c r="P297" i="11"/>
  <c r="O297" i="11"/>
  <c r="N297" i="11"/>
  <c r="AF296" i="11"/>
  <c r="R296" i="11"/>
  <c r="R297" i="11" s="1"/>
  <c r="M296" i="11"/>
  <c r="M297" i="11" s="1"/>
  <c r="L296" i="11"/>
  <c r="L297" i="11" s="1"/>
  <c r="J294" i="11"/>
  <c r="U293" i="11"/>
  <c r="T293" i="11"/>
  <c r="S293" i="11"/>
  <c r="P293" i="11"/>
  <c r="O293" i="11"/>
  <c r="J293" i="11"/>
  <c r="I293" i="11"/>
  <c r="AF292" i="11"/>
  <c r="R292" i="11"/>
  <c r="V292" i="11" s="1"/>
  <c r="AF291" i="11"/>
  <c r="R291" i="11"/>
  <c r="V291" i="11" s="1"/>
  <c r="AF290" i="11"/>
  <c r="AC290" i="11"/>
  <c r="AD290" i="11" s="1"/>
  <c r="AB290" i="11"/>
  <c r="N290" i="11"/>
  <c r="Q290" i="11" s="1"/>
  <c r="R290" i="11" s="1"/>
  <c r="V290" i="11" s="1"/>
  <c r="M290" i="11"/>
  <c r="L290" i="11"/>
  <c r="G290" i="11"/>
  <c r="AF289" i="11"/>
  <c r="AC289" i="11"/>
  <c r="AB289" i="11"/>
  <c r="AD289" i="11" s="1"/>
  <c r="R289" i="11"/>
  <c r="V289" i="11" s="1"/>
  <c r="N289" i="11"/>
  <c r="M289" i="11"/>
  <c r="L289" i="11"/>
  <c r="G289" i="11"/>
  <c r="AF288" i="11"/>
  <c r="AD288" i="11"/>
  <c r="AC288" i="11"/>
  <c r="AB288" i="11"/>
  <c r="Q288" i="11"/>
  <c r="R288" i="11" s="1"/>
  <c r="V288" i="11" s="1"/>
  <c r="M288" i="11"/>
  <c r="L288" i="11"/>
  <c r="G288" i="11"/>
  <c r="AF287" i="11"/>
  <c r="AC287" i="11"/>
  <c r="AB287" i="11"/>
  <c r="AD287" i="11" s="1"/>
  <c r="M287" i="11"/>
  <c r="L287" i="11"/>
  <c r="G287" i="11"/>
  <c r="N287" i="11" s="1"/>
  <c r="Q287" i="11" s="1"/>
  <c r="R287" i="11" s="1"/>
  <c r="V287" i="11" s="1"/>
  <c r="AF286" i="11"/>
  <c r="AC286" i="11"/>
  <c r="AB286" i="11"/>
  <c r="AD286" i="11" s="1"/>
  <c r="N286" i="11"/>
  <c r="Q286" i="11" s="1"/>
  <c r="R286" i="11" s="1"/>
  <c r="V286" i="11" s="1"/>
  <c r="M286" i="11"/>
  <c r="L286" i="11"/>
  <c r="G286" i="11"/>
  <c r="AF285" i="11"/>
  <c r="AD285" i="11"/>
  <c r="AC285" i="11"/>
  <c r="AB285" i="11"/>
  <c r="Q285" i="11"/>
  <c r="R285" i="11" s="1"/>
  <c r="V285" i="11" s="1"/>
  <c r="M285" i="11"/>
  <c r="L285" i="11"/>
  <c r="G285" i="11"/>
  <c r="AF284" i="11"/>
  <c r="AC284" i="11"/>
  <c r="AB284" i="11"/>
  <c r="AD284" i="11" s="1"/>
  <c r="M284" i="11"/>
  <c r="L284" i="11"/>
  <c r="G284" i="11"/>
  <c r="N284" i="11" s="1"/>
  <c r="AF283" i="11"/>
  <c r="AC283" i="11"/>
  <c r="AB283" i="11"/>
  <c r="AD283" i="11" s="1"/>
  <c r="Q283" i="11"/>
  <c r="R283" i="11" s="1"/>
  <c r="V283" i="11" s="1"/>
  <c r="M283" i="11"/>
  <c r="L283" i="11"/>
  <c r="G283" i="11"/>
  <c r="AF282" i="11"/>
  <c r="AC282" i="11"/>
  <c r="AD282" i="11" s="1"/>
  <c r="AB282" i="11"/>
  <c r="R282" i="11"/>
  <c r="V282" i="11" s="1"/>
  <c r="Q282" i="11"/>
  <c r="M282" i="11"/>
  <c r="L282" i="11"/>
  <c r="L293" i="11" s="1"/>
  <c r="G282" i="11"/>
  <c r="AF281" i="11"/>
  <c r="AF293" i="11" s="1"/>
  <c r="AC281" i="11"/>
  <c r="AC293" i="11" s="1"/>
  <c r="AB281" i="11"/>
  <c r="AB293" i="11" s="1"/>
  <c r="Q281" i="11"/>
  <c r="R281" i="11" s="1"/>
  <c r="M281" i="11"/>
  <c r="M293" i="11" s="1"/>
  <c r="L281" i="11"/>
  <c r="G281" i="11"/>
  <c r="J278" i="11"/>
  <c r="U277" i="11"/>
  <c r="T277" i="11"/>
  <c r="S277" i="11"/>
  <c r="P277" i="11"/>
  <c r="O277" i="11"/>
  <c r="J277" i="11"/>
  <c r="I277" i="11"/>
  <c r="AF276" i="11"/>
  <c r="R276" i="11"/>
  <c r="V276" i="11" s="1"/>
  <c r="AF275" i="11"/>
  <c r="R275" i="11"/>
  <c r="V275" i="11" s="1"/>
  <c r="AF274" i="11"/>
  <c r="AD274" i="11"/>
  <c r="AC274" i="11"/>
  <c r="AB274" i="11"/>
  <c r="Q274" i="11"/>
  <c r="R274" i="11" s="1"/>
  <c r="V274" i="11" s="1"/>
  <c r="M274" i="11"/>
  <c r="L274" i="11"/>
  <c r="G274" i="11"/>
  <c r="AF273" i="11"/>
  <c r="AC273" i="11"/>
  <c r="AB273" i="11"/>
  <c r="AD273" i="11" s="1"/>
  <c r="Q273" i="11"/>
  <c r="R273" i="11" s="1"/>
  <c r="V273" i="11" s="1"/>
  <c r="M273" i="11"/>
  <c r="L273" i="11"/>
  <c r="G273" i="11"/>
  <c r="AF272" i="11"/>
  <c r="AD272" i="11"/>
  <c r="AC272" i="11"/>
  <c r="AB272" i="11"/>
  <c r="Q272" i="11"/>
  <c r="R272" i="11" s="1"/>
  <c r="V272" i="11" s="1"/>
  <c r="M272" i="11"/>
  <c r="L272" i="11"/>
  <c r="G272" i="11"/>
  <c r="AF271" i="11"/>
  <c r="AC271" i="11"/>
  <c r="AB271" i="11"/>
  <c r="AD271" i="11" s="1"/>
  <c r="Q271" i="11"/>
  <c r="R271" i="11" s="1"/>
  <c r="V271" i="11" s="1"/>
  <c r="M271" i="11"/>
  <c r="L271" i="11"/>
  <c r="G271" i="11"/>
  <c r="AF270" i="11"/>
  <c r="AD270" i="11"/>
  <c r="AC270" i="11"/>
  <c r="AB270" i="11"/>
  <c r="N270" i="11"/>
  <c r="Q270" i="11" s="1"/>
  <c r="R270" i="11" s="1"/>
  <c r="V270" i="11" s="1"/>
  <c r="M270" i="11"/>
  <c r="L270" i="11"/>
  <c r="G270" i="11"/>
  <c r="AF269" i="11"/>
  <c r="AC269" i="11"/>
  <c r="AD269" i="11" s="1"/>
  <c r="AB269" i="11"/>
  <c r="R269" i="11"/>
  <c r="V269" i="11" s="1"/>
  <c r="Q269" i="11"/>
  <c r="M269" i="11"/>
  <c r="L269" i="11"/>
  <c r="G269" i="11"/>
  <c r="AF268" i="11"/>
  <c r="AC268" i="11"/>
  <c r="AB268" i="11"/>
  <c r="AD268" i="11" s="1"/>
  <c r="Q268" i="11"/>
  <c r="R268" i="11" s="1"/>
  <c r="V268" i="11" s="1"/>
  <c r="M268" i="11"/>
  <c r="L268" i="11"/>
  <c r="G268" i="11"/>
  <c r="AF267" i="11"/>
  <c r="AC267" i="11"/>
  <c r="AD267" i="11" s="1"/>
  <c r="AB267" i="11"/>
  <c r="R267" i="11"/>
  <c r="V267" i="11" s="1"/>
  <c r="Q267" i="11"/>
  <c r="M267" i="11"/>
  <c r="L267" i="11"/>
  <c r="G267" i="11"/>
  <c r="AF266" i="11"/>
  <c r="AC266" i="11"/>
  <c r="AB266" i="11"/>
  <c r="AD266" i="11" s="1"/>
  <c r="Q266" i="11"/>
  <c r="R266" i="11" s="1"/>
  <c r="V266" i="11" s="1"/>
  <c r="M266" i="11"/>
  <c r="L266" i="11"/>
  <c r="G266" i="11"/>
  <c r="AF265" i="11"/>
  <c r="AC265" i="11"/>
  <c r="AD265" i="11" s="1"/>
  <c r="AB265" i="11"/>
  <c r="R265" i="11"/>
  <c r="V265" i="11" s="1"/>
  <c r="Q265" i="11"/>
  <c r="M265" i="11"/>
  <c r="L265" i="11"/>
  <c r="G265" i="11"/>
  <c r="AF264" i="11"/>
  <c r="AC264" i="11"/>
  <c r="AB264" i="11"/>
  <c r="AD264" i="11" s="1"/>
  <c r="Q264" i="11"/>
  <c r="R264" i="11" s="1"/>
  <c r="V264" i="11" s="1"/>
  <c r="M264" i="11"/>
  <c r="L264" i="11"/>
  <c r="G264" i="11"/>
  <c r="AF263" i="11"/>
  <c r="AC263" i="11"/>
  <c r="AD263" i="11" s="1"/>
  <c r="AB263" i="11"/>
  <c r="R263" i="11"/>
  <c r="V263" i="11" s="1"/>
  <c r="Q263" i="11"/>
  <c r="M263" i="11"/>
  <c r="L263" i="11"/>
  <c r="G263" i="11"/>
  <c r="AF262" i="11"/>
  <c r="AF277" i="11" s="1"/>
  <c r="AC262" i="11"/>
  <c r="AB262" i="11"/>
  <c r="AB277" i="11" s="1"/>
  <c r="Q262" i="11"/>
  <c r="Q277" i="11" s="1"/>
  <c r="M262" i="11"/>
  <c r="L262" i="11"/>
  <c r="G262" i="11"/>
  <c r="AF261" i="11"/>
  <c r="AF278" i="11" s="1"/>
  <c r="AC261" i="11"/>
  <c r="AC277" i="11" s="1"/>
  <c r="AB261" i="11"/>
  <c r="R261" i="11"/>
  <c r="V261" i="11" s="1"/>
  <c r="Q261" i="11"/>
  <c r="M261" i="11"/>
  <c r="M277" i="11" s="1"/>
  <c r="L261" i="11"/>
  <c r="L277" i="11" s="1"/>
  <c r="G261" i="11"/>
  <c r="AF258" i="11"/>
  <c r="AC258" i="11"/>
  <c r="AD258" i="11" s="1"/>
  <c r="AB258" i="11"/>
  <c r="N258" i="11"/>
  <c r="Q258" i="11" s="1"/>
  <c r="R258" i="11" s="1"/>
  <c r="V258" i="11" s="1"/>
  <c r="M258" i="11"/>
  <c r="L258" i="11"/>
  <c r="G258" i="11"/>
  <c r="J255" i="11"/>
  <c r="U254" i="11"/>
  <c r="T254" i="11"/>
  <c r="S254" i="11"/>
  <c r="P254" i="11"/>
  <c r="O254" i="11"/>
  <c r="N254" i="11"/>
  <c r="J254" i="11"/>
  <c r="I254" i="11"/>
  <c r="AF253" i="11"/>
  <c r="Y253" i="11"/>
  <c r="X253" i="11"/>
  <c r="V253" i="11"/>
  <c r="Z253" i="11" s="1"/>
  <c r="AF252" i="11"/>
  <c r="AC252" i="11"/>
  <c r="AD252" i="11" s="1"/>
  <c r="AB252" i="11"/>
  <c r="R252" i="11"/>
  <c r="V252" i="11" s="1"/>
  <c r="Q252" i="11"/>
  <c r="M252" i="11"/>
  <c r="L252" i="11"/>
  <c r="G252" i="11"/>
  <c r="AF251" i="11"/>
  <c r="AF254" i="11" s="1"/>
  <c r="AC251" i="11"/>
  <c r="AB251" i="11"/>
  <c r="AB254" i="11" s="1"/>
  <c r="Q251" i="11"/>
  <c r="R251" i="11" s="1"/>
  <c r="V251" i="11" s="1"/>
  <c r="M251" i="11"/>
  <c r="L251" i="11"/>
  <c r="G251" i="11"/>
  <c r="AF250" i="11"/>
  <c r="AC250" i="11"/>
  <c r="AD250" i="11" s="1"/>
  <c r="AB250" i="11"/>
  <c r="R250" i="11"/>
  <c r="V250" i="11" s="1"/>
  <c r="Q250" i="11"/>
  <c r="Q254" i="11" s="1"/>
  <c r="M250" i="11"/>
  <c r="M254" i="11" s="1"/>
  <c r="L250" i="11"/>
  <c r="L254" i="11" s="1"/>
  <c r="G250" i="11"/>
  <c r="J248" i="11"/>
  <c r="AC247" i="11"/>
  <c r="U247" i="11"/>
  <c r="T247" i="11"/>
  <c r="S247" i="11"/>
  <c r="P247" i="11"/>
  <c r="O247" i="11"/>
  <c r="N247" i="11"/>
  <c r="M247" i="11"/>
  <c r="J247" i="11"/>
  <c r="I247" i="11"/>
  <c r="AF246" i="11"/>
  <c r="AA246" i="11"/>
  <c r="Y246" i="11"/>
  <c r="X246" i="11"/>
  <c r="W246" i="11"/>
  <c r="V246" i="11"/>
  <c r="Z246" i="11" s="1"/>
  <c r="AF245" i="11"/>
  <c r="AC245" i="11"/>
  <c r="AB245" i="11"/>
  <c r="AD245" i="11" s="1"/>
  <c r="Q245" i="11"/>
  <c r="R245" i="11" s="1"/>
  <c r="V245" i="11" s="1"/>
  <c r="M245" i="11"/>
  <c r="L245" i="11"/>
  <c r="G245" i="11"/>
  <c r="AF244" i="11"/>
  <c r="AD244" i="11"/>
  <c r="AC244" i="11"/>
  <c r="AB244" i="11"/>
  <c r="Q244" i="11"/>
  <c r="R244" i="11" s="1"/>
  <c r="V244" i="11" s="1"/>
  <c r="M244" i="11"/>
  <c r="L244" i="11"/>
  <c r="G244" i="11"/>
  <c r="AF243" i="11"/>
  <c r="AC243" i="11"/>
  <c r="AB243" i="11"/>
  <c r="AD243" i="11" s="1"/>
  <c r="Q243" i="11"/>
  <c r="R243" i="11" s="1"/>
  <c r="V243" i="11" s="1"/>
  <c r="M243" i="11"/>
  <c r="L243" i="11"/>
  <c r="G243" i="11"/>
  <c r="AF242" i="11"/>
  <c r="AF247" i="11" s="1"/>
  <c r="AD242" i="11"/>
  <c r="AD247" i="11" s="1"/>
  <c r="AC242" i="11"/>
  <c r="AB242" i="11"/>
  <c r="AB247" i="11" s="1"/>
  <c r="Q242" i="11"/>
  <c r="R242" i="11" s="1"/>
  <c r="M242" i="11"/>
  <c r="L242" i="11"/>
  <c r="L247" i="11" s="1"/>
  <c r="G242" i="11"/>
  <c r="J239" i="11"/>
  <c r="U238" i="11"/>
  <c r="T238" i="11"/>
  <c r="S238" i="11"/>
  <c r="P238" i="11"/>
  <c r="O238" i="11"/>
  <c r="J238" i="11"/>
  <c r="I238" i="11"/>
  <c r="AF237" i="11"/>
  <c r="R237" i="11"/>
  <c r="V237" i="11" s="1"/>
  <c r="AF236" i="11"/>
  <c r="R236" i="11"/>
  <c r="V236" i="11" s="1"/>
  <c r="AF235" i="11"/>
  <c r="AC235" i="11"/>
  <c r="AD235" i="11" s="1"/>
  <c r="AB235" i="11"/>
  <c r="R235" i="11"/>
  <c r="V235" i="11" s="1"/>
  <c r="Q235" i="11"/>
  <c r="M235" i="11"/>
  <c r="L235" i="11"/>
  <c r="G235" i="11"/>
  <c r="AF234" i="11"/>
  <c r="AC234" i="11"/>
  <c r="AB234" i="11"/>
  <c r="AD234" i="11" s="1"/>
  <c r="N234" i="11"/>
  <c r="Q234" i="11" s="1"/>
  <c r="R234" i="11" s="1"/>
  <c r="V234" i="11" s="1"/>
  <c r="M234" i="11"/>
  <c r="L234" i="11"/>
  <c r="G234" i="11"/>
  <c r="AF233" i="11"/>
  <c r="AD233" i="11"/>
  <c r="AC233" i="11"/>
  <c r="AB233" i="11"/>
  <c r="Q233" i="11"/>
  <c r="R233" i="11" s="1"/>
  <c r="V233" i="11" s="1"/>
  <c r="M233" i="11"/>
  <c r="L233" i="11"/>
  <c r="G233" i="11"/>
  <c r="AF232" i="11"/>
  <c r="AC232" i="11"/>
  <c r="AB232" i="11"/>
  <c r="AD232" i="11" s="1"/>
  <c r="Q232" i="11"/>
  <c r="R232" i="11" s="1"/>
  <c r="V232" i="11" s="1"/>
  <c r="M232" i="11"/>
  <c r="L232" i="11"/>
  <c r="G232" i="11"/>
  <c r="AF231" i="11"/>
  <c r="AD231" i="11"/>
  <c r="AC231" i="11"/>
  <c r="AB231" i="11"/>
  <c r="Q231" i="11"/>
  <c r="R231" i="11" s="1"/>
  <c r="V231" i="11" s="1"/>
  <c r="M231" i="11"/>
  <c r="L231" i="11"/>
  <c r="G231" i="11"/>
  <c r="AF230" i="11"/>
  <c r="AC230" i="11"/>
  <c r="AB230" i="11"/>
  <c r="AD230" i="11" s="1"/>
  <c r="Q230" i="11"/>
  <c r="R230" i="11" s="1"/>
  <c r="V230" i="11" s="1"/>
  <c r="M230" i="11"/>
  <c r="L230" i="11"/>
  <c r="G230" i="11"/>
  <c r="AF229" i="11"/>
  <c r="AD229" i="11"/>
  <c r="AC229" i="11"/>
  <c r="AB229" i="11"/>
  <c r="N229" i="11"/>
  <c r="Q229" i="11" s="1"/>
  <c r="R229" i="11" s="1"/>
  <c r="V229" i="11" s="1"/>
  <c r="M229" i="11"/>
  <c r="L229" i="11"/>
  <c r="G229" i="11"/>
  <c r="AF228" i="11"/>
  <c r="AC228" i="11"/>
  <c r="AD228" i="11" s="1"/>
  <c r="AB228" i="11"/>
  <c r="R228" i="11"/>
  <c r="V228" i="11" s="1"/>
  <c r="Q228" i="11"/>
  <c r="M228" i="11"/>
  <c r="L228" i="11"/>
  <c r="L238" i="11" s="1"/>
  <c r="G228" i="11"/>
  <c r="AF227" i="11"/>
  <c r="AC227" i="11"/>
  <c r="AC238" i="11" s="1"/>
  <c r="AB227" i="11"/>
  <c r="AB238" i="11" s="1"/>
  <c r="Q227" i="11"/>
  <c r="R227" i="11" s="1"/>
  <c r="M227" i="11"/>
  <c r="M238" i="11" s="1"/>
  <c r="L227" i="11"/>
  <c r="G227" i="11"/>
  <c r="J224" i="11"/>
  <c r="U223" i="11"/>
  <c r="T223" i="11"/>
  <c r="S223" i="11"/>
  <c r="P223" i="11"/>
  <c r="O223" i="11"/>
  <c r="J223" i="11"/>
  <c r="I223" i="11"/>
  <c r="AF222" i="11"/>
  <c r="R222" i="11"/>
  <c r="V222" i="11" s="1"/>
  <c r="AF221" i="11"/>
  <c r="AC221" i="11"/>
  <c r="AB221" i="11"/>
  <c r="AD221" i="11" s="1"/>
  <c r="AA221" i="11"/>
  <c r="W221" i="11"/>
  <c r="Q221" i="11"/>
  <c r="R221" i="11" s="1"/>
  <c r="V221" i="11" s="1"/>
  <c r="M221" i="11"/>
  <c r="L221" i="11"/>
  <c r="G221" i="11"/>
  <c r="AF220" i="11"/>
  <c r="AC220" i="11"/>
  <c r="AD220" i="11" s="1"/>
  <c r="AB220" i="11"/>
  <c r="R220" i="11"/>
  <c r="V220" i="11" s="1"/>
  <c r="Y220" i="11" s="1"/>
  <c r="Q220" i="11"/>
  <c r="M220" i="11"/>
  <c r="L220" i="11"/>
  <c r="G220" i="11"/>
  <c r="AF219" i="11"/>
  <c r="AC219" i="11"/>
  <c r="AB219" i="11"/>
  <c r="AD219" i="11" s="1"/>
  <c r="N219" i="11"/>
  <c r="Q219" i="11" s="1"/>
  <c r="R219" i="11" s="1"/>
  <c r="V219" i="11" s="1"/>
  <c r="M219" i="11"/>
  <c r="L219" i="11"/>
  <c r="G219" i="11"/>
  <c r="AF218" i="11"/>
  <c r="AD218" i="11"/>
  <c r="AC218" i="11"/>
  <c r="AB218" i="11"/>
  <c r="N218" i="11"/>
  <c r="Q218" i="11" s="1"/>
  <c r="R218" i="11" s="1"/>
  <c r="V218" i="11" s="1"/>
  <c r="M218" i="11"/>
  <c r="L218" i="11"/>
  <c r="G218" i="11"/>
  <c r="AF217" i="11"/>
  <c r="AC217" i="11"/>
  <c r="AD217" i="11" s="1"/>
  <c r="AB217" i="11"/>
  <c r="R217" i="11"/>
  <c r="V217" i="11" s="1"/>
  <c r="Q217" i="11"/>
  <c r="M217" i="11"/>
  <c r="L217" i="11"/>
  <c r="G217" i="11"/>
  <c r="AF216" i="11"/>
  <c r="AC216" i="11"/>
  <c r="AB216" i="11"/>
  <c r="AD216" i="11" s="1"/>
  <c r="AA216" i="11"/>
  <c r="N216" i="11"/>
  <c r="Q216" i="11" s="1"/>
  <c r="R216" i="11" s="1"/>
  <c r="V216" i="11" s="1"/>
  <c r="W216" i="11" s="1"/>
  <c r="M216" i="11"/>
  <c r="L216" i="11"/>
  <c r="G216" i="11"/>
  <c r="AF215" i="11"/>
  <c r="AD215" i="11"/>
  <c r="AC215" i="11"/>
  <c r="AB215" i="11"/>
  <c r="V215" i="11"/>
  <c r="N215" i="11"/>
  <c r="Q215" i="11" s="1"/>
  <c r="R215" i="11" s="1"/>
  <c r="M215" i="11"/>
  <c r="L215" i="11"/>
  <c r="G215" i="11"/>
  <c r="AF214" i="11"/>
  <c r="AC214" i="11"/>
  <c r="AD214" i="11" s="1"/>
  <c r="AB214" i="11"/>
  <c r="R214" i="11"/>
  <c r="V214" i="11" s="1"/>
  <c r="Y214" i="11" s="1"/>
  <c r="Q214" i="11"/>
  <c r="M214" i="11"/>
  <c r="L214" i="11"/>
  <c r="G214" i="11"/>
  <c r="AF213" i="11"/>
  <c r="AC213" i="11"/>
  <c r="AB213" i="11"/>
  <c r="AD213" i="11" s="1"/>
  <c r="Q213" i="11"/>
  <c r="R213" i="11" s="1"/>
  <c r="V213" i="11" s="1"/>
  <c r="M213" i="11"/>
  <c r="L213" i="11"/>
  <c r="G213" i="11"/>
  <c r="AF212" i="11"/>
  <c r="V212" i="11"/>
  <c r="R212" i="11"/>
  <c r="N212" i="11"/>
  <c r="M212" i="11"/>
  <c r="L212" i="11"/>
  <c r="G212" i="11"/>
  <c r="AF211" i="11"/>
  <c r="AC211" i="11"/>
  <c r="AB211" i="11"/>
  <c r="AD211" i="11" s="1"/>
  <c r="Q211" i="11"/>
  <c r="R211" i="11" s="1"/>
  <c r="V211" i="11" s="1"/>
  <c r="X211" i="11" s="1"/>
  <c r="M211" i="11"/>
  <c r="L211" i="11"/>
  <c r="G211" i="11"/>
  <c r="N211" i="11" s="1"/>
  <c r="AF210" i="11"/>
  <c r="Q210" i="11"/>
  <c r="R210" i="11" s="1"/>
  <c r="V210" i="11" s="1"/>
  <c r="M210" i="11"/>
  <c r="L210" i="11"/>
  <c r="G210" i="11"/>
  <c r="N210" i="11" s="1"/>
  <c r="AF209" i="11"/>
  <c r="AC209" i="11"/>
  <c r="AB209" i="11"/>
  <c r="AD209" i="11" s="1"/>
  <c r="AA209" i="11"/>
  <c r="W209" i="11"/>
  <c r="Q209" i="11"/>
  <c r="R209" i="11" s="1"/>
  <c r="V209" i="11" s="1"/>
  <c r="M209" i="11"/>
  <c r="L209" i="11"/>
  <c r="G209" i="11"/>
  <c r="AF208" i="11"/>
  <c r="AC208" i="11"/>
  <c r="AD208" i="11" s="1"/>
  <c r="AB208" i="11"/>
  <c r="N208" i="11"/>
  <c r="Q208" i="11" s="1"/>
  <c r="R208" i="11" s="1"/>
  <c r="V208" i="11" s="1"/>
  <c r="M208" i="11"/>
  <c r="L208" i="11"/>
  <c r="G208" i="11"/>
  <c r="AF207" i="11"/>
  <c r="AC207" i="11"/>
  <c r="AB207" i="11"/>
  <c r="AD207" i="11" s="1"/>
  <c r="Q207" i="11"/>
  <c r="R207" i="11" s="1"/>
  <c r="V207" i="11" s="1"/>
  <c r="M207" i="11"/>
  <c r="L207" i="11"/>
  <c r="G207" i="11"/>
  <c r="N207" i="11" s="1"/>
  <c r="AF206" i="11"/>
  <c r="AC206" i="11"/>
  <c r="AB206" i="11"/>
  <c r="N206" i="11"/>
  <c r="M206" i="11"/>
  <c r="L206" i="11"/>
  <c r="G206" i="11"/>
  <c r="AF205" i="11"/>
  <c r="AD205" i="11"/>
  <c r="AC205" i="11"/>
  <c r="AB205" i="11"/>
  <c r="Q205" i="11"/>
  <c r="M205" i="11"/>
  <c r="L205" i="11"/>
  <c r="G205" i="11"/>
  <c r="AF204" i="11"/>
  <c r="R204" i="11"/>
  <c r="V204" i="11" s="1"/>
  <c r="M204" i="11"/>
  <c r="L204" i="11"/>
  <c r="AF203" i="11"/>
  <c r="X203" i="11"/>
  <c r="R203" i="11"/>
  <c r="V203" i="11" s="1"/>
  <c r="M203" i="11"/>
  <c r="L203" i="11"/>
  <c r="AF202" i="11"/>
  <c r="R202" i="11"/>
  <c r="V202" i="11" s="1"/>
  <c r="M202" i="11"/>
  <c r="L202" i="11"/>
  <c r="AF201" i="11"/>
  <c r="X201" i="11"/>
  <c r="R201" i="11"/>
  <c r="V201" i="11" s="1"/>
  <c r="M201" i="11"/>
  <c r="L201" i="11"/>
  <c r="AF198" i="11"/>
  <c r="J198" i="11"/>
  <c r="U197" i="11"/>
  <c r="T197" i="11"/>
  <c r="S197" i="11"/>
  <c r="P197" i="11"/>
  <c r="O197" i="11"/>
  <c r="N197" i="11"/>
  <c r="J197" i="11"/>
  <c r="I197" i="11"/>
  <c r="AF196" i="11"/>
  <c r="X196" i="11"/>
  <c r="Q196" i="11"/>
  <c r="R196" i="11" s="1"/>
  <c r="V196" i="11" s="1"/>
  <c r="M196" i="11"/>
  <c r="L196" i="11"/>
  <c r="AF195" i="11"/>
  <c r="AC195" i="11"/>
  <c r="AD195" i="11" s="1"/>
  <c r="AB195" i="11"/>
  <c r="Y195" i="11"/>
  <c r="R195" i="11"/>
  <c r="V195" i="11" s="1"/>
  <c r="Q195" i="11"/>
  <c r="M195" i="11"/>
  <c r="L195" i="11"/>
  <c r="G195" i="11"/>
  <c r="AF194" i="11"/>
  <c r="AC194" i="11"/>
  <c r="AB194" i="11"/>
  <c r="AB197" i="11" s="1"/>
  <c r="Q194" i="11"/>
  <c r="R194" i="11" s="1"/>
  <c r="V194" i="11" s="1"/>
  <c r="AA194" i="11" s="1"/>
  <c r="M194" i="11"/>
  <c r="L194" i="11"/>
  <c r="G194" i="11"/>
  <c r="AF193" i="11"/>
  <c r="AC193" i="11"/>
  <c r="AB193" i="11"/>
  <c r="R193" i="11"/>
  <c r="V193" i="11" s="1"/>
  <c r="V197" i="11" s="1"/>
  <c r="N193" i="11"/>
  <c r="Q193" i="11" s="1"/>
  <c r="Q197" i="11" s="1"/>
  <c r="M193" i="11"/>
  <c r="L193" i="11"/>
  <c r="L197" i="11" s="1"/>
  <c r="G193" i="11"/>
  <c r="J189" i="11"/>
  <c r="AD188" i="11"/>
  <c r="U188" i="11"/>
  <c r="T188" i="11"/>
  <c r="S188" i="11"/>
  <c r="P188" i="11"/>
  <c r="O188" i="11"/>
  <c r="N188" i="11"/>
  <c r="J188" i="11"/>
  <c r="I188" i="11"/>
  <c r="AF187" i="11"/>
  <c r="AF189" i="11" s="1"/>
  <c r="R187" i="11"/>
  <c r="V187" i="11" s="1"/>
  <c r="X187" i="11" s="1"/>
  <c r="AF186" i="11"/>
  <c r="AD186" i="11"/>
  <c r="AC186" i="11"/>
  <c r="AB186" i="11"/>
  <c r="Q186" i="11"/>
  <c r="R186" i="11" s="1"/>
  <c r="V186" i="11" s="1"/>
  <c r="M186" i="11"/>
  <c r="L186" i="11"/>
  <c r="G186" i="11"/>
  <c r="AF185" i="11"/>
  <c r="AC185" i="11"/>
  <c r="AB185" i="11"/>
  <c r="AD185" i="11" s="1"/>
  <c r="Q185" i="11"/>
  <c r="R185" i="11" s="1"/>
  <c r="V185" i="11" s="1"/>
  <c r="M185" i="11"/>
  <c r="L185" i="11"/>
  <c r="G185" i="11"/>
  <c r="AF184" i="11"/>
  <c r="AD184" i="11"/>
  <c r="AC184" i="11"/>
  <c r="AB184" i="11"/>
  <c r="Q184" i="11"/>
  <c r="R184" i="11" s="1"/>
  <c r="V184" i="11" s="1"/>
  <c r="M184" i="11"/>
  <c r="L184" i="11"/>
  <c r="G184" i="11"/>
  <c r="AF183" i="11"/>
  <c r="AC183" i="11"/>
  <c r="AB183" i="11"/>
  <c r="AD183" i="11" s="1"/>
  <c r="Q183" i="11"/>
  <c r="R183" i="11" s="1"/>
  <c r="V183" i="11" s="1"/>
  <c r="M183" i="11"/>
  <c r="L183" i="11"/>
  <c r="G183" i="11"/>
  <c r="AF182" i="11"/>
  <c r="AD182" i="11"/>
  <c r="AC182" i="11"/>
  <c r="AB182" i="11"/>
  <c r="Q182" i="11"/>
  <c r="R182" i="11" s="1"/>
  <c r="V182" i="11" s="1"/>
  <c r="M182" i="11"/>
  <c r="AI182" i="11" s="1"/>
  <c r="AJ182" i="11" s="1"/>
  <c r="L182" i="11"/>
  <c r="G182" i="11"/>
  <c r="AI181" i="11"/>
  <c r="AJ181" i="11" s="1"/>
  <c r="AF181" i="11"/>
  <c r="AC181" i="11"/>
  <c r="AB181" i="11"/>
  <c r="AD181" i="11" s="1"/>
  <c r="Q181" i="11"/>
  <c r="R181" i="11" s="1"/>
  <c r="V181" i="11" s="1"/>
  <c r="M181" i="11"/>
  <c r="L181" i="11"/>
  <c r="G181" i="11"/>
  <c r="AF180" i="11"/>
  <c r="AD180" i="11"/>
  <c r="AC180" i="11"/>
  <c r="AB180" i="11"/>
  <c r="Q180" i="11"/>
  <c r="R180" i="11" s="1"/>
  <c r="V180" i="11" s="1"/>
  <c r="M180" i="11"/>
  <c r="AI180" i="11" s="1"/>
  <c r="AJ180" i="11" s="1"/>
  <c r="L180" i="11"/>
  <c r="G180" i="11"/>
  <c r="AF179" i="11"/>
  <c r="AC179" i="11"/>
  <c r="AB179" i="11"/>
  <c r="AD179" i="11" s="1"/>
  <c r="Q179" i="11"/>
  <c r="R179" i="11" s="1"/>
  <c r="V179" i="11" s="1"/>
  <c r="M179" i="11"/>
  <c r="L179" i="11"/>
  <c r="G179" i="11"/>
  <c r="AF178" i="11"/>
  <c r="AD178" i="11"/>
  <c r="AC178" i="11"/>
  <c r="AB178" i="11"/>
  <c r="Q178" i="11"/>
  <c r="R178" i="11" s="1"/>
  <c r="V178" i="11" s="1"/>
  <c r="M178" i="11"/>
  <c r="L178" i="11"/>
  <c r="G178" i="11"/>
  <c r="AF177" i="11"/>
  <c r="AC177" i="11"/>
  <c r="AB177" i="11"/>
  <c r="AD177" i="11" s="1"/>
  <c r="Q177" i="11"/>
  <c r="R177" i="11" s="1"/>
  <c r="V177" i="11" s="1"/>
  <c r="M177" i="11"/>
  <c r="L177" i="11"/>
  <c r="G177" i="11"/>
  <c r="AF176" i="11"/>
  <c r="AD176" i="11"/>
  <c r="AC176" i="11"/>
  <c r="AB176" i="11"/>
  <c r="Q176" i="11"/>
  <c r="R176" i="11" s="1"/>
  <c r="V176" i="11" s="1"/>
  <c r="M176" i="11"/>
  <c r="L176" i="11"/>
  <c r="G176" i="11"/>
  <c r="AF175" i="11"/>
  <c r="AC175" i="11"/>
  <c r="AB175" i="11"/>
  <c r="AD175" i="11" s="1"/>
  <c r="Q175" i="11"/>
  <c r="R175" i="11" s="1"/>
  <c r="V175" i="11" s="1"/>
  <c r="M175" i="11"/>
  <c r="L175" i="11"/>
  <c r="G175" i="11"/>
  <c r="AF174" i="11"/>
  <c r="R174" i="11"/>
  <c r="V174" i="11" s="1"/>
  <c r="W174" i="11" s="1"/>
  <c r="AF173" i="11"/>
  <c r="V173" i="11"/>
  <c r="R173" i="11"/>
  <c r="M173" i="11"/>
  <c r="L173" i="11"/>
  <c r="AF172" i="11"/>
  <c r="AD172" i="11"/>
  <c r="AC172" i="11"/>
  <c r="AC188" i="11" s="1"/>
  <c r="AB172" i="11"/>
  <c r="AB188" i="11" s="1"/>
  <c r="Y172" i="11"/>
  <c r="R172" i="11"/>
  <c r="V172" i="11" s="1"/>
  <c r="Q172" i="11"/>
  <c r="M172" i="11"/>
  <c r="M188" i="11" s="1"/>
  <c r="L172" i="11"/>
  <c r="L188" i="11" s="1"/>
  <c r="G172" i="11"/>
  <c r="AC169" i="11"/>
  <c r="AF168" i="11"/>
  <c r="V168" i="11"/>
  <c r="Z168" i="11" s="1"/>
  <c r="R168" i="11"/>
  <c r="AF165" i="11"/>
  <c r="J165" i="11"/>
  <c r="U164" i="11"/>
  <c r="T164" i="11"/>
  <c r="S164" i="11"/>
  <c r="P164" i="11"/>
  <c r="O164" i="11"/>
  <c r="N164" i="11"/>
  <c r="J164" i="11"/>
  <c r="I164" i="11"/>
  <c r="AF163" i="11"/>
  <c r="AC163" i="11"/>
  <c r="AB163" i="11"/>
  <c r="AD163" i="11" s="1"/>
  <c r="AA163" i="11"/>
  <c r="X163" i="11"/>
  <c r="W163" i="11"/>
  <c r="Q163" i="11"/>
  <c r="R163" i="11" s="1"/>
  <c r="V163" i="11" s="1"/>
  <c r="M163" i="11"/>
  <c r="L163" i="11"/>
  <c r="G163" i="11"/>
  <c r="AF162" i="11"/>
  <c r="AD162" i="11"/>
  <c r="AD164" i="11" s="1"/>
  <c r="AC162" i="11"/>
  <c r="AB162" i="11"/>
  <c r="N162" i="11"/>
  <c r="Q162" i="11" s="1"/>
  <c r="R162" i="11" s="1"/>
  <c r="V162" i="11" s="1"/>
  <c r="M162" i="11"/>
  <c r="L162" i="11"/>
  <c r="G162" i="11"/>
  <c r="AF161" i="11"/>
  <c r="R161" i="11"/>
  <c r="V161" i="11" s="1"/>
  <c r="AF160" i="11"/>
  <c r="AD160" i="11"/>
  <c r="AC160" i="11"/>
  <c r="AC164" i="11" s="1"/>
  <c r="AB160" i="11"/>
  <c r="AB164" i="11" s="1"/>
  <c r="N160" i="11"/>
  <c r="Q160" i="11" s="1"/>
  <c r="R160" i="11" s="1"/>
  <c r="M160" i="11"/>
  <c r="L160" i="11"/>
  <c r="L164" i="11" s="1"/>
  <c r="G160" i="11"/>
  <c r="J158" i="11"/>
  <c r="U157" i="11"/>
  <c r="T157" i="11"/>
  <c r="S157" i="11"/>
  <c r="P157" i="11"/>
  <c r="O157" i="11"/>
  <c r="N157" i="11"/>
  <c r="J157" i="11"/>
  <c r="I157" i="11"/>
  <c r="AF156" i="11"/>
  <c r="AC156" i="11"/>
  <c r="AB156" i="11"/>
  <c r="AD156" i="11" s="1"/>
  <c r="Q156" i="11"/>
  <c r="R156" i="11" s="1"/>
  <c r="V156" i="11" s="1"/>
  <c r="AA156" i="11" s="1"/>
  <c r="AA157" i="11" s="1"/>
  <c r="M156" i="11"/>
  <c r="L156" i="11"/>
  <c r="G156" i="11"/>
  <c r="AF155" i="11"/>
  <c r="R155" i="11"/>
  <c r="V155" i="11" s="1"/>
  <c r="AF154" i="11"/>
  <c r="AC154" i="11"/>
  <c r="AC157" i="11" s="1"/>
  <c r="AB154" i="11"/>
  <c r="Q154" i="11"/>
  <c r="M154" i="11"/>
  <c r="M157" i="11" s="1"/>
  <c r="L154" i="11"/>
  <c r="L157" i="11" s="1"/>
  <c r="G154" i="11"/>
  <c r="J150" i="11"/>
  <c r="U149" i="11"/>
  <c r="T149" i="11"/>
  <c r="S149" i="11"/>
  <c r="P149" i="11"/>
  <c r="O149" i="11"/>
  <c r="N149" i="11"/>
  <c r="J149" i="11"/>
  <c r="I149" i="11"/>
  <c r="AF148" i="11"/>
  <c r="AC148" i="11"/>
  <c r="AB148" i="11"/>
  <c r="AD148" i="11" s="1"/>
  <c r="Q148" i="11"/>
  <c r="R148" i="11" s="1"/>
  <c r="V148" i="11" s="1"/>
  <c r="AA148" i="11" s="1"/>
  <c r="AA149" i="11" s="1"/>
  <c r="M148" i="11"/>
  <c r="L148" i="11"/>
  <c r="G148" i="11"/>
  <c r="AF147" i="11"/>
  <c r="Z147" i="11"/>
  <c r="Y147" i="11"/>
  <c r="V147" i="11"/>
  <c r="AF146" i="11"/>
  <c r="AF149" i="11" s="1"/>
  <c r="AD146" i="11"/>
  <c r="AD149" i="11" s="1"/>
  <c r="AC146" i="11"/>
  <c r="AC149" i="11" s="1"/>
  <c r="AB146" i="11"/>
  <c r="R146" i="11"/>
  <c r="V146" i="11" s="1"/>
  <c r="Q146" i="11"/>
  <c r="M146" i="11"/>
  <c r="M149" i="11" s="1"/>
  <c r="L146" i="11"/>
  <c r="L149" i="11" s="1"/>
  <c r="G146" i="11"/>
  <c r="J143" i="11"/>
  <c r="U142" i="11"/>
  <c r="T142" i="11"/>
  <c r="S142" i="11"/>
  <c r="P142" i="11"/>
  <c r="O142" i="11"/>
  <c r="N142" i="11"/>
  <c r="J142" i="11"/>
  <c r="I142" i="11"/>
  <c r="AF141" i="11"/>
  <c r="AA141" i="11"/>
  <c r="Y141" i="11"/>
  <c r="X141" i="11"/>
  <c r="W141" i="11"/>
  <c r="V141" i="11"/>
  <c r="Z141" i="11" s="1"/>
  <c r="AF140" i="11"/>
  <c r="AC140" i="11"/>
  <c r="AB140" i="11"/>
  <c r="AD140" i="11" s="1"/>
  <c r="Q140" i="11"/>
  <c r="R140" i="11" s="1"/>
  <c r="V140" i="11" s="1"/>
  <c r="M140" i="11"/>
  <c r="L140" i="11"/>
  <c r="G140" i="11"/>
  <c r="AF139" i="11"/>
  <c r="AF142" i="11" s="1"/>
  <c r="AD139" i="11"/>
  <c r="AC139" i="11"/>
  <c r="AB139" i="11"/>
  <c r="Q139" i="11"/>
  <c r="R139" i="11" s="1"/>
  <c r="V139" i="11" s="1"/>
  <c r="M139" i="11"/>
  <c r="L139" i="11"/>
  <c r="G139" i="11"/>
  <c r="AF138" i="11"/>
  <c r="AC138" i="11"/>
  <c r="AC142" i="11" s="1"/>
  <c r="AB138" i="11"/>
  <c r="Q138" i="11"/>
  <c r="R138" i="11" s="1"/>
  <c r="V138" i="11" s="1"/>
  <c r="X138" i="11" s="1"/>
  <c r="M138" i="11"/>
  <c r="M142" i="11" s="1"/>
  <c r="L138" i="11"/>
  <c r="G138" i="11"/>
  <c r="J135" i="11"/>
  <c r="U134" i="11"/>
  <c r="T134" i="11"/>
  <c r="S134" i="11"/>
  <c r="P134" i="11"/>
  <c r="O134" i="11"/>
  <c r="J134" i="11"/>
  <c r="I134" i="11"/>
  <c r="AF133" i="11"/>
  <c r="R133" i="11"/>
  <c r="V133" i="11" s="1"/>
  <c r="AF132" i="11"/>
  <c r="AC132" i="11"/>
  <c r="AC134" i="11" s="1"/>
  <c r="AB132" i="11"/>
  <c r="AD132" i="11" s="1"/>
  <c r="N132" i="11"/>
  <c r="N134" i="11" s="1"/>
  <c r="M132" i="11"/>
  <c r="L132" i="11"/>
  <c r="G132" i="11"/>
  <c r="AF131" i="11"/>
  <c r="AD131" i="11"/>
  <c r="AC131" i="11"/>
  <c r="AB131" i="11"/>
  <c r="V131" i="11"/>
  <c r="AA131" i="11" s="1"/>
  <c r="Q131" i="11"/>
  <c r="R131" i="11" s="1"/>
  <c r="M131" i="11"/>
  <c r="L131" i="11"/>
  <c r="G131" i="11"/>
  <c r="AF130" i="11"/>
  <c r="Z130" i="11"/>
  <c r="V130" i="11"/>
  <c r="Y130" i="11" s="1"/>
  <c r="AF129" i="11"/>
  <c r="AF135" i="11" s="1"/>
  <c r="AD129" i="11"/>
  <c r="AC129" i="11"/>
  <c r="AB129" i="11"/>
  <c r="Q129" i="11"/>
  <c r="M129" i="11"/>
  <c r="L129" i="11"/>
  <c r="L134" i="11" s="1"/>
  <c r="G129" i="11"/>
  <c r="J126" i="11"/>
  <c r="U125" i="11"/>
  <c r="T125" i="11"/>
  <c r="S125" i="11"/>
  <c r="P125" i="11"/>
  <c r="O125" i="11"/>
  <c r="J125" i="11"/>
  <c r="I125" i="11"/>
  <c r="AF124" i="11"/>
  <c r="Y124" i="11"/>
  <c r="X124" i="11"/>
  <c r="V124" i="11"/>
  <c r="Z124" i="11" s="1"/>
  <c r="AF123" i="11"/>
  <c r="AA123" i="11"/>
  <c r="Z123" i="11"/>
  <c r="V123" i="11"/>
  <c r="W123" i="11" s="1"/>
  <c r="AF122" i="11"/>
  <c r="AC122" i="11"/>
  <c r="AB122" i="11"/>
  <c r="AD122" i="11" s="1"/>
  <c r="N122" i="11"/>
  <c r="Q122" i="11" s="1"/>
  <c r="R122" i="11" s="1"/>
  <c r="V122" i="11" s="1"/>
  <c r="M122" i="11"/>
  <c r="L122" i="11"/>
  <c r="G122" i="11"/>
  <c r="AF121" i="11"/>
  <c r="AD121" i="11"/>
  <c r="AC121" i="11"/>
  <c r="AB121" i="11"/>
  <c r="Q121" i="11"/>
  <c r="R121" i="11" s="1"/>
  <c r="V121" i="11" s="1"/>
  <c r="M121" i="11"/>
  <c r="L121" i="11"/>
  <c r="G121" i="11"/>
  <c r="AF120" i="11"/>
  <c r="AC120" i="11"/>
  <c r="AB120" i="11"/>
  <c r="AD120" i="11" s="1"/>
  <c r="Q120" i="11"/>
  <c r="R120" i="11" s="1"/>
  <c r="V120" i="11" s="1"/>
  <c r="M120" i="11"/>
  <c r="L120" i="11"/>
  <c r="G120" i="11"/>
  <c r="N120" i="11" s="1"/>
  <c r="AF119" i="11"/>
  <c r="AC119" i="11"/>
  <c r="AB119" i="11"/>
  <c r="AD119" i="11" s="1"/>
  <c r="N119" i="11"/>
  <c r="Q119" i="11" s="1"/>
  <c r="R119" i="11" s="1"/>
  <c r="V119" i="11" s="1"/>
  <c r="M119" i="11"/>
  <c r="L119" i="11"/>
  <c r="G119" i="11"/>
  <c r="AF118" i="11"/>
  <c r="AD118" i="11"/>
  <c r="AC118" i="11"/>
  <c r="AB118" i="11"/>
  <c r="V118" i="11"/>
  <c r="AA118" i="11" s="1"/>
  <c r="Q118" i="11"/>
  <c r="R118" i="11" s="1"/>
  <c r="M118" i="11"/>
  <c r="L118" i="11"/>
  <c r="G118" i="11"/>
  <c r="AF117" i="11"/>
  <c r="AC117" i="11"/>
  <c r="AB117" i="11"/>
  <c r="M117" i="11"/>
  <c r="L117" i="11"/>
  <c r="G117" i="11"/>
  <c r="N117" i="11" s="1"/>
  <c r="N125" i="11" s="1"/>
  <c r="AF116" i="11"/>
  <c r="AC116" i="11"/>
  <c r="AB116" i="11"/>
  <c r="AD116" i="11" s="1"/>
  <c r="Q116" i="11"/>
  <c r="R116" i="11" s="1"/>
  <c r="V116" i="11" s="1"/>
  <c r="AA116" i="11" s="1"/>
  <c r="M116" i="11"/>
  <c r="L116" i="11"/>
  <c r="G116" i="11"/>
  <c r="AF115" i="11"/>
  <c r="AC115" i="11"/>
  <c r="AD115" i="11" s="1"/>
  <c r="AB115" i="11"/>
  <c r="V115" i="11"/>
  <c r="R115" i="11"/>
  <c r="Q115" i="11"/>
  <c r="M115" i="11"/>
  <c r="L115" i="11"/>
  <c r="G115" i="11"/>
  <c r="AF114" i="11"/>
  <c r="AC114" i="11"/>
  <c r="AB114" i="11"/>
  <c r="AD114" i="11" s="1"/>
  <c r="AA114" i="11"/>
  <c r="X114" i="11"/>
  <c r="W114" i="11"/>
  <c r="Q114" i="11"/>
  <c r="R114" i="11" s="1"/>
  <c r="V114" i="11" s="1"/>
  <c r="M114" i="11"/>
  <c r="L114" i="11"/>
  <c r="G114" i="11"/>
  <c r="AF113" i="11"/>
  <c r="AD113" i="11"/>
  <c r="AC113" i="11"/>
  <c r="AB113" i="11"/>
  <c r="R113" i="11"/>
  <c r="V113" i="11" s="1"/>
  <c r="Q113" i="11"/>
  <c r="M113" i="11"/>
  <c r="L113" i="11"/>
  <c r="G113" i="11"/>
  <c r="AF112" i="11"/>
  <c r="AF126" i="11" s="1"/>
  <c r="AC112" i="11"/>
  <c r="AB112" i="11"/>
  <c r="AD112" i="11" s="1"/>
  <c r="AA112" i="11"/>
  <c r="X112" i="11"/>
  <c r="Q112" i="11"/>
  <c r="R112" i="11" s="1"/>
  <c r="V112" i="11" s="1"/>
  <c r="W112" i="11" s="1"/>
  <c r="M112" i="11"/>
  <c r="L112" i="11"/>
  <c r="G112" i="11"/>
  <c r="AF111" i="11"/>
  <c r="AC111" i="11"/>
  <c r="AD111" i="11" s="1"/>
  <c r="AB111" i="11"/>
  <c r="R111" i="11"/>
  <c r="V111" i="11" s="1"/>
  <c r="Q111" i="11"/>
  <c r="M111" i="11"/>
  <c r="L111" i="11"/>
  <c r="G111" i="11"/>
  <c r="J108" i="11"/>
  <c r="U107" i="11"/>
  <c r="T107" i="11"/>
  <c r="S107" i="11"/>
  <c r="P107" i="11"/>
  <c r="O107" i="11"/>
  <c r="N107" i="11"/>
  <c r="L107" i="11"/>
  <c r="J107" i="11"/>
  <c r="I107" i="11"/>
  <c r="AF106" i="11"/>
  <c r="V106" i="11"/>
  <c r="X106" i="11" s="1"/>
  <c r="R106" i="11"/>
  <c r="AF105" i="11"/>
  <c r="R105" i="11"/>
  <c r="V105" i="11" s="1"/>
  <c r="AF104" i="11"/>
  <c r="AC104" i="11"/>
  <c r="AB104" i="11"/>
  <c r="AD104" i="11" s="1"/>
  <c r="Q104" i="11"/>
  <c r="R104" i="11" s="1"/>
  <c r="V104" i="11" s="1"/>
  <c r="M104" i="11"/>
  <c r="L104" i="11"/>
  <c r="G104" i="11"/>
  <c r="AF103" i="11"/>
  <c r="AC103" i="11"/>
  <c r="AD103" i="11" s="1"/>
  <c r="AB103" i="11"/>
  <c r="R103" i="11"/>
  <c r="V103" i="11" s="1"/>
  <c r="Q103" i="11"/>
  <c r="M103" i="11"/>
  <c r="L103" i="11"/>
  <c r="G103" i="11"/>
  <c r="AF102" i="11"/>
  <c r="AF107" i="11" s="1"/>
  <c r="AC102" i="11"/>
  <c r="AC107" i="11" s="1"/>
  <c r="AB102" i="11"/>
  <c r="AB107" i="11" s="1"/>
  <c r="Q102" i="11"/>
  <c r="R102" i="11" s="1"/>
  <c r="M102" i="11"/>
  <c r="M107" i="11" s="1"/>
  <c r="L102" i="11"/>
  <c r="G102" i="11"/>
  <c r="J97" i="11"/>
  <c r="AC96" i="11"/>
  <c r="U96" i="11"/>
  <c r="T96" i="11"/>
  <c r="S96" i="11"/>
  <c r="P96" i="11"/>
  <c r="O96" i="11"/>
  <c r="M96" i="11"/>
  <c r="J96" i="11"/>
  <c r="I96" i="11"/>
  <c r="AF95" i="11"/>
  <c r="R95" i="11"/>
  <c r="V95" i="11" s="1"/>
  <c r="AF94" i="11"/>
  <c r="V94" i="11"/>
  <c r="X94" i="11" s="1"/>
  <c r="R94" i="11"/>
  <c r="AF93" i="11"/>
  <c r="AC93" i="11"/>
  <c r="AB93" i="11"/>
  <c r="AD93" i="11" s="1"/>
  <c r="Q93" i="11"/>
  <c r="R93" i="11" s="1"/>
  <c r="V93" i="11" s="1"/>
  <c r="M93" i="11"/>
  <c r="L93" i="11"/>
  <c r="G93" i="11"/>
  <c r="AF92" i="11"/>
  <c r="AF96" i="11" s="1"/>
  <c r="AD92" i="11"/>
  <c r="AC92" i="11"/>
  <c r="AB92" i="11"/>
  <c r="Q92" i="11"/>
  <c r="R92" i="11" s="1"/>
  <c r="V92" i="11" s="1"/>
  <c r="M92" i="11"/>
  <c r="L92" i="11"/>
  <c r="G92" i="11"/>
  <c r="AF91" i="11"/>
  <c r="AC91" i="11"/>
  <c r="AB91" i="11"/>
  <c r="AD91" i="11" s="1"/>
  <c r="M91" i="11"/>
  <c r="L91" i="11"/>
  <c r="L96" i="11" s="1"/>
  <c r="G91" i="11"/>
  <c r="N91" i="11" s="1"/>
  <c r="J88" i="11"/>
  <c r="U87" i="11"/>
  <c r="T87" i="11"/>
  <c r="S87" i="11"/>
  <c r="O87" i="11"/>
  <c r="N87" i="11"/>
  <c r="J87" i="11"/>
  <c r="I87" i="11"/>
  <c r="AF86" i="11"/>
  <c r="AA86" i="11"/>
  <c r="Y86" i="11"/>
  <c r="X86" i="11"/>
  <c r="W86" i="11"/>
  <c r="V86" i="11"/>
  <c r="Z86" i="11" s="1"/>
  <c r="AF85" i="11"/>
  <c r="R85" i="11"/>
  <c r="V85" i="11" s="1"/>
  <c r="AF84" i="11"/>
  <c r="V84" i="11"/>
  <c r="X84" i="11" s="1"/>
  <c r="AF83" i="11"/>
  <c r="AF88" i="11" s="1"/>
  <c r="AC83" i="11"/>
  <c r="AB83" i="11"/>
  <c r="AD83" i="11" s="1"/>
  <c r="Q83" i="11"/>
  <c r="R83" i="11" s="1"/>
  <c r="V83" i="11" s="1"/>
  <c r="M83" i="11"/>
  <c r="M87" i="11" s="1"/>
  <c r="L83" i="11"/>
  <c r="G83" i="11"/>
  <c r="AF82" i="11"/>
  <c r="AF87" i="11" s="1"/>
  <c r="AC82" i="11"/>
  <c r="AD82" i="11" s="1"/>
  <c r="AD87" i="11" s="1"/>
  <c r="AB82" i="11"/>
  <c r="AB87" i="11" s="1"/>
  <c r="P82" i="11"/>
  <c r="P87" i="11" s="1"/>
  <c r="M82" i="11"/>
  <c r="L82" i="11"/>
  <c r="L87" i="11" s="1"/>
  <c r="G82" i="11"/>
  <c r="J77" i="11"/>
  <c r="AF76" i="11"/>
  <c r="U76" i="11"/>
  <c r="T76" i="11"/>
  <c r="S76" i="11"/>
  <c r="P76" i="11"/>
  <c r="O76" i="11"/>
  <c r="N76" i="11"/>
  <c r="J76" i="11"/>
  <c r="I76" i="11"/>
  <c r="AF75" i="11"/>
  <c r="AD75" i="11"/>
  <c r="Q75" i="11"/>
  <c r="R75" i="11" s="1"/>
  <c r="V75" i="11" s="1"/>
  <c r="M75" i="11"/>
  <c r="M76" i="11" s="1"/>
  <c r="L75" i="11"/>
  <c r="L76" i="11" s="1"/>
  <c r="G75" i="11"/>
  <c r="AF74" i="11"/>
  <c r="AC74" i="11"/>
  <c r="AC76" i="11" s="1"/>
  <c r="AB74" i="11"/>
  <c r="AD74" i="11" s="1"/>
  <c r="AD76" i="11" s="1"/>
  <c r="Q74" i="11"/>
  <c r="Q76" i="11" s="1"/>
  <c r="M74" i="11"/>
  <c r="L74" i="11"/>
  <c r="G74" i="11"/>
  <c r="J71" i="11"/>
  <c r="U70" i="11"/>
  <c r="T70" i="11"/>
  <c r="S70" i="11"/>
  <c r="P70" i="11"/>
  <c r="O70" i="11"/>
  <c r="J70" i="11"/>
  <c r="I70" i="11"/>
  <c r="AF69" i="11"/>
  <c r="V69" i="11"/>
  <c r="X69" i="11" s="1"/>
  <c r="R69" i="11"/>
  <c r="AF68" i="11"/>
  <c r="R68" i="11"/>
  <c r="V68" i="11" s="1"/>
  <c r="M68" i="11"/>
  <c r="L68" i="11"/>
  <c r="G68" i="11"/>
  <c r="AF67" i="11"/>
  <c r="AD67" i="11"/>
  <c r="AC67" i="11"/>
  <c r="AB67" i="11"/>
  <c r="Q67" i="11"/>
  <c r="R67" i="11" s="1"/>
  <c r="V67" i="11" s="1"/>
  <c r="M67" i="11"/>
  <c r="L67" i="11"/>
  <c r="G67" i="11"/>
  <c r="AF66" i="11"/>
  <c r="AC66" i="11"/>
  <c r="AC70" i="11" s="1"/>
  <c r="AB66" i="11"/>
  <c r="AD66" i="11" s="1"/>
  <c r="M66" i="11"/>
  <c r="L66" i="11"/>
  <c r="G66" i="11"/>
  <c r="N66" i="11" s="1"/>
  <c r="AF65" i="11"/>
  <c r="R65" i="11"/>
  <c r="V65" i="11" s="1"/>
  <c r="M65" i="11"/>
  <c r="L65" i="11"/>
  <c r="AF64" i="11"/>
  <c r="AF71" i="11" s="1"/>
  <c r="AC64" i="11"/>
  <c r="AB64" i="11"/>
  <c r="AD64" i="11" s="1"/>
  <c r="AD70" i="11" s="1"/>
  <c r="R64" i="11"/>
  <c r="M64" i="11"/>
  <c r="M70" i="11" s="1"/>
  <c r="L64" i="11"/>
  <c r="L70" i="11" s="1"/>
  <c r="J61" i="11"/>
  <c r="AC60" i="11"/>
  <c r="U60" i="11"/>
  <c r="T60" i="11"/>
  <c r="S60" i="11"/>
  <c r="P60" i="11"/>
  <c r="O60" i="11"/>
  <c r="N60" i="11"/>
  <c r="J60" i="11"/>
  <c r="I60" i="11"/>
  <c r="AF59" i="11"/>
  <c r="Q59" i="11"/>
  <c r="R59" i="11" s="1"/>
  <c r="V59" i="11" s="1"/>
  <c r="AF58" i="11"/>
  <c r="AD58" i="11"/>
  <c r="AC58" i="11"/>
  <c r="AB58" i="11"/>
  <c r="Q58" i="11"/>
  <c r="R58" i="11" s="1"/>
  <c r="V58" i="11" s="1"/>
  <c r="M58" i="11"/>
  <c r="L58" i="11"/>
  <c r="G58" i="11"/>
  <c r="AF57" i="11"/>
  <c r="AC57" i="11"/>
  <c r="AB57" i="11"/>
  <c r="AD57" i="11" s="1"/>
  <c r="Q57" i="11"/>
  <c r="R57" i="11" s="1"/>
  <c r="V57" i="11" s="1"/>
  <c r="M57" i="11"/>
  <c r="L57" i="11"/>
  <c r="G57" i="11"/>
  <c r="AF56" i="11"/>
  <c r="Q56" i="11"/>
  <c r="R56" i="11" s="1"/>
  <c r="V56" i="11" s="1"/>
  <c r="M56" i="11"/>
  <c r="L56" i="11"/>
  <c r="AF55" i="11"/>
  <c r="AF60" i="11" s="1"/>
  <c r="AC55" i="11"/>
  <c r="AB55" i="11"/>
  <c r="AB60" i="11" s="1"/>
  <c r="Q55" i="11"/>
  <c r="R55" i="11" s="1"/>
  <c r="M55" i="11"/>
  <c r="M60" i="11" s="1"/>
  <c r="L55" i="11"/>
  <c r="L60" i="11" s="1"/>
  <c r="AI51" i="11"/>
  <c r="AJ51" i="11" s="1"/>
  <c r="AF51" i="11"/>
  <c r="Y51" i="11"/>
  <c r="V51" i="11"/>
  <c r="AA51" i="11" s="1"/>
  <c r="L51" i="11"/>
  <c r="J48" i="11"/>
  <c r="U47" i="11"/>
  <c r="T47" i="11"/>
  <c r="S47" i="11"/>
  <c r="P47" i="11"/>
  <c r="O47" i="11"/>
  <c r="N47" i="11"/>
  <c r="J47" i="11"/>
  <c r="AF47" i="11" s="1"/>
  <c r="I47" i="11"/>
  <c r="AF46" i="11"/>
  <c r="Q46" i="11"/>
  <c r="R46" i="11" s="1"/>
  <c r="V46" i="11" s="1"/>
  <c r="AF45" i="11"/>
  <c r="Q45" i="11"/>
  <c r="R45" i="11" s="1"/>
  <c r="V45" i="11" s="1"/>
  <c r="AF44" i="11"/>
  <c r="AC44" i="11"/>
  <c r="AB44" i="11"/>
  <c r="AD44" i="11" s="1"/>
  <c r="Q44" i="11"/>
  <c r="R44" i="11" s="1"/>
  <c r="V44" i="11" s="1"/>
  <c r="M44" i="11"/>
  <c r="L44" i="11"/>
  <c r="G44" i="11"/>
  <c r="AF43" i="11"/>
  <c r="AC43" i="11"/>
  <c r="AD43" i="11" s="1"/>
  <c r="AB43" i="11"/>
  <c r="R43" i="11"/>
  <c r="V43" i="11" s="1"/>
  <c r="Q43" i="11"/>
  <c r="M43" i="11"/>
  <c r="L43" i="11"/>
  <c r="G43" i="11"/>
  <c r="AF42" i="11"/>
  <c r="AC42" i="11"/>
  <c r="AB42" i="11"/>
  <c r="AD42" i="11" s="1"/>
  <c r="Q42" i="11"/>
  <c r="R42" i="11" s="1"/>
  <c r="V42" i="11" s="1"/>
  <c r="M42" i="11"/>
  <c r="L42" i="11"/>
  <c r="G42" i="11"/>
  <c r="AF41" i="11"/>
  <c r="AC41" i="11"/>
  <c r="AD41" i="11" s="1"/>
  <c r="AB41" i="11"/>
  <c r="R41" i="11"/>
  <c r="V41" i="11" s="1"/>
  <c r="Q41" i="11"/>
  <c r="M41" i="11"/>
  <c r="L41" i="11"/>
  <c r="G41" i="11"/>
  <c r="AF40" i="11"/>
  <c r="AF48" i="11" s="1"/>
  <c r="AC40" i="11"/>
  <c r="AB40" i="11"/>
  <c r="AB47" i="11" s="1"/>
  <c r="Q40" i="11"/>
  <c r="R40" i="11" s="1"/>
  <c r="M40" i="11"/>
  <c r="M47" i="11" s="1"/>
  <c r="L40" i="11"/>
  <c r="L47" i="11" s="1"/>
  <c r="G40" i="11"/>
  <c r="J37" i="11"/>
  <c r="AB36" i="11"/>
  <c r="U36" i="11"/>
  <c r="T36" i="11"/>
  <c r="S36" i="11"/>
  <c r="P36" i="11"/>
  <c r="O36" i="11"/>
  <c r="N36" i="11"/>
  <c r="J36" i="11"/>
  <c r="I36" i="11"/>
  <c r="AF35" i="11"/>
  <c r="Q35" i="11"/>
  <c r="R35" i="11" s="1"/>
  <c r="V35" i="11" s="1"/>
  <c r="M35" i="11"/>
  <c r="L35" i="11"/>
  <c r="L36" i="11" s="1"/>
  <c r="AF34" i="11"/>
  <c r="Q34" i="11"/>
  <c r="R34" i="11" s="1"/>
  <c r="V34" i="11" s="1"/>
  <c r="M34" i="11"/>
  <c r="L34" i="11"/>
  <c r="AF33" i="11"/>
  <c r="AC33" i="11"/>
  <c r="AD33" i="11" s="1"/>
  <c r="AB33" i="11"/>
  <c r="R33" i="11"/>
  <c r="V33" i="11" s="1"/>
  <c r="Q33" i="11"/>
  <c r="M33" i="11"/>
  <c r="L33" i="11"/>
  <c r="G33" i="11"/>
  <c r="AF32" i="11"/>
  <c r="AC32" i="11"/>
  <c r="AB32" i="11"/>
  <c r="AD32" i="11" s="1"/>
  <c r="Q32" i="11"/>
  <c r="R32" i="11" s="1"/>
  <c r="V32" i="11" s="1"/>
  <c r="M32" i="11"/>
  <c r="L32" i="11"/>
  <c r="G32" i="11"/>
  <c r="AF31" i="11"/>
  <c r="AC31" i="11"/>
  <c r="AD31" i="11" s="1"/>
  <c r="AB31" i="11"/>
  <c r="R31" i="11"/>
  <c r="V31" i="11" s="1"/>
  <c r="Q31" i="11"/>
  <c r="M31" i="11"/>
  <c r="L31" i="11"/>
  <c r="G31" i="11"/>
  <c r="AF30" i="11"/>
  <c r="AC30" i="11"/>
  <c r="AB30" i="11"/>
  <c r="AD30" i="11" s="1"/>
  <c r="Q30" i="11"/>
  <c r="R30" i="11" s="1"/>
  <c r="V30" i="11" s="1"/>
  <c r="M30" i="11"/>
  <c r="L30" i="11"/>
  <c r="G30" i="11"/>
  <c r="AF29" i="11"/>
  <c r="AC29" i="11"/>
  <c r="AD29" i="11" s="1"/>
  <c r="AB29" i="11"/>
  <c r="R29" i="11"/>
  <c r="V29" i="11" s="1"/>
  <c r="Q29" i="11"/>
  <c r="M29" i="11"/>
  <c r="L29" i="11"/>
  <c r="G29" i="11"/>
  <c r="AF28" i="11"/>
  <c r="AC28" i="11"/>
  <c r="AB28" i="11"/>
  <c r="AD28" i="11" s="1"/>
  <c r="Q28" i="11"/>
  <c r="R28" i="11" s="1"/>
  <c r="V28" i="11" s="1"/>
  <c r="M28" i="11"/>
  <c r="L28" i="11"/>
  <c r="G28" i="11"/>
  <c r="AF27" i="11"/>
  <c r="AC27" i="11"/>
  <c r="AD27" i="11" s="1"/>
  <c r="AB27" i="11"/>
  <c r="R27" i="11"/>
  <c r="V27" i="11" s="1"/>
  <c r="Q27" i="11"/>
  <c r="M27" i="11"/>
  <c r="L27" i="11"/>
  <c r="G27" i="11"/>
  <c r="AF26" i="11"/>
  <c r="AC26" i="11"/>
  <c r="AB26" i="11"/>
  <c r="AD26" i="11" s="1"/>
  <c r="Q26" i="11"/>
  <c r="R26" i="11" s="1"/>
  <c r="V26" i="11" s="1"/>
  <c r="M26" i="11"/>
  <c r="L26" i="11"/>
  <c r="G26" i="11"/>
  <c r="AF25" i="11"/>
  <c r="AC25" i="11"/>
  <c r="AD25" i="11" s="1"/>
  <c r="AB25" i="11"/>
  <c r="R25" i="11"/>
  <c r="V25" i="11" s="1"/>
  <c r="Q25" i="11"/>
  <c r="M25" i="11"/>
  <c r="L25" i="11"/>
  <c r="G25" i="11"/>
  <c r="AF24" i="11"/>
  <c r="AC24" i="11"/>
  <c r="AB24" i="11"/>
  <c r="AD24" i="11" s="1"/>
  <c r="Q24" i="11"/>
  <c r="R24" i="11" s="1"/>
  <c r="V24" i="11" s="1"/>
  <c r="M24" i="11"/>
  <c r="L24" i="11"/>
  <c r="G24" i="11"/>
  <c r="AF23" i="11"/>
  <c r="AC23" i="11"/>
  <c r="AD23" i="11" s="1"/>
  <c r="AB23" i="11"/>
  <c r="R23" i="11"/>
  <c r="V23" i="11" s="1"/>
  <c r="Q23" i="11"/>
  <c r="M23" i="11"/>
  <c r="L23" i="11"/>
  <c r="G23" i="11"/>
  <c r="AF22" i="11"/>
  <c r="AC22" i="11"/>
  <c r="AB22" i="11"/>
  <c r="AD22" i="11" s="1"/>
  <c r="Q22" i="11"/>
  <c r="R22" i="11" s="1"/>
  <c r="V22" i="11" s="1"/>
  <c r="M22" i="11"/>
  <c r="L22" i="11"/>
  <c r="G22" i="11"/>
  <c r="AF21" i="11"/>
  <c r="AC21" i="11"/>
  <c r="AC36" i="11" s="1"/>
  <c r="AB21" i="11"/>
  <c r="R21" i="11"/>
  <c r="V21" i="11" s="1"/>
  <c r="Q21" i="11"/>
  <c r="M21" i="11"/>
  <c r="L21" i="11"/>
  <c r="G21" i="11"/>
  <c r="AF20" i="11"/>
  <c r="AF37" i="11" s="1"/>
  <c r="AC20" i="11"/>
  <c r="AB20" i="11"/>
  <c r="AD20" i="11" s="1"/>
  <c r="Q20" i="11"/>
  <c r="R20" i="11" s="1"/>
  <c r="M20" i="11"/>
  <c r="M36" i="11" s="1"/>
  <c r="L20" i="11"/>
  <c r="G20" i="11"/>
  <c r="J17" i="11"/>
  <c r="U16" i="11"/>
  <c r="T16" i="11"/>
  <c r="S16" i="11"/>
  <c r="P16" i="11"/>
  <c r="O16" i="11"/>
  <c r="L16" i="11"/>
  <c r="J16" i="11"/>
  <c r="I16" i="11"/>
  <c r="I714" i="11" s="1"/>
  <c r="AF15" i="11"/>
  <c r="N15" i="11"/>
  <c r="Q15" i="11" s="1"/>
  <c r="R15" i="11" s="1"/>
  <c r="V15" i="11" s="1"/>
  <c r="M15" i="11"/>
  <c r="L15" i="11"/>
  <c r="AF14" i="11"/>
  <c r="N14" i="11"/>
  <c r="Q14" i="11" s="1"/>
  <c r="R14" i="11" s="1"/>
  <c r="V14" i="11" s="1"/>
  <c r="AF13" i="11"/>
  <c r="AC13" i="11"/>
  <c r="AD13" i="11" s="1"/>
  <c r="AB13" i="11"/>
  <c r="R13" i="11"/>
  <c r="V13" i="11" s="1"/>
  <c r="Q13" i="11"/>
  <c r="M13" i="11"/>
  <c r="L13" i="11"/>
  <c r="G13" i="11"/>
  <c r="AF12" i="11"/>
  <c r="AC12" i="11"/>
  <c r="AB12" i="11"/>
  <c r="AD12" i="11" s="1"/>
  <c r="Q12" i="11"/>
  <c r="R12" i="11" s="1"/>
  <c r="V12" i="11" s="1"/>
  <c r="M12" i="11"/>
  <c r="L12" i="11"/>
  <c r="G12" i="11"/>
  <c r="AF11" i="11"/>
  <c r="N11" i="11"/>
  <c r="N16" i="11" s="1"/>
  <c r="AF10" i="11"/>
  <c r="Q10" i="11"/>
  <c r="R10" i="11" s="1"/>
  <c r="V10" i="11" s="1"/>
  <c r="M10" i="11"/>
  <c r="L10" i="11"/>
  <c r="AF9" i="11"/>
  <c r="AF17" i="11" s="1"/>
  <c r="AC9" i="11"/>
  <c r="AC16" i="11" s="1"/>
  <c r="AB9" i="11"/>
  <c r="AD9" i="11" s="1"/>
  <c r="Q9" i="11"/>
  <c r="R9" i="11" s="1"/>
  <c r="M9" i="11"/>
  <c r="M16" i="11" s="1"/>
  <c r="L9" i="11"/>
  <c r="G9" i="11"/>
  <c r="J2657" i="1"/>
  <c r="I2657" i="1"/>
  <c r="H2657" i="1"/>
  <c r="E2657" i="1"/>
  <c r="J2652" i="1"/>
  <c r="I2652" i="1"/>
  <c r="H2652" i="1"/>
  <c r="E2652" i="1"/>
  <c r="J2646" i="1"/>
  <c r="I2646" i="1"/>
  <c r="H2646" i="1"/>
  <c r="E2646" i="1"/>
  <c r="J2640" i="1"/>
  <c r="I2640" i="1"/>
  <c r="I2658" i="1" s="1"/>
  <c r="H2640" i="1"/>
  <c r="E2640" i="1"/>
  <c r="J2637" i="1"/>
  <c r="I2637" i="1"/>
  <c r="H2637" i="1"/>
  <c r="E2637" i="1"/>
  <c r="J2629" i="1"/>
  <c r="I2629" i="1"/>
  <c r="H2629" i="1"/>
  <c r="E2629" i="1"/>
  <c r="J2624" i="1"/>
  <c r="I2624" i="1"/>
  <c r="H2624" i="1"/>
  <c r="E2624" i="1"/>
  <c r="J2616" i="1"/>
  <c r="J2630" i="1" s="1"/>
  <c r="I2616" i="1"/>
  <c r="I2630" i="1" s="1"/>
  <c r="H2616" i="1"/>
  <c r="E2616" i="1"/>
  <c r="J2611" i="1"/>
  <c r="I2611" i="1"/>
  <c r="H2611" i="1"/>
  <c r="E2611" i="1"/>
  <c r="J2600" i="1"/>
  <c r="I2600" i="1"/>
  <c r="H2600" i="1"/>
  <c r="E2600" i="1"/>
  <c r="J2584" i="1"/>
  <c r="I2584" i="1"/>
  <c r="H2584" i="1"/>
  <c r="E2584" i="1"/>
  <c r="J2572" i="1"/>
  <c r="I2572" i="1"/>
  <c r="H2572" i="1"/>
  <c r="E2572" i="1"/>
  <c r="I2562" i="1"/>
  <c r="I2601" i="1" s="1"/>
  <c r="E2562" i="1"/>
  <c r="J2561" i="1"/>
  <c r="J2562" i="1" s="1"/>
  <c r="J2601" i="1" s="1"/>
  <c r="H2561" i="1"/>
  <c r="J2554" i="1"/>
  <c r="I2554" i="1"/>
  <c r="H2554" i="1"/>
  <c r="E2554" i="1"/>
  <c r="J2536" i="1"/>
  <c r="I2536" i="1"/>
  <c r="H2536" i="1"/>
  <c r="G2536" i="1"/>
  <c r="E2536" i="1"/>
  <c r="J2533" i="1"/>
  <c r="I2533" i="1"/>
  <c r="H2533" i="1"/>
  <c r="G2533" i="1"/>
  <c r="E2533" i="1"/>
  <c r="J2526" i="1"/>
  <c r="I2526" i="1"/>
  <c r="H2526" i="1"/>
  <c r="E2526" i="1"/>
  <c r="J2523" i="1"/>
  <c r="I2523" i="1"/>
  <c r="H2523" i="1"/>
  <c r="E2523" i="1"/>
  <c r="J2517" i="1"/>
  <c r="I2517" i="1"/>
  <c r="H2517" i="1"/>
  <c r="E2517" i="1"/>
  <c r="J2511" i="1"/>
  <c r="I2511" i="1"/>
  <c r="H2511" i="1"/>
  <c r="E2511" i="1"/>
  <c r="E2504" i="1"/>
  <c r="J2495" i="1"/>
  <c r="I2495" i="1"/>
  <c r="H2495" i="1"/>
  <c r="E2495" i="1"/>
  <c r="J2485" i="1"/>
  <c r="I2485" i="1"/>
  <c r="H2485" i="1"/>
  <c r="E2485" i="1"/>
  <c r="J2469" i="1"/>
  <c r="J2487" i="1" s="1"/>
  <c r="I2469" i="1"/>
  <c r="H2469" i="1"/>
  <c r="H2487" i="1" s="1"/>
  <c r="E2469" i="1"/>
  <c r="J2464" i="1"/>
  <c r="I2464" i="1"/>
  <c r="H2464" i="1"/>
  <c r="E2464" i="1"/>
  <c r="J2458" i="1"/>
  <c r="I2458" i="1"/>
  <c r="H2458" i="1"/>
  <c r="E2458" i="1"/>
  <c r="J2439" i="1"/>
  <c r="I2439" i="1"/>
  <c r="H2439" i="1"/>
  <c r="E2439" i="1"/>
  <c r="J2430" i="1"/>
  <c r="I2430" i="1"/>
  <c r="H2430" i="1"/>
  <c r="E2430" i="1"/>
  <c r="J2406" i="1"/>
  <c r="I2406" i="1"/>
  <c r="H2406" i="1"/>
  <c r="E2406" i="1"/>
  <c r="J2398" i="1"/>
  <c r="I2398" i="1"/>
  <c r="H2398" i="1"/>
  <c r="E2398" i="1"/>
  <c r="J2391" i="1"/>
  <c r="I2391" i="1"/>
  <c r="H2391" i="1"/>
  <c r="E2391" i="1"/>
  <c r="J2382" i="1"/>
  <c r="I2382" i="1"/>
  <c r="H2382" i="1"/>
  <c r="E2382" i="1"/>
  <c r="J2371" i="1"/>
  <c r="I2371" i="1"/>
  <c r="H2371" i="1"/>
  <c r="E2371" i="1"/>
  <c r="J2363" i="1"/>
  <c r="I2363" i="1"/>
  <c r="H2363" i="1"/>
  <c r="E2363" i="1"/>
  <c r="J2349" i="1"/>
  <c r="I2349" i="1"/>
  <c r="H2349" i="1"/>
  <c r="E2349" i="1"/>
  <c r="J2339" i="1"/>
  <c r="I2339" i="1"/>
  <c r="H2339" i="1"/>
  <c r="E2339" i="1"/>
  <c r="J2333" i="1"/>
  <c r="J2340" i="1" s="1"/>
  <c r="I2333" i="1"/>
  <c r="I2340" i="1" s="1"/>
  <c r="H2333" i="1"/>
  <c r="E2333" i="1"/>
  <c r="E2340" i="1" s="1"/>
  <c r="J2323" i="1"/>
  <c r="I2323" i="1"/>
  <c r="H2323" i="1"/>
  <c r="E2323" i="1"/>
  <c r="J2310" i="1"/>
  <c r="I2310" i="1"/>
  <c r="H2310" i="1"/>
  <c r="E2310" i="1"/>
  <c r="J2302" i="1"/>
  <c r="I2302" i="1"/>
  <c r="H2302" i="1"/>
  <c r="E2302" i="1"/>
  <c r="J2299" i="1"/>
  <c r="I2299" i="1"/>
  <c r="H2299" i="1"/>
  <c r="E2299" i="1"/>
  <c r="J2292" i="1"/>
  <c r="J2311" i="1" s="1"/>
  <c r="I2292" i="1"/>
  <c r="H2292" i="1"/>
  <c r="E2292" i="1"/>
  <c r="E2286" i="1"/>
  <c r="E2283" i="1"/>
  <c r="E2280" i="1"/>
  <c r="E2277" i="1"/>
  <c r="J2273" i="1"/>
  <c r="I2273" i="1"/>
  <c r="H2273" i="1"/>
  <c r="E2273" i="1"/>
  <c r="J2267" i="1"/>
  <c r="I2267" i="1"/>
  <c r="H2267" i="1"/>
  <c r="E2267" i="1"/>
  <c r="J2248" i="1"/>
  <c r="I2248" i="1"/>
  <c r="H2248" i="1"/>
  <c r="E2248" i="1"/>
  <c r="J2233" i="1"/>
  <c r="I2233" i="1"/>
  <c r="H2233" i="1"/>
  <c r="E2233" i="1"/>
  <c r="I2223" i="1"/>
  <c r="H2223" i="1"/>
  <c r="E2223" i="1"/>
  <c r="J2222" i="1"/>
  <c r="J2223" i="1" s="1"/>
  <c r="J2274" i="1" s="1"/>
  <c r="J2212" i="1"/>
  <c r="I2212" i="1"/>
  <c r="H2212" i="1"/>
  <c r="E2212" i="1"/>
  <c r="J2204" i="1"/>
  <c r="I2204" i="1"/>
  <c r="H2204" i="1"/>
  <c r="E2204" i="1"/>
  <c r="J2187" i="1"/>
  <c r="I2187" i="1"/>
  <c r="H2187" i="1"/>
  <c r="E2187" i="1"/>
  <c r="J2174" i="1"/>
  <c r="I2174" i="1"/>
  <c r="H2174" i="1"/>
  <c r="E2174" i="1"/>
  <c r="J2164" i="1"/>
  <c r="I2164" i="1"/>
  <c r="H2164" i="1"/>
  <c r="E2164" i="1"/>
  <c r="J2154" i="1"/>
  <c r="I2154" i="1"/>
  <c r="H2154" i="1"/>
  <c r="E2154" i="1"/>
  <c r="J2146" i="1"/>
  <c r="I2146" i="1"/>
  <c r="H2146" i="1"/>
  <c r="E2146" i="1"/>
  <c r="J2130" i="1"/>
  <c r="I2130" i="1"/>
  <c r="H2130" i="1"/>
  <c r="E2130" i="1"/>
  <c r="J2117" i="1"/>
  <c r="I2117" i="1"/>
  <c r="H2117" i="1"/>
  <c r="E2117" i="1"/>
  <c r="I2107" i="1"/>
  <c r="H2107" i="1"/>
  <c r="E2107" i="1"/>
  <c r="J2106" i="1"/>
  <c r="J2107" i="1" s="1"/>
  <c r="J2096" i="1"/>
  <c r="I2096" i="1"/>
  <c r="H2096" i="1"/>
  <c r="E2096" i="1"/>
  <c r="J2089" i="1"/>
  <c r="I2089" i="1"/>
  <c r="H2089" i="1"/>
  <c r="E2089" i="1"/>
  <c r="J2071" i="1"/>
  <c r="I2071" i="1"/>
  <c r="H2071" i="1"/>
  <c r="E2071" i="1"/>
  <c r="J2057" i="1"/>
  <c r="I2057" i="1"/>
  <c r="H2057" i="1"/>
  <c r="E2057" i="1"/>
  <c r="J2047" i="1"/>
  <c r="J2097" i="1" s="1"/>
  <c r="I2047" i="1"/>
  <c r="H2047" i="1"/>
  <c r="E2047" i="1"/>
  <c r="J2038" i="1"/>
  <c r="I2038" i="1"/>
  <c r="H2038" i="1"/>
  <c r="E2038" i="1"/>
  <c r="J2034" i="1"/>
  <c r="I2034" i="1"/>
  <c r="H2034" i="1"/>
  <c r="E2034" i="1"/>
  <c r="J2027" i="1"/>
  <c r="J2039" i="1" s="1"/>
  <c r="I2027" i="1"/>
  <c r="I2039" i="1" s="1"/>
  <c r="H2027" i="1"/>
  <c r="E2027" i="1"/>
  <c r="J2019" i="1"/>
  <c r="I2019" i="1"/>
  <c r="H2019" i="1"/>
  <c r="E2019" i="1"/>
  <c r="J2012" i="1"/>
  <c r="I2012" i="1"/>
  <c r="H2012" i="1"/>
  <c r="E2012" i="1"/>
  <c r="J2006" i="1"/>
  <c r="I2006" i="1"/>
  <c r="H2006" i="1"/>
  <c r="E2006" i="1"/>
  <c r="J1998" i="1"/>
  <c r="I1998" i="1"/>
  <c r="I2020" i="1" s="1"/>
  <c r="H1998" i="1"/>
  <c r="E1998" i="1"/>
  <c r="J1987" i="1"/>
  <c r="I1987" i="1"/>
  <c r="H1987" i="1"/>
  <c r="E1987" i="1"/>
  <c r="I14" i="14"/>
  <c r="J1976" i="1"/>
  <c r="I1976" i="1"/>
  <c r="H1976" i="1"/>
  <c r="E1976" i="1"/>
  <c r="G14" i="14"/>
  <c r="J1966" i="1"/>
  <c r="I1966" i="1"/>
  <c r="I1989" i="1" s="1"/>
  <c r="H1966" i="1"/>
  <c r="G1966" i="1"/>
  <c r="E1966" i="1"/>
  <c r="J1958" i="1"/>
  <c r="I1958" i="1"/>
  <c r="H1958" i="1"/>
  <c r="E1958" i="1"/>
  <c r="I13" i="14"/>
  <c r="H13" i="14"/>
  <c r="G13" i="14"/>
  <c r="J1947" i="1"/>
  <c r="I1947" i="1"/>
  <c r="H1947" i="1"/>
  <c r="E1947" i="1"/>
  <c r="J1939" i="1"/>
  <c r="I1939" i="1"/>
  <c r="H1939" i="1"/>
  <c r="E1939" i="1"/>
  <c r="J1933" i="1"/>
  <c r="I1933" i="1"/>
  <c r="H1933" i="1"/>
  <c r="E1933" i="1"/>
  <c r="J1924" i="1"/>
  <c r="I1924" i="1"/>
  <c r="H1924" i="1"/>
  <c r="E1924" i="1"/>
  <c r="J1916" i="1"/>
  <c r="I1916" i="1"/>
  <c r="H1916" i="1"/>
  <c r="E1916" i="1"/>
  <c r="J1910" i="1"/>
  <c r="I1910" i="1"/>
  <c r="H1910" i="1"/>
  <c r="E1910" i="1"/>
  <c r="J1904" i="1"/>
  <c r="I1904" i="1"/>
  <c r="H1904" i="1"/>
  <c r="E1904" i="1"/>
  <c r="J1897" i="1"/>
  <c r="I1897" i="1"/>
  <c r="H1897" i="1"/>
  <c r="E1897" i="1"/>
  <c r="J1892" i="1"/>
  <c r="I1892" i="1"/>
  <c r="H1892" i="1"/>
  <c r="H1911" i="1" s="1"/>
  <c r="E1892" i="1"/>
  <c r="J1888" i="1"/>
  <c r="I1888" i="1"/>
  <c r="H1888" i="1"/>
  <c r="G1888" i="1"/>
  <c r="E1888" i="1"/>
  <c r="J1882" i="1"/>
  <c r="I1882" i="1"/>
  <c r="H1882" i="1"/>
  <c r="E1882" i="1"/>
  <c r="J1878" i="1"/>
  <c r="I1878" i="1"/>
  <c r="H1878" i="1"/>
  <c r="E1878" i="1"/>
  <c r="J1872" i="1"/>
  <c r="I1872" i="1"/>
  <c r="H1872" i="1"/>
  <c r="E1872" i="1"/>
  <c r="J1865" i="1"/>
  <c r="I1865" i="1"/>
  <c r="H1865" i="1"/>
  <c r="E1865" i="1"/>
  <c r="J1856" i="1"/>
  <c r="I1856" i="1"/>
  <c r="H1856" i="1"/>
  <c r="E1856" i="1"/>
  <c r="J1850" i="1"/>
  <c r="I1850" i="1"/>
  <c r="H1850" i="1"/>
  <c r="H1857" i="1" s="1"/>
  <c r="E1850" i="1"/>
  <c r="J1844" i="1"/>
  <c r="I1844" i="1"/>
  <c r="E1844" i="1"/>
  <c r="J1837" i="1"/>
  <c r="I1837" i="1"/>
  <c r="E1837" i="1"/>
  <c r="J1831" i="1"/>
  <c r="I1831" i="1"/>
  <c r="H1831" i="1"/>
  <c r="E1831" i="1"/>
  <c r="J1828" i="1"/>
  <c r="I1828" i="1"/>
  <c r="H1828" i="1"/>
  <c r="E1828" i="1"/>
  <c r="J1820" i="1"/>
  <c r="I1820" i="1"/>
  <c r="H1820" i="1"/>
  <c r="E1820" i="1"/>
  <c r="J1813" i="1"/>
  <c r="I1813" i="1"/>
  <c r="H1813" i="1"/>
  <c r="E1813" i="1"/>
  <c r="J1807" i="1"/>
  <c r="I1807" i="1"/>
  <c r="E1807" i="1"/>
  <c r="J1804" i="1"/>
  <c r="I1804" i="1"/>
  <c r="H1804" i="1"/>
  <c r="E1804" i="1"/>
  <c r="J1795" i="1"/>
  <c r="I1795" i="1"/>
  <c r="H1795" i="1"/>
  <c r="E1795" i="1"/>
  <c r="J1783" i="1"/>
  <c r="I1783" i="1"/>
  <c r="H1783" i="1"/>
  <c r="E1783" i="1"/>
  <c r="J1775" i="1"/>
  <c r="I1775" i="1"/>
  <c r="I1808" i="1" s="1"/>
  <c r="H1775" i="1"/>
  <c r="H1808" i="1" s="1"/>
  <c r="E1774" i="1"/>
  <c r="E1775" i="1" s="1"/>
  <c r="J1766" i="1"/>
  <c r="I1766" i="1"/>
  <c r="H1766" i="1"/>
  <c r="E1766" i="1"/>
  <c r="J1756" i="1"/>
  <c r="I1756" i="1"/>
  <c r="H1756" i="1"/>
  <c r="E1756" i="1"/>
  <c r="J1749" i="1"/>
  <c r="I1749" i="1"/>
  <c r="H1749" i="1"/>
  <c r="E1749" i="1"/>
  <c r="J1742" i="1"/>
  <c r="I1742" i="1"/>
  <c r="H1742" i="1"/>
  <c r="E1742" i="1"/>
  <c r="J1736" i="1"/>
  <c r="I1736" i="1"/>
  <c r="H1736" i="1"/>
  <c r="E1736" i="1"/>
  <c r="J1728" i="1"/>
  <c r="I1728" i="1"/>
  <c r="H1728" i="1"/>
  <c r="E1728" i="1"/>
  <c r="J1722" i="1"/>
  <c r="I1722" i="1"/>
  <c r="H1722" i="1"/>
  <c r="E1722" i="1"/>
  <c r="J1715" i="1"/>
  <c r="I1715" i="1"/>
  <c r="H1715" i="1"/>
  <c r="E1715" i="1"/>
  <c r="J1709" i="1"/>
  <c r="I1709" i="1"/>
  <c r="H1709" i="1"/>
  <c r="E1709" i="1"/>
  <c r="J1703" i="1"/>
  <c r="I1703" i="1"/>
  <c r="H1703" i="1"/>
  <c r="E1703" i="1"/>
  <c r="J1693" i="1"/>
  <c r="I1693" i="1"/>
  <c r="H1693" i="1"/>
  <c r="E1693" i="1"/>
  <c r="J1681" i="1"/>
  <c r="I1681" i="1"/>
  <c r="H1681" i="1"/>
  <c r="E1681" i="1"/>
  <c r="J1674" i="1"/>
  <c r="I1674" i="1"/>
  <c r="H1674" i="1"/>
  <c r="E1674" i="1"/>
  <c r="J1667" i="1"/>
  <c r="I1667" i="1"/>
  <c r="H1667" i="1"/>
  <c r="E1667" i="1"/>
  <c r="J1659" i="1"/>
  <c r="I1659" i="1"/>
  <c r="I1668" i="1" s="1"/>
  <c r="H1659" i="1"/>
  <c r="E1659" i="1"/>
  <c r="J1651" i="1"/>
  <c r="I1651" i="1"/>
  <c r="H1651" i="1"/>
  <c r="E1651" i="1"/>
  <c r="J1647" i="1"/>
  <c r="I1647" i="1"/>
  <c r="H1647" i="1"/>
  <c r="E1647" i="1"/>
  <c r="J1638" i="1"/>
  <c r="I1638" i="1"/>
  <c r="H1638" i="1"/>
  <c r="E1638" i="1"/>
  <c r="J1628" i="1"/>
  <c r="I1628" i="1"/>
  <c r="H1628" i="1"/>
  <c r="E1628" i="1"/>
  <c r="J1620" i="1"/>
  <c r="I1620" i="1"/>
  <c r="H1620" i="1"/>
  <c r="E1620" i="1"/>
  <c r="J1611" i="1"/>
  <c r="I1611" i="1"/>
  <c r="H1611" i="1"/>
  <c r="E1611" i="1"/>
  <c r="J1607" i="1"/>
  <c r="I1607" i="1"/>
  <c r="H1607" i="1"/>
  <c r="E1607" i="1"/>
  <c r="J1600" i="1"/>
  <c r="I1600" i="1"/>
  <c r="H1600" i="1"/>
  <c r="E1600" i="1"/>
  <c r="G1594" i="1"/>
  <c r="J1593" i="1"/>
  <c r="I1593" i="1"/>
  <c r="H1593" i="1"/>
  <c r="E1593" i="1"/>
  <c r="J1590" i="1"/>
  <c r="I1590" i="1"/>
  <c r="H1590" i="1"/>
  <c r="E1590" i="1"/>
  <c r="J1585" i="1"/>
  <c r="I1585" i="1"/>
  <c r="H1585" i="1"/>
  <c r="E1585" i="1"/>
  <c r="J1561" i="1"/>
  <c r="I1561" i="1"/>
  <c r="H1561" i="1"/>
  <c r="E1561" i="1"/>
  <c r="J1546" i="1"/>
  <c r="I1546" i="1"/>
  <c r="H1546" i="1"/>
  <c r="E1546" i="1"/>
  <c r="J1537" i="1"/>
  <c r="I1537" i="1"/>
  <c r="H1537" i="1"/>
  <c r="E1537" i="1"/>
  <c r="J1527" i="1"/>
  <c r="I1527" i="1"/>
  <c r="H1527" i="1"/>
  <c r="E1527" i="1"/>
  <c r="J1523" i="1"/>
  <c r="I1523" i="1"/>
  <c r="H1523" i="1"/>
  <c r="E1523" i="1"/>
  <c r="J1519" i="1"/>
  <c r="I1519" i="1"/>
  <c r="E1519" i="1"/>
  <c r="H1518" i="1"/>
  <c r="J1514" i="1"/>
  <c r="I1514" i="1"/>
  <c r="H1514" i="1"/>
  <c r="E1514" i="1"/>
  <c r="J1510" i="1"/>
  <c r="I1510" i="1"/>
  <c r="H1510" i="1"/>
  <c r="E1510" i="1"/>
  <c r="J1506" i="1"/>
  <c r="I1506" i="1"/>
  <c r="H1506" i="1"/>
  <c r="E1506" i="1"/>
  <c r="J1501" i="1"/>
  <c r="I1501" i="1"/>
  <c r="H1501" i="1"/>
  <c r="E1501" i="1"/>
  <c r="J1498" i="1"/>
  <c r="I1498" i="1"/>
  <c r="H1498" i="1"/>
  <c r="E1498" i="1"/>
  <c r="J1492" i="1"/>
  <c r="I1492" i="1"/>
  <c r="H1492" i="1"/>
  <c r="E1492" i="1"/>
  <c r="J1484" i="1"/>
  <c r="I1484" i="1"/>
  <c r="H1484" i="1"/>
  <c r="E1484" i="1"/>
  <c r="J1476" i="1"/>
  <c r="I1476" i="1"/>
  <c r="H1476" i="1"/>
  <c r="E1476" i="1"/>
  <c r="J1470" i="1"/>
  <c r="I1470" i="1"/>
  <c r="H1470" i="1"/>
  <c r="E1470" i="1"/>
  <c r="J1464" i="1"/>
  <c r="I1464" i="1"/>
  <c r="H1464" i="1"/>
  <c r="E1464" i="1"/>
  <c r="J1457" i="1"/>
  <c r="I1457" i="1"/>
  <c r="H1457" i="1"/>
  <c r="E1457" i="1"/>
  <c r="F1456" i="1"/>
  <c r="F1455" i="1"/>
  <c r="F1454" i="1"/>
  <c r="F1453" i="1"/>
  <c r="F1452" i="1"/>
  <c r="F1451" i="1"/>
  <c r="J1449" i="1"/>
  <c r="I1449" i="1"/>
  <c r="H1449" i="1"/>
  <c r="E1449" i="1"/>
  <c r="F1447" i="1"/>
  <c r="J1443" i="1"/>
  <c r="I1443" i="1"/>
  <c r="H1443" i="1"/>
  <c r="E1443" i="1"/>
  <c r="F1441" i="1"/>
  <c r="F1440" i="1"/>
  <c r="F1439" i="1"/>
  <c r="F1438" i="1"/>
  <c r="J1436" i="1"/>
  <c r="I1436" i="1"/>
  <c r="H1436" i="1"/>
  <c r="E1436" i="1"/>
  <c r="F1435" i="1"/>
  <c r="F1434" i="1"/>
  <c r="F1433" i="1"/>
  <c r="F1432" i="1"/>
  <c r="F1431" i="1"/>
  <c r="J1429" i="1"/>
  <c r="I1429" i="1"/>
  <c r="H1429" i="1"/>
  <c r="E1429" i="1"/>
  <c r="F1428" i="1"/>
  <c r="F1427" i="1"/>
  <c r="F1426" i="1"/>
  <c r="F1425" i="1"/>
  <c r="F1424" i="1"/>
  <c r="F1423" i="1"/>
  <c r="J1421" i="1"/>
  <c r="I1421" i="1"/>
  <c r="H1421" i="1"/>
  <c r="E1421" i="1"/>
  <c r="F1419" i="1"/>
  <c r="J1415" i="1"/>
  <c r="I1415" i="1"/>
  <c r="H1415" i="1"/>
  <c r="E1415" i="1"/>
  <c r="J1412" i="1"/>
  <c r="I1412" i="1"/>
  <c r="H1412" i="1"/>
  <c r="E1412" i="1"/>
  <c r="F1410" i="1"/>
  <c r="F1409" i="1"/>
  <c r="F1408" i="1"/>
  <c r="J1406" i="1"/>
  <c r="I1406" i="1"/>
  <c r="H1406" i="1"/>
  <c r="E1406" i="1"/>
  <c r="F1405" i="1"/>
  <c r="F1404" i="1"/>
  <c r="F1403" i="1"/>
  <c r="F1402" i="1"/>
  <c r="J1400" i="1"/>
  <c r="I1400" i="1"/>
  <c r="H1400" i="1"/>
  <c r="E1400" i="1"/>
  <c r="F1399" i="1"/>
  <c r="F1398" i="1"/>
  <c r="F1397" i="1"/>
  <c r="F1396" i="1"/>
  <c r="F1395" i="1"/>
  <c r="F1394" i="1"/>
  <c r="J1392" i="1"/>
  <c r="I1392" i="1"/>
  <c r="H1392" i="1"/>
  <c r="E1392" i="1"/>
  <c r="F1390" i="1"/>
  <c r="J1386" i="1"/>
  <c r="I1386" i="1"/>
  <c r="E1386" i="1"/>
  <c r="J1383" i="1"/>
  <c r="I1383" i="1"/>
  <c r="H1383" i="1"/>
  <c r="E1383" i="1"/>
  <c r="F1381" i="1"/>
  <c r="F1379" i="1"/>
  <c r="J1377" i="1"/>
  <c r="I1377" i="1"/>
  <c r="H1377" i="1"/>
  <c r="E1377" i="1"/>
  <c r="F1376" i="1"/>
  <c r="F1374" i="1"/>
  <c r="F1373" i="1"/>
  <c r="F1372" i="1"/>
  <c r="F1371" i="1"/>
  <c r="F1370" i="1"/>
  <c r="J1368" i="1"/>
  <c r="I1368" i="1"/>
  <c r="H1368" i="1"/>
  <c r="E1368" i="1"/>
  <c r="F1367" i="1"/>
  <c r="F1366" i="1"/>
  <c r="F1365" i="1"/>
  <c r="F1364" i="1"/>
  <c r="F1363" i="1"/>
  <c r="F1362" i="1"/>
  <c r="J1360" i="1"/>
  <c r="I1360" i="1"/>
  <c r="H1360" i="1"/>
  <c r="E1360" i="1"/>
  <c r="F1358" i="1"/>
  <c r="J1354" i="1"/>
  <c r="I1354" i="1"/>
  <c r="H1354" i="1"/>
  <c r="E1354" i="1"/>
  <c r="F1353" i="1"/>
  <c r="F1352" i="1"/>
  <c r="F1351" i="1"/>
  <c r="J1348" i="1"/>
  <c r="I1348" i="1"/>
  <c r="H1348" i="1"/>
  <c r="E1348" i="1"/>
  <c r="F1346" i="1"/>
  <c r="F1345" i="1"/>
  <c r="F1344" i="1"/>
  <c r="F1343" i="1"/>
  <c r="J1339" i="1"/>
  <c r="I1339" i="1"/>
  <c r="H1339" i="1"/>
  <c r="E1339" i="1"/>
  <c r="F1338" i="1"/>
  <c r="F1337" i="1"/>
  <c r="F1336" i="1"/>
  <c r="F1335" i="1"/>
  <c r="F1334" i="1"/>
  <c r="J1330" i="1"/>
  <c r="I1330" i="1"/>
  <c r="H1330" i="1"/>
  <c r="E1330" i="1"/>
  <c r="F1329" i="1"/>
  <c r="F1328" i="1"/>
  <c r="F1327" i="1"/>
  <c r="F1326" i="1"/>
  <c r="F1325" i="1"/>
  <c r="F1324" i="1"/>
  <c r="F1323" i="1"/>
  <c r="F1322" i="1"/>
  <c r="J1316" i="1"/>
  <c r="I1316" i="1"/>
  <c r="H1316" i="1"/>
  <c r="E1316" i="1"/>
  <c r="F1315" i="1"/>
  <c r="F1314" i="1"/>
  <c r="F1313" i="1"/>
  <c r="J1309" i="1"/>
  <c r="H1309" i="1"/>
  <c r="E1309" i="1"/>
  <c r="J1307" i="1"/>
  <c r="I1307" i="1"/>
  <c r="H1307" i="1"/>
  <c r="E1307" i="1"/>
  <c r="F1306" i="1"/>
  <c r="F1305" i="1"/>
  <c r="J1303" i="1"/>
  <c r="I1303" i="1"/>
  <c r="H1303" i="1"/>
  <c r="E1303" i="1"/>
  <c r="F1302" i="1"/>
  <c r="F1301" i="1"/>
  <c r="F1300" i="1"/>
  <c r="F1299" i="1"/>
  <c r="J1295" i="1"/>
  <c r="I1295" i="1"/>
  <c r="H1295" i="1"/>
  <c r="E1295" i="1"/>
  <c r="F1294" i="1"/>
  <c r="F1293" i="1"/>
  <c r="F1292" i="1"/>
  <c r="F1291" i="1"/>
  <c r="J1287" i="1"/>
  <c r="I1287" i="1"/>
  <c r="H1287" i="1"/>
  <c r="E1287" i="1"/>
  <c r="F1285" i="1"/>
  <c r="F1284" i="1"/>
  <c r="F1283" i="1"/>
  <c r="F1282" i="1"/>
  <c r="F1281" i="1"/>
  <c r="F1280" i="1"/>
  <c r="J1275" i="1"/>
  <c r="I1275" i="1"/>
  <c r="H1275" i="1"/>
  <c r="E1275" i="1"/>
  <c r="F1273" i="1"/>
  <c r="F1272" i="1"/>
  <c r="F1271" i="1"/>
  <c r="F1270" i="1"/>
  <c r="F1269" i="1"/>
  <c r="J1265" i="1"/>
  <c r="H1265" i="1"/>
  <c r="E1265" i="1"/>
  <c r="J1263" i="1"/>
  <c r="I1263" i="1"/>
  <c r="H1263" i="1"/>
  <c r="E1263" i="1"/>
  <c r="F1262" i="1"/>
  <c r="F1261" i="1"/>
  <c r="J1259" i="1"/>
  <c r="I1259" i="1"/>
  <c r="H1259" i="1"/>
  <c r="E1259" i="1"/>
  <c r="F1258" i="1"/>
  <c r="F1257" i="1"/>
  <c r="F1256" i="1"/>
  <c r="F1255" i="1"/>
  <c r="F1254" i="1"/>
  <c r="J1249" i="1"/>
  <c r="I1249" i="1"/>
  <c r="H1249" i="1"/>
  <c r="E1249" i="1"/>
  <c r="F1248" i="1"/>
  <c r="F1247" i="1"/>
  <c r="J1245" i="1"/>
  <c r="I1245" i="1"/>
  <c r="H1245" i="1"/>
  <c r="E1245" i="1"/>
  <c r="F1244" i="1"/>
  <c r="F1243" i="1"/>
  <c r="F1242" i="1"/>
  <c r="F1241" i="1"/>
  <c r="F1240" i="1"/>
  <c r="F1239" i="1"/>
  <c r="J1237" i="1"/>
  <c r="I1237" i="1"/>
  <c r="H1237" i="1"/>
  <c r="H1250" i="1" s="1"/>
  <c r="E1237" i="1"/>
  <c r="F1234" i="1"/>
  <c r="J1230" i="1"/>
  <c r="I1230" i="1"/>
  <c r="H1230" i="1"/>
  <c r="E1230" i="1"/>
  <c r="F1229" i="1"/>
  <c r="J1227" i="1"/>
  <c r="I1227" i="1"/>
  <c r="H1227" i="1"/>
  <c r="E1227" i="1"/>
  <c r="F1226" i="1"/>
  <c r="F1225" i="1"/>
  <c r="F1224" i="1"/>
  <c r="F1223" i="1"/>
  <c r="F1222" i="1"/>
  <c r="J1220" i="1"/>
  <c r="I1220" i="1"/>
  <c r="H1220" i="1"/>
  <c r="E1220" i="1"/>
  <c r="E1231" i="1" s="1"/>
  <c r="J1214" i="1"/>
  <c r="I1214" i="1"/>
  <c r="H1214" i="1"/>
  <c r="E1214" i="1"/>
  <c r="F1213" i="1"/>
  <c r="J1211" i="1"/>
  <c r="I1211" i="1"/>
  <c r="H1211" i="1"/>
  <c r="E1211" i="1"/>
  <c r="F1210" i="1"/>
  <c r="F1209" i="1"/>
  <c r="F1208" i="1"/>
  <c r="F1207" i="1"/>
  <c r="F1206" i="1"/>
  <c r="F1205" i="1"/>
  <c r="J1203" i="1"/>
  <c r="I1203" i="1"/>
  <c r="H1203" i="1"/>
  <c r="E1203" i="1"/>
  <c r="F1202" i="1"/>
  <c r="F1200" i="1"/>
  <c r="F1199" i="1"/>
  <c r="J1196" i="1"/>
  <c r="I1196" i="1"/>
  <c r="E1196" i="1"/>
  <c r="J1191" i="1"/>
  <c r="I1191" i="1"/>
  <c r="H1191" i="1"/>
  <c r="E1191" i="1"/>
  <c r="F1190" i="1"/>
  <c r="F1189" i="1"/>
  <c r="F1188" i="1"/>
  <c r="F1187" i="1"/>
  <c r="J1184" i="1"/>
  <c r="I1184" i="1"/>
  <c r="H1184" i="1"/>
  <c r="E1184" i="1"/>
  <c r="F1183" i="1"/>
  <c r="F1181" i="1"/>
  <c r="F1180" i="1"/>
  <c r="F1179" i="1"/>
  <c r="F1178" i="1"/>
  <c r="F1177" i="1"/>
  <c r="J1175" i="1"/>
  <c r="I1175" i="1"/>
  <c r="H1175" i="1"/>
  <c r="E1175" i="1"/>
  <c r="F1174" i="1"/>
  <c r="F1173" i="1"/>
  <c r="F1172" i="1"/>
  <c r="F1171" i="1"/>
  <c r="F1170" i="1"/>
  <c r="I1168" i="1"/>
  <c r="H1168" i="1"/>
  <c r="J1167" i="1"/>
  <c r="J1168" i="1" s="1"/>
  <c r="E1167" i="1"/>
  <c r="E1168" i="1" s="1"/>
  <c r="F1164" i="1"/>
  <c r="F1163" i="1"/>
  <c r="J1159" i="1"/>
  <c r="I1159" i="1"/>
  <c r="H1159" i="1"/>
  <c r="E1159" i="1"/>
  <c r="F1158" i="1"/>
  <c r="F1157" i="1"/>
  <c r="F1156" i="1"/>
  <c r="F1155" i="1"/>
  <c r="F1154" i="1"/>
  <c r="F1153" i="1"/>
  <c r="F1152" i="1"/>
  <c r="J1150" i="1"/>
  <c r="I1150" i="1"/>
  <c r="H1150" i="1"/>
  <c r="E1150" i="1"/>
  <c r="F1148" i="1"/>
  <c r="F1146" i="1"/>
  <c r="F1145" i="1"/>
  <c r="J1143" i="1"/>
  <c r="I1143" i="1"/>
  <c r="H1143" i="1"/>
  <c r="E1143" i="1"/>
  <c r="F1142" i="1"/>
  <c r="F1141" i="1"/>
  <c r="F1140" i="1"/>
  <c r="F1139" i="1"/>
  <c r="F1138" i="1"/>
  <c r="J1136" i="1"/>
  <c r="I1136" i="1"/>
  <c r="H1136" i="1"/>
  <c r="E1136" i="1"/>
  <c r="F1135" i="1"/>
  <c r="F1132" i="1"/>
  <c r="F1131" i="1"/>
  <c r="F1130" i="1"/>
  <c r="J1126" i="1"/>
  <c r="I1126" i="1"/>
  <c r="H1126" i="1"/>
  <c r="E1126" i="1"/>
  <c r="F1125" i="1"/>
  <c r="F1124" i="1"/>
  <c r="F1123" i="1"/>
  <c r="F1122" i="1"/>
  <c r="J1120" i="1"/>
  <c r="I1120" i="1"/>
  <c r="H1120" i="1"/>
  <c r="G1120" i="1"/>
  <c r="E1120" i="1"/>
  <c r="F1119" i="1"/>
  <c r="F1116" i="1"/>
  <c r="F1115" i="1"/>
  <c r="J1113" i="1"/>
  <c r="I1113" i="1"/>
  <c r="H1113" i="1"/>
  <c r="G1113" i="1"/>
  <c r="E1113" i="1"/>
  <c r="F1112" i="1"/>
  <c r="F1111" i="1"/>
  <c r="F1110" i="1"/>
  <c r="F1109" i="1"/>
  <c r="F1108" i="1"/>
  <c r="J1106" i="1"/>
  <c r="I1106" i="1"/>
  <c r="H1106" i="1"/>
  <c r="E1106" i="1"/>
  <c r="F1105" i="1"/>
  <c r="J1101" i="1"/>
  <c r="I1101" i="1"/>
  <c r="H1101" i="1"/>
  <c r="E1101" i="1"/>
  <c r="F1100" i="1"/>
  <c r="F1099" i="1"/>
  <c r="F1098" i="1"/>
  <c r="F1097" i="1"/>
  <c r="J1095" i="1"/>
  <c r="I1095" i="1"/>
  <c r="H1095" i="1"/>
  <c r="E1095" i="1"/>
  <c r="F1092" i="1"/>
  <c r="F1090" i="1"/>
  <c r="F1089" i="1"/>
  <c r="J1087" i="1"/>
  <c r="I1087" i="1"/>
  <c r="H1087" i="1"/>
  <c r="E1087" i="1"/>
  <c r="F1086" i="1"/>
  <c r="F1085" i="1"/>
  <c r="F1084" i="1"/>
  <c r="F1083" i="1"/>
  <c r="F1082" i="1"/>
  <c r="I1080" i="1"/>
  <c r="H1080" i="1"/>
  <c r="E1080" i="1"/>
  <c r="J1079" i="1"/>
  <c r="J1080" i="1" s="1"/>
  <c r="F1079" i="1"/>
  <c r="F1076" i="1"/>
  <c r="F1075" i="1"/>
  <c r="J1071" i="1"/>
  <c r="I1071" i="1"/>
  <c r="H1071" i="1"/>
  <c r="E1071" i="1"/>
  <c r="J1068" i="1"/>
  <c r="I1068" i="1"/>
  <c r="H1068" i="1"/>
  <c r="E1068" i="1"/>
  <c r="F1066" i="1"/>
  <c r="J1064" i="1"/>
  <c r="I1064" i="1"/>
  <c r="H1064" i="1"/>
  <c r="E1064" i="1"/>
  <c r="F1061" i="1"/>
  <c r="J1059" i="1"/>
  <c r="I1059" i="1"/>
  <c r="H1059" i="1"/>
  <c r="E1059" i="1"/>
  <c r="F1058" i="1"/>
  <c r="F1057" i="1"/>
  <c r="F1056" i="1"/>
  <c r="F1055" i="1"/>
  <c r="F1054" i="1"/>
  <c r="J1052" i="1"/>
  <c r="I1052" i="1"/>
  <c r="H1052" i="1"/>
  <c r="E1052" i="1"/>
  <c r="F1051" i="1"/>
  <c r="F1047" i="1"/>
  <c r="J1043" i="1"/>
  <c r="I1043" i="1"/>
  <c r="H1043" i="1"/>
  <c r="E1043" i="1"/>
  <c r="J1040" i="1"/>
  <c r="I1040" i="1"/>
  <c r="H1040" i="1"/>
  <c r="E1040" i="1"/>
  <c r="F1039" i="1"/>
  <c r="F1038" i="1"/>
  <c r="F1036" i="1"/>
  <c r="F1035" i="1"/>
  <c r="F1034" i="1"/>
  <c r="F1033" i="1"/>
  <c r="J1031" i="1"/>
  <c r="I1031" i="1"/>
  <c r="H1031" i="1"/>
  <c r="E1031" i="1"/>
  <c r="F1030" i="1"/>
  <c r="F1027" i="1"/>
  <c r="F1026" i="1"/>
  <c r="J1024" i="1"/>
  <c r="I1024" i="1"/>
  <c r="H1024" i="1"/>
  <c r="E1024" i="1"/>
  <c r="F1023" i="1"/>
  <c r="F1022" i="1"/>
  <c r="F1021" i="1"/>
  <c r="F1020" i="1"/>
  <c r="F1019" i="1"/>
  <c r="J1017" i="1"/>
  <c r="I1017" i="1"/>
  <c r="H1017" i="1"/>
  <c r="E1017" i="1"/>
  <c r="F1016" i="1"/>
  <c r="F1012" i="1"/>
  <c r="J1007" i="1"/>
  <c r="I1007" i="1"/>
  <c r="H1007" i="1"/>
  <c r="E1007" i="1"/>
  <c r="F1006" i="1"/>
  <c r="F1005" i="1"/>
  <c r="F1004" i="1"/>
  <c r="J1002" i="1"/>
  <c r="I1002" i="1"/>
  <c r="H1002" i="1"/>
  <c r="E1002" i="1"/>
  <c r="J998" i="1"/>
  <c r="I998" i="1"/>
  <c r="H998" i="1"/>
  <c r="E998" i="1"/>
  <c r="F997" i="1"/>
  <c r="F996" i="1"/>
  <c r="F995" i="1"/>
  <c r="F994" i="1"/>
  <c r="F993" i="1"/>
  <c r="F992" i="1"/>
  <c r="F991" i="1"/>
  <c r="F990" i="1"/>
  <c r="F989" i="1"/>
  <c r="F988" i="1"/>
  <c r="F987" i="1"/>
  <c r="F986" i="1"/>
  <c r="J984" i="1"/>
  <c r="I984" i="1"/>
  <c r="H984" i="1"/>
  <c r="E984" i="1"/>
  <c r="F983" i="1"/>
  <c r="F982" i="1"/>
  <c r="F981" i="1"/>
  <c r="F980" i="1"/>
  <c r="F979" i="1"/>
  <c r="J975" i="1"/>
  <c r="I975" i="1"/>
  <c r="H975" i="1"/>
  <c r="E975" i="1"/>
  <c r="F974" i="1"/>
  <c r="F973" i="1"/>
  <c r="F972" i="1"/>
  <c r="F971" i="1"/>
  <c r="F970" i="1"/>
  <c r="F969" i="1"/>
  <c r="F968" i="1"/>
  <c r="F967" i="1"/>
  <c r="F966" i="1"/>
  <c r="J964" i="1"/>
  <c r="I964" i="1"/>
  <c r="H964" i="1"/>
  <c r="E964" i="1"/>
  <c r="F963" i="1"/>
  <c r="F962" i="1"/>
  <c r="F960" i="1"/>
  <c r="F959" i="1"/>
  <c r="F958" i="1"/>
  <c r="F957" i="1"/>
  <c r="F956" i="1"/>
  <c r="J954" i="1"/>
  <c r="I954" i="1"/>
  <c r="H954" i="1"/>
  <c r="E954" i="1"/>
  <c r="F953" i="1"/>
  <c r="F952" i="1"/>
  <c r="F951" i="1"/>
  <c r="F950" i="1"/>
  <c r="F949" i="1"/>
  <c r="I947" i="1"/>
  <c r="H947" i="1"/>
  <c r="E947" i="1"/>
  <c r="F945" i="1"/>
  <c r="J944" i="1"/>
  <c r="J947" i="1" s="1"/>
  <c r="F944" i="1"/>
  <c r="F942" i="1"/>
  <c r="F940" i="1"/>
  <c r="F939" i="1"/>
  <c r="J935" i="1"/>
  <c r="I935" i="1"/>
  <c r="H935" i="1"/>
  <c r="E935" i="1"/>
  <c r="J931" i="1"/>
  <c r="I931" i="1"/>
  <c r="H931" i="1"/>
  <c r="E931" i="1"/>
  <c r="F930" i="1"/>
  <c r="F929" i="1"/>
  <c r="F928" i="1"/>
  <c r="F927" i="1"/>
  <c r="F926" i="1"/>
  <c r="F925" i="1"/>
  <c r="F924" i="1"/>
  <c r="J922" i="1"/>
  <c r="I922" i="1"/>
  <c r="H922" i="1"/>
  <c r="E922" i="1"/>
  <c r="F920" i="1"/>
  <c r="F919" i="1"/>
  <c r="F918" i="1"/>
  <c r="F917" i="1"/>
  <c r="F916" i="1"/>
  <c r="J914" i="1"/>
  <c r="I914" i="1"/>
  <c r="H914" i="1"/>
  <c r="E914" i="1"/>
  <c r="F913" i="1"/>
  <c r="F912" i="1"/>
  <c r="F911" i="1"/>
  <c r="F910" i="1"/>
  <c r="F909" i="1"/>
  <c r="J907" i="1"/>
  <c r="I907" i="1"/>
  <c r="H907" i="1"/>
  <c r="E907" i="1"/>
  <c r="F906" i="1"/>
  <c r="F904" i="1"/>
  <c r="F903" i="1"/>
  <c r="J899" i="1"/>
  <c r="I899" i="1"/>
  <c r="H899" i="1"/>
  <c r="E899" i="1"/>
  <c r="F898" i="1"/>
  <c r="F896" i="1"/>
  <c r="F893" i="1"/>
  <c r="F892" i="1"/>
  <c r="F891" i="1"/>
  <c r="F890" i="1"/>
  <c r="J888" i="1"/>
  <c r="I888" i="1"/>
  <c r="H888" i="1"/>
  <c r="E888" i="1"/>
  <c r="F884" i="1"/>
  <c r="F883" i="1"/>
  <c r="F882" i="1"/>
  <c r="J880" i="1"/>
  <c r="I880" i="1"/>
  <c r="H880" i="1"/>
  <c r="G880" i="1"/>
  <c r="E880" i="1"/>
  <c r="F879" i="1"/>
  <c r="F878" i="1"/>
  <c r="F877" i="1"/>
  <c r="F876" i="1"/>
  <c r="F875" i="1"/>
  <c r="J873" i="1"/>
  <c r="I873" i="1"/>
  <c r="H873" i="1"/>
  <c r="E873" i="1"/>
  <c r="F872" i="1"/>
  <c r="F871" i="1"/>
  <c r="F869" i="1"/>
  <c r="F868" i="1"/>
  <c r="F867" i="1"/>
  <c r="J862" i="1"/>
  <c r="I862" i="1"/>
  <c r="H862" i="1"/>
  <c r="E862" i="1"/>
  <c r="F861" i="1"/>
  <c r="J859" i="1"/>
  <c r="I859" i="1"/>
  <c r="H859" i="1"/>
  <c r="E859" i="1"/>
  <c r="F858" i="1"/>
  <c r="F857" i="1"/>
  <c r="F856" i="1"/>
  <c r="J854" i="1"/>
  <c r="I854" i="1"/>
  <c r="H854" i="1"/>
  <c r="E854" i="1"/>
  <c r="F853" i="1"/>
  <c r="J848" i="1"/>
  <c r="I848" i="1"/>
  <c r="H848" i="1"/>
  <c r="E848" i="1"/>
  <c r="J845" i="1"/>
  <c r="I845" i="1"/>
  <c r="H845" i="1"/>
  <c r="E845" i="1"/>
  <c r="F844" i="1"/>
  <c r="J840" i="1"/>
  <c r="I840" i="1"/>
  <c r="H840" i="1"/>
  <c r="E840" i="1"/>
  <c r="F839" i="1"/>
  <c r="F837" i="1"/>
  <c r="J833" i="1"/>
  <c r="I833" i="1"/>
  <c r="E833" i="1"/>
  <c r="J830" i="1"/>
  <c r="I830" i="1"/>
  <c r="H830" i="1"/>
  <c r="E830" i="1"/>
  <c r="F829" i="1"/>
  <c r="J826" i="1"/>
  <c r="I826" i="1"/>
  <c r="I834" i="1" s="1"/>
  <c r="H826" i="1"/>
  <c r="E826" i="1"/>
  <c r="J819" i="1"/>
  <c r="I819" i="1"/>
  <c r="H819" i="1"/>
  <c r="E819" i="1"/>
  <c r="J816" i="1"/>
  <c r="I816" i="1"/>
  <c r="H816" i="1"/>
  <c r="E816" i="1"/>
  <c r="F815" i="1"/>
  <c r="J812" i="1"/>
  <c r="I812" i="1"/>
  <c r="H812" i="1"/>
  <c r="E812" i="1"/>
  <c r="F811" i="1"/>
  <c r="J806" i="1"/>
  <c r="I806" i="1"/>
  <c r="H806" i="1"/>
  <c r="E806" i="1"/>
  <c r="J802" i="1"/>
  <c r="I802" i="1"/>
  <c r="H802" i="1"/>
  <c r="E802" i="1"/>
  <c r="F801" i="1"/>
  <c r="F800" i="1"/>
  <c r="F799" i="1"/>
  <c r="F798" i="1"/>
  <c r="F795" i="1"/>
  <c r="J793" i="1"/>
  <c r="I793" i="1"/>
  <c r="I807" i="1" s="1"/>
  <c r="H793" i="1"/>
  <c r="E793" i="1"/>
  <c r="F792" i="1"/>
  <c r="G787" i="1"/>
  <c r="J786" i="1"/>
  <c r="I786" i="1"/>
  <c r="H786" i="1"/>
  <c r="E786" i="1"/>
  <c r="J783" i="1"/>
  <c r="I783" i="1"/>
  <c r="I787" i="1" s="1"/>
  <c r="H783" i="1"/>
  <c r="H787" i="1" s="1"/>
  <c r="E783" i="1"/>
  <c r="E787" i="1" s="1"/>
  <c r="F782" i="1"/>
  <c r="F781" i="1"/>
  <c r="F780" i="1"/>
  <c r="J777" i="1"/>
  <c r="I777" i="1"/>
  <c r="H777" i="1"/>
  <c r="E777" i="1"/>
  <c r="J772" i="1"/>
  <c r="I772" i="1"/>
  <c r="H772" i="1"/>
  <c r="E772" i="1"/>
  <c r="F771" i="1"/>
  <c r="F770" i="1"/>
  <c r="J766" i="1"/>
  <c r="I766" i="1"/>
  <c r="H766" i="1"/>
  <c r="E766" i="1"/>
  <c r="F765" i="1"/>
  <c r="F764" i="1"/>
  <c r="F763" i="1"/>
  <c r="F762" i="1"/>
  <c r="F761" i="1"/>
  <c r="F760" i="1"/>
  <c r="J758" i="1"/>
  <c r="I758" i="1"/>
  <c r="H758" i="1"/>
  <c r="E758" i="1"/>
  <c r="F757" i="1"/>
  <c r="F755" i="1"/>
  <c r="F754" i="1"/>
  <c r="J752" i="1"/>
  <c r="I752" i="1"/>
  <c r="H752" i="1"/>
  <c r="E752" i="1"/>
  <c r="F751" i="1"/>
  <c r="F750" i="1"/>
  <c r="F749" i="1"/>
  <c r="F748" i="1"/>
  <c r="F747" i="1"/>
  <c r="J745" i="1"/>
  <c r="I745" i="1"/>
  <c r="H745" i="1"/>
  <c r="E745" i="1"/>
  <c r="F743" i="1"/>
  <c r="F742" i="1"/>
  <c r="J738" i="1"/>
  <c r="I738" i="1"/>
  <c r="H738" i="1"/>
  <c r="E738" i="1"/>
  <c r="F737" i="1"/>
  <c r="F736" i="1"/>
  <c r="F735" i="1"/>
  <c r="F734" i="1"/>
  <c r="F733" i="1"/>
  <c r="F732" i="1"/>
  <c r="J730" i="1"/>
  <c r="I730" i="1"/>
  <c r="H730" i="1"/>
  <c r="E730" i="1"/>
  <c r="F729" i="1"/>
  <c r="F728" i="1"/>
  <c r="F727" i="1"/>
  <c r="J725" i="1"/>
  <c r="I725" i="1"/>
  <c r="H725" i="1"/>
  <c r="E725" i="1"/>
  <c r="F724" i="1"/>
  <c r="F723" i="1"/>
  <c r="F722" i="1"/>
  <c r="F721" i="1"/>
  <c r="F720" i="1"/>
  <c r="J718" i="1"/>
  <c r="I718" i="1"/>
  <c r="H718" i="1"/>
  <c r="E718" i="1"/>
  <c r="F716" i="1"/>
  <c r="F715" i="1"/>
  <c r="J711" i="1"/>
  <c r="I711" i="1"/>
  <c r="H711" i="1"/>
  <c r="E711" i="1"/>
  <c r="F710" i="1"/>
  <c r="F709" i="1"/>
  <c r="F708" i="1"/>
  <c r="F707" i="1"/>
  <c r="F706" i="1"/>
  <c r="F705" i="1"/>
  <c r="J703" i="1"/>
  <c r="I703" i="1"/>
  <c r="H703" i="1"/>
  <c r="E703" i="1"/>
  <c r="F702" i="1"/>
  <c r="F701" i="1"/>
  <c r="F700" i="1"/>
  <c r="F699" i="1"/>
  <c r="J697" i="1"/>
  <c r="I697" i="1"/>
  <c r="H697" i="1"/>
  <c r="E697" i="1"/>
  <c r="F696" i="1"/>
  <c r="F695" i="1"/>
  <c r="F694" i="1"/>
  <c r="F693" i="1"/>
  <c r="F692" i="1"/>
  <c r="J690" i="1"/>
  <c r="I690" i="1"/>
  <c r="H690" i="1"/>
  <c r="E690" i="1"/>
  <c r="F688" i="1"/>
  <c r="F687" i="1"/>
  <c r="J683" i="1"/>
  <c r="I683" i="1"/>
  <c r="H683" i="1"/>
  <c r="E683" i="1"/>
  <c r="F682" i="1"/>
  <c r="F681" i="1"/>
  <c r="F680" i="1"/>
  <c r="F679" i="1"/>
  <c r="F678" i="1"/>
  <c r="F677" i="1"/>
  <c r="J675" i="1"/>
  <c r="I675" i="1"/>
  <c r="H675" i="1"/>
  <c r="E675" i="1"/>
  <c r="F673" i="1"/>
  <c r="F672" i="1"/>
  <c r="F671" i="1"/>
  <c r="J669" i="1"/>
  <c r="I669" i="1"/>
  <c r="H669" i="1"/>
  <c r="E669" i="1"/>
  <c r="F668" i="1"/>
  <c r="F667" i="1"/>
  <c r="F666" i="1"/>
  <c r="F665" i="1"/>
  <c r="F664" i="1"/>
  <c r="J662" i="1"/>
  <c r="I662" i="1"/>
  <c r="H662" i="1"/>
  <c r="E662" i="1"/>
  <c r="F660" i="1"/>
  <c r="F659" i="1"/>
  <c r="J655" i="1"/>
  <c r="I655" i="1"/>
  <c r="H655" i="1"/>
  <c r="E655" i="1"/>
  <c r="F654" i="1"/>
  <c r="F652" i="1"/>
  <c r="F651" i="1"/>
  <c r="F650" i="1"/>
  <c r="J648" i="1"/>
  <c r="I648" i="1"/>
  <c r="H648" i="1"/>
  <c r="E648" i="1"/>
  <c r="F647" i="1"/>
  <c r="F645" i="1"/>
  <c r="F644" i="1"/>
  <c r="F643" i="1"/>
  <c r="J641" i="1"/>
  <c r="I641" i="1"/>
  <c r="H641" i="1"/>
  <c r="E641" i="1"/>
  <c r="F639" i="1"/>
  <c r="F638" i="1"/>
  <c r="F637" i="1"/>
  <c r="F636" i="1"/>
  <c r="F635" i="1"/>
  <c r="J633" i="1"/>
  <c r="I633" i="1"/>
  <c r="H633" i="1"/>
  <c r="E633" i="1"/>
  <c r="F629" i="1"/>
  <c r="F628" i="1"/>
  <c r="J625" i="1"/>
  <c r="I625" i="1"/>
  <c r="H625" i="1"/>
  <c r="E625" i="1"/>
  <c r="F624" i="1"/>
  <c r="F623" i="1"/>
  <c r="J619" i="1"/>
  <c r="I619" i="1"/>
  <c r="H619" i="1"/>
  <c r="E619" i="1"/>
  <c r="J616" i="1"/>
  <c r="I616" i="1"/>
  <c r="H616" i="1"/>
  <c r="E616" i="1"/>
  <c r="F615" i="1"/>
  <c r="F614" i="1"/>
  <c r="F613" i="1"/>
  <c r="F612" i="1"/>
  <c r="J610" i="1"/>
  <c r="I610" i="1"/>
  <c r="H610" i="1"/>
  <c r="E610" i="1"/>
  <c r="F609" i="1"/>
  <c r="F608" i="1"/>
  <c r="F607" i="1"/>
  <c r="J605" i="1"/>
  <c r="I605" i="1"/>
  <c r="H605" i="1"/>
  <c r="E605" i="1"/>
  <c r="F604" i="1"/>
  <c r="F603" i="1"/>
  <c r="F602" i="1"/>
  <c r="F601" i="1"/>
  <c r="F600" i="1"/>
  <c r="J598" i="1"/>
  <c r="I598" i="1"/>
  <c r="H598" i="1"/>
  <c r="E598" i="1"/>
  <c r="F597" i="1"/>
  <c r="F595" i="1"/>
  <c r="F594" i="1"/>
  <c r="F593" i="1"/>
  <c r="J589" i="1"/>
  <c r="I589" i="1"/>
  <c r="H589" i="1"/>
  <c r="E589" i="1"/>
  <c r="F588" i="1"/>
  <c r="J582" i="1"/>
  <c r="I582" i="1"/>
  <c r="H582" i="1"/>
  <c r="E582" i="1"/>
  <c r="F581" i="1"/>
  <c r="F580" i="1"/>
  <c r="F579" i="1"/>
  <c r="F578" i="1"/>
  <c r="J576" i="1"/>
  <c r="I576" i="1"/>
  <c r="H576" i="1"/>
  <c r="E576" i="1"/>
  <c r="F573" i="1"/>
  <c r="F572" i="1"/>
  <c r="F571" i="1"/>
  <c r="J569" i="1"/>
  <c r="I569" i="1"/>
  <c r="H569" i="1"/>
  <c r="E569" i="1"/>
  <c r="F568" i="1"/>
  <c r="F567" i="1"/>
  <c r="F566" i="1"/>
  <c r="F565" i="1"/>
  <c r="F564" i="1"/>
  <c r="J562" i="1"/>
  <c r="I562" i="1"/>
  <c r="H562" i="1"/>
  <c r="E562" i="1"/>
  <c r="F561" i="1"/>
  <c r="F560" i="1"/>
  <c r="F556" i="1"/>
  <c r="F555" i="1"/>
  <c r="J550" i="1"/>
  <c r="I550" i="1"/>
  <c r="H550" i="1"/>
  <c r="E550" i="1"/>
  <c r="F549" i="1"/>
  <c r="F547" i="1"/>
  <c r="F546" i="1"/>
  <c r="F545" i="1"/>
  <c r="J543" i="1"/>
  <c r="I543" i="1"/>
  <c r="H543" i="1"/>
  <c r="E543" i="1"/>
  <c r="F541" i="1"/>
  <c r="F540" i="1"/>
  <c r="F539" i="1"/>
  <c r="J537" i="1"/>
  <c r="I537" i="1"/>
  <c r="H537" i="1"/>
  <c r="E537" i="1"/>
  <c r="F536" i="1"/>
  <c r="F535" i="1"/>
  <c r="F534" i="1"/>
  <c r="F533" i="1"/>
  <c r="F532" i="1"/>
  <c r="J530" i="1"/>
  <c r="I530" i="1"/>
  <c r="H530" i="1"/>
  <c r="E530" i="1"/>
  <c r="F529" i="1"/>
  <c r="F527" i="1"/>
  <c r="F526" i="1"/>
  <c r="J521" i="1"/>
  <c r="I521" i="1"/>
  <c r="H521" i="1"/>
  <c r="E521" i="1"/>
  <c r="F520" i="1"/>
  <c r="F519" i="1"/>
  <c r="F518" i="1"/>
  <c r="F517" i="1"/>
  <c r="J514" i="1"/>
  <c r="I514" i="1"/>
  <c r="H514" i="1"/>
  <c r="E514" i="1"/>
  <c r="F513" i="1"/>
  <c r="F512" i="1"/>
  <c r="F511" i="1"/>
  <c r="J509" i="1"/>
  <c r="I509" i="1"/>
  <c r="H509" i="1"/>
  <c r="E509" i="1"/>
  <c r="F508" i="1"/>
  <c r="F507" i="1"/>
  <c r="F506" i="1"/>
  <c r="F505" i="1"/>
  <c r="F504" i="1"/>
  <c r="J502" i="1"/>
  <c r="I502" i="1"/>
  <c r="H502" i="1"/>
  <c r="E502" i="1"/>
  <c r="F501" i="1"/>
  <c r="F499" i="1"/>
  <c r="F498" i="1"/>
  <c r="F497" i="1"/>
  <c r="J492" i="1"/>
  <c r="I492" i="1"/>
  <c r="H492" i="1"/>
  <c r="E492" i="1"/>
  <c r="F491" i="1"/>
  <c r="F490" i="1"/>
  <c r="F489" i="1"/>
  <c r="F488" i="1"/>
  <c r="F487" i="1"/>
  <c r="J485" i="1"/>
  <c r="I485" i="1"/>
  <c r="H485" i="1"/>
  <c r="E485" i="1"/>
  <c r="F484" i="1"/>
  <c r="F483" i="1"/>
  <c r="J481" i="1"/>
  <c r="I481" i="1"/>
  <c r="H481" i="1"/>
  <c r="E481" i="1"/>
  <c r="F480" i="1"/>
  <c r="F479" i="1"/>
  <c r="F478" i="1"/>
  <c r="F477" i="1"/>
  <c r="F476" i="1"/>
  <c r="J474" i="1"/>
  <c r="I474" i="1"/>
  <c r="H474" i="1"/>
  <c r="E474" i="1"/>
  <c r="F471" i="1"/>
  <c r="J467" i="1"/>
  <c r="I467" i="1"/>
  <c r="H467" i="1"/>
  <c r="E467" i="1"/>
  <c r="F466" i="1"/>
  <c r="F465" i="1"/>
  <c r="F464" i="1"/>
  <c r="F463" i="1"/>
  <c r="J458" i="1"/>
  <c r="I458" i="1"/>
  <c r="H458" i="1"/>
  <c r="E458" i="1"/>
  <c r="F457" i="1"/>
  <c r="F455" i="1"/>
  <c r="F454" i="1"/>
  <c r="F453" i="1"/>
  <c r="J450" i="1"/>
  <c r="I450" i="1"/>
  <c r="H450" i="1"/>
  <c r="E450" i="1"/>
  <c r="F449" i="1"/>
  <c r="F448" i="1"/>
  <c r="F447" i="1"/>
  <c r="F446" i="1"/>
  <c r="J444" i="1"/>
  <c r="I444" i="1"/>
  <c r="H444" i="1"/>
  <c r="E444" i="1"/>
  <c r="F443" i="1"/>
  <c r="F442" i="1"/>
  <c r="F441" i="1"/>
  <c r="F440" i="1"/>
  <c r="F439" i="1"/>
  <c r="F438" i="1"/>
  <c r="J436" i="1"/>
  <c r="I436" i="1"/>
  <c r="H436" i="1"/>
  <c r="E436" i="1"/>
  <c r="F435" i="1"/>
  <c r="F434" i="1"/>
  <c r="F431" i="1"/>
  <c r="F430" i="1"/>
  <c r="F429" i="1"/>
  <c r="J422" i="1"/>
  <c r="I422" i="1"/>
  <c r="H422" i="1"/>
  <c r="E422" i="1"/>
  <c r="F421" i="1"/>
  <c r="F419" i="1"/>
  <c r="F417" i="1"/>
  <c r="F416" i="1"/>
  <c r="J414" i="1"/>
  <c r="I414" i="1"/>
  <c r="H414" i="1"/>
  <c r="E414" i="1"/>
  <c r="F411" i="1"/>
  <c r="F410" i="1"/>
  <c r="F409" i="1"/>
  <c r="J407" i="1"/>
  <c r="I407" i="1"/>
  <c r="H407" i="1"/>
  <c r="E407" i="1"/>
  <c r="F406" i="1"/>
  <c r="F405" i="1"/>
  <c r="F404" i="1"/>
  <c r="F403" i="1"/>
  <c r="F402" i="1"/>
  <c r="J400" i="1"/>
  <c r="I400" i="1"/>
  <c r="I423" i="1" s="1"/>
  <c r="H400" i="1"/>
  <c r="E400" i="1"/>
  <c r="F399" i="1"/>
  <c r="F398" i="1"/>
  <c r="F395" i="1"/>
  <c r="F394" i="1"/>
  <c r="J389" i="1"/>
  <c r="I389" i="1"/>
  <c r="H389" i="1"/>
  <c r="E389" i="1"/>
  <c r="J386" i="1"/>
  <c r="I386" i="1"/>
  <c r="H386" i="1"/>
  <c r="E386" i="1"/>
  <c r="F385" i="1"/>
  <c r="F380" i="1"/>
  <c r="J377" i="1"/>
  <c r="I377" i="1"/>
  <c r="H377" i="1"/>
  <c r="E377" i="1"/>
  <c r="F376" i="1"/>
  <c r="F373" i="1"/>
  <c r="F372" i="1"/>
  <c r="F371" i="1"/>
  <c r="J369" i="1"/>
  <c r="I369" i="1"/>
  <c r="H369" i="1"/>
  <c r="E369" i="1"/>
  <c r="F368" i="1"/>
  <c r="F367" i="1"/>
  <c r="F366" i="1"/>
  <c r="J364" i="1"/>
  <c r="I364" i="1"/>
  <c r="H364" i="1"/>
  <c r="E364" i="1"/>
  <c r="F363" i="1"/>
  <c r="J358" i="1"/>
  <c r="I358" i="1"/>
  <c r="H358" i="1"/>
  <c r="E358" i="1"/>
  <c r="F357" i="1"/>
  <c r="J355" i="1"/>
  <c r="I355" i="1"/>
  <c r="H355" i="1"/>
  <c r="E355" i="1"/>
  <c r="F354" i="1"/>
  <c r="F353" i="1"/>
  <c r="F352" i="1"/>
  <c r="F349" i="1"/>
  <c r="F348" i="1"/>
  <c r="F347" i="1"/>
  <c r="F346" i="1"/>
  <c r="F345" i="1"/>
  <c r="F344" i="1"/>
  <c r="F343" i="1"/>
  <c r="F342" i="1"/>
  <c r="F341" i="1"/>
  <c r="J338" i="1"/>
  <c r="I338" i="1"/>
  <c r="H338" i="1"/>
  <c r="E338" i="1"/>
  <c r="F334" i="1"/>
  <c r="F333" i="1"/>
  <c r="F332" i="1"/>
  <c r="F331" i="1"/>
  <c r="F330" i="1"/>
  <c r="J328" i="1"/>
  <c r="I328" i="1"/>
  <c r="H328" i="1"/>
  <c r="E328" i="1"/>
  <c r="F327" i="1"/>
  <c r="F326" i="1"/>
  <c r="F325" i="1"/>
  <c r="F324" i="1"/>
  <c r="F323" i="1"/>
  <c r="J321" i="1"/>
  <c r="I321" i="1"/>
  <c r="H321" i="1"/>
  <c r="E321" i="1"/>
  <c r="F320" i="1"/>
  <c r="F317" i="1"/>
  <c r="F316" i="1"/>
  <c r="J312" i="1"/>
  <c r="I312" i="1"/>
  <c r="H312" i="1"/>
  <c r="E312" i="1"/>
  <c r="F311" i="1"/>
  <c r="F310" i="1"/>
  <c r="F309" i="1"/>
  <c r="F308" i="1"/>
  <c r="J304" i="1"/>
  <c r="I304" i="1"/>
  <c r="H304" i="1"/>
  <c r="E304" i="1"/>
  <c r="F303" i="1"/>
  <c r="F302" i="1"/>
  <c r="F301" i="1"/>
  <c r="F300" i="1"/>
  <c r="F299" i="1"/>
  <c r="F298" i="1"/>
  <c r="J296" i="1"/>
  <c r="I296" i="1"/>
  <c r="H296" i="1"/>
  <c r="E296" i="1"/>
  <c r="F295" i="1"/>
  <c r="F294" i="1"/>
  <c r="F293" i="1"/>
  <c r="F292" i="1"/>
  <c r="J290" i="1"/>
  <c r="I290" i="1"/>
  <c r="H290" i="1"/>
  <c r="E290" i="1"/>
  <c r="F289" i="1"/>
  <c r="F288" i="1"/>
  <c r="F287" i="1"/>
  <c r="F286" i="1"/>
  <c r="F285" i="1"/>
  <c r="H283" i="1"/>
  <c r="E283" i="1"/>
  <c r="J282" i="1"/>
  <c r="J283" i="1" s="1"/>
  <c r="I282" i="1"/>
  <c r="I283" i="1" s="1"/>
  <c r="F282" i="1"/>
  <c r="F279" i="1"/>
  <c r="F278" i="1"/>
  <c r="F277" i="1"/>
  <c r="J272" i="1"/>
  <c r="I272" i="1"/>
  <c r="H272" i="1"/>
  <c r="E272" i="1"/>
  <c r="F271" i="1"/>
  <c r="F270" i="1"/>
  <c r="F269" i="1"/>
  <c r="F267" i="1"/>
  <c r="F265" i="1"/>
  <c r="J263" i="1"/>
  <c r="J273" i="1" s="1"/>
  <c r="I263" i="1"/>
  <c r="H263" i="1"/>
  <c r="H273" i="1" s="1"/>
  <c r="E263" i="1"/>
  <c r="F262" i="1"/>
  <c r="F261" i="1"/>
  <c r="J257" i="1"/>
  <c r="I257" i="1"/>
  <c r="H257" i="1"/>
  <c r="G257" i="1"/>
  <c r="E257" i="1"/>
  <c r="F256" i="1"/>
  <c r="F255" i="1"/>
  <c r="J250" i="1"/>
  <c r="I250" i="1"/>
  <c r="H250" i="1"/>
  <c r="E250" i="1"/>
  <c r="F249" i="1"/>
  <c r="J246" i="1"/>
  <c r="I246" i="1"/>
  <c r="H246" i="1"/>
  <c r="E246" i="1"/>
  <c r="F244" i="1"/>
  <c r="F243" i="1"/>
  <c r="F242" i="1"/>
  <c r="F241" i="1"/>
  <c r="F239" i="1"/>
  <c r="F238" i="1"/>
  <c r="F237" i="1"/>
  <c r="F236" i="1"/>
  <c r="F235" i="1"/>
  <c r="F234" i="1"/>
  <c r="F233" i="1"/>
  <c r="F231" i="1"/>
  <c r="F230" i="1"/>
  <c r="F229" i="1"/>
  <c r="F228" i="1"/>
  <c r="F227" i="1"/>
  <c r="F226" i="1"/>
  <c r="F225" i="1"/>
  <c r="F224" i="1"/>
  <c r="F223" i="1"/>
  <c r="F222" i="1"/>
  <c r="F221" i="1"/>
  <c r="F219" i="1"/>
  <c r="F218" i="1"/>
  <c r="J216" i="1"/>
  <c r="I216" i="1"/>
  <c r="H216" i="1"/>
  <c r="E216" i="1"/>
  <c r="J212" i="1"/>
  <c r="I212" i="1"/>
  <c r="H212" i="1"/>
  <c r="E212" i="1"/>
  <c r="F211" i="1"/>
  <c r="F210" i="1"/>
  <c r="F209" i="1"/>
  <c r="F208" i="1"/>
  <c r="F205" i="1"/>
  <c r="F204" i="1"/>
  <c r="F203" i="1"/>
  <c r="F201" i="1"/>
  <c r="F200" i="1"/>
  <c r="F198" i="1"/>
  <c r="F197" i="1"/>
  <c r="F196" i="1"/>
  <c r="F195" i="1"/>
  <c r="F194" i="1"/>
  <c r="F193" i="1"/>
  <c r="F192" i="1"/>
  <c r="F191" i="1"/>
  <c r="F190" i="1"/>
  <c r="F189" i="1"/>
  <c r="J187" i="1"/>
  <c r="I187" i="1"/>
  <c r="H187" i="1"/>
  <c r="E187" i="1"/>
  <c r="F184" i="1"/>
  <c r="F183" i="1"/>
  <c r="J181" i="1"/>
  <c r="I181" i="1"/>
  <c r="H181" i="1"/>
  <c r="E181" i="1"/>
  <c r="F179" i="1"/>
  <c r="F178" i="1"/>
  <c r="F177" i="1"/>
  <c r="J173" i="1"/>
  <c r="I173" i="1"/>
  <c r="H173" i="1"/>
  <c r="E173" i="1"/>
  <c r="F172" i="1"/>
  <c r="F171" i="1"/>
  <c r="F170" i="1"/>
  <c r="F169" i="1"/>
  <c r="F167" i="1"/>
  <c r="F166" i="1"/>
  <c r="J164" i="1"/>
  <c r="I164" i="1"/>
  <c r="H164" i="1"/>
  <c r="G164" i="1"/>
  <c r="E164" i="1"/>
  <c r="F162" i="1"/>
  <c r="F161" i="1"/>
  <c r="F160" i="1"/>
  <c r="F159" i="1"/>
  <c r="J157" i="1"/>
  <c r="I157" i="1"/>
  <c r="H157" i="1"/>
  <c r="G157" i="1"/>
  <c r="E157" i="1"/>
  <c r="F156" i="1"/>
  <c r="F155" i="1"/>
  <c r="F154" i="1"/>
  <c r="F153" i="1"/>
  <c r="F152" i="1"/>
  <c r="J150" i="1"/>
  <c r="I150" i="1"/>
  <c r="H150" i="1"/>
  <c r="G150" i="1"/>
  <c r="E150" i="1"/>
  <c r="F149" i="1"/>
  <c r="F148" i="1"/>
  <c r="F147" i="1"/>
  <c r="F145" i="1"/>
  <c r="F144" i="1"/>
  <c r="F143" i="1"/>
  <c r="J133" i="1"/>
  <c r="I133" i="1"/>
  <c r="H133" i="1"/>
  <c r="G133" i="1"/>
  <c r="E133" i="1"/>
  <c r="F132" i="1"/>
  <c r="J130" i="1"/>
  <c r="I130" i="1"/>
  <c r="H130" i="1"/>
  <c r="G130" i="1"/>
  <c r="E130" i="1"/>
  <c r="F128" i="1"/>
  <c r="F127" i="1"/>
  <c r="F126" i="1"/>
  <c r="F125" i="1"/>
  <c r="F124" i="1"/>
  <c r="F123" i="1"/>
  <c r="F122" i="1"/>
  <c r="F121" i="1"/>
  <c r="F119" i="1"/>
  <c r="J114" i="1"/>
  <c r="I114" i="1"/>
  <c r="H114" i="1"/>
  <c r="G114" i="1"/>
  <c r="E114" i="1"/>
  <c r="F113" i="1"/>
  <c r="F112" i="1"/>
  <c r="J110" i="1"/>
  <c r="I110" i="1"/>
  <c r="H110" i="1"/>
  <c r="G110" i="1"/>
  <c r="E110" i="1"/>
  <c r="F109" i="1"/>
  <c r="F108" i="1"/>
  <c r="F107" i="1"/>
  <c r="F106" i="1"/>
  <c r="F105" i="1"/>
  <c r="F104" i="1"/>
  <c r="F103" i="1"/>
  <c r="F102" i="1"/>
  <c r="F101" i="1"/>
  <c r="F100" i="1"/>
  <c r="J97" i="1"/>
  <c r="I97" i="1"/>
  <c r="H97" i="1"/>
  <c r="G97" i="1"/>
  <c r="E97" i="1"/>
  <c r="F96" i="1"/>
  <c r="F95" i="1"/>
  <c r="F94" i="1"/>
  <c r="F93" i="1"/>
  <c r="F92" i="1"/>
  <c r="F91" i="1"/>
  <c r="F90" i="1"/>
  <c r="F89" i="1"/>
  <c r="F88" i="1"/>
  <c r="F87" i="1"/>
  <c r="F86" i="1"/>
  <c r="F85" i="1"/>
  <c r="F84" i="1"/>
  <c r="F83" i="1"/>
  <c r="F80" i="1"/>
  <c r="F79" i="1"/>
  <c r="F78" i="1"/>
  <c r="F77" i="1"/>
  <c r="F76" i="1"/>
  <c r="F75" i="1"/>
  <c r="F74" i="1"/>
  <c r="F73" i="1"/>
  <c r="F72" i="1"/>
  <c r="F71" i="1"/>
  <c r="F70" i="1"/>
  <c r="F69" i="1"/>
  <c r="F68" i="1"/>
  <c r="F67" i="1"/>
  <c r="F66" i="1"/>
  <c r="F65" i="1"/>
  <c r="F64" i="1"/>
  <c r="F63" i="1"/>
  <c r="F62" i="1"/>
  <c r="F61" i="1"/>
  <c r="F60" i="1"/>
  <c r="F59" i="1"/>
  <c r="F58" i="1"/>
  <c r="F57" i="1"/>
  <c r="I52" i="1"/>
  <c r="H52" i="1"/>
  <c r="G52" i="1"/>
  <c r="E52" i="1"/>
  <c r="F51" i="1"/>
  <c r="F50" i="1"/>
  <c r="F49" i="1"/>
  <c r="F48" i="1"/>
  <c r="J47" i="1"/>
  <c r="J52" i="1" s="1"/>
  <c r="F47" i="1"/>
  <c r="F45" i="1"/>
  <c r="F41" i="1"/>
  <c r="F40" i="1"/>
  <c r="F36" i="1"/>
  <c r="F33" i="1"/>
  <c r="F31" i="1"/>
  <c r="F30" i="1"/>
  <c r="F29" i="1"/>
  <c r="F28" i="1"/>
  <c r="F26" i="1"/>
  <c r="F24" i="1"/>
  <c r="F22" i="1"/>
  <c r="F21" i="1"/>
  <c r="F20" i="1"/>
  <c r="F19" i="1"/>
  <c r="F18" i="1"/>
  <c r="J15" i="1"/>
  <c r="I15" i="1"/>
  <c r="H15" i="1"/>
  <c r="G15" i="1"/>
  <c r="E15" i="1"/>
  <c r="F14" i="1"/>
  <c r="F13" i="1"/>
  <c r="J11" i="1"/>
  <c r="I11" i="1"/>
  <c r="H11" i="1"/>
  <c r="G11" i="1"/>
  <c r="E11" i="1"/>
  <c r="F10" i="1"/>
  <c r="F9" i="1"/>
  <c r="F8" i="1"/>
  <c r="I3212" i="1" l="1"/>
  <c r="I3215" i="1" s="1"/>
  <c r="J3352" i="1"/>
  <c r="K3352" i="1"/>
  <c r="J3215" i="1"/>
  <c r="K3215" i="1"/>
  <c r="J1102" i="1"/>
  <c r="E1008" i="1"/>
  <c r="E2155" i="1"/>
  <c r="E1192" i="1"/>
  <c r="I1857" i="1"/>
  <c r="H1192" i="1"/>
  <c r="G1949" i="1"/>
  <c r="J787" i="1"/>
  <c r="J1502" i="1"/>
  <c r="J1808" i="1"/>
  <c r="E1883" i="1"/>
  <c r="J2020" i="1"/>
  <c r="E2097" i="1"/>
  <c r="H2155" i="1"/>
  <c r="I2213" i="1"/>
  <c r="E2311" i="1"/>
  <c r="J2658" i="1"/>
  <c r="H135" i="1"/>
  <c r="E359" i="1"/>
  <c r="J1250" i="1"/>
  <c r="E1502" i="1"/>
  <c r="J1911" i="1"/>
  <c r="E2020" i="1"/>
  <c r="E2039" i="1"/>
  <c r="H2097" i="1"/>
  <c r="J2155" i="1"/>
  <c r="I2155" i="1"/>
  <c r="H2311" i="1"/>
  <c r="E2630" i="1"/>
  <c r="H1502" i="1"/>
  <c r="E1767" i="1"/>
  <c r="I1883" i="1"/>
  <c r="E1940" i="1"/>
  <c r="H2020" i="1"/>
  <c r="H2039" i="1"/>
  <c r="I2097" i="1"/>
  <c r="E2213" i="1"/>
  <c r="I2311" i="1"/>
  <c r="H2340" i="1"/>
  <c r="E2487" i="1"/>
  <c r="E2601" i="1"/>
  <c r="H2630" i="1"/>
  <c r="H2658" i="1"/>
  <c r="I656" i="1"/>
  <c r="I849" i="1"/>
  <c r="E863" i="1"/>
  <c r="H976" i="1"/>
  <c r="H1127" i="1"/>
  <c r="J1127" i="1"/>
  <c r="I1265" i="1"/>
  <c r="I1309" i="1"/>
  <c r="E1387" i="1"/>
  <c r="H1594" i="1"/>
  <c r="J1594" i="1"/>
  <c r="E583" i="1"/>
  <c r="E807" i="1"/>
  <c r="E1044" i="1"/>
  <c r="H1387" i="1"/>
  <c r="H1444" i="1"/>
  <c r="J1444" i="1"/>
  <c r="J305" i="1"/>
  <c r="H522" i="1"/>
  <c r="J522" i="1"/>
  <c r="I551" i="1"/>
  <c r="H583" i="1"/>
  <c r="J583" i="1"/>
  <c r="E900" i="1"/>
  <c r="E1072" i="1"/>
  <c r="I1444" i="1"/>
  <c r="E1594" i="1"/>
  <c r="E174" i="1"/>
  <c r="E493" i="1"/>
  <c r="H656" i="1"/>
  <c r="J656" i="1"/>
  <c r="I712" i="1"/>
  <c r="I820" i="1"/>
  <c r="H834" i="1"/>
  <c r="J834" i="1"/>
  <c r="H849" i="1"/>
  <c r="J849" i="1"/>
  <c r="H936" i="1"/>
  <c r="H1160" i="1"/>
  <c r="J1160" i="1"/>
  <c r="J1387" i="1"/>
  <c r="I1594" i="1"/>
  <c r="H1668" i="1"/>
  <c r="J1668" i="1"/>
  <c r="H1710" i="1"/>
  <c r="J1710" i="1"/>
  <c r="I1767" i="1"/>
  <c r="E459" i="1"/>
  <c r="H739" i="1"/>
  <c r="J739" i="1"/>
  <c r="H900" i="1"/>
  <c r="J900" i="1"/>
  <c r="I1192" i="1"/>
  <c r="H2213" i="1"/>
  <c r="J2213" i="1"/>
  <c r="I174" i="1"/>
  <c r="E305" i="1"/>
  <c r="H459" i="1"/>
  <c r="J459" i="1"/>
  <c r="I583" i="1"/>
  <c r="E620" i="1"/>
  <c r="E656" i="1"/>
  <c r="E684" i="1"/>
  <c r="H767" i="1"/>
  <c r="J767" i="1"/>
  <c r="H820" i="1"/>
  <c r="J820" i="1"/>
  <c r="E834" i="1"/>
  <c r="I900" i="1"/>
  <c r="I936" i="1"/>
  <c r="I1072" i="1"/>
  <c r="H1231" i="1"/>
  <c r="J1231" i="1"/>
  <c r="I1471" i="1"/>
  <c r="I1502" i="1"/>
  <c r="E1668" i="1"/>
  <c r="J1857" i="1"/>
  <c r="E1989" i="1"/>
  <c r="J135" i="1"/>
  <c r="H863" i="1"/>
  <c r="J863" i="1"/>
  <c r="E976" i="1"/>
  <c r="H1008" i="1"/>
  <c r="J1008" i="1"/>
  <c r="I1044" i="1"/>
  <c r="H1072" i="1"/>
  <c r="J1072" i="1"/>
  <c r="E1102" i="1"/>
  <c r="H1102" i="1"/>
  <c r="E1127" i="1"/>
  <c r="G1128" i="1"/>
  <c r="J1192" i="1"/>
  <c r="I135" i="1"/>
  <c r="I2661" i="1" s="1"/>
  <c r="I251" i="1"/>
  <c r="I273" i="1"/>
  <c r="H423" i="1"/>
  <c r="J423" i="1"/>
  <c r="H493" i="1"/>
  <c r="J493" i="1"/>
  <c r="I522" i="1"/>
  <c r="E522" i="1"/>
  <c r="E551" i="1"/>
  <c r="I739" i="1"/>
  <c r="I1008" i="1"/>
  <c r="G135" i="1"/>
  <c r="E251" i="1"/>
  <c r="E273" i="1"/>
  <c r="I305" i="1"/>
  <c r="H359" i="1"/>
  <c r="J359" i="1"/>
  <c r="H390" i="1"/>
  <c r="J390" i="1"/>
  <c r="E423" i="1"/>
  <c r="I493" i="1"/>
  <c r="H620" i="1"/>
  <c r="J620" i="1"/>
  <c r="H684" i="1"/>
  <c r="J684" i="1"/>
  <c r="E739" i="1"/>
  <c r="I767" i="1"/>
  <c r="H807" i="1"/>
  <c r="J807" i="1"/>
  <c r="E849" i="1"/>
  <c r="J936" i="1"/>
  <c r="E135" i="1"/>
  <c r="F135" i="1" s="1"/>
  <c r="H174" i="1"/>
  <c r="J174" i="1"/>
  <c r="H251" i="1"/>
  <c r="J251" i="1"/>
  <c r="H305" i="1"/>
  <c r="I359" i="1"/>
  <c r="I390" i="1"/>
  <c r="E390" i="1"/>
  <c r="I459" i="1"/>
  <c r="H551" i="1"/>
  <c r="J551" i="1"/>
  <c r="I620" i="1"/>
  <c r="I684" i="1"/>
  <c r="E712" i="1"/>
  <c r="H712" i="1"/>
  <c r="J712" i="1"/>
  <c r="E767" i="1"/>
  <c r="E820" i="1"/>
  <c r="I863" i="1"/>
  <c r="E936" i="1"/>
  <c r="J976" i="1"/>
  <c r="I976" i="1"/>
  <c r="H1044" i="1"/>
  <c r="J1044" i="1"/>
  <c r="I1102" i="1"/>
  <c r="I1127" i="1"/>
  <c r="E1160" i="1"/>
  <c r="I1231" i="1"/>
  <c r="E1250" i="1"/>
  <c r="I1387" i="1"/>
  <c r="E1444" i="1"/>
  <c r="E1652" i="1"/>
  <c r="E1737" i="1"/>
  <c r="I1737" i="1"/>
  <c r="H1767" i="1"/>
  <c r="J1767" i="1"/>
  <c r="E1832" i="1"/>
  <c r="E1857" i="1"/>
  <c r="I1940" i="1"/>
  <c r="I2487" i="1"/>
  <c r="I1416" i="1"/>
  <c r="H1471" i="1"/>
  <c r="J1471" i="1"/>
  <c r="E2658" i="1"/>
  <c r="I1215" i="1"/>
  <c r="H1416" i="1"/>
  <c r="J1416" i="1"/>
  <c r="E1416" i="1"/>
  <c r="H1832" i="1"/>
  <c r="J1832" i="1"/>
  <c r="I1911" i="1"/>
  <c r="H1989" i="1"/>
  <c r="J1989" i="1"/>
  <c r="E2274" i="1"/>
  <c r="I1160" i="1"/>
  <c r="H1215" i="1"/>
  <c r="J1215" i="1"/>
  <c r="E1215" i="1"/>
  <c r="I1250" i="1"/>
  <c r="E1471" i="1"/>
  <c r="H1652" i="1"/>
  <c r="J1652" i="1"/>
  <c r="I1652" i="1"/>
  <c r="E1710" i="1"/>
  <c r="I1710" i="1"/>
  <c r="H1737" i="1"/>
  <c r="J1737" i="1"/>
  <c r="E1808" i="1"/>
  <c r="I1832" i="1"/>
  <c r="H1883" i="1"/>
  <c r="J1883" i="1"/>
  <c r="E1911" i="1"/>
  <c r="H1940" i="1"/>
  <c r="J1940" i="1"/>
  <c r="H2274" i="1"/>
  <c r="I2274" i="1"/>
  <c r="C20" i="14"/>
  <c r="H2661" i="1"/>
  <c r="G21" i="14"/>
  <c r="C13" i="14"/>
  <c r="D15" i="14"/>
  <c r="C7" i="14"/>
  <c r="D14" i="14"/>
  <c r="C21" i="14"/>
  <c r="H14" i="14"/>
  <c r="G22" i="14"/>
  <c r="C9" i="14"/>
  <c r="D9" i="14"/>
  <c r="C14" i="14"/>
  <c r="E14" i="14" s="1"/>
  <c r="J2313" i="1"/>
  <c r="C10" i="14"/>
  <c r="C12" i="14"/>
  <c r="D12" i="14"/>
  <c r="C19" i="14"/>
  <c r="B18" i="12"/>
  <c r="B21" i="12" s="1"/>
  <c r="B12" i="12" s="1"/>
  <c r="F1167" i="1"/>
  <c r="H1519" i="1"/>
  <c r="D16" i="14"/>
  <c r="H2562" i="1"/>
  <c r="H2601" i="1" s="1"/>
  <c r="C15" i="14"/>
  <c r="E15" i="14" s="1"/>
  <c r="C16" i="14"/>
  <c r="E16" i="14" s="1"/>
  <c r="C17" i="14"/>
  <c r="D17" i="14"/>
  <c r="AD16" i="11"/>
  <c r="Y12" i="11"/>
  <c r="X12" i="11"/>
  <c r="AA12" i="11"/>
  <c r="W12" i="11"/>
  <c r="AG12" i="11" s="1"/>
  <c r="AI12" i="11" s="1"/>
  <c r="Z12" i="11"/>
  <c r="AA13" i="11"/>
  <c r="W13" i="11"/>
  <c r="Z13" i="11"/>
  <c r="Y13" i="11"/>
  <c r="X13" i="11"/>
  <c r="AA14" i="11"/>
  <c r="W14" i="11"/>
  <c r="AG14" i="11" s="1"/>
  <c r="AI14" i="11" s="1"/>
  <c r="AJ14" i="11" s="1"/>
  <c r="Z14" i="11"/>
  <c r="Y14" i="11"/>
  <c r="X14" i="11"/>
  <c r="X15" i="11"/>
  <c r="AA15" i="11"/>
  <c r="W15" i="11"/>
  <c r="Z15" i="11"/>
  <c r="Y15" i="11"/>
  <c r="Y24" i="11"/>
  <c r="X24" i="11"/>
  <c r="AA24" i="11"/>
  <c r="W24" i="11"/>
  <c r="Z24" i="11"/>
  <c r="AA25" i="11"/>
  <c r="W25" i="11"/>
  <c r="Z25" i="11"/>
  <c r="Y25" i="11"/>
  <c r="X25" i="11"/>
  <c r="Y32" i="11"/>
  <c r="X32" i="11"/>
  <c r="AA32" i="11"/>
  <c r="W32" i="11"/>
  <c r="Z32" i="11"/>
  <c r="AA33" i="11"/>
  <c r="W33" i="11"/>
  <c r="AG33" i="11" s="1"/>
  <c r="AI33" i="11" s="1"/>
  <c r="AJ33" i="11" s="1"/>
  <c r="Z33" i="11"/>
  <c r="Y33" i="11"/>
  <c r="X33" i="11"/>
  <c r="Y42" i="11"/>
  <c r="X42" i="11"/>
  <c r="AA42" i="11"/>
  <c r="W42" i="11"/>
  <c r="Z42" i="11"/>
  <c r="AA43" i="11"/>
  <c r="W43" i="11"/>
  <c r="Z43" i="11"/>
  <c r="Y43" i="11"/>
  <c r="X43" i="11"/>
  <c r="N70" i="11"/>
  <c r="Q66" i="11"/>
  <c r="AC71" i="11"/>
  <c r="X75" i="11"/>
  <c r="AA75" i="11"/>
  <c r="W75" i="11"/>
  <c r="Z75" i="11"/>
  <c r="Y75" i="11"/>
  <c r="AG86" i="11"/>
  <c r="AI86" i="11" s="1"/>
  <c r="AJ86" i="11" s="1"/>
  <c r="AD96" i="11"/>
  <c r="R107" i="11"/>
  <c r="V102" i="11"/>
  <c r="AA103" i="11"/>
  <c r="W103" i="11"/>
  <c r="Z103" i="11"/>
  <c r="Y103" i="11"/>
  <c r="X103" i="11"/>
  <c r="Y119" i="11"/>
  <c r="Z119" i="11"/>
  <c r="W119" i="11"/>
  <c r="AA119" i="11"/>
  <c r="X119" i="11"/>
  <c r="W146" i="11"/>
  <c r="X146" i="11"/>
  <c r="V149" i="11"/>
  <c r="Z146" i="11"/>
  <c r="Y146" i="11"/>
  <c r="W155" i="11"/>
  <c r="AG155" i="11" s="1"/>
  <c r="AI155" i="11" s="1"/>
  <c r="AJ155" i="11" s="1"/>
  <c r="X155" i="11"/>
  <c r="Z155" i="11"/>
  <c r="Y155" i="11"/>
  <c r="X184" i="11"/>
  <c r="AA184" i="11"/>
  <c r="W184" i="11"/>
  <c r="Y184" i="11"/>
  <c r="Z184" i="11"/>
  <c r="Y10" i="11"/>
  <c r="X10" i="11"/>
  <c r="W10" i="11"/>
  <c r="Z10" i="11"/>
  <c r="Y22" i="11"/>
  <c r="X22" i="11"/>
  <c r="AA22" i="11"/>
  <c r="W22" i="11"/>
  <c r="Z22" i="11"/>
  <c r="AA23" i="11"/>
  <c r="W23" i="11"/>
  <c r="Z23" i="11"/>
  <c r="Y23" i="11"/>
  <c r="X23" i="11"/>
  <c r="Y30" i="11"/>
  <c r="X30" i="11"/>
  <c r="AA30" i="11"/>
  <c r="W30" i="11"/>
  <c r="Z30" i="11"/>
  <c r="AA31" i="11"/>
  <c r="W31" i="11"/>
  <c r="Z31" i="11"/>
  <c r="Y31" i="11"/>
  <c r="X31" i="11"/>
  <c r="R47" i="11"/>
  <c r="V40" i="11"/>
  <c r="AA41" i="11"/>
  <c r="W41" i="11"/>
  <c r="AG41" i="11" s="1"/>
  <c r="AI41" i="11" s="1"/>
  <c r="AJ41" i="11" s="1"/>
  <c r="Z41" i="11"/>
  <c r="Y41" i="11"/>
  <c r="X41" i="11"/>
  <c r="Y46" i="11"/>
  <c r="X46" i="11"/>
  <c r="AA46" i="11"/>
  <c r="W46" i="11"/>
  <c r="Z46" i="11"/>
  <c r="X56" i="11"/>
  <c r="W56" i="11"/>
  <c r="Z56" i="11"/>
  <c r="Y56" i="11"/>
  <c r="X58" i="11"/>
  <c r="AA58" i="11"/>
  <c r="W58" i="11"/>
  <c r="Z58" i="11"/>
  <c r="Y58" i="11"/>
  <c r="X67" i="11"/>
  <c r="AA67" i="11"/>
  <c r="W67" i="11"/>
  <c r="AG67" i="11" s="1"/>
  <c r="AI67" i="11" s="1"/>
  <c r="AJ67" i="11" s="1"/>
  <c r="Z67" i="11"/>
  <c r="Y67" i="11"/>
  <c r="AA68" i="11"/>
  <c r="W68" i="11"/>
  <c r="AG68" i="11" s="1"/>
  <c r="AI68" i="11" s="1"/>
  <c r="AJ68" i="11" s="1"/>
  <c r="Z68" i="11"/>
  <c r="Y68" i="11"/>
  <c r="X68" i="11"/>
  <c r="Z85" i="11"/>
  <c r="Y85" i="11"/>
  <c r="X85" i="11"/>
  <c r="W85" i="11"/>
  <c r="N96" i="11"/>
  <c r="N572" i="11" s="1"/>
  <c r="Q91" i="11"/>
  <c r="Y95" i="11"/>
  <c r="X95" i="11"/>
  <c r="AA95" i="11"/>
  <c r="W95" i="11"/>
  <c r="Z95" i="11"/>
  <c r="AA133" i="11"/>
  <c r="W133" i="11"/>
  <c r="X133" i="11"/>
  <c r="Z133" i="11"/>
  <c r="Y133" i="11"/>
  <c r="X139" i="11"/>
  <c r="Y139" i="11"/>
  <c r="W139" i="11"/>
  <c r="V142" i="11"/>
  <c r="AA139" i="11"/>
  <c r="Z139" i="11"/>
  <c r="Z140" i="11"/>
  <c r="AA140" i="11"/>
  <c r="W140" i="11"/>
  <c r="Y140" i="11"/>
  <c r="X140" i="11"/>
  <c r="R164" i="11"/>
  <c r="V160" i="11"/>
  <c r="X180" i="11"/>
  <c r="AA180" i="11"/>
  <c r="W180" i="11"/>
  <c r="Y180" i="11"/>
  <c r="Z180" i="11"/>
  <c r="X182" i="11"/>
  <c r="AA182" i="11"/>
  <c r="W182" i="11"/>
  <c r="Y182" i="11"/>
  <c r="Z182" i="11"/>
  <c r="X218" i="11"/>
  <c r="AA218" i="11"/>
  <c r="W218" i="11"/>
  <c r="Y218" i="11"/>
  <c r="Z218" i="11"/>
  <c r="R36" i="11"/>
  <c r="V20" i="11"/>
  <c r="AA21" i="11"/>
  <c r="W21" i="11"/>
  <c r="Z21" i="11"/>
  <c r="Y21" i="11"/>
  <c r="X21" i="11"/>
  <c r="Y28" i="11"/>
  <c r="X28" i="11"/>
  <c r="AA28" i="11"/>
  <c r="W28" i="11"/>
  <c r="Z28" i="11"/>
  <c r="AA29" i="11"/>
  <c r="W29" i="11"/>
  <c r="AG29" i="11" s="1"/>
  <c r="AI29" i="11" s="1"/>
  <c r="AJ29" i="11" s="1"/>
  <c r="Z29" i="11"/>
  <c r="Y29" i="11"/>
  <c r="X29" i="11"/>
  <c r="Z34" i="11"/>
  <c r="Y34" i="11"/>
  <c r="X34" i="11"/>
  <c r="AA34" i="11"/>
  <c r="W34" i="11"/>
  <c r="AG34" i="11" s="1"/>
  <c r="AI34" i="11" s="1"/>
  <c r="AJ34" i="11" s="1"/>
  <c r="X35" i="11"/>
  <c r="AA35" i="11"/>
  <c r="W35" i="11"/>
  <c r="Z35" i="11"/>
  <c r="Y35" i="11"/>
  <c r="Z57" i="11"/>
  <c r="Y57" i="11"/>
  <c r="X57" i="11"/>
  <c r="AA57" i="11"/>
  <c r="W57" i="11"/>
  <c r="AG57" i="11" s="1"/>
  <c r="AI57" i="11" s="1"/>
  <c r="AJ57" i="11" s="1"/>
  <c r="Y59" i="11"/>
  <c r="X59" i="11"/>
  <c r="AA59" i="11"/>
  <c r="W59" i="11"/>
  <c r="AG59" i="11" s="1"/>
  <c r="AI59" i="11" s="1"/>
  <c r="AJ59" i="11" s="1"/>
  <c r="Z59" i="11"/>
  <c r="Y65" i="11"/>
  <c r="X65" i="11"/>
  <c r="W65" i="11"/>
  <c r="AG65" i="11" s="1"/>
  <c r="Z65" i="11"/>
  <c r="X92" i="11"/>
  <c r="AA92" i="11"/>
  <c r="W92" i="11"/>
  <c r="AG92" i="11" s="1"/>
  <c r="AI92" i="11" s="1"/>
  <c r="AJ92" i="11" s="1"/>
  <c r="Z92" i="11"/>
  <c r="Y92" i="11"/>
  <c r="Z93" i="11"/>
  <c r="Y93" i="11"/>
  <c r="X93" i="11"/>
  <c r="AA93" i="11"/>
  <c r="W93" i="11"/>
  <c r="AG93" i="11" s="1"/>
  <c r="AI93" i="11" s="1"/>
  <c r="AJ93" i="11" s="1"/>
  <c r="AA111" i="11"/>
  <c r="W111" i="11"/>
  <c r="X111" i="11"/>
  <c r="Z111" i="11"/>
  <c r="Y111" i="11"/>
  <c r="X121" i="11"/>
  <c r="Y121" i="11"/>
  <c r="W121" i="11"/>
  <c r="AA121" i="11"/>
  <c r="Z121" i="11"/>
  <c r="Y122" i="11"/>
  <c r="Z122" i="11"/>
  <c r="AA122" i="11"/>
  <c r="X122" i="11"/>
  <c r="W122" i="11"/>
  <c r="X142" i="11"/>
  <c r="X178" i="11"/>
  <c r="AA178" i="11"/>
  <c r="W178" i="11"/>
  <c r="AG178" i="11" s="1"/>
  <c r="AI178" i="11" s="1"/>
  <c r="AJ178" i="11" s="1"/>
  <c r="Y178" i="11"/>
  <c r="Z178" i="11"/>
  <c r="AA208" i="11"/>
  <c r="W208" i="11"/>
  <c r="AG208" i="11" s="1"/>
  <c r="AI208" i="11" s="1"/>
  <c r="AJ208" i="11" s="1"/>
  <c r="Z208" i="11"/>
  <c r="X208" i="11"/>
  <c r="Y208" i="11"/>
  <c r="V9" i="11"/>
  <c r="AJ12" i="11"/>
  <c r="Y26" i="11"/>
  <c r="X26" i="11"/>
  <c r="AA26" i="11"/>
  <c r="W26" i="11"/>
  <c r="Z26" i="11"/>
  <c r="AA27" i="11"/>
  <c r="W27" i="11"/>
  <c r="Z27" i="11"/>
  <c r="Y27" i="11"/>
  <c r="X27" i="11"/>
  <c r="Y44" i="11"/>
  <c r="X44" i="11"/>
  <c r="AA44" i="11"/>
  <c r="W44" i="11"/>
  <c r="Z44" i="11"/>
  <c r="X45" i="11"/>
  <c r="W45" i="11"/>
  <c r="R60" i="11"/>
  <c r="V55" i="11"/>
  <c r="AC77" i="11"/>
  <c r="Y83" i="11"/>
  <c r="X83" i="11"/>
  <c r="AA83" i="11"/>
  <c r="W83" i="11"/>
  <c r="Z83" i="11"/>
  <c r="AC98" i="11"/>
  <c r="Y104" i="11"/>
  <c r="X104" i="11"/>
  <c r="AA104" i="11"/>
  <c r="W104" i="11"/>
  <c r="Z104" i="11"/>
  <c r="AA105" i="11"/>
  <c r="W105" i="11"/>
  <c r="Z105" i="11"/>
  <c r="Y105" i="11"/>
  <c r="X105" i="11"/>
  <c r="AA113" i="11"/>
  <c r="W113" i="11"/>
  <c r="X113" i="11"/>
  <c r="Z113" i="11"/>
  <c r="Y113" i="11"/>
  <c r="Z120" i="11"/>
  <c r="AA120" i="11"/>
  <c r="W120" i="11"/>
  <c r="AG120" i="11" s="1"/>
  <c r="AI120" i="11" s="1"/>
  <c r="AJ120" i="11" s="1"/>
  <c r="X120" i="11"/>
  <c r="Y120" i="11"/>
  <c r="AA162" i="11"/>
  <c r="AA164" i="11" s="1"/>
  <c r="W162" i="11"/>
  <c r="AG162" i="11" s="1"/>
  <c r="AI162" i="11" s="1"/>
  <c r="AJ162" i="11" s="1"/>
  <c r="X162" i="11"/>
  <c r="Z162" i="11"/>
  <c r="Y162" i="11"/>
  <c r="X176" i="11"/>
  <c r="AA176" i="11"/>
  <c r="W176" i="11"/>
  <c r="Y176" i="11"/>
  <c r="Z176" i="11"/>
  <c r="X186" i="11"/>
  <c r="AA186" i="11"/>
  <c r="W186" i="11"/>
  <c r="Y186" i="11"/>
  <c r="Z186" i="11"/>
  <c r="J714" i="11"/>
  <c r="I718" i="11" s="1"/>
  <c r="J572" i="11"/>
  <c r="O714" i="11"/>
  <c r="O572" i="11"/>
  <c r="S714" i="11"/>
  <c r="S572" i="11"/>
  <c r="AF16" i="11"/>
  <c r="AF36" i="11"/>
  <c r="AD40" i="11"/>
  <c r="AD47" i="11" s="1"/>
  <c r="X51" i="11"/>
  <c r="AD55" i="11"/>
  <c r="AD60" i="11" s="1"/>
  <c r="AC61" i="11" s="1"/>
  <c r="V64" i="11"/>
  <c r="Y69" i="11"/>
  <c r="AF70" i="11"/>
  <c r="Q82" i="11"/>
  <c r="Y84" i="11"/>
  <c r="Y94" i="11"/>
  <c r="AB96" i="11"/>
  <c r="AD102" i="11"/>
  <c r="AD107" i="11" s="1"/>
  <c r="AC108" i="11" s="1"/>
  <c r="Y106" i="11"/>
  <c r="M125" i="11"/>
  <c r="M714" i="11" s="1"/>
  <c r="Y114" i="11"/>
  <c r="AG114" i="11" s="1"/>
  <c r="AI114" i="11" s="1"/>
  <c r="AJ114" i="11" s="1"/>
  <c r="Z114" i="11"/>
  <c r="Q117" i="11"/>
  <c r="R117" i="11" s="1"/>
  <c r="V117" i="11" s="1"/>
  <c r="AD117" i="11"/>
  <c r="AD125" i="11" s="1"/>
  <c r="R125" i="11"/>
  <c r="M134" i="11"/>
  <c r="AD134" i="11"/>
  <c r="AB134" i="11"/>
  <c r="L142" i="11"/>
  <c r="AG141" i="11"/>
  <c r="AI141" i="11" s="1"/>
  <c r="AJ141" i="11" s="1"/>
  <c r="Q142" i="11"/>
  <c r="AC150" i="11"/>
  <c r="W147" i="11"/>
  <c r="X147" i="11"/>
  <c r="Y163" i="11"/>
  <c r="AG163" i="11" s="1"/>
  <c r="AI163" i="11" s="1"/>
  <c r="AJ163" i="11" s="1"/>
  <c r="Z163" i="11"/>
  <c r="W172" i="11"/>
  <c r="Z172" i="11"/>
  <c r="X172" i="11"/>
  <c r="AF188" i="11"/>
  <c r="AD193" i="11"/>
  <c r="AC197" i="11"/>
  <c r="AA195" i="11"/>
  <c r="W195" i="11"/>
  <c r="Z195" i="11"/>
  <c r="X195" i="11"/>
  <c r="Z196" i="11"/>
  <c r="Y196" i="11"/>
  <c r="AA196" i="11"/>
  <c r="W196" i="11"/>
  <c r="AG196" i="11" s="1"/>
  <c r="AI196" i="11" s="1"/>
  <c r="R197" i="11"/>
  <c r="Z201" i="11"/>
  <c r="Y201" i="11"/>
  <c r="W201" i="11"/>
  <c r="Z203" i="11"/>
  <c r="Y203" i="11"/>
  <c r="W203" i="11"/>
  <c r="AG203" i="11" s="1"/>
  <c r="AI203" i="11" s="1"/>
  <c r="AJ203" i="11" s="1"/>
  <c r="Q206" i="11"/>
  <c r="R206" i="11" s="1"/>
  <c r="V206" i="11" s="1"/>
  <c r="N223" i="11"/>
  <c r="AC223" i="11"/>
  <c r="Y209" i="11"/>
  <c r="X209" i="11"/>
  <c r="Z209" i="11"/>
  <c r="Y221" i="11"/>
  <c r="X221" i="11"/>
  <c r="Z221" i="11"/>
  <c r="X233" i="11"/>
  <c r="AA233" i="11"/>
  <c r="W233" i="11"/>
  <c r="Z233" i="11"/>
  <c r="Y233" i="11"/>
  <c r="Y234" i="11"/>
  <c r="X234" i="11"/>
  <c r="AA234" i="11"/>
  <c r="W234" i="11"/>
  <c r="Z234" i="11"/>
  <c r="AA235" i="11"/>
  <c r="W235" i="11"/>
  <c r="Z235" i="11"/>
  <c r="Y235" i="11"/>
  <c r="X235" i="11"/>
  <c r="Y236" i="11"/>
  <c r="X236" i="11"/>
  <c r="AA236" i="11"/>
  <c r="W236" i="11"/>
  <c r="Z236" i="11"/>
  <c r="Y264" i="11"/>
  <c r="X264" i="11"/>
  <c r="AA264" i="11"/>
  <c r="W264" i="11"/>
  <c r="AG264" i="11" s="1"/>
  <c r="AI264" i="11" s="1"/>
  <c r="Z264" i="11"/>
  <c r="AA265" i="11"/>
  <c r="W265" i="11"/>
  <c r="Z265" i="11"/>
  <c r="Y265" i="11"/>
  <c r="X265" i="11"/>
  <c r="X272" i="11"/>
  <c r="AA272" i="11"/>
  <c r="W272" i="11"/>
  <c r="Z272" i="11"/>
  <c r="Y272" i="11"/>
  <c r="Z273" i="11"/>
  <c r="Y273" i="11"/>
  <c r="X273" i="11"/>
  <c r="AA273" i="11"/>
  <c r="W273" i="11"/>
  <c r="AG273" i="11" s="1"/>
  <c r="AI273" i="11" s="1"/>
  <c r="AJ273" i="11" s="1"/>
  <c r="Z275" i="11"/>
  <c r="Y275" i="11"/>
  <c r="X275" i="11"/>
  <c r="AA275" i="11"/>
  <c r="W275" i="11"/>
  <c r="X288" i="11"/>
  <c r="AA288" i="11"/>
  <c r="W288" i="11"/>
  <c r="AG288" i="11" s="1"/>
  <c r="AI288" i="11" s="1"/>
  <c r="AJ288" i="11" s="1"/>
  <c r="Z288" i="11"/>
  <c r="Y288" i="11"/>
  <c r="AA290" i="11"/>
  <c r="W290" i="11"/>
  <c r="AG290" i="11" s="1"/>
  <c r="AI290" i="11" s="1"/>
  <c r="AJ290" i="11" s="1"/>
  <c r="Z290" i="11"/>
  <c r="Y290" i="11"/>
  <c r="X290" i="11"/>
  <c r="Y291" i="11"/>
  <c r="X291" i="11"/>
  <c r="AA291" i="11"/>
  <c r="W291" i="11"/>
  <c r="Z291" i="11"/>
  <c r="Y331" i="11"/>
  <c r="X331" i="11"/>
  <c r="AA331" i="11"/>
  <c r="W331" i="11"/>
  <c r="Z331" i="11"/>
  <c r="AA332" i="11"/>
  <c r="W332" i="11"/>
  <c r="Z332" i="11"/>
  <c r="Y332" i="11"/>
  <c r="X332" i="11"/>
  <c r="Y339" i="11"/>
  <c r="X339" i="11"/>
  <c r="AA339" i="11"/>
  <c r="W339" i="11"/>
  <c r="Z339" i="11"/>
  <c r="AA340" i="11"/>
  <c r="W340" i="11"/>
  <c r="Z340" i="11"/>
  <c r="Y340" i="11"/>
  <c r="X340" i="11"/>
  <c r="Y347" i="11"/>
  <c r="X347" i="11"/>
  <c r="AA347" i="11"/>
  <c r="W347" i="11"/>
  <c r="Z347" i="11"/>
  <c r="X349" i="11"/>
  <c r="Z349" i="11"/>
  <c r="Y349" i="11"/>
  <c r="W349" i="11"/>
  <c r="AA349" i="11"/>
  <c r="X353" i="11"/>
  <c r="Z353" i="11"/>
  <c r="Y353" i="11"/>
  <c r="W353" i="11"/>
  <c r="AA353" i="11"/>
  <c r="X357" i="11"/>
  <c r="Z357" i="11"/>
  <c r="Y357" i="11"/>
  <c r="W357" i="11"/>
  <c r="AG357" i="11" s="1"/>
  <c r="AI357" i="11" s="1"/>
  <c r="AJ357" i="11" s="1"/>
  <c r="AA357" i="11"/>
  <c r="X361" i="11"/>
  <c r="Z361" i="11"/>
  <c r="Y361" i="11"/>
  <c r="W361" i="11"/>
  <c r="AA361" i="11"/>
  <c r="X365" i="11"/>
  <c r="Z365" i="11"/>
  <c r="Y365" i="11"/>
  <c r="W365" i="11"/>
  <c r="AA365" i="11"/>
  <c r="X369" i="11"/>
  <c r="Z369" i="11"/>
  <c r="Y369" i="11"/>
  <c r="W369" i="11"/>
  <c r="AA369" i="11"/>
  <c r="X373" i="11"/>
  <c r="Z373" i="11"/>
  <c r="Y373" i="11"/>
  <c r="W373" i="11"/>
  <c r="AG373" i="11" s="1"/>
  <c r="AI373" i="11" s="1"/>
  <c r="AJ373" i="11" s="1"/>
  <c r="AA373" i="11"/>
  <c r="AA381" i="11"/>
  <c r="W381" i="11"/>
  <c r="X381" i="11"/>
  <c r="Z381" i="11"/>
  <c r="Y381" i="11"/>
  <c r="AA389" i="11"/>
  <c r="W389" i="11"/>
  <c r="AG389" i="11" s="1"/>
  <c r="AI389" i="11" s="1"/>
  <c r="AJ389" i="11" s="1"/>
  <c r="X389" i="11"/>
  <c r="Z389" i="11"/>
  <c r="Y389" i="11"/>
  <c r="X395" i="11"/>
  <c r="Y395" i="11"/>
  <c r="AA395" i="11"/>
  <c r="Z395" i="11"/>
  <c r="W395" i="11"/>
  <c r="AG395" i="11" s="1"/>
  <c r="AI395" i="11" s="1"/>
  <c r="AJ395" i="11" s="1"/>
  <c r="P572" i="11"/>
  <c r="T714" i="11"/>
  <c r="T572" i="11"/>
  <c r="AB16" i="11"/>
  <c r="Q47" i="11"/>
  <c r="AC47" i="11"/>
  <c r="AC48" i="11" s="1"/>
  <c r="Q60" i="11"/>
  <c r="Z69" i="11"/>
  <c r="AB70" i="11"/>
  <c r="Z84" i="11"/>
  <c r="AC87" i="11"/>
  <c r="AC88" i="11" s="1"/>
  <c r="Z94" i="11"/>
  <c r="AC97" i="11"/>
  <c r="Z106" i="11"/>
  <c r="AF108" i="11"/>
  <c r="Q125" i="11"/>
  <c r="AA115" i="11"/>
  <c r="W115" i="11"/>
  <c r="X115" i="11"/>
  <c r="Y116" i="11"/>
  <c r="Z116" i="11"/>
  <c r="X118" i="11"/>
  <c r="Y118" i="11"/>
  <c r="AF125" i="11"/>
  <c r="X131" i="11"/>
  <c r="Y131" i="11"/>
  <c r="AF134" i="11"/>
  <c r="AD138" i="11"/>
  <c r="AD142" i="11" s="1"/>
  <c r="AC143" i="11" s="1"/>
  <c r="AB142" i="11"/>
  <c r="R142" i="11"/>
  <c r="Y148" i="11"/>
  <c r="Z148" i="11"/>
  <c r="Y156" i="11"/>
  <c r="Z156" i="11"/>
  <c r="AC165" i="11"/>
  <c r="Z161" i="11"/>
  <c r="W161" i="11"/>
  <c r="Z175" i="11"/>
  <c r="Y175" i="11"/>
  <c r="AA175" i="11"/>
  <c r="W175" i="11"/>
  <c r="Z177" i="11"/>
  <c r="Y177" i="11"/>
  <c r="AA177" i="11"/>
  <c r="W177" i="11"/>
  <c r="Z179" i="11"/>
  <c r="Y179" i="11"/>
  <c r="AA179" i="11"/>
  <c r="W179" i="11"/>
  <c r="Z181" i="11"/>
  <c r="Y181" i="11"/>
  <c r="AA181" i="11"/>
  <c r="W181" i="11"/>
  <c r="AG181" i="11" s="1"/>
  <c r="AA193" i="11"/>
  <c r="AA197" i="11" s="1"/>
  <c r="W193" i="11"/>
  <c r="Z193" i="11"/>
  <c r="Z197" i="11" s="1"/>
  <c r="X193" i="11"/>
  <c r="Q223" i="11"/>
  <c r="Z207" i="11"/>
  <c r="Y207" i="11"/>
  <c r="AA207" i="11"/>
  <c r="W207" i="11"/>
  <c r="AG209" i="11"/>
  <c r="AI209" i="11" s="1"/>
  <c r="AJ209" i="11" s="1"/>
  <c r="Z210" i="11"/>
  <c r="Y210" i="11"/>
  <c r="AA210" i="11"/>
  <c r="W210" i="11"/>
  <c r="Y213" i="11"/>
  <c r="X213" i="11"/>
  <c r="Z213" i="11"/>
  <c r="X215" i="11"/>
  <c r="AA215" i="11"/>
  <c r="W215" i="11"/>
  <c r="Y215" i="11"/>
  <c r="AA217" i="11"/>
  <c r="W217" i="11"/>
  <c r="Z217" i="11"/>
  <c r="X217" i="11"/>
  <c r="Y219" i="11"/>
  <c r="X219" i="11"/>
  <c r="Z219" i="11"/>
  <c r="AG221" i="11"/>
  <c r="AI221" i="11" s="1"/>
  <c r="AJ221" i="11" s="1"/>
  <c r="R238" i="11"/>
  <c r="V227" i="11"/>
  <c r="X231" i="11"/>
  <c r="AA231" i="11"/>
  <c r="W231" i="11"/>
  <c r="AG231" i="11" s="1"/>
  <c r="AI231" i="11" s="1"/>
  <c r="AJ231" i="11" s="1"/>
  <c r="Z231" i="11"/>
  <c r="Y231" i="11"/>
  <c r="Z232" i="11"/>
  <c r="Y232" i="11"/>
  <c r="X232" i="11"/>
  <c r="AA232" i="11"/>
  <c r="W232" i="11"/>
  <c r="AC248" i="11"/>
  <c r="AA263" i="11"/>
  <c r="W263" i="11"/>
  <c r="Z263" i="11"/>
  <c r="Y263" i="11"/>
  <c r="X263" i="11"/>
  <c r="X270" i="11"/>
  <c r="AA270" i="11"/>
  <c r="W270" i="11"/>
  <c r="AG270" i="11" s="1"/>
  <c r="AI270" i="11" s="1"/>
  <c r="AJ270" i="11" s="1"/>
  <c r="Z270" i="11"/>
  <c r="Y270" i="11"/>
  <c r="Z271" i="11"/>
  <c r="Y271" i="11"/>
  <c r="X271" i="11"/>
  <c r="AA271" i="11"/>
  <c r="W271" i="11"/>
  <c r="Z289" i="11"/>
  <c r="Y289" i="11"/>
  <c r="X289" i="11"/>
  <c r="AA289" i="11"/>
  <c r="W289" i="11"/>
  <c r="Y329" i="11"/>
  <c r="X329" i="11"/>
  <c r="AA329" i="11"/>
  <c r="W329" i="11"/>
  <c r="Z329" i="11"/>
  <c r="AA330" i="11"/>
  <c r="W330" i="11"/>
  <c r="AG330" i="11" s="1"/>
  <c r="AI330" i="11" s="1"/>
  <c r="AJ330" i="11" s="1"/>
  <c r="Z330" i="11"/>
  <c r="Y330" i="11"/>
  <c r="X330" i="11"/>
  <c r="Y337" i="11"/>
  <c r="X337" i="11"/>
  <c r="AA337" i="11"/>
  <c r="W337" i="11"/>
  <c r="AG337" i="11" s="1"/>
  <c r="AI337" i="11" s="1"/>
  <c r="AJ337" i="11" s="1"/>
  <c r="Z337" i="11"/>
  <c r="AA338" i="11"/>
  <c r="W338" i="11"/>
  <c r="Z338" i="11"/>
  <c r="Y338" i="11"/>
  <c r="X338" i="11"/>
  <c r="Y345" i="11"/>
  <c r="X345" i="11"/>
  <c r="AA345" i="11"/>
  <c r="W345" i="11"/>
  <c r="Z345" i="11"/>
  <c r="AA346" i="11"/>
  <c r="W346" i="11"/>
  <c r="Z346" i="11"/>
  <c r="Y346" i="11"/>
  <c r="X346" i="11"/>
  <c r="AA394" i="11"/>
  <c r="W394" i="11"/>
  <c r="X394" i="11"/>
  <c r="Y394" i="11"/>
  <c r="Z394" i="11"/>
  <c r="AA397" i="11"/>
  <c r="W397" i="11"/>
  <c r="X397" i="11"/>
  <c r="Y397" i="11"/>
  <c r="Z397" i="11"/>
  <c r="Q11" i="11"/>
  <c r="R11" i="11" s="1"/>
  <c r="V11" i="11" s="1"/>
  <c r="U714" i="11"/>
  <c r="U572" i="11"/>
  <c r="AD21" i="11"/>
  <c r="AD36" i="11" s="1"/>
  <c r="AC37" i="11" s="1"/>
  <c r="Q36" i="11"/>
  <c r="Z51" i="11"/>
  <c r="AF61" i="11"/>
  <c r="W69" i="11"/>
  <c r="AG69" i="11" s="1"/>
  <c r="AI69" i="11" s="1"/>
  <c r="AJ69" i="11" s="1"/>
  <c r="AA69" i="11"/>
  <c r="R74" i="11"/>
  <c r="AB76" i="11"/>
  <c r="W84" i="11"/>
  <c r="AG84" i="11" s="1"/>
  <c r="AI84" i="11" s="1"/>
  <c r="AJ84" i="11" s="1"/>
  <c r="W94" i="11"/>
  <c r="AA94" i="11"/>
  <c r="AF97" i="11"/>
  <c r="W106" i="11"/>
  <c r="AG106" i="11" s="1"/>
  <c r="AI106" i="11" s="1"/>
  <c r="AJ106" i="11" s="1"/>
  <c r="AA106" i="11"/>
  <c r="Q107" i="11"/>
  <c r="AB125" i="11"/>
  <c r="Y115" i="11"/>
  <c r="W116" i="11"/>
  <c r="W118" i="11"/>
  <c r="W131" i="11"/>
  <c r="Q132" i="11"/>
  <c r="R132" i="11" s="1"/>
  <c r="V132" i="11" s="1"/>
  <c r="Y138" i="11"/>
  <c r="Y142" i="11" s="1"/>
  <c r="Z138" i="11"/>
  <c r="Z142" i="11" s="1"/>
  <c r="AF143" i="11"/>
  <c r="Q149" i="11"/>
  <c r="W148" i="11"/>
  <c r="R149" i="11"/>
  <c r="AF150" i="11"/>
  <c r="W156" i="11"/>
  <c r="AF158" i="11"/>
  <c r="M164" i="11"/>
  <c r="X161" i="11"/>
  <c r="AF164" i="11"/>
  <c r="X173" i="11"/>
  <c r="W173" i="11"/>
  <c r="Y173" i="11"/>
  <c r="Y188" i="11" s="1"/>
  <c r="X175" i="11"/>
  <c r="X177" i="11"/>
  <c r="X179" i="11"/>
  <c r="X181" i="11"/>
  <c r="Z183" i="11"/>
  <c r="Y183" i="11"/>
  <c r="AA183" i="11"/>
  <c r="W183" i="11"/>
  <c r="Z185" i="11"/>
  <c r="Y185" i="11"/>
  <c r="AA185" i="11"/>
  <c r="W185" i="11"/>
  <c r="Y193" i="11"/>
  <c r="Y197" i="11" s="1"/>
  <c r="Y194" i="11"/>
  <c r="X194" i="11"/>
  <c r="Z194" i="11"/>
  <c r="AJ196" i="11"/>
  <c r="AF224" i="11"/>
  <c r="Z202" i="11"/>
  <c r="Y202" i="11"/>
  <c r="W202" i="11"/>
  <c r="Z204" i="11"/>
  <c r="Y204" i="11"/>
  <c r="W204" i="11"/>
  <c r="X207" i="11"/>
  <c r="X210" i="11"/>
  <c r="X212" i="11"/>
  <c r="AA212" i="11"/>
  <c r="W212" i="11"/>
  <c r="Y212" i="11"/>
  <c r="W213" i="11"/>
  <c r="Z215" i="11"/>
  <c r="Y217" i="11"/>
  <c r="W219" i="11"/>
  <c r="AA222" i="11"/>
  <c r="W222" i="11"/>
  <c r="Z222" i="11"/>
  <c r="X222" i="11"/>
  <c r="AF238" i="11"/>
  <c r="AF239" i="11"/>
  <c r="X229" i="11"/>
  <c r="AA229" i="11"/>
  <c r="W229" i="11"/>
  <c r="Z229" i="11"/>
  <c r="Y229" i="11"/>
  <c r="Z230" i="11"/>
  <c r="Y230" i="11"/>
  <c r="X230" i="11"/>
  <c r="AA230" i="11"/>
  <c r="W230" i="11"/>
  <c r="Z237" i="11"/>
  <c r="Y237" i="11"/>
  <c r="X237" i="11"/>
  <c r="AA237" i="11"/>
  <c r="W237" i="11"/>
  <c r="X244" i="11"/>
  <c r="AA244" i="11"/>
  <c r="W244" i="11"/>
  <c r="Z244" i="11"/>
  <c r="Y244" i="11"/>
  <c r="Z245" i="11"/>
  <c r="Y245" i="11"/>
  <c r="X245" i="11"/>
  <c r="AA245" i="11"/>
  <c r="W245" i="11"/>
  <c r="AG245" i="11" s="1"/>
  <c r="AI245" i="11" s="1"/>
  <c r="AJ245" i="11" s="1"/>
  <c r="Y251" i="11"/>
  <c r="X251" i="11"/>
  <c r="AA251" i="11"/>
  <c r="W251" i="11"/>
  <c r="Z251" i="11"/>
  <c r="AA252" i="11"/>
  <c r="W252" i="11"/>
  <c r="Z252" i="11"/>
  <c r="Y252" i="11"/>
  <c r="X252" i="11"/>
  <c r="AA258" i="11"/>
  <c r="W258" i="11"/>
  <c r="Z258" i="11"/>
  <c r="Y258" i="11"/>
  <c r="X258" i="11"/>
  <c r="AA261" i="11"/>
  <c r="W261" i="11"/>
  <c r="Z261" i="11"/>
  <c r="Y261" i="11"/>
  <c r="X261" i="11"/>
  <c r="Y268" i="11"/>
  <c r="X268" i="11"/>
  <c r="AA268" i="11"/>
  <c r="W268" i="11"/>
  <c r="Z268" i="11"/>
  <c r="AA269" i="11"/>
  <c r="W269" i="11"/>
  <c r="Z269" i="11"/>
  <c r="Y269" i="11"/>
  <c r="X269" i="11"/>
  <c r="AA276" i="11"/>
  <c r="W276" i="11"/>
  <c r="Z276" i="11"/>
  <c r="Y276" i="11"/>
  <c r="X276" i="11"/>
  <c r="Y283" i="11"/>
  <c r="X283" i="11"/>
  <c r="AA283" i="11"/>
  <c r="W283" i="11"/>
  <c r="Z283" i="11"/>
  <c r="N293" i="11"/>
  <c r="Q284" i="11"/>
  <c r="R284" i="11" s="1"/>
  <c r="V284" i="11" s="1"/>
  <c r="Z292" i="11"/>
  <c r="Y292" i="11"/>
  <c r="X292" i="11"/>
  <c r="AA292" i="11"/>
  <c r="W292" i="11"/>
  <c r="V327" i="11"/>
  <c r="AA328" i="11"/>
  <c r="W328" i="11"/>
  <c r="AG328" i="11" s="1"/>
  <c r="AI328" i="11" s="1"/>
  <c r="AJ328" i="11" s="1"/>
  <c r="Z328" i="11"/>
  <c r="Y328" i="11"/>
  <c r="X328" i="11"/>
  <c r="Y335" i="11"/>
  <c r="X335" i="11"/>
  <c r="AA335" i="11"/>
  <c r="W335" i="11"/>
  <c r="AG335" i="11" s="1"/>
  <c r="AI335" i="11" s="1"/>
  <c r="AJ335" i="11" s="1"/>
  <c r="Z335" i="11"/>
  <c r="AA336" i="11"/>
  <c r="W336" i="11"/>
  <c r="Z336" i="11"/>
  <c r="Y336" i="11"/>
  <c r="X336" i="11"/>
  <c r="Y343" i="11"/>
  <c r="X343" i="11"/>
  <c r="AA343" i="11"/>
  <c r="W343" i="11"/>
  <c r="Z343" i="11"/>
  <c r="AA344" i="11"/>
  <c r="W344" i="11"/>
  <c r="Z344" i="11"/>
  <c r="Y344" i="11"/>
  <c r="X344" i="11"/>
  <c r="G714" i="11"/>
  <c r="W51" i="11"/>
  <c r="W52" i="11" s="1"/>
  <c r="L125" i="11"/>
  <c r="AC125" i="11"/>
  <c r="Y112" i="11"/>
  <c r="AG112" i="11" s="1"/>
  <c r="AI112" i="11" s="1"/>
  <c r="AJ112" i="11" s="1"/>
  <c r="Z112" i="11"/>
  <c r="Z115" i="11"/>
  <c r="X116" i="11"/>
  <c r="Z118" i="11"/>
  <c r="X123" i="11"/>
  <c r="AG123" i="11" s="1"/>
  <c r="AI123" i="11" s="1"/>
  <c r="AJ123" i="11" s="1"/>
  <c r="Y123" i="11"/>
  <c r="AA130" i="11"/>
  <c r="W130" i="11"/>
  <c r="X130" i="11"/>
  <c r="Z131" i="11"/>
  <c r="AC135" i="11"/>
  <c r="W138" i="11"/>
  <c r="AB149" i="11"/>
  <c r="X148" i="11"/>
  <c r="Q157" i="11"/>
  <c r="AB157" i="11"/>
  <c r="AD154" i="11"/>
  <c r="AD157" i="11" s="1"/>
  <c r="AC158" i="11" s="1"/>
  <c r="X156" i="11"/>
  <c r="AF157" i="11"/>
  <c r="Q164" i="11"/>
  <c r="Y161" i="11"/>
  <c r="X168" i="11"/>
  <c r="AA168" i="11"/>
  <c r="W168" i="11"/>
  <c r="Y168" i="11"/>
  <c r="Q188" i="11"/>
  <c r="AC189" i="11"/>
  <c r="Z173" i="11"/>
  <c r="X174" i="11"/>
  <c r="AG174" i="11" s="1"/>
  <c r="AI174" i="11" s="1"/>
  <c r="AJ174" i="11" s="1"/>
  <c r="X183" i="11"/>
  <c r="X185" i="11"/>
  <c r="Z187" i="11"/>
  <c r="Y187" i="11"/>
  <c r="AA187" i="11"/>
  <c r="W187" i="11"/>
  <c r="R188" i="11"/>
  <c r="V188" i="11"/>
  <c r="M197" i="11"/>
  <c r="W194" i="11"/>
  <c r="AG194" i="11" s="1"/>
  <c r="AI194" i="11" s="1"/>
  <c r="AJ194" i="11" s="1"/>
  <c r="AF197" i="11"/>
  <c r="M223" i="11"/>
  <c r="X202" i="11"/>
  <c r="X204" i="11"/>
  <c r="L223" i="11"/>
  <c r="AB223" i="11"/>
  <c r="Z211" i="11"/>
  <c r="Y211" i="11"/>
  <c r="AA211" i="11"/>
  <c r="W211" i="11"/>
  <c r="Z212" i="11"/>
  <c r="AA213" i="11"/>
  <c r="AA214" i="11"/>
  <c r="W214" i="11"/>
  <c r="Z214" i="11"/>
  <c r="X214" i="11"/>
  <c r="Y216" i="11"/>
  <c r="X216" i="11"/>
  <c r="AG216" i="11" s="1"/>
  <c r="AI216" i="11" s="1"/>
  <c r="AJ216" i="11" s="1"/>
  <c r="Z216" i="11"/>
  <c r="AA219" i="11"/>
  <c r="AA220" i="11"/>
  <c r="W220" i="11"/>
  <c r="Z220" i="11"/>
  <c r="X220" i="11"/>
  <c r="Y222" i="11"/>
  <c r="AF223" i="11"/>
  <c r="AA228" i="11"/>
  <c r="W228" i="11"/>
  <c r="Z228" i="11"/>
  <c r="Y228" i="11"/>
  <c r="X228" i="11"/>
  <c r="R247" i="11"/>
  <c r="V242" i="11"/>
  <c r="Z243" i="11"/>
  <c r="Y243" i="11"/>
  <c r="X243" i="11"/>
  <c r="AA243" i="11"/>
  <c r="W243" i="11"/>
  <c r="AG246" i="11"/>
  <c r="AI246" i="11" s="1"/>
  <c r="AJ246" i="11" s="1"/>
  <c r="AA250" i="11"/>
  <c r="AA254" i="11" s="1"/>
  <c r="W250" i="11"/>
  <c r="Z250" i="11"/>
  <c r="V254" i="11"/>
  <c r="Y250" i="11"/>
  <c r="Y254" i="11" s="1"/>
  <c r="X250" i="11"/>
  <c r="X254" i="11" s="1"/>
  <c r="AJ264" i="11"/>
  <c r="Y266" i="11"/>
  <c r="X266" i="11"/>
  <c r="AA266" i="11"/>
  <c r="W266" i="11"/>
  <c r="Z266" i="11"/>
  <c r="AA267" i="11"/>
  <c r="W267" i="11"/>
  <c r="Z267" i="11"/>
  <c r="Y267" i="11"/>
  <c r="X267" i="11"/>
  <c r="X274" i="11"/>
  <c r="AA274" i="11"/>
  <c r="W274" i="11"/>
  <c r="Z274" i="11"/>
  <c r="Y274" i="11"/>
  <c r="V281" i="11"/>
  <c r="AA282" i="11"/>
  <c r="W282" i="11"/>
  <c r="Z282" i="11"/>
  <c r="Y282" i="11"/>
  <c r="X282" i="11"/>
  <c r="X285" i="11"/>
  <c r="AA285" i="11"/>
  <c r="W285" i="11"/>
  <c r="Z285" i="11"/>
  <c r="Y285" i="11"/>
  <c r="Y286" i="11"/>
  <c r="X286" i="11"/>
  <c r="AA286" i="11"/>
  <c r="W286" i="11"/>
  <c r="Z286" i="11"/>
  <c r="Z287" i="11"/>
  <c r="Y287" i="11"/>
  <c r="X287" i="11"/>
  <c r="AA287" i="11"/>
  <c r="W287" i="11"/>
  <c r="R313" i="11"/>
  <c r="V311" i="11"/>
  <c r="N318" i="11"/>
  <c r="Q316" i="11"/>
  <c r="Y333" i="11"/>
  <c r="X333" i="11"/>
  <c r="AA333" i="11"/>
  <c r="W333" i="11"/>
  <c r="Z333" i="11"/>
  <c r="AA334" i="11"/>
  <c r="W334" i="11"/>
  <c r="Z334" i="11"/>
  <c r="Y334" i="11"/>
  <c r="X334" i="11"/>
  <c r="Y341" i="11"/>
  <c r="X341" i="11"/>
  <c r="AA341" i="11"/>
  <c r="W341" i="11"/>
  <c r="Z341" i="11"/>
  <c r="AA342" i="11"/>
  <c r="W342" i="11"/>
  <c r="Z342" i="11"/>
  <c r="Y342" i="11"/>
  <c r="X342" i="11"/>
  <c r="Z350" i="11"/>
  <c r="AA350" i="11"/>
  <c r="Y350" i="11"/>
  <c r="X350" i="11"/>
  <c r="W350" i="11"/>
  <c r="X351" i="11"/>
  <c r="W351" i="11"/>
  <c r="AG351" i="11" s="1"/>
  <c r="AI351" i="11" s="1"/>
  <c r="AA351" i="11"/>
  <c r="Z351" i="11"/>
  <c r="Y351" i="11"/>
  <c r="AJ351" i="11"/>
  <c r="Z354" i="11"/>
  <c r="AA354" i="11"/>
  <c r="Y354" i="11"/>
  <c r="X354" i="11"/>
  <c r="W354" i="11"/>
  <c r="X355" i="11"/>
  <c r="W355" i="11"/>
  <c r="AA355" i="11"/>
  <c r="Z355" i="11"/>
  <c r="Y355" i="11"/>
  <c r="Z358" i="11"/>
  <c r="AA358" i="11"/>
  <c r="Y358" i="11"/>
  <c r="X358" i="11"/>
  <c r="W358" i="11"/>
  <c r="X359" i="11"/>
  <c r="W359" i="11"/>
  <c r="AA359" i="11"/>
  <c r="Z359" i="11"/>
  <c r="Y359" i="11"/>
  <c r="Z362" i="11"/>
  <c r="AA362" i="11"/>
  <c r="Y362" i="11"/>
  <c r="X362" i="11"/>
  <c r="W362" i="11"/>
  <c r="X363" i="11"/>
  <c r="W363" i="11"/>
  <c r="AA363" i="11"/>
  <c r="Z363" i="11"/>
  <c r="Y363" i="11"/>
  <c r="Z366" i="11"/>
  <c r="AA366" i="11"/>
  <c r="Y366" i="11"/>
  <c r="X366" i="11"/>
  <c r="W366" i="11"/>
  <c r="X367" i="11"/>
  <c r="W367" i="11"/>
  <c r="AG367" i="11" s="1"/>
  <c r="AI367" i="11" s="1"/>
  <c r="AA367" i="11"/>
  <c r="Z367" i="11"/>
  <c r="Y367" i="11"/>
  <c r="AJ367" i="11"/>
  <c r="Z370" i="11"/>
  <c r="AA370" i="11"/>
  <c r="Y370" i="11"/>
  <c r="X370" i="11"/>
  <c r="W370" i="11"/>
  <c r="X371" i="11"/>
  <c r="W371" i="11"/>
  <c r="AA371" i="11"/>
  <c r="Z371" i="11"/>
  <c r="Y371" i="11"/>
  <c r="Z374" i="11"/>
  <c r="AA374" i="11"/>
  <c r="Y374" i="11"/>
  <c r="X374" i="11"/>
  <c r="W374" i="11"/>
  <c r="AG374" i="11" s="1"/>
  <c r="AI374" i="11" s="1"/>
  <c r="AJ374" i="11" s="1"/>
  <c r="AA377" i="11"/>
  <c r="W377" i="11"/>
  <c r="X377" i="11"/>
  <c r="Y377" i="11"/>
  <c r="Z377" i="11"/>
  <c r="AA379" i="11"/>
  <c r="W379" i="11"/>
  <c r="X379" i="11"/>
  <c r="Z379" i="11"/>
  <c r="Y379" i="11"/>
  <c r="AA385" i="11"/>
  <c r="W385" i="11"/>
  <c r="AG385" i="11" s="1"/>
  <c r="AI385" i="11" s="1"/>
  <c r="AJ385" i="11" s="1"/>
  <c r="X385" i="11"/>
  <c r="Y385" i="11"/>
  <c r="Z385" i="11"/>
  <c r="AA387" i="11"/>
  <c r="W387" i="11"/>
  <c r="X387" i="11"/>
  <c r="Z387" i="11"/>
  <c r="Y387" i="11"/>
  <c r="W124" i="11"/>
  <c r="AG124" i="11" s="1"/>
  <c r="AI124" i="11" s="1"/>
  <c r="AJ124" i="11" s="1"/>
  <c r="AA124" i="11"/>
  <c r="R129" i="11"/>
  <c r="R154" i="11"/>
  <c r="AD194" i="11"/>
  <c r="R205" i="11"/>
  <c r="V205" i="11" s="1"/>
  <c r="V223" i="11" s="1"/>
  <c r="AD206" i="11"/>
  <c r="AD223" i="11" s="1"/>
  <c r="R223" i="11"/>
  <c r="AD227" i="11"/>
  <c r="AD238" i="11" s="1"/>
  <c r="AC239" i="11" s="1"/>
  <c r="Q238" i="11"/>
  <c r="AD251" i="11"/>
  <c r="AD254" i="11" s="1"/>
  <c r="W253" i="11"/>
  <c r="AG253" i="11" s="1"/>
  <c r="AI253" i="11" s="1"/>
  <c r="AJ253" i="11" s="1"/>
  <c r="AA253" i="11"/>
  <c r="AC254" i="11"/>
  <c r="AC259" i="11"/>
  <c r="AD262" i="11"/>
  <c r="N277" i="11"/>
  <c r="AD281" i="11"/>
  <c r="AD293" i="11" s="1"/>
  <c r="AC294" i="11" s="1"/>
  <c r="Q293" i="11"/>
  <c r="V296" i="11"/>
  <c r="AD301" i="11"/>
  <c r="AD303" i="11" s="1"/>
  <c r="AC304" i="11" s="1"/>
  <c r="AD306" i="11"/>
  <c r="AD308" i="11" s="1"/>
  <c r="AC309" i="11" s="1"/>
  <c r="AD311" i="11"/>
  <c r="AD313" i="11" s="1"/>
  <c r="AC314" i="11" s="1"/>
  <c r="R321" i="11"/>
  <c r="X322" i="11"/>
  <c r="AG322" i="11" s="1"/>
  <c r="AI322" i="11" s="1"/>
  <c r="AJ322" i="11" s="1"/>
  <c r="AD327" i="11"/>
  <c r="Y348" i="11"/>
  <c r="AD350" i="11"/>
  <c r="Y352" i="11"/>
  <c r="AD354" i="11"/>
  <c r="Y356" i="11"/>
  <c r="AD358" i="11"/>
  <c r="Y360" i="11"/>
  <c r="AD362" i="11"/>
  <c r="Y364" i="11"/>
  <c r="AD366" i="11"/>
  <c r="Y368" i="11"/>
  <c r="AD370" i="11"/>
  <c r="Y372" i="11"/>
  <c r="AD374" i="11"/>
  <c r="Y382" i="11"/>
  <c r="AG382" i="11" s="1"/>
  <c r="AI382" i="11" s="1"/>
  <c r="AJ382" i="11" s="1"/>
  <c r="Z382" i="11"/>
  <c r="Y390" i="11"/>
  <c r="AG390" i="11" s="1"/>
  <c r="AI390" i="11" s="1"/>
  <c r="AJ390" i="11" s="1"/>
  <c r="Z390" i="11"/>
  <c r="Q393" i="11"/>
  <c r="R393" i="11" s="1"/>
  <c r="V393" i="11" s="1"/>
  <c r="AD393" i="11"/>
  <c r="Z396" i="11"/>
  <c r="AA396" i="11"/>
  <c r="W396" i="11"/>
  <c r="R499" i="11"/>
  <c r="R500" i="11" s="1"/>
  <c r="V402" i="11"/>
  <c r="Y405" i="11"/>
  <c r="X405" i="11"/>
  <c r="Z405" i="11"/>
  <c r="AA410" i="11"/>
  <c r="W410" i="11"/>
  <c r="Z410" i="11"/>
  <c r="X410" i="11"/>
  <c r="Y413" i="11"/>
  <c r="X413" i="11"/>
  <c r="Z413" i="11"/>
  <c r="AG413" i="11" s="1"/>
  <c r="AI413" i="11" s="1"/>
  <c r="AJ413" i="11" s="1"/>
  <c r="AA418" i="11"/>
  <c r="W418" i="11"/>
  <c r="Z418" i="11"/>
  <c r="X418" i="11"/>
  <c r="Y421" i="11"/>
  <c r="X421" i="11"/>
  <c r="Z421" i="11"/>
  <c r="AG421" i="11" s="1"/>
  <c r="AI421" i="11" s="1"/>
  <c r="AJ421" i="11" s="1"/>
  <c r="AA426" i="11"/>
  <c r="W426" i="11"/>
  <c r="Z426" i="11"/>
  <c r="X426" i="11"/>
  <c r="Y429" i="11"/>
  <c r="X429" i="11"/>
  <c r="Z429" i="11"/>
  <c r="Y435" i="11"/>
  <c r="X435" i="11"/>
  <c r="AA435" i="11"/>
  <c r="W435" i="11"/>
  <c r="AG435" i="11" s="1"/>
  <c r="AI435" i="11" s="1"/>
  <c r="Z435" i="11"/>
  <c r="AA436" i="11"/>
  <c r="W436" i="11"/>
  <c r="Z436" i="11"/>
  <c r="Y436" i="11"/>
  <c r="X436" i="11"/>
  <c r="Y443" i="11"/>
  <c r="X443" i="11"/>
  <c r="AA443" i="11"/>
  <c r="W443" i="11"/>
  <c r="Z443" i="11"/>
  <c r="AA444" i="11"/>
  <c r="W444" i="11"/>
  <c r="Z444" i="11"/>
  <c r="Y444" i="11"/>
  <c r="X444" i="11"/>
  <c r="Y451" i="11"/>
  <c r="X451" i="11"/>
  <c r="AA451" i="11"/>
  <c r="W451" i="11"/>
  <c r="Z451" i="11"/>
  <c r="AA452" i="11"/>
  <c r="W452" i="11"/>
  <c r="Z452" i="11"/>
  <c r="Y452" i="11"/>
  <c r="X452" i="11"/>
  <c r="Y459" i="11"/>
  <c r="X459" i="11"/>
  <c r="AA459" i="11"/>
  <c r="W459" i="11"/>
  <c r="Z459" i="11"/>
  <c r="AA460" i="11"/>
  <c r="W460" i="11"/>
  <c r="AG460" i="11" s="1"/>
  <c r="AI460" i="11" s="1"/>
  <c r="AJ460" i="11" s="1"/>
  <c r="Z460" i="11"/>
  <c r="Y460" i="11"/>
  <c r="X460" i="11"/>
  <c r="Y467" i="11"/>
  <c r="X467" i="11"/>
  <c r="AA467" i="11"/>
  <c r="W467" i="11"/>
  <c r="AG467" i="11" s="1"/>
  <c r="AI467" i="11" s="1"/>
  <c r="Z467" i="11"/>
  <c r="AA468" i="11"/>
  <c r="W468" i="11"/>
  <c r="Z468" i="11"/>
  <c r="Y468" i="11"/>
  <c r="X468" i="11"/>
  <c r="Y475" i="11"/>
  <c r="X475" i="11"/>
  <c r="AA475" i="11"/>
  <c r="W475" i="11"/>
  <c r="Z475" i="11"/>
  <c r="AA476" i="11"/>
  <c r="W476" i="11"/>
  <c r="Z476" i="11"/>
  <c r="Y476" i="11"/>
  <c r="X476" i="11"/>
  <c r="Y483" i="11"/>
  <c r="X483" i="11"/>
  <c r="AA483" i="11"/>
  <c r="W483" i="11"/>
  <c r="Z483" i="11"/>
  <c r="AA484" i="11"/>
  <c r="W484" i="11"/>
  <c r="Z484" i="11"/>
  <c r="Y484" i="11"/>
  <c r="X484" i="11"/>
  <c r="Y491" i="11"/>
  <c r="X491" i="11"/>
  <c r="AA491" i="11"/>
  <c r="W491" i="11"/>
  <c r="Z491" i="11"/>
  <c r="AA492" i="11"/>
  <c r="W492" i="11"/>
  <c r="AG492" i="11" s="1"/>
  <c r="AI492" i="11" s="1"/>
  <c r="AJ492" i="11" s="1"/>
  <c r="Z492" i="11"/>
  <c r="Y492" i="11"/>
  <c r="X492" i="11"/>
  <c r="N238" i="11"/>
  <c r="Q247" i="11"/>
  <c r="R254" i="11"/>
  <c r="AF255" i="11"/>
  <c r="AF294" i="11"/>
  <c r="AA348" i="11"/>
  <c r="AA352" i="11"/>
  <c r="AA356" i="11"/>
  <c r="AA360" i="11"/>
  <c r="AA364" i="11"/>
  <c r="AA368" i="11"/>
  <c r="AA372" i="11"/>
  <c r="AA375" i="11"/>
  <c r="W375" i="11"/>
  <c r="X375" i="11"/>
  <c r="Y376" i="11"/>
  <c r="Z376" i="11"/>
  <c r="AA383" i="11"/>
  <c r="W383" i="11"/>
  <c r="X383" i="11"/>
  <c r="Y384" i="11"/>
  <c r="Z384" i="11"/>
  <c r="AA391" i="11"/>
  <c r="W391" i="11"/>
  <c r="X391" i="11"/>
  <c r="Y392" i="11"/>
  <c r="Z392" i="11"/>
  <c r="AF398" i="11"/>
  <c r="Y403" i="11"/>
  <c r="X403" i="11"/>
  <c r="Z403" i="11"/>
  <c r="AG405" i="11"/>
  <c r="AI405" i="11" s="1"/>
  <c r="AJ405" i="11" s="1"/>
  <c r="AA408" i="11"/>
  <c r="W408" i="11"/>
  <c r="Z408" i="11"/>
  <c r="X408" i="11"/>
  <c r="Y411" i="11"/>
  <c r="X411" i="11"/>
  <c r="Z411" i="11"/>
  <c r="AA416" i="11"/>
  <c r="W416" i="11"/>
  <c r="Z416" i="11"/>
  <c r="X416" i="11"/>
  <c r="Y419" i="11"/>
  <c r="X419" i="11"/>
  <c r="Z419" i="11"/>
  <c r="AA424" i="11"/>
  <c r="W424" i="11"/>
  <c r="Z424" i="11"/>
  <c r="X424" i="11"/>
  <c r="Y427" i="11"/>
  <c r="X427" i="11"/>
  <c r="Z427" i="11"/>
  <c r="AG429" i="11"/>
  <c r="AI429" i="11" s="1"/>
  <c r="AJ429" i="11"/>
  <c r="Y433" i="11"/>
  <c r="X433" i="11"/>
  <c r="AA433" i="11"/>
  <c r="W433" i="11"/>
  <c r="Z433" i="11"/>
  <c r="AA434" i="11"/>
  <c r="W434" i="11"/>
  <c r="AG434" i="11" s="1"/>
  <c r="AI434" i="11" s="1"/>
  <c r="AJ434" i="11" s="1"/>
  <c r="Z434" i="11"/>
  <c r="Y434" i="11"/>
  <c r="X434" i="11"/>
  <c r="Y441" i="11"/>
  <c r="X441" i="11"/>
  <c r="AA441" i="11"/>
  <c r="W441" i="11"/>
  <c r="AG441" i="11" s="1"/>
  <c r="AI441" i="11" s="1"/>
  <c r="AJ441" i="11" s="1"/>
  <c r="Z441" i="11"/>
  <c r="AA442" i="11"/>
  <c r="W442" i="11"/>
  <c r="Z442" i="11"/>
  <c r="Y442" i="11"/>
  <c r="X442" i="11"/>
  <c r="Y449" i="11"/>
  <c r="X449" i="11"/>
  <c r="AA449" i="11"/>
  <c r="W449" i="11"/>
  <c r="Z449" i="11"/>
  <c r="AA450" i="11"/>
  <c r="W450" i="11"/>
  <c r="Z450" i="11"/>
  <c r="Y450" i="11"/>
  <c r="X450" i="11"/>
  <c r="Y457" i="11"/>
  <c r="X457" i="11"/>
  <c r="AA457" i="11"/>
  <c r="W457" i="11"/>
  <c r="Z457" i="11"/>
  <c r="AA458" i="11"/>
  <c r="W458" i="11"/>
  <c r="Z458" i="11"/>
  <c r="Y458" i="11"/>
  <c r="X458" i="11"/>
  <c r="Y465" i="11"/>
  <c r="X465" i="11"/>
  <c r="AA465" i="11"/>
  <c r="W465" i="11"/>
  <c r="Z465" i="11"/>
  <c r="AA466" i="11"/>
  <c r="W466" i="11"/>
  <c r="AG466" i="11" s="1"/>
  <c r="AI466" i="11" s="1"/>
  <c r="AJ466" i="11" s="1"/>
  <c r="Z466" i="11"/>
  <c r="Y466" i="11"/>
  <c r="X466" i="11"/>
  <c r="Y473" i="11"/>
  <c r="X473" i="11"/>
  <c r="AA473" i="11"/>
  <c r="W473" i="11"/>
  <c r="AG473" i="11" s="1"/>
  <c r="AI473" i="11" s="1"/>
  <c r="AJ473" i="11" s="1"/>
  <c r="Z473" i="11"/>
  <c r="AA474" i="11"/>
  <c r="W474" i="11"/>
  <c r="Z474" i="11"/>
  <c r="Y474" i="11"/>
  <c r="X474" i="11"/>
  <c r="Y481" i="11"/>
  <c r="X481" i="11"/>
  <c r="AA481" i="11"/>
  <c r="W481" i="11"/>
  <c r="Z481" i="11"/>
  <c r="AA482" i="11"/>
  <c r="W482" i="11"/>
  <c r="Z482" i="11"/>
  <c r="Y482" i="11"/>
  <c r="X482" i="11"/>
  <c r="Y489" i="11"/>
  <c r="X489" i="11"/>
  <c r="AA489" i="11"/>
  <c r="W489" i="11"/>
  <c r="Z489" i="11"/>
  <c r="AA490" i="11"/>
  <c r="W490" i="11"/>
  <c r="Z490" i="11"/>
  <c r="Y490" i="11"/>
  <c r="X490" i="11"/>
  <c r="AA511" i="11"/>
  <c r="W511" i="11"/>
  <c r="X511" i="11"/>
  <c r="Y511" i="11"/>
  <c r="Z511" i="11"/>
  <c r="X552" i="11"/>
  <c r="AA552" i="11"/>
  <c r="W552" i="11"/>
  <c r="AG552" i="11" s="1"/>
  <c r="AI552" i="11" s="1"/>
  <c r="AJ552" i="11" s="1"/>
  <c r="Y552" i="11"/>
  <c r="Z552" i="11"/>
  <c r="AF248" i="11"/>
  <c r="AD261" i="11"/>
  <c r="AD277" i="11" s="1"/>
  <c r="AC278" i="11" s="1"/>
  <c r="W302" i="11"/>
  <c r="AG302" i="11" s="1"/>
  <c r="AI302" i="11" s="1"/>
  <c r="AJ302" i="11" s="1"/>
  <c r="W307" i="11"/>
  <c r="AG307" i="11" s="1"/>
  <c r="AI307" i="11" s="1"/>
  <c r="AJ307" i="11" s="1"/>
  <c r="W312" i="11"/>
  <c r="AG312" i="11" s="1"/>
  <c r="M398" i="11"/>
  <c r="W348" i="11"/>
  <c r="W352" i="11"/>
  <c r="AG352" i="11" s="1"/>
  <c r="AI352" i="11" s="1"/>
  <c r="AJ352" i="11" s="1"/>
  <c r="W356" i="11"/>
  <c r="W360" i="11"/>
  <c r="W364" i="11"/>
  <c r="W368" i="11"/>
  <c r="AG368" i="11" s="1"/>
  <c r="AI368" i="11" s="1"/>
  <c r="AJ368" i="11" s="1"/>
  <c r="W372" i="11"/>
  <c r="Y375" i="11"/>
  <c r="W376" i="11"/>
  <c r="AG376" i="11" s="1"/>
  <c r="AI376" i="11" s="1"/>
  <c r="AJ376" i="11" s="1"/>
  <c r="Y378" i="11"/>
  <c r="Z378" i="11"/>
  <c r="Y383" i="11"/>
  <c r="W384" i="11"/>
  <c r="Y386" i="11"/>
  <c r="Z386" i="11"/>
  <c r="Y391" i="11"/>
  <c r="W392" i="11"/>
  <c r="M499" i="11"/>
  <c r="W403" i="11"/>
  <c r="AG403" i="11" s="1"/>
  <c r="AI403" i="11" s="1"/>
  <c r="AJ403" i="11" s="1"/>
  <c r="AA406" i="11"/>
  <c r="W406" i="11"/>
  <c r="Z406" i="11"/>
  <c r="X406" i="11"/>
  <c r="Y408" i="11"/>
  <c r="Y409" i="11"/>
  <c r="X409" i="11"/>
  <c r="Z409" i="11"/>
  <c r="W411" i="11"/>
  <c r="AA414" i="11"/>
  <c r="W414" i="11"/>
  <c r="Z414" i="11"/>
  <c r="X414" i="11"/>
  <c r="Y416" i="11"/>
  <c r="Y417" i="11"/>
  <c r="X417" i="11"/>
  <c r="Z417" i="11"/>
  <c r="W419" i="11"/>
  <c r="AA422" i="11"/>
  <c r="W422" i="11"/>
  <c r="Z422" i="11"/>
  <c r="X422" i="11"/>
  <c r="Y424" i="11"/>
  <c r="Y425" i="11"/>
  <c r="X425" i="11"/>
  <c r="Z425" i="11"/>
  <c r="W427" i="11"/>
  <c r="AA430" i="11"/>
  <c r="W430" i="11"/>
  <c r="Z430" i="11"/>
  <c r="X430" i="11"/>
  <c r="Y431" i="11"/>
  <c r="X431" i="11"/>
  <c r="AA431" i="11"/>
  <c r="W431" i="11"/>
  <c r="Z431" i="11"/>
  <c r="AA432" i="11"/>
  <c r="W432" i="11"/>
  <c r="Z432" i="11"/>
  <c r="Y432" i="11"/>
  <c r="X432" i="11"/>
  <c r="Y439" i="11"/>
  <c r="X439" i="11"/>
  <c r="AA439" i="11"/>
  <c r="W439" i="11"/>
  <c r="Z439" i="11"/>
  <c r="AA440" i="11"/>
  <c r="W440" i="11"/>
  <c r="Z440" i="11"/>
  <c r="Y440" i="11"/>
  <c r="X440" i="11"/>
  <c r="Y447" i="11"/>
  <c r="X447" i="11"/>
  <c r="AA447" i="11"/>
  <c r="W447" i="11"/>
  <c r="Z447" i="11"/>
  <c r="AA448" i="11"/>
  <c r="W448" i="11"/>
  <c r="AG448" i="11" s="1"/>
  <c r="AI448" i="11" s="1"/>
  <c r="AJ448" i="11" s="1"/>
  <c r="Z448" i="11"/>
  <c r="Y448" i="11"/>
  <c r="X448" i="11"/>
  <c r="Y455" i="11"/>
  <c r="X455" i="11"/>
  <c r="AA455" i="11"/>
  <c r="W455" i="11"/>
  <c r="AG455" i="11" s="1"/>
  <c r="AI455" i="11" s="1"/>
  <c r="AJ455" i="11" s="1"/>
  <c r="Z455" i="11"/>
  <c r="AA456" i="11"/>
  <c r="W456" i="11"/>
  <c r="Z456" i="11"/>
  <c r="Y456" i="11"/>
  <c r="X456" i="11"/>
  <c r="Y463" i="11"/>
  <c r="X463" i="11"/>
  <c r="AA463" i="11"/>
  <c r="W463" i="11"/>
  <c r="Z463" i="11"/>
  <c r="AA464" i="11"/>
  <c r="W464" i="11"/>
  <c r="Z464" i="11"/>
  <c r="Y464" i="11"/>
  <c r="X464" i="11"/>
  <c r="Y471" i="11"/>
  <c r="X471" i="11"/>
  <c r="AA471" i="11"/>
  <c r="W471" i="11"/>
  <c r="Z471" i="11"/>
  <c r="AA472" i="11"/>
  <c r="W472" i="11"/>
  <c r="Z472" i="11"/>
  <c r="Y472" i="11"/>
  <c r="X472" i="11"/>
  <c r="Y479" i="11"/>
  <c r="X479" i="11"/>
  <c r="AA479" i="11"/>
  <c r="W479" i="11"/>
  <c r="Z479" i="11"/>
  <c r="AA480" i="11"/>
  <c r="W480" i="11"/>
  <c r="AG480" i="11" s="1"/>
  <c r="AI480" i="11" s="1"/>
  <c r="AJ480" i="11" s="1"/>
  <c r="Z480" i="11"/>
  <c r="Y480" i="11"/>
  <c r="X480" i="11"/>
  <c r="Y487" i="11"/>
  <c r="X487" i="11"/>
  <c r="AA487" i="11"/>
  <c r="W487" i="11"/>
  <c r="AG487" i="11" s="1"/>
  <c r="AI487" i="11" s="1"/>
  <c r="AJ487" i="11" s="1"/>
  <c r="Z487" i="11"/>
  <c r="AA488" i="11"/>
  <c r="W488" i="11"/>
  <c r="Z488" i="11"/>
  <c r="Y488" i="11"/>
  <c r="X488" i="11"/>
  <c r="X495" i="11"/>
  <c r="Y495" i="11"/>
  <c r="AA495" i="11"/>
  <c r="Z495" i="11"/>
  <c r="W495" i="11"/>
  <c r="AA551" i="11"/>
  <c r="W551" i="11"/>
  <c r="Z551" i="11"/>
  <c r="X551" i="11"/>
  <c r="Y551" i="11"/>
  <c r="R262" i="11"/>
  <c r="V262" i="11" s="1"/>
  <c r="R301" i="11"/>
  <c r="R306" i="11"/>
  <c r="AD316" i="11"/>
  <c r="AD318" i="11" s="1"/>
  <c r="AC319" i="11" s="1"/>
  <c r="Q398" i="11"/>
  <c r="AC398" i="11"/>
  <c r="X348" i="11"/>
  <c r="X352" i="11"/>
  <c r="X356" i="11"/>
  <c r="X360" i="11"/>
  <c r="X364" i="11"/>
  <c r="X368" i="11"/>
  <c r="X372" i="11"/>
  <c r="Z375" i="11"/>
  <c r="X376" i="11"/>
  <c r="W378" i="11"/>
  <c r="AG378" i="11" s="1"/>
  <c r="AI378" i="11" s="1"/>
  <c r="AJ378" i="11" s="1"/>
  <c r="Y380" i="11"/>
  <c r="AG380" i="11" s="1"/>
  <c r="AI380" i="11" s="1"/>
  <c r="AJ380" i="11" s="1"/>
  <c r="Z380" i="11"/>
  <c r="Z383" i="11"/>
  <c r="X384" i="11"/>
  <c r="W386" i="11"/>
  <c r="Y388" i="11"/>
  <c r="AG388" i="11" s="1"/>
  <c r="AI388" i="11" s="1"/>
  <c r="AJ388" i="11" s="1"/>
  <c r="Z388" i="11"/>
  <c r="Z391" i="11"/>
  <c r="X392" i="11"/>
  <c r="AD402" i="11"/>
  <c r="AD499" i="11" s="1"/>
  <c r="AC499" i="11"/>
  <c r="AA403" i="11"/>
  <c r="AA404" i="11"/>
  <c r="W404" i="11"/>
  <c r="AG404" i="11" s="1"/>
  <c r="AI404" i="11" s="1"/>
  <c r="AJ404" i="11" s="1"/>
  <c r="Z404" i="11"/>
  <c r="X404" i="11"/>
  <c r="Y406" i="11"/>
  <c r="Y407" i="11"/>
  <c r="X407" i="11"/>
  <c r="AG407" i="11" s="1"/>
  <c r="AI407" i="11" s="1"/>
  <c r="AJ407" i="11" s="1"/>
  <c r="Z407" i="11"/>
  <c r="W409" i="11"/>
  <c r="AA411" i="11"/>
  <c r="AA412" i="11"/>
  <c r="W412" i="11"/>
  <c r="Z412" i="11"/>
  <c r="X412" i="11"/>
  <c r="Y414" i="11"/>
  <c r="Y415" i="11"/>
  <c r="X415" i="11"/>
  <c r="AG415" i="11" s="1"/>
  <c r="AI415" i="11" s="1"/>
  <c r="AJ415" i="11" s="1"/>
  <c r="Z415" i="11"/>
  <c r="W417" i="11"/>
  <c r="AA419" i="11"/>
  <c r="AA420" i="11"/>
  <c r="W420" i="11"/>
  <c r="Z420" i="11"/>
  <c r="X420" i="11"/>
  <c r="Y422" i="11"/>
  <c r="Y423" i="11"/>
  <c r="X423" i="11"/>
  <c r="AG423" i="11" s="1"/>
  <c r="AI423" i="11" s="1"/>
  <c r="AJ423" i="11" s="1"/>
  <c r="Z423" i="11"/>
  <c r="W425" i="11"/>
  <c r="AA427" i="11"/>
  <c r="AA428" i="11"/>
  <c r="W428" i="11"/>
  <c r="Z428" i="11"/>
  <c r="X428" i="11"/>
  <c r="Y430" i="11"/>
  <c r="AJ435" i="11"/>
  <c r="Y437" i="11"/>
  <c r="X437" i="11"/>
  <c r="AA437" i="11"/>
  <c r="W437" i="11"/>
  <c r="Z437" i="11"/>
  <c r="AA438" i="11"/>
  <c r="W438" i="11"/>
  <c r="AG438" i="11" s="1"/>
  <c r="AI438" i="11" s="1"/>
  <c r="AJ438" i="11" s="1"/>
  <c r="Z438" i="11"/>
  <c r="Y438" i="11"/>
  <c r="X438" i="11"/>
  <c r="Y445" i="11"/>
  <c r="X445" i="11"/>
  <c r="AA445" i="11"/>
  <c r="W445" i="11"/>
  <c r="AG445" i="11" s="1"/>
  <c r="AI445" i="11" s="1"/>
  <c r="AJ445" i="11" s="1"/>
  <c r="Z445" i="11"/>
  <c r="AA446" i="11"/>
  <c r="W446" i="11"/>
  <c r="Z446" i="11"/>
  <c r="Y446" i="11"/>
  <c r="X446" i="11"/>
  <c r="Y453" i="11"/>
  <c r="X453" i="11"/>
  <c r="AA453" i="11"/>
  <c r="W453" i="11"/>
  <c r="Z453" i="11"/>
  <c r="AA454" i="11"/>
  <c r="W454" i="11"/>
  <c r="Z454" i="11"/>
  <c r="Y454" i="11"/>
  <c r="X454" i="11"/>
  <c r="Y461" i="11"/>
  <c r="X461" i="11"/>
  <c r="AA461" i="11"/>
  <c r="W461" i="11"/>
  <c r="Z461" i="11"/>
  <c r="AA462" i="11"/>
  <c r="W462" i="11"/>
  <c r="Z462" i="11"/>
  <c r="Y462" i="11"/>
  <c r="X462" i="11"/>
  <c r="AJ467" i="11"/>
  <c r="Y469" i="11"/>
  <c r="X469" i="11"/>
  <c r="AA469" i="11"/>
  <c r="W469" i="11"/>
  <c r="Z469" i="11"/>
  <c r="AA470" i="11"/>
  <c r="W470" i="11"/>
  <c r="AG470" i="11" s="1"/>
  <c r="AI470" i="11" s="1"/>
  <c r="AJ470" i="11" s="1"/>
  <c r="Z470" i="11"/>
  <c r="Y470" i="11"/>
  <c r="X470" i="11"/>
  <c r="Y477" i="11"/>
  <c r="X477" i="11"/>
  <c r="AA477" i="11"/>
  <c r="W477" i="11"/>
  <c r="AG477" i="11" s="1"/>
  <c r="AI477" i="11" s="1"/>
  <c r="AJ477" i="11" s="1"/>
  <c r="Z477" i="11"/>
  <c r="AA478" i="11"/>
  <c r="W478" i="11"/>
  <c r="Z478" i="11"/>
  <c r="Y478" i="11"/>
  <c r="X478" i="11"/>
  <c r="Y485" i="11"/>
  <c r="X485" i="11"/>
  <c r="AA485" i="11"/>
  <c r="W485" i="11"/>
  <c r="Z485" i="11"/>
  <c r="AA486" i="11"/>
  <c r="W486" i="11"/>
  <c r="Z486" i="11"/>
  <c r="Y486" i="11"/>
  <c r="X486" i="11"/>
  <c r="X493" i="11"/>
  <c r="Y493" i="11"/>
  <c r="AA493" i="11"/>
  <c r="Z493" i="11"/>
  <c r="W493" i="11"/>
  <c r="Z494" i="11"/>
  <c r="AA494" i="11"/>
  <c r="W494" i="11"/>
  <c r="Y494" i="11"/>
  <c r="X494" i="11"/>
  <c r="X505" i="11"/>
  <c r="Y505" i="11"/>
  <c r="W505" i="11"/>
  <c r="AA505" i="11"/>
  <c r="Z505" i="11"/>
  <c r="Y506" i="11"/>
  <c r="Z506" i="11"/>
  <c r="AA506" i="11"/>
  <c r="X506" i="11"/>
  <c r="W506" i="11"/>
  <c r="AA515" i="11"/>
  <c r="W515" i="11"/>
  <c r="X515" i="11"/>
  <c r="Z515" i="11"/>
  <c r="Y515" i="11"/>
  <c r="AB499" i="11"/>
  <c r="AD496" i="11"/>
  <c r="M517" i="11"/>
  <c r="W514" i="11"/>
  <c r="Y516" i="11"/>
  <c r="AG516" i="11" s="1"/>
  <c r="AI516" i="11" s="1"/>
  <c r="AJ516" i="11" s="1"/>
  <c r="Z516" i="11"/>
  <c r="Y526" i="11"/>
  <c r="X526" i="11"/>
  <c r="AG526" i="11" s="1"/>
  <c r="AI526" i="11" s="1"/>
  <c r="AJ526" i="11" s="1"/>
  <c r="Z526" i="11"/>
  <c r="AC532" i="11"/>
  <c r="V539" i="11"/>
  <c r="R542" i="11"/>
  <c r="Y541" i="11"/>
  <c r="X541" i="11"/>
  <c r="Z541" i="11"/>
  <c r="AC542" i="11"/>
  <c r="R547" i="11"/>
  <c r="V546" i="11"/>
  <c r="L555" i="11"/>
  <c r="AD550" i="11"/>
  <c r="AD555" i="11" s="1"/>
  <c r="AB555" i="11"/>
  <c r="AA554" i="11"/>
  <c r="W554" i="11"/>
  <c r="AG554" i="11" s="1"/>
  <c r="AI554" i="11" s="1"/>
  <c r="AJ554" i="11" s="1"/>
  <c r="Z554" i="11"/>
  <c r="X554" i="11"/>
  <c r="W566" i="11"/>
  <c r="AA566" i="11"/>
  <c r="X566" i="11"/>
  <c r="N588" i="11"/>
  <c r="Q575" i="11"/>
  <c r="AD588" i="11"/>
  <c r="Z577" i="11"/>
  <c r="Y577" i="11"/>
  <c r="X577" i="11"/>
  <c r="AA577" i="11"/>
  <c r="W577" i="11"/>
  <c r="X584" i="11"/>
  <c r="AA584" i="11"/>
  <c r="W584" i="11"/>
  <c r="AG584" i="11" s="1"/>
  <c r="AI584" i="11" s="1"/>
  <c r="AJ584" i="11" s="1"/>
  <c r="Z584" i="11"/>
  <c r="Y584" i="11"/>
  <c r="Z585" i="11"/>
  <c r="Y585" i="11"/>
  <c r="X585" i="11"/>
  <c r="AA585" i="11"/>
  <c r="W585" i="11"/>
  <c r="Q605" i="11"/>
  <c r="R592" i="11"/>
  <c r="X595" i="11"/>
  <c r="AA595" i="11"/>
  <c r="W595" i="11"/>
  <c r="AG595" i="11" s="1"/>
  <c r="AI595" i="11" s="1"/>
  <c r="AJ595" i="11" s="1"/>
  <c r="Z595" i="11"/>
  <c r="Y595" i="11"/>
  <c r="Z596" i="11"/>
  <c r="Y596" i="11"/>
  <c r="X596" i="11"/>
  <c r="AA596" i="11"/>
  <c r="W596" i="11"/>
  <c r="X602" i="11"/>
  <c r="AA602" i="11"/>
  <c r="W602" i="11"/>
  <c r="Z602" i="11"/>
  <c r="Y602" i="11"/>
  <c r="R609" i="11"/>
  <c r="X612" i="11"/>
  <c r="AA612" i="11"/>
  <c r="W612" i="11"/>
  <c r="Z612" i="11"/>
  <c r="Y612" i="11"/>
  <c r="Z613" i="11"/>
  <c r="Y613" i="11"/>
  <c r="X613" i="11"/>
  <c r="AA613" i="11"/>
  <c r="W613" i="11"/>
  <c r="AA619" i="11"/>
  <c r="W619" i="11"/>
  <c r="Y619" i="11"/>
  <c r="X619" i="11"/>
  <c r="Z619" i="11"/>
  <c r="X625" i="11"/>
  <c r="Z625" i="11"/>
  <c r="Y625" i="11"/>
  <c r="W625" i="11"/>
  <c r="Y653" i="11"/>
  <c r="AA653" i="11"/>
  <c r="Z653" i="11"/>
  <c r="X653" i="11"/>
  <c r="W653" i="11"/>
  <c r="AA679" i="11"/>
  <c r="W679" i="11"/>
  <c r="Z679" i="11"/>
  <c r="X679" i="11"/>
  <c r="Y679" i="11"/>
  <c r="Z496" i="11"/>
  <c r="AA496" i="11"/>
  <c r="W496" i="11"/>
  <c r="Y498" i="11"/>
  <c r="Z498" i="11"/>
  <c r="Q507" i="11"/>
  <c r="R504" i="11"/>
  <c r="N507" i="11"/>
  <c r="AF507" i="11"/>
  <c r="R510" i="11"/>
  <c r="Q517" i="11"/>
  <c r="AB517" i="11"/>
  <c r="AD510" i="11"/>
  <c r="AD517" i="11" s="1"/>
  <c r="AC518" i="11" s="1"/>
  <c r="X521" i="11"/>
  <c r="Y521" i="11"/>
  <c r="V522" i="11"/>
  <c r="AF533" i="11"/>
  <c r="AA529" i="11"/>
  <c r="W529" i="11"/>
  <c r="Z529" i="11"/>
  <c r="X529" i="11"/>
  <c r="Y531" i="11"/>
  <c r="X531" i="11"/>
  <c r="Z531" i="11"/>
  <c r="AG541" i="11"/>
  <c r="AI541" i="11" s="1"/>
  <c r="AJ541" i="11" s="1"/>
  <c r="AC556" i="11"/>
  <c r="Z553" i="11"/>
  <c r="Y553" i="11"/>
  <c r="AA553" i="11"/>
  <c r="W553" i="11"/>
  <c r="AA567" i="11"/>
  <c r="X567" i="11"/>
  <c r="W567" i="11"/>
  <c r="X582" i="11"/>
  <c r="AA582" i="11"/>
  <c r="W582" i="11"/>
  <c r="Z582" i="11"/>
  <c r="Y582" i="11"/>
  <c r="Z583" i="11"/>
  <c r="Y583" i="11"/>
  <c r="X583" i="11"/>
  <c r="AA583" i="11"/>
  <c r="W583" i="11"/>
  <c r="AG583" i="11" s="1"/>
  <c r="AI583" i="11" s="1"/>
  <c r="AJ583" i="11" s="1"/>
  <c r="Z594" i="11"/>
  <c r="Y594" i="11"/>
  <c r="X594" i="11"/>
  <c r="AA594" i="11"/>
  <c r="W594" i="11"/>
  <c r="AA601" i="11"/>
  <c r="W601" i="11"/>
  <c r="Z601" i="11"/>
  <c r="Y601" i="11"/>
  <c r="X601" i="11"/>
  <c r="Z603" i="11"/>
  <c r="Y603" i="11"/>
  <c r="X603" i="11"/>
  <c r="AA603" i="11"/>
  <c r="W603" i="11"/>
  <c r="AG610" i="11"/>
  <c r="AI610" i="11" s="1"/>
  <c r="AJ610" i="11" s="1"/>
  <c r="AA651" i="11"/>
  <c r="W651" i="11"/>
  <c r="Y651" i="11"/>
  <c r="X651" i="11"/>
  <c r="Z651" i="11"/>
  <c r="X652" i="11"/>
  <c r="W652" i="11"/>
  <c r="AA652" i="11"/>
  <c r="Z652" i="11"/>
  <c r="Y652" i="11"/>
  <c r="AC706" i="11"/>
  <c r="Y703" i="11"/>
  <c r="X703" i="11"/>
  <c r="AA703" i="11"/>
  <c r="W703" i="11"/>
  <c r="AG703" i="11" s="1"/>
  <c r="AI703" i="11" s="1"/>
  <c r="AJ703" i="11" s="1"/>
  <c r="Z703" i="11"/>
  <c r="X496" i="11"/>
  <c r="X497" i="11"/>
  <c r="Y497" i="11"/>
  <c r="W498" i="11"/>
  <c r="Y512" i="11"/>
  <c r="Z512" i="11"/>
  <c r="W521" i="11"/>
  <c r="AD522" i="11"/>
  <c r="AC523" i="11" s="1"/>
  <c r="AD532" i="11"/>
  <c r="AA527" i="11"/>
  <c r="W527" i="11"/>
  <c r="Z527" i="11"/>
  <c r="X527" i="11"/>
  <c r="Y529" i="11"/>
  <c r="W531" i="11"/>
  <c r="L542" i="11"/>
  <c r="AD539" i="11"/>
  <c r="AD542" i="11" s="1"/>
  <c r="AB542" i="11"/>
  <c r="R540" i="11"/>
  <c r="V540" i="11" s="1"/>
  <c r="Q550" i="11"/>
  <c r="X553" i="11"/>
  <c r="Y560" i="11"/>
  <c r="X560" i="11"/>
  <c r="AA560" i="11"/>
  <c r="W560" i="11"/>
  <c r="Z560" i="11"/>
  <c r="W568" i="11"/>
  <c r="AG568" i="11" s="1"/>
  <c r="AI568" i="11" s="1"/>
  <c r="AJ568" i="11" s="1"/>
  <c r="AA568" i="11"/>
  <c r="X568" i="11"/>
  <c r="X580" i="11"/>
  <c r="AA580" i="11"/>
  <c r="W580" i="11"/>
  <c r="Z580" i="11"/>
  <c r="Y580" i="11"/>
  <c r="Z581" i="11"/>
  <c r="Y581" i="11"/>
  <c r="X581" i="11"/>
  <c r="AA581" i="11"/>
  <c r="W581" i="11"/>
  <c r="AG581" i="11" s="1"/>
  <c r="AI581" i="11" s="1"/>
  <c r="AJ581" i="11" s="1"/>
  <c r="AC606" i="11"/>
  <c r="X599" i="11"/>
  <c r="AA599" i="11"/>
  <c r="W599" i="11"/>
  <c r="AG599" i="11" s="1"/>
  <c r="AI599" i="11" s="1"/>
  <c r="AJ599" i="11" s="1"/>
  <c r="Z599" i="11"/>
  <c r="Y599" i="11"/>
  <c r="Z600" i="11"/>
  <c r="Y600" i="11"/>
  <c r="X600" i="11"/>
  <c r="AA600" i="11"/>
  <c r="W600" i="11"/>
  <c r="Y615" i="11"/>
  <c r="AA615" i="11"/>
  <c r="Z615" i="11"/>
  <c r="X615" i="11"/>
  <c r="W615" i="11"/>
  <c r="AA616" i="11"/>
  <c r="W616" i="11"/>
  <c r="AG616" i="11" s="1"/>
  <c r="AI616" i="11" s="1"/>
  <c r="AJ616" i="11" s="1"/>
  <c r="Z616" i="11"/>
  <c r="Y616" i="11"/>
  <c r="X616" i="11"/>
  <c r="Y617" i="11"/>
  <c r="W617" i="11"/>
  <c r="AA617" i="11"/>
  <c r="Z617" i="11"/>
  <c r="X617" i="11"/>
  <c r="AA620" i="11"/>
  <c r="W620" i="11"/>
  <c r="Z620" i="11"/>
  <c r="Y620" i="11"/>
  <c r="X620" i="11"/>
  <c r="V628" i="11"/>
  <c r="R638" i="11"/>
  <c r="X629" i="11"/>
  <c r="W629" i="11"/>
  <c r="AA629" i="11"/>
  <c r="Z629" i="11"/>
  <c r="Y629" i="11"/>
  <c r="Z632" i="11"/>
  <c r="AA632" i="11"/>
  <c r="Y632" i="11"/>
  <c r="X632" i="11"/>
  <c r="W632" i="11"/>
  <c r="X633" i="11"/>
  <c r="W633" i="11"/>
  <c r="AA633" i="11"/>
  <c r="Z633" i="11"/>
  <c r="Y633" i="11"/>
  <c r="Y642" i="11"/>
  <c r="AA642" i="11"/>
  <c r="Z642" i="11"/>
  <c r="X642" i="11"/>
  <c r="W642" i="11"/>
  <c r="V650" i="11"/>
  <c r="R655" i="11"/>
  <c r="X672" i="11"/>
  <c r="V680" i="11"/>
  <c r="AA672" i="11"/>
  <c r="W672" i="11"/>
  <c r="Z672" i="11"/>
  <c r="Y672" i="11"/>
  <c r="AF500" i="11"/>
  <c r="AF499" i="11"/>
  <c r="Y496" i="11"/>
  <c r="W497" i="11"/>
  <c r="X498" i="11"/>
  <c r="AC508" i="11"/>
  <c r="L517" i="11"/>
  <c r="AF518" i="11"/>
  <c r="W512" i="11"/>
  <c r="AG512" i="11" s="1"/>
  <c r="AI512" i="11" s="1"/>
  <c r="AJ512" i="11" s="1"/>
  <c r="AA513" i="11"/>
  <c r="W513" i="11"/>
  <c r="X513" i="11"/>
  <c r="Y514" i="11"/>
  <c r="Z514" i="11"/>
  <c r="Z521" i="11"/>
  <c r="R532" i="11"/>
  <c r="V525" i="11"/>
  <c r="AF532" i="11"/>
  <c r="Y528" i="11"/>
  <c r="X528" i="11"/>
  <c r="AG528" i="11" s="1"/>
  <c r="AI528" i="11" s="1"/>
  <c r="AJ528" i="11" s="1"/>
  <c r="Z528" i="11"/>
  <c r="X530" i="11"/>
  <c r="AA530" i="11"/>
  <c r="W530" i="11"/>
  <c r="Y530" i="11"/>
  <c r="AA531" i="11"/>
  <c r="Q532" i="11"/>
  <c r="V564" i="11"/>
  <c r="N569" i="11"/>
  <c r="Q565" i="11"/>
  <c r="AC570" i="11"/>
  <c r="X578" i="11"/>
  <c r="AA578" i="11"/>
  <c r="W578" i="11"/>
  <c r="Z578" i="11"/>
  <c r="Y578" i="11"/>
  <c r="Z579" i="11"/>
  <c r="Y579" i="11"/>
  <c r="X579" i="11"/>
  <c r="AA579" i="11"/>
  <c r="W579" i="11"/>
  <c r="X597" i="11"/>
  <c r="AA597" i="11"/>
  <c r="W597" i="11"/>
  <c r="Z597" i="11"/>
  <c r="Y597" i="11"/>
  <c r="Z598" i="11"/>
  <c r="Y598" i="11"/>
  <c r="X598" i="11"/>
  <c r="AA598" i="11"/>
  <c r="W598" i="11"/>
  <c r="AG598" i="11" s="1"/>
  <c r="AI598" i="11" s="1"/>
  <c r="AJ598" i="11" s="1"/>
  <c r="AA604" i="11"/>
  <c r="W604" i="11"/>
  <c r="Z604" i="11"/>
  <c r="Y604" i="11"/>
  <c r="X604" i="11"/>
  <c r="AD621" i="11"/>
  <c r="N621" i="11"/>
  <c r="Q611" i="11"/>
  <c r="R611" i="11" s="1"/>
  <c r="V611" i="11" s="1"/>
  <c r="AA614" i="11"/>
  <c r="W614" i="11"/>
  <c r="Z614" i="11"/>
  <c r="Y614" i="11"/>
  <c r="X614" i="11"/>
  <c r="Z618" i="11"/>
  <c r="W618" i="11"/>
  <c r="AA618" i="11"/>
  <c r="Y618" i="11"/>
  <c r="X618" i="11"/>
  <c r="AD638" i="11"/>
  <c r="X627" i="11"/>
  <c r="Z627" i="11"/>
  <c r="Y627" i="11"/>
  <c r="W627" i="11"/>
  <c r="AA627" i="11"/>
  <c r="X631" i="11"/>
  <c r="Z631" i="11"/>
  <c r="Y631" i="11"/>
  <c r="W631" i="11"/>
  <c r="AG631" i="11" s="1"/>
  <c r="AI631" i="11" s="1"/>
  <c r="AJ631" i="11" s="1"/>
  <c r="AA631" i="11"/>
  <c r="X635" i="11"/>
  <c r="Z635" i="11"/>
  <c r="Y635" i="11"/>
  <c r="W635" i="11"/>
  <c r="AA635" i="11"/>
  <c r="AA637" i="11"/>
  <c r="W637" i="11"/>
  <c r="AG637" i="11" s="1"/>
  <c r="AI637" i="11" s="1"/>
  <c r="AJ637" i="11" s="1"/>
  <c r="Z637" i="11"/>
  <c r="Y637" i="11"/>
  <c r="X637" i="11"/>
  <c r="V666" i="11"/>
  <c r="R667" i="11"/>
  <c r="Y690" i="11"/>
  <c r="X690" i="11"/>
  <c r="AA690" i="11"/>
  <c r="W690" i="11"/>
  <c r="Z690" i="11"/>
  <c r="AA692" i="11"/>
  <c r="W692" i="11"/>
  <c r="AG692" i="11" s="1"/>
  <c r="AI692" i="11" s="1"/>
  <c r="AJ692" i="11" s="1"/>
  <c r="Z692" i="11"/>
  <c r="Y692" i="11"/>
  <c r="X692" i="11"/>
  <c r="Y701" i="11"/>
  <c r="X701" i="11"/>
  <c r="AA701" i="11"/>
  <c r="W701" i="11"/>
  <c r="AG701" i="11" s="1"/>
  <c r="AI701" i="11" s="1"/>
  <c r="AJ701" i="11" s="1"/>
  <c r="Z701" i="11"/>
  <c r="AD564" i="11"/>
  <c r="AD569" i="11" s="1"/>
  <c r="N605" i="11"/>
  <c r="AC621" i="11"/>
  <c r="AC622" i="11" s="1"/>
  <c r="X610" i="11"/>
  <c r="AF622" i="11"/>
  <c r="AD628" i="11"/>
  <c r="Y630" i="11"/>
  <c r="AD632" i="11"/>
  <c r="Y634" i="11"/>
  <c r="W636" i="11"/>
  <c r="AG636" i="11" s="1"/>
  <c r="AI636" i="11" s="1"/>
  <c r="AJ636" i="11" s="1"/>
  <c r="AF655" i="11"/>
  <c r="X660" i="11"/>
  <c r="X661" i="11" s="1"/>
  <c r="R661" i="11"/>
  <c r="V661" i="11"/>
  <c r="Z665" i="11"/>
  <c r="Y673" i="11"/>
  <c r="X673" i="11"/>
  <c r="X684" i="11"/>
  <c r="AA684" i="11"/>
  <c r="W684" i="11"/>
  <c r="Z684" i="11"/>
  <c r="W693" i="11"/>
  <c r="Z693" i="11"/>
  <c r="Y693" i="11"/>
  <c r="L705" i="11"/>
  <c r="AB705" i="11"/>
  <c r="AD700" i="11"/>
  <c r="AD705" i="11" s="1"/>
  <c r="N705" i="11"/>
  <c r="X709" i="11"/>
  <c r="AA709" i="11"/>
  <c r="W709" i="11"/>
  <c r="Z709" i="11"/>
  <c r="H15" i="14"/>
  <c r="X11" i="15"/>
  <c r="W11" i="15"/>
  <c r="Z15" i="15"/>
  <c r="X15" i="15"/>
  <c r="W15" i="15"/>
  <c r="AA15" i="15"/>
  <c r="Y15" i="15"/>
  <c r="Z21" i="15"/>
  <c r="X21" i="15"/>
  <c r="W21" i="15"/>
  <c r="AA21" i="15"/>
  <c r="Y21" i="15"/>
  <c r="Z23" i="15"/>
  <c r="X23" i="15"/>
  <c r="W23" i="15"/>
  <c r="AA23" i="15"/>
  <c r="Y23" i="15"/>
  <c r="Z25" i="15"/>
  <c r="X25" i="15"/>
  <c r="W25" i="15"/>
  <c r="AA25" i="15"/>
  <c r="Y25" i="15"/>
  <c r="Z27" i="15"/>
  <c r="X27" i="15"/>
  <c r="W27" i="15"/>
  <c r="AA27" i="15"/>
  <c r="Y27" i="15"/>
  <c r="Z29" i="15"/>
  <c r="X29" i="15"/>
  <c r="W29" i="15"/>
  <c r="AA29" i="15"/>
  <c r="Y29" i="15"/>
  <c r="Z31" i="15"/>
  <c r="X31" i="15"/>
  <c r="W31" i="15"/>
  <c r="AA31" i="15"/>
  <c r="Y31" i="15"/>
  <c r="Z33" i="15"/>
  <c r="X33" i="15"/>
  <c r="W33" i="15"/>
  <c r="AA33" i="15"/>
  <c r="Y33" i="15"/>
  <c r="AA35" i="15"/>
  <c r="W35" i="15"/>
  <c r="Z35" i="15"/>
  <c r="Y35" i="15"/>
  <c r="X35" i="15"/>
  <c r="X46" i="15"/>
  <c r="AA46" i="15"/>
  <c r="Z46" i="15"/>
  <c r="Y46" i="15"/>
  <c r="W46" i="15"/>
  <c r="X58" i="15"/>
  <c r="Y58" i="15"/>
  <c r="W58" i="15"/>
  <c r="AA58" i="15"/>
  <c r="Z58" i="15"/>
  <c r="N70" i="15"/>
  <c r="Q67" i="15"/>
  <c r="R67" i="15" s="1"/>
  <c r="V67" i="15" s="1"/>
  <c r="Y140" i="15"/>
  <c r="X140" i="15"/>
  <c r="Z140" i="15"/>
  <c r="AA140" i="15"/>
  <c r="W140" i="15"/>
  <c r="AF570" i="11"/>
  <c r="AC588" i="11"/>
  <c r="AB621" i="11"/>
  <c r="AC639" i="11"/>
  <c r="AA630" i="11"/>
  <c r="AA634" i="11"/>
  <c r="Q667" i="11"/>
  <c r="AG673" i="11"/>
  <c r="AA675" i="11"/>
  <c r="W675" i="11"/>
  <c r="Z675" i="11"/>
  <c r="X676" i="11"/>
  <c r="AA676" i="11"/>
  <c r="W676" i="11"/>
  <c r="Y677" i="11"/>
  <c r="X677" i="11"/>
  <c r="X691" i="11"/>
  <c r="AA691" i="11"/>
  <c r="W691" i="11"/>
  <c r="Z691" i="11"/>
  <c r="I15" i="14"/>
  <c r="X12" i="15"/>
  <c r="Y12" i="15"/>
  <c r="W12" i="15"/>
  <c r="AA12" i="15"/>
  <c r="Z12" i="15"/>
  <c r="Y14" i="15"/>
  <c r="Z14" i="15"/>
  <c r="X14" i="15"/>
  <c r="W14" i="15"/>
  <c r="AA14" i="15"/>
  <c r="Y34" i="15"/>
  <c r="AA34" i="15"/>
  <c r="Z34" i="15"/>
  <c r="X34" i="15"/>
  <c r="W34" i="15"/>
  <c r="N47" i="15"/>
  <c r="Q40" i="15"/>
  <c r="AA41" i="15"/>
  <c r="W41" i="15"/>
  <c r="Z41" i="15"/>
  <c r="Y41" i="15"/>
  <c r="X41" i="15"/>
  <c r="AA43" i="15"/>
  <c r="W43" i="15"/>
  <c r="Y43" i="15"/>
  <c r="X43" i="15"/>
  <c r="Z43" i="15"/>
  <c r="Q57" i="15"/>
  <c r="R57" i="15" s="1"/>
  <c r="N60" i="15"/>
  <c r="R66" i="15"/>
  <c r="Q70" i="15"/>
  <c r="AA103" i="15"/>
  <c r="W103" i="15"/>
  <c r="X103" i="15"/>
  <c r="Z103" i="15"/>
  <c r="Y103" i="15"/>
  <c r="Z114" i="15"/>
  <c r="AA114" i="15"/>
  <c r="W114" i="15"/>
  <c r="Y114" i="15"/>
  <c r="X114" i="15"/>
  <c r="Z118" i="15"/>
  <c r="AA118" i="15"/>
  <c r="W118" i="15"/>
  <c r="Y118" i="15"/>
  <c r="X118" i="15"/>
  <c r="AA122" i="15"/>
  <c r="W122" i="15"/>
  <c r="X122" i="15"/>
  <c r="Z122" i="15"/>
  <c r="Y122" i="15"/>
  <c r="X129" i="15"/>
  <c r="Y129" i="15"/>
  <c r="AA129" i="15"/>
  <c r="Z129" i="15"/>
  <c r="W129" i="15"/>
  <c r="Z156" i="15"/>
  <c r="Y156" i="15"/>
  <c r="AA156" i="15"/>
  <c r="AA157" i="15" s="1"/>
  <c r="W156" i="15"/>
  <c r="X156" i="15"/>
  <c r="AA162" i="15"/>
  <c r="W162" i="15"/>
  <c r="Z162" i="15"/>
  <c r="X162" i="15"/>
  <c r="Y162" i="15"/>
  <c r="N532" i="11"/>
  <c r="AB605" i="11"/>
  <c r="M621" i="11"/>
  <c r="W630" i="11"/>
  <c r="W634" i="11"/>
  <c r="AB638" i="11"/>
  <c r="AA660" i="11"/>
  <c r="AA661" i="11" s="1"/>
  <c r="P714" i="11" s="1"/>
  <c r="W665" i="11"/>
  <c r="V667" i="11"/>
  <c r="Z674" i="11"/>
  <c r="Y674" i="11"/>
  <c r="X675" i="11"/>
  <c r="Y676" i="11"/>
  <c r="W677" i="11"/>
  <c r="Q680" i="11"/>
  <c r="Y691" i="11"/>
  <c r="AC696" i="11"/>
  <c r="Q705" i="11"/>
  <c r="R700" i="11"/>
  <c r="Z702" i="11"/>
  <c r="Y702" i="11"/>
  <c r="X702" i="11"/>
  <c r="E8" i="14"/>
  <c r="Z22" i="15"/>
  <c r="X22" i="15"/>
  <c r="W22" i="15"/>
  <c r="AA22" i="15"/>
  <c r="Y22" i="15"/>
  <c r="Z24" i="15"/>
  <c r="X24" i="15"/>
  <c r="W24" i="15"/>
  <c r="AA24" i="15"/>
  <c r="Y24" i="15"/>
  <c r="Z26" i="15"/>
  <c r="X26" i="15"/>
  <c r="W26" i="15"/>
  <c r="AA26" i="15"/>
  <c r="Y26" i="15"/>
  <c r="Z28" i="15"/>
  <c r="X28" i="15"/>
  <c r="W28" i="15"/>
  <c r="AA28" i="15"/>
  <c r="Y28" i="15"/>
  <c r="Z30" i="15"/>
  <c r="X30" i="15"/>
  <c r="W30" i="15"/>
  <c r="AA30" i="15"/>
  <c r="Y30" i="15"/>
  <c r="Z32" i="15"/>
  <c r="X32" i="15"/>
  <c r="W32" i="15"/>
  <c r="AA32" i="15"/>
  <c r="Y32" i="15"/>
  <c r="X44" i="15"/>
  <c r="Y44" i="15"/>
  <c r="W44" i="15"/>
  <c r="AA44" i="15"/>
  <c r="Z44" i="15"/>
  <c r="AC61" i="15"/>
  <c r="Y93" i="15"/>
  <c r="Z93" i="15"/>
  <c r="AA93" i="15"/>
  <c r="X93" i="15"/>
  <c r="W93" i="15"/>
  <c r="AA94" i="15"/>
  <c r="W94" i="15"/>
  <c r="X94" i="15"/>
  <c r="Z94" i="15"/>
  <c r="Y94" i="15"/>
  <c r="Z113" i="15"/>
  <c r="AA113" i="15"/>
  <c r="W113" i="15"/>
  <c r="X113" i="15"/>
  <c r="Y113" i="15"/>
  <c r="Z116" i="15"/>
  <c r="AA116" i="15"/>
  <c r="W116" i="15"/>
  <c r="Y116" i="15"/>
  <c r="X116" i="15"/>
  <c r="Z117" i="15"/>
  <c r="AA117" i="15"/>
  <c r="W117" i="15"/>
  <c r="X117" i="15"/>
  <c r="Y117" i="15"/>
  <c r="AA121" i="15"/>
  <c r="W121" i="15"/>
  <c r="X121" i="15"/>
  <c r="Z121" i="15"/>
  <c r="Y121" i="15"/>
  <c r="Z132" i="15"/>
  <c r="AA132" i="15"/>
  <c r="W132" i="15"/>
  <c r="Y132" i="15"/>
  <c r="X132" i="15"/>
  <c r="Y175" i="15"/>
  <c r="X175" i="15"/>
  <c r="Z175" i="15"/>
  <c r="AA175" i="15"/>
  <c r="W175" i="15"/>
  <c r="Y176" i="15"/>
  <c r="X176" i="15"/>
  <c r="Z176" i="15"/>
  <c r="AA176" i="15"/>
  <c r="W176" i="15"/>
  <c r="W626" i="11"/>
  <c r="AG626" i="11" s="1"/>
  <c r="AI626" i="11" s="1"/>
  <c r="AJ626" i="11" s="1"/>
  <c r="X630" i="11"/>
  <c r="X634" i="11"/>
  <c r="AA636" i="11"/>
  <c r="W660" i="11"/>
  <c r="X665" i="11"/>
  <c r="R680" i="11"/>
  <c r="AF680" i="11"/>
  <c r="W674" i="11"/>
  <c r="AG674" i="11" s="1"/>
  <c r="Y675" i="11"/>
  <c r="Z676" i="11"/>
  <c r="Z677" i="11"/>
  <c r="Z678" i="11"/>
  <c r="Y678" i="11"/>
  <c r="AG678" i="11" s="1"/>
  <c r="Q695" i="11"/>
  <c r="R688" i="11"/>
  <c r="Z689" i="11"/>
  <c r="Y689" i="11"/>
  <c r="X689" i="11"/>
  <c r="AG689" i="11" s="1"/>
  <c r="AI689" i="11" s="1"/>
  <c r="AJ689" i="11" s="1"/>
  <c r="Z694" i="11"/>
  <c r="Y694" i="11"/>
  <c r="X694" i="11"/>
  <c r="AG694" i="11" s="1"/>
  <c r="AI694" i="11" s="1"/>
  <c r="AJ694" i="11" s="1"/>
  <c r="W702" i="11"/>
  <c r="G15" i="14"/>
  <c r="AD16" i="15"/>
  <c r="Y10" i="15"/>
  <c r="X10" i="15"/>
  <c r="W10" i="15"/>
  <c r="Z10" i="15"/>
  <c r="Y13" i="15"/>
  <c r="W13" i="15"/>
  <c r="AA13" i="15"/>
  <c r="Z13" i="15"/>
  <c r="X13" i="15"/>
  <c r="AA42" i="15"/>
  <c r="W42" i="15"/>
  <c r="Z42" i="15"/>
  <c r="Y42" i="15"/>
  <c r="X42" i="15"/>
  <c r="Z75" i="15"/>
  <c r="AA75" i="15"/>
  <c r="W75" i="15"/>
  <c r="Y75" i="15"/>
  <c r="X75" i="15"/>
  <c r="X83" i="15"/>
  <c r="Y83" i="15"/>
  <c r="AA83" i="15"/>
  <c r="Z83" i="15"/>
  <c r="W83" i="15"/>
  <c r="Y92" i="15"/>
  <c r="Z92" i="15"/>
  <c r="AA92" i="15"/>
  <c r="AA96" i="15" s="1"/>
  <c r="X92" i="15"/>
  <c r="W92" i="15"/>
  <c r="AA104" i="15"/>
  <c r="W104" i="15"/>
  <c r="X104" i="15"/>
  <c r="Y104" i="15"/>
  <c r="Z104" i="15"/>
  <c r="V111" i="15"/>
  <c r="Z115" i="15"/>
  <c r="AA115" i="15"/>
  <c r="W115" i="15"/>
  <c r="Y115" i="15"/>
  <c r="X115" i="15"/>
  <c r="Z119" i="15"/>
  <c r="AA119" i="15"/>
  <c r="W119" i="15"/>
  <c r="Y119" i="15"/>
  <c r="X119" i="15"/>
  <c r="AA163" i="15"/>
  <c r="W163" i="15"/>
  <c r="Z163" i="15"/>
  <c r="X163" i="15"/>
  <c r="Y163" i="15"/>
  <c r="Y704" i="11"/>
  <c r="L13" i="12"/>
  <c r="N116" i="13"/>
  <c r="N127" i="13" s="1"/>
  <c r="M9" i="15"/>
  <c r="M16" i="15" s="1"/>
  <c r="S710" i="15"/>
  <c r="AB16" i="15"/>
  <c r="Q20" i="15"/>
  <c r="K36" i="15"/>
  <c r="AD40" i="15"/>
  <c r="AD47" i="15" s="1"/>
  <c r="AC48" i="15" s="1"/>
  <c r="X45" i="15"/>
  <c r="R51" i="15"/>
  <c r="V51" i="15" s="1"/>
  <c r="Z55" i="15"/>
  <c r="AD55" i="15"/>
  <c r="AD60" i="15" s="1"/>
  <c r="Z56" i="15"/>
  <c r="X59" i="15"/>
  <c r="Z64" i="15"/>
  <c r="AD64" i="15"/>
  <c r="AD70" i="15" s="1"/>
  <c r="AC71" i="15" s="1"/>
  <c r="Y68" i="15"/>
  <c r="X69" i="15"/>
  <c r="Y69" i="15"/>
  <c r="AD75" i="15"/>
  <c r="K97" i="15"/>
  <c r="K96" i="15"/>
  <c r="L91" i="15"/>
  <c r="M91" i="15"/>
  <c r="X91" i="15"/>
  <c r="X96" i="15" s="1"/>
  <c r="R96" i="15"/>
  <c r="V96" i="15"/>
  <c r="AC107" i="15"/>
  <c r="Y105" i="15"/>
  <c r="Z105" i="15"/>
  <c r="Z106" i="15"/>
  <c r="AA106" i="15"/>
  <c r="W106" i="15"/>
  <c r="Q112" i="15"/>
  <c r="AD112" i="15"/>
  <c r="L113" i="15"/>
  <c r="AD116" i="15"/>
  <c r="L117" i="15"/>
  <c r="AB134" i="15"/>
  <c r="Q138" i="15"/>
  <c r="N142" i="15"/>
  <c r="X147" i="15"/>
  <c r="W147" i="15"/>
  <c r="Y147" i="15"/>
  <c r="K157" i="15"/>
  <c r="Z155" i="15"/>
  <c r="Y155" i="15"/>
  <c r="W155" i="15"/>
  <c r="W161" i="15"/>
  <c r="Z161" i="15"/>
  <c r="X161" i="15"/>
  <c r="AC186" i="15"/>
  <c r="Z178" i="15"/>
  <c r="AA178" i="15"/>
  <c r="Y178" i="15"/>
  <c r="W178" i="15"/>
  <c r="Y180" i="15"/>
  <c r="Z180" i="15"/>
  <c r="X180" i="15"/>
  <c r="AA180" i="15"/>
  <c r="V199" i="15"/>
  <c r="Z207" i="15"/>
  <c r="AA207" i="15"/>
  <c r="Y207" i="15"/>
  <c r="X207" i="15"/>
  <c r="W207" i="15"/>
  <c r="Z219" i="15"/>
  <c r="W219" i="15"/>
  <c r="AA219" i="15"/>
  <c r="Y219" i="15"/>
  <c r="X219" i="15"/>
  <c r="Q226" i="15"/>
  <c r="N237" i="15"/>
  <c r="Y228" i="15"/>
  <c r="W228" i="15"/>
  <c r="AA228" i="15"/>
  <c r="Z228" i="15"/>
  <c r="X228" i="15"/>
  <c r="Y234" i="15"/>
  <c r="AA234" i="15"/>
  <c r="Z234" i="15"/>
  <c r="X234" i="15"/>
  <c r="W234" i="15"/>
  <c r="AA235" i="15"/>
  <c r="W235" i="15"/>
  <c r="Z235" i="15"/>
  <c r="Y235" i="15"/>
  <c r="X235" i="15"/>
  <c r="N246" i="15"/>
  <c r="Q241" i="15"/>
  <c r="X243" i="15"/>
  <c r="AA243" i="15"/>
  <c r="Z243" i="15"/>
  <c r="Y243" i="15"/>
  <c r="W243" i="15"/>
  <c r="Y256" i="15"/>
  <c r="AA256" i="15"/>
  <c r="W256" i="15"/>
  <c r="Z256" i="15"/>
  <c r="X256" i="15"/>
  <c r="Z704" i="11"/>
  <c r="N9" i="15"/>
  <c r="AB36" i="15"/>
  <c r="AA55" i="15"/>
  <c r="Z59" i="15"/>
  <c r="AA64" i="15"/>
  <c r="K71" i="15"/>
  <c r="K70" i="15"/>
  <c r="L66" i="15"/>
  <c r="Z68" i="15"/>
  <c r="L92" i="15"/>
  <c r="M92" i="15"/>
  <c r="AD107" i="15"/>
  <c r="K125" i="15"/>
  <c r="M111" i="15"/>
  <c r="AD113" i="15"/>
  <c r="AD117" i="15"/>
  <c r="X124" i="15"/>
  <c r="Y124" i="15"/>
  <c r="Q131" i="15"/>
  <c r="AD131" i="15"/>
  <c r="AD134" i="15" s="1"/>
  <c r="AC135" i="15" s="1"/>
  <c r="X133" i="15"/>
  <c r="Y133" i="15"/>
  <c r="Y139" i="15"/>
  <c r="X139" i="15"/>
  <c r="Z139" i="15"/>
  <c r="X141" i="15"/>
  <c r="AA141" i="15"/>
  <c r="W141" i="15"/>
  <c r="Y141" i="15"/>
  <c r="Q146" i="15"/>
  <c r="N149" i="15"/>
  <c r="Y148" i="15"/>
  <c r="X148" i="15"/>
  <c r="Z148" i="15"/>
  <c r="Q160" i="15"/>
  <c r="N164" i="15"/>
  <c r="Z168" i="15"/>
  <c r="Y168" i="15"/>
  <c r="AA168" i="15"/>
  <c r="W168" i="15"/>
  <c r="W169" i="15" s="1"/>
  <c r="W174" i="15"/>
  <c r="X174" i="15"/>
  <c r="Y183" i="15"/>
  <c r="AA183" i="15"/>
  <c r="Z183" i="15"/>
  <c r="W183" i="15"/>
  <c r="Y184" i="15"/>
  <c r="Z184" i="15"/>
  <c r="X184" i="15"/>
  <c r="AA184" i="15"/>
  <c r="R191" i="15"/>
  <c r="W202" i="15"/>
  <c r="X202" i="15"/>
  <c r="Z202" i="15"/>
  <c r="Y202" i="15"/>
  <c r="AA205" i="15"/>
  <c r="W205" i="15"/>
  <c r="X205" i="15"/>
  <c r="Z205" i="15"/>
  <c r="Y205" i="15"/>
  <c r="Z206" i="15"/>
  <c r="AA206" i="15"/>
  <c r="Y206" i="15"/>
  <c r="X206" i="15"/>
  <c r="W206" i="15"/>
  <c r="AA211" i="15"/>
  <c r="W211" i="15"/>
  <c r="X211" i="15"/>
  <c r="Z211" i="15"/>
  <c r="Y211" i="15"/>
  <c r="AA212" i="15"/>
  <c r="W212" i="15"/>
  <c r="Z212" i="15"/>
  <c r="Y212" i="15"/>
  <c r="X212" i="15"/>
  <c r="AA215" i="15"/>
  <c r="W215" i="15"/>
  <c r="X215" i="15"/>
  <c r="Z215" i="15"/>
  <c r="Y215" i="15"/>
  <c r="AA216" i="15"/>
  <c r="W216" i="15"/>
  <c r="Z216" i="15"/>
  <c r="Y216" i="15"/>
  <c r="X216" i="15"/>
  <c r="Z229" i="15"/>
  <c r="AA229" i="15"/>
  <c r="Y229" i="15"/>
  <c r="X229" i="15"/>
  <c r="W229" i="15"/>
  <c r="W704" i="11"/>
  <c r="AG704" i="11" s="1"/>
  <c r="AI704" i="11" s="1"/>
  <c r="AJ704" i="11" s="1"/>
  <c r="AC17" i="15"/>
  <c r="K16" i="15"/>
  <c r="P710" i="15"/>
  <c r="AC37" i="15"/>
  <c r="AA59" i="15"/>
  <c r="L70" i="15"/>
  <c r="AA68" i="15"/>
  <c r="AC88" i="15"/>
  <c r="Y91" i="15"/>
  <c r="Z91" i="15"/>
  <c r="Z96" i="15" s="1"/>
  <c r="AB96" i="15"/>
  <c r="AD91" i="15"/>
  <c r="AD96" i="15" s="1"/>
  <c r="L93" i="15"/>
  <c r="M93" i="15"/>
  <c r="L125" i="15"/>
  <c r="K126" i="15"/>
  <c r="M112" i="15"/>
  <c r="AA120" i="15"/>
  <c r="W120" i="15"/>
  <c r="X120" i="15"/>
  <c r="Z177" i="15"/>
  <c r="AA177" i="15"/>
  <c r="Y177" i="15"/>
  <c r="W177" i="15"/>
  <c r="Z179" i="15"/>
  <c r="AA179" i="15"/>
  <c r="Y179" i="15"/>
  <c r="W179" i="15"/>
  <c r="L181" i="15"/>
  <c r="M181" i="15"/>
  <c r="K187" i="15"/>
  <c r="Y182" i="15"/>
  <c r="W182" i="15"/>
  <c r="AA182" i="15"/>
  <c r="X182" i="15"/>
  <c r="AA185" i="15"/>
  <c r="W185" i="15"/>
  <c r="Y185" i="15"/>
  <c r="X185" i="15"/>
  <c r="Z185" i="15"/>
  <c r="W201" i="15"/>
  <c r="Z201" i="15"/>
  <c r="Y201" i="15"/>
  <c r="X201" i="15"/>
  <c r="Q221" i="15"/>
  <c r="R203" i="15"/>
  <c r="V203" i="15" s="1"/>
  <c r="AA208" i="15"/>
  <c r="W208" i="15"/>
  <c r="Z208" i="15"/>
  <c r="Y208" i="15"/>
  <c r="X208" i="15"/>
  <c r="AA209" i="15"/>
  <c r="W209" i="15"/>
  <c r="Z209" i="15"/>
  <c r="Y209" i="15"/>
  <c r="X209" i="15"/>
  <c r="AA213" i="15"/>
  <c r="W213" i="15"/>
  <c r="Z213" i="15"/>
  <c r="Y213" i="15"/>
  <c r="X213" i="15"/>
  <c r="AA217" i="15"/>
  <c r="W217" i="15"/>
  <c r="Z217" i="15"/>
  <c r="Y217" i="15"/>
  <c r="X217" i="15"/>
  <c r="X227" i="15"/>
  <c r="Y227" i="15"/>
  <c r="W227" i="15"/>
  <c r="AA227" i="15"/>
  <c r="Z227" i="15"/>
  <c r="X233" i="15"/>
  <c r="W233" i="15"/>
  <c r="AA233" i="15"/>
  <c r="Z233" i="15"/>
  <c r="Y233" i="15"/>
  <c r="X242" i="15"/>
  <c r="Y242" i="15"/>
  <c r="W242" i="15"/>
  <c r="AA242" i="15"/>
  <c r="Z242" i="15"/>
  <c r="X244" i="15"/>
  <c r="Y244" i="15"/>
  <c r="W244" i="15"/>
  <c r="AA244" i="15"/>
  <c r="Z244" i="15"/>
  <c r="M10" i="12"/>
  <c r="K48" i="15"/>
  <c r="K47" i="15"/>
  <c r="M40" i="15"/>
  <c r="M47" i="15" s="1"/>
  <c r="X55" i="15"/>
  <c r="Y56" i="15"/>
  <c r="W59" i="15"/>
  <c r="X64" i="15"/>
  <c r="M67" i="15"/>
  <c r="M70" i="15" s="1"/>
  <c r="W68" i="15"/>
  <c r="Q74" i="15"/>
  <c r="AD76" i="15"/>
  <c r="AC77" i="15" s="1"/>
  <c r="Q82" i="15"/>
  <c r="W84" i="15"/>
  <c r="X84" i="15"/>
  <c r="N87" i="15"/>
  <c r="W91" i="15"/>
  <c r="X95" i="15"/>
  <c r="Y95" i="15"/>
  <c r="Q96" i="15"/>
  <c r="N107" i="15"/>
  <c r="Q102" i="15"/>
  <c r="AD111" i="15"/>
  <c r="AB125" i="15"/>
  <c r="L112" i="15"/>
  <c r="L116" i="15"/>
  <c r="Y120" i="15"/>
  <c r="Z124" i="15"/>
  <c r="AA130" i="15"/>
  <c r="W130" i="15"/>
  <c r="X130" i="15"/>
  <c r="K135" i="15"/>
  <c r="M131" i="15"/>
  <c r="M134" i="15" s="1"/>
  <c r="Z133" i="15"/>
  <c r="AA139" i="15"/>
  <c r="AA142" i="15" s="1"/>
  <c r="AA148" i="15"/>
  <c r="AA149" i="15" s="1"/>
  <c r="N157" i="15"/>
  <c r="Q154" i="15"/>
  <c r="AD157" i="15"/>
  <c r="AC158" i="15" s="1"/>
  <c r="M156" i="15"/>
  <c r="M157" i="15" s="1"/>
  <c r="L156" i="15"/>
  <c r="L157" i="15" s="1"/>
  <c r="AB157" i="15"/>
  <c r="Y173" i="15"/>
  <c r="X173" i="15"/>
  <c r="Z173" i="15"/>
  <c r="X177" i="15"/>
  <c r="X179" i="15"/>
  <c r="R181" i="15"/>
  <c r="V181" i="15" s="1"/>
  <c r="Z182" i="15"/>
  <c r="K186" i="15"/>
  <c r="AC196" i="15"/>
  <c r="Y192" i="15"/>
  <c r="X192" i="15"/>
  <c r="W192" i="15"/>
  <c r="AA192" i="15"/>
  <c r="Z192" i="15"/>
  <c r="N195" i="15"/>
  <c r="Q193" i="15"/>
  <c r="R193" i="15" s="1"/>
  <c r="V193" i="15" s="1"/>
  <c r="X194" i="15"/>
  <c r="W194" i="15"/>
  <c r="AA194" i="15"/>
  <c r="Z194" i="15"/>
  <c r="Y194" i="15"/>
  <c r="W200" i="15"/>
  <c r="Z200" i="15"/>
  <c r="Y200" i="15"/>
  <c r="X200" i="15"/>
  <c r="AA204" i="15"/>
  <c r="W204" i="15"/>
  <c r="Y204" i="15"/>
  <c r="X204" i="15"/>
  <c r="Z204" i="15"/>
  <c r="AA210" i="15"/>
  <c r="W210" i="15"/>
  <c r="Y210" i="15"/>
  <c r="X210" i="15"/>
  <c r="Z210" i="15"/>
  <c r="AA214" i="15"/>
  <c r="W214" i="15"/>
  <c r="Y214" i="15"/>
  <c r="X214" i="15"/>
  <c r="Z214" i="15"/>
  <c r="AA218" i="15"/>
  <c r="W218" i="15"/>
  <c r="Y218" i="15"/>
  <c r="X218" i="15"/>
  <c r="Z218" i="15"/>
  <c r="X220" i="15"/>
  <c r="W220" i="15"/>
  <c r="AA220" i="15"/>
  <c r="Z220" i="15"/>
  <c r="Y220" i="15"/>
  <c r="AA230" i="15"/>
  <c r="W230" i="15"/>
  <c r="Z230" i="15"/>
  <c r="Y230" i="15"/>
  <c r="X230" i="15"/>
  <c r="AA231" i="15"/>
  <c r="W231" i="15"/>
  <c r="Z231" i="15"/>
  <c r="Y231" i="15"/>
  <c r="X231" i="15"/>
  <c r="X232" i="15"/>
  <c r="Z232" i="15"/>
  <c r="Y232" i="15"/>
  <c r="W232" i="15"/>
  <c r="AA232" i="15"/>
  <c r="Z251" i="15"/>
  <c r="X251" i="15"/>
  <c r="AA251" i="15"/>
  <c r="W251" i="15"/>
  <c r="Y251" i="15"/>
  <c r="U710" i="15"/>
  <c r="W85" i="15"/>
  <c r="W123" i="15"/>
  <c r="AA123" i="15"/>
  <c r="L129" i="15"/>
  <c r="L134" i="15" s="1"/>
  <c r="L138" i="15"/>
  <c r="L142" i="15" s="1"/>
  <c r="AD138" i="15"/>
  <c r="AD142" i="15" s="1"/>
  <c r="AC143" i="15" s="1"/>
  <c r="M139" i="15"/>
  <c r="M142" i="15" s="1"/>
  <c r="M140" i="15"/>
  <c r="AD146" i="15"/>
  <c r="AD149" i="15" s="1"/>
  <c r="AC150" i="15" s="1"/>
  <c r="L160" i="15"/>
  <c r="L164" i="15" s="1"/>
  <c r="AD160" i="15"/>
  <c r="AD164" i="15" s="1"/>
  <c r="AC165" i="15" s="1"/>
  <c r="AD172" i="15"/>
  <c r="M175" i="15"/>
  <c r="M186" i="15" s="1"/>
  <c r="M176" i="15"/>
  <c r="M177" i="15"/>
  <c r="AD177" i="15"/>
  <c r="L178" i="15"/>
  <c r="L186" i="15" s="1"/>
  <c r="AD178" i="15"/>
  <c r="L179" i="15"/>
  <c r="AD179" i="15"/>
  <c r="L180" i="15"/>
  <c r="M183" i="15"/>
  <c r="K196" i="15"/>
  <c r="K195" i="15"/>
  <c r="M191" i="15"/>
  <c r="M195" i="15" s="1"/>
  <c r="M206" i="15"/>
  <c r="AD206" i="15"/>
  <c r="L207" i="15"/>
  <c r="AD207" i="15"/>
  <c r="AD221" i="15" s="1"/>
  <c r="M212" i="15"/>
  <c r="M216" i="15"/>
  <c r="AD229" i="15"/>
  <c r="AD237" i="15" s="1"/>
  <c r="Z236" i="15"/>
  <c r="K253" i="15"/>
  <c r="N275" i="15"/>
  <c r="Q259" i="15"/>
  <c r="AA263" i="15"/>
  <c r="W263" i="15"/>
  <c r="Z263" i="15"/>
  <c r="Y263" i="15"/>
  <c r="X263" i="15"/>
  <c r="X266" i="15"/>
  <c r="AA266" i="15"/>
  <c r="Z266" i="15"/>
  <c r="Y266" i="15"/>
  <c r="W266" i="15"/>
  <c r="X269" i="15"/>
  <c r="Y269" i="15"/>
  <c r="W269" i="15"/>
  <c r="AA269" i="15"/>
  <c r="Z269" i="15"/>
  <c r="AD292" i="15"/>
  <c r="AA284" i="15"/>
  <c r="W284" i="15"/>
  <c r="Y284" i="15"/>
  <c r="X284" i="15"/>
  <c r="Z284" i="15"/>
  <c r="AA286" i="15"/>
  <c r="W286" i="15"/>
  <c r="Z286" i="15"/>
  <c r="Y286" i="15"/>
  <c r="X286" i="15"/>
  <c r="AA287" i="15"/>
  <c r="W287" i="15"/>
  <c r="Z287" i="15"/>
  <c r="Y287" i="15"/>
  <c r="X287" i="15"/>
  <c r="X289" i="15"/>
  <c r="W289" i="15"/>
  <c r="AA289" i="15"/>
  <c r="Z289" i="15"/>
  <c r="Y289" i="15"/>
  <c r="AA291" i="15"/>
  <c r="W291" i="15"/>
  <c r="Z291" i="15"/>
  <c r="Y291" i="15"/>
  <c r="X291" i="15"/>
  <c r="AC310" i="15"/>
  <c r="X334" i="15"/>
  <c r="Z334" i="15"/>
  <c r="Y334" i="15"/>
  <c r="W334" i="15"/>
  <c r="AA334" i="15"/>
  <c r="X338" i="15"/>
  <c r="Z338" i="15"/>
  <c r="Y338" i="15"/>
  <c r="W338" i="15"/>
  <c r="AA338" i="15"/>
  <c r="X342" i="15"/>
  <c r="Z342" i="15"/>
  <c r="Y342" i="15"/>
  <c r="W342" i="15"/>
  <c r="AA342" i="15"/>
  <c r="X346" i="15"/>
  <c r="Z346" i="15"/>
  <c r="Y346" i="15"/>
  <c r="W346" i="15"/>
  <c r="AA346" i="15"/>
  <c r="X350" i="15"/>
  <c r="Z350" i="15"/>
  <c r="Y350" i="15"/>
  <c r="W350" i="15"/>
  <c r="AA350" i="15"/>
  <c r="X354" i="15"/>
  <c r="Z354" i="15"/>
  <c r="Y354" i="15"/>
  <c r="W354" i="15"/>
  <c r="AA354" i="15"/>
  <c r="AB195" i="15"/>
  <c r="N221" i="15"/>
  <c r="AC221" i="15"/>
  <c r="AA236" i="15"/>
  <c r="AC237" i="15"/>
  <c r="AA245" i="15"/>
  <c r="W245" i="15"/>
  <c r="N253" i="15"/>
  <c r="Q249" i="15"/>
  <c r="AA262" i="15"/>
  <c r="W262" i="15"/>
  <c r="Z262" i="15"/>
  <c r="Y262" i="15"/>
  <c r="X262" i="15"/>
  <c r="X268" i="15"/>
  <c r="AA268" i="15"/>
  <c r="Z268" i="15"/>
  <c r="Y268" i="15"/>
  <c r="W268" i="15"/>
  <c r="X271" i="15"/>
  <c r="Y271" i="15"/>
  <c r="W271" i="15"/>
  <c r="AA271" i="15"/>
  <c r="Z271" i="15"/>
  <c r="AA281" i="15"/>
  <c r="W281" i="15"/>
  <c r="X281" i="15"/>
  <c r="Z281" i="15"/>
  <c r="Y281" i="15"/>
  <c r="X288" i="15"/>
  <c r="Z288" i="15"/>
  <c r="Y288" i="15"/>
  <c r="W288" i="15"/>
  <c r="AA288" i="15"/>
  <c r="Q301" i="15"/>
  <c r="N303" i="15"/>
  <c r="Q309" i="15"/>
  <c r="R307" i="15"/>
  <c r="Q324" i="15"/>
  <c r="N326" i="15"/>
  <c r="X333" i="15"/>
  <c r="W333" i="15"/>
  <c r="AA333" i="15"/>
  <c r="Z333" i="15"/>
  <c r="Y333" i="15"/>
  <c r="X337" i="15"/>
  <c r="W337" i="15"/>
  <c r="AA337" i="15"/>
  <c r="Z337" i="15"/>
  <c r="Y337" i="15"/>
  <c r="X341" i="15"/>
  <c r="W341" i="15"/>
  <c r="AA341" i="15"/>
  <c r="Z341" i="15"/>
  <c r="Y341" i="15"/>
  <c r="X345" i="15"/>
  <c r="W345" i="15"/>
  <c r="AA345" i="15"/>
  <c r="Z345" i="15"/>
  <c r="Y345" i="15"/>
  <c r="X349" i="15"/>
  <c r="W349" i="15"/>
  <c r="AA349" i="15"/>
  <c r="Z349" i="15"/>
  <c r="Y349" i="15"/>
  <c r="X353" i="15"/>
  <c r="W353" i="15"/>
  <c r="AA353" i="15"/>
  <c r="Z353" i="15"/>
  <c r="Y353" i="15"/>
  <c r="AA357" i="15"/>
  <c r="W357" i="15"/>
  <c r="X357" i="15"/>
  <c r="Z357" i="15"/>
  <c r="Y357" i="15"/>
  <c r="Z359" i="15"/>
  <c r="W359" i="15"/>
  <c r="X359" i="15"/>
  <c r="Y359" i="15"/>
  <c r="AA359" i="15"/>
  <c r="Z360" i="15"/>
  <c r="W360" i="15"/>
  <c r="X360" i="15"/>
  <c r="Y360" i="15"/>
  <c r="AA360" i="15"/>
  <c r="Z361" i="15"/>
  <c r="W361" i="15"/>
  <c r="X361" i="15"/>
  <c r="Y361" i="15"/>
  <c r="AA361" i="15"/>
  <c r="Z362" i="15"/>
  <c r="W362" i="15"/>
  <c r="X362" i="15"/>
  <c r="Y362" i="15"/>
  <c r="AA362" i="15"/>
  <c r="Z363" i="15"/>
  <c r="W363" i="15"/>
  <c r="X363" i="15"/>
  <c r="Y363" i="15"/>
  <c r="AA363" i="15"/>
  <c r="Z364" i="15"/>
  <c r="W364" i="15"/>
  <c r="X364" i="15"/>
  <c r="Y364" i="15"/>
  <c r="AA364" i="15"/>
  <c r="Z365" i="15"/>
  <c r="W365" i="15"/>
  <c r="X365" i="15"/>
  <c r="Y365" i="15"/>
  <c r="AA365" i="15"/>
  <c r="Z366" i="15"/>
  <c r="W366" i="15"/>
  <c r="X366" i="15"/>
  <c r="Y366" i="15"/>
  <c r="AA366" i="15"/>
  <c r="Z367" i="15"/>
  <c r="W367" i="15"/>
  <c r="X367" i="15"/>
  <c r="Y367" i="15"/>
  <c r="AA367" i="15"/>
  <c r="Z368" i="15"/>
  <c r="W368" i="15"/>
  <c r="X368" i="15"/>
  <c r="Y368" i="15"/>
  <c r="AA368" i="15"/>
  <c r="Z369" i="15"/>
  <c r="W369" i="15"/>
  <c r="X369" i="15"/>
  <c r="Y369" i="15"/>
  <c r="AA369" i="15"/>
  <c r="Z370" i="15"/>
  <c r="W370" i="15"/>
  <c r="X370" i="15"/>
  <c r="Y370" i="15"/>
  <c r="AA370" i="15"/>
  <c r="Z371" i="15"/>
  <c r="W371" i="15"/>
  <c r="X371" i="15"/>
  <c r="Y371" i="15"/>
  <c r="AA371" i="15"/>
  <c r="Z372" i="15"/>
  <c r="W372" i="15"/>
  <c r="X372" i="15"/>
  <c r="Y372" i="15"/>
  <c r="AA372" i="15"/>
  <c r="Z373" i="15"/>
  <c r="W373" i="15"/>
  <c r="X373" i="15"/>
  <c r="Y373" i="15"/>
  <c r="AA373" i="15"/>
  <c r="Z374" i="15"/>
  <c r="W374" i="15"/>
  <c r="X374" i="15"/>
  <c r="Y374" i="15"/>
  <c r="AA374" i="15"/>
  <c r="Z375" i="15"/>
  <c r="W375" i="15"/>
  <c r="X375" i="15"/>
  <c r="Y375" i="15"/>
  <c r="AA375" i="15"/>
  <c r="Z376" i="15"/>
  <c r="W376" i="15"/>
  <c r="X376" i="15"/>
  <c r="Y376" i="15"/>
  <c r="AA376" i="15"/>
  <c r="Z377" i="15"/>
  <c r="W377" i="15"/>
  <c r="X377" i="15"/>
  <c r="Y377" i="15"/>
  <c r="AA377" i="15"/>
  <c r="Z378" i="15"/>
  <c r="W378" i="15"/>
  <c r="X378" i="15"/>
  <c r="Y378" i="15"/>
  <c r="AA378" i="15"/>
  <c r="Z379" i="15"/>
  <c r="W379" i="15"/>
  <c r="X379" i="15"/>
  <c r="Y379" i="15"/>
  <c r="AA379" i="15"/>
  <c r="Z380" i="15"/>
  <c r="W380" i="15"/>
  <c r="X380" i="15"/>
  <c r="Y380" i="15"/>
  <c r="AA380" i="15"/>
  <c r="Z381" i="15"/>
  <c r="W381" i="15"/>
  <c r="AA381" i="15"/>
  <c r="X381" i="15"/>
  <c r="Y381" i="15"/>
  <c r="N186" i="15"/>
  <c r="K221" i="15"/>
  <c r="L199" i="15"/>
  <c r="L205" i="15"/>
  <c r="L211" i="15"/>
  <c r="L215" i="15"/>
  <c r="L219" i="15"/>
  <c r="W236" i="15"/>
  <c r="AD241" i="15"/>
  <c r="AD246" i="15" s="1"/>
  <c r="AC247" i="15" s="1"/>
  <c r="X245" i="15"/>
  <c r="M253" i="15"/>
  <c r="L256" i="15"/>
  <c r="M256" i="15"/>
  <c r="AA261" i="15"/>
  <c r="W261" i="15"/>
  <c r="Z261" i="15"/>
  <c r="Y261" i="15"/>
  <c r="X261" i="15"/>
  <c r="X265" i="15"/>
  <c r="Y265" i="15"/>
  <c r="W265" i="15"/>
  <c r="AA265" i="15"/>
  <c r="Z265" i="15"/>
  <c r="X270" i="15"/>
  <c r="AA270" i="15"/>
  <c r="Z270" i="15"/>
  <c r="Y270" i="15"/>
  <c r="W270" i="15"/>
  <c r="AA285" i="15"/>
  <c r="W285" i="15"/>
  <c r="X285" i="15"/>
  <c r="Z285" i="15"/>
  <c r="Y285" i="15"/>
  <c r="N320" i="15"/>
  <c r="Q318" i="15"/>
  <c r="X332" i="15"/>
  <c r="Z332" i="15"/>
  <c r="Y332" i="15"/>
  <c r="W332" i="15"/>
  <c r="AA332" i="15"/>
  <c r="X336" i="15"/>
  <c r="Z336" i="15"/>
  <c r="Y336" i="15"/>
  <c r="W336" i="15"/>
  <c r="AA336" i="15"/>
  <c r="X340" i="15"/>
  <c r="Z340" i="15"/>
  <c r="Y340" i="15"/>
  <c r="W340" i="15"/>
  <c r="AA340" i="15"/>
  <c r="X344" i="15"/>
  <c r="Z344" i="15"/>
  <c r="Y344" i="15"/>
  <c r="W344" i="15"/>
  <c r="AA344" i="15"/>
  <c r="X348" i="15"/>
  <c r="Z348" i="15"/>
  <c r="Y348" i="15"/>
  <c r="W348" i="15"/>
  <c r="AA348" i="15"/>
  <c r="X352" i="15"/>
  <c r="Z352" i="15"/>
  <c r="Y352" i="15"/>
  <c r="W352" i="15"/>
  <c r="AA352" i="15"/>
  <c r="AA356" i="15"/>
  <c r="W356" i="15"/>
  <c r="X356" i="15"/>
  <c r="Z356" i="15"/>
  <c r="Y356" i="15"/>
  <c r="Z383" i="15"/>
  <c r="W383" i="15"/>
  <c r="AA383" i="15"/>
  <c r="X383" i="15"/>
  <c r="Y383" i="15"/>
  <c r="L139" i="15"/>
  <c r="Q172" i="15"/>
  <c r="M182" i="15"/>
  <c r="M193" i="15"/>
  <c r="M199" i="15"/>
  <c r="M221" i="15" s="1"/>
  <c r="K222" i="15"/>
  <c r="Y236" i="15"/>
  <c r="Y245" i="15"/>
  <c r="L249" i="15"/>
  <c r="L253" i="15" s="1"/>
  <c r="AC253" i="15"/>
  <c r="Z250" i="15"/>
  <c r="X250" i="15"/>
  <c r="AA250" i="15"/>
  <c r="W250" i="15"/>
  <c r="AA260" i="15"/>
  <c r="W260" i="15"/>
  <c r="Z260" i="15"/>
  <c r="Y260" i="15"/>
  <c r="X260" i="15"/>
  <c r="AA264" i="15"/>
  <c r="W264" i="15"/>
  <c r="Z264" i="15"/>
  <c r="Y264" i="15"/>
  <c r="X264" i="15"/>
  <c r="X267" i="15"/>
  <c r="Y267" i="15"/>
  <c r="W267" i="15"/>
  <c r="AA267" i="15"/>
  <c r="Z267" i="15"/>
  <c r="X272" i="15"/>
  <c r="AA272" i="15"/>
  <c r="Z272" i="15"/>
  <c r="Y272" i="15"/>
  <c r="W272" i="15"/>
  <c r="AA282" i="15"/>
  <c r="W282" i="15"/>
  <c r="Z282" i="15"/>
  <c r="Y282" i="15"/>
  <c r="X282" i="15"/>
  <c r="AA283" i="15"/>
  <c r="W283" i="15"/>
  <c r="Z283" i="15"/>
  <c r="Y283" i="15"/>
  <c r="X283" i="15"/>
  <c r="X331" i="15"/>
  <c r="W331" i="15"/>
  <c r="AA331" i="15"/>
  <c r="Z331" i="15"/>
  <c r="Y331" i="15"/>
  <c r="X335" i="15"/>
  <c r="W335" i="15"/>
  <c r="AA335" i="15"/>
  <c r="Z335" i="15"/>
  <c r="Y335" i="15"/>
  <c r="X339" i="15"/>
  <c r="W339" i="15"/>
  <c r="AA339" i="15"/>
  <c r="Z339" i="15"/>
  <c r="Y339" i="15"/>
  <c r="X343" i="15"/>
  <c r="W343" i="15"/>
  <c r="AA343" i="15"/>
  <c r="Z343" i="15"/>
  <c r="Y343" i="15"/>
  <c r="X347" i="15"/>
  <c r="W347" i="15"/>
  <c r="AA347" i="15"/>
  <c r="Z347" i="15"/>
  <c r="Y347" i="15"/>
  <c r="X351" i="15"/>
  <c r="W351" i="15"/>
  <c r="AA351" i="15"/>
  <c r="Z351" i="15"/>
  <c r="Y351" i="15"/>
  <c r="X355" i="15"/>
  <c r="W355" i="15"/>
  <c r="AA355" i="15"/>
  <c r="Z355" i="15"/>
  <c r="Y355" i="15"/>
  <c r="Z358" i="15"/>
  <c r="W358" i="15"/>
  <c r="X358" i="15"/>
  <c r="Y358" i="15"/>
  <c r="AA358" i="15"/>
  <c r="K237" i="15"/>
  <c r="W273" i="15"/>
  <c r="M282" i="15"/>
  <c r="M292" i="15" s="1"/>
  <c r="L283" i="15"/>
  <c r="L292" i="15" s="1"/>
  <c r="M286" i="15"/>
  <c r="L287" i="15"/>
  <c r="X290" i="15"/>
  <c r="L307" i="15"/>
  <c r="L309" i="15" s="1"/>
  <c r="N309" i="15"/>
  <c r="Q313" i="15"/>
  <c r="K320" i="15"/>
  <c r="X325" i="15"/>
  <c r="M359" i="15"/>
  <c r="L359" i="15"/>
  <c r="K402" i="15"/>
  <c r="M360" i="15"/>
  <c r="L360" i="15"/>
  <c r="M361" i="15"/>
  <c r="L361" i="15"/>
  <c r="L401" i="15" s="1"/>
  <c r="M362" i="15"/>
  <c r="L362" i="15"/>
  <c r="M363" i="15"/>
  <c r="L363" i="15"/>
  <c r="M364" i="15"/>
  <c r="L364" i="15"/>
  <c r="M365" i="15"/>
  <c r="L365" i="15"/>
  <c r="M366" i="15"/>
  <c r="L366" i="15"/>
  <c r="M367" i="15"/>
  <c r="L367" i="15"/>
  <c r="M368" i="15"/>
  <c r="L368" i="15"/>
  <c r="M369" i="15"/>
  <c r="L369" i="15"/>
  <c r="M370" i="15"/>
  <c r="L370" i="15"/>
  <c r="M371" i="15"/>
  <c r="L371" i="15"/>
  <c r="M372" i="15"/>
  <c r="L372" i="15"/>
  <c r="M373" i="15"/>
  <c r="L373" i="15"/>
  <c r="M374" i="15"/>
  <c r="L374" i="15"/>
  <c r="M375" i="15"/>
  <c r="L375" i="15"/>
  <c r="M376" i="15"/>
  <c r="L376" i="15"/>
  <c r="M377" i="15"/>
  <c r="L377" i="15"/>
  <c r="M378" i="15"/>
  <c r="L378" i="15"/>
  <c r="M379" i="15"/>
  <c r="L379" i="15"/>
  <c r="M380" i="15"/>
  <c r="L380" i="15"/>
  <c r="M381" i="15"/>
  <c r="L381" i="15"/>
  <c r="V405" i="15"/>
  <c r="Z407" i="15"/>
  <c r="Y407" i="15"/>
  <c r="X407" i="15"/>
  <c r="W407" i="15"/>
  <c r="AA407" i="15"/>
  <c r="Z409" i="15"/>
  <c r="Y409" i="15"/>
  <c r="X409" i="15"/>
  <c r="W409" i="15"/>
  <c r="AA409" i="15"/>
  <c r="Z411" i="15"/>
  <c r="Y411" i="15"/>
  <c r="X411" i="15"/>
  <c r="W411" i="15"/>
  <c r="AA411" i="15"/>
  <c r="Z413" i="15"/>
  <c r="Y413" i="15"/>
  <c r="X413" i="15"/>
  <c r="W413" i="15"/>
  <c r="AA413" i="15"/>
  <c r="Z415" i="15"/>
  <c r="Y415" i="15"/>
  <c r="X415" i="15"/>
  <c r="W415" i="15"/>
  <c r="AA415" i="15"/>
  <c r="Z417" i="15"/>
  <c r="Y417" i="15"/>
  <c r="X417" i="15"/>
  <c r="W417" i="15"/>
  <c r="AA417" i="15"/>
  <c r="Z419" i="15"/>
  <c r="Y419" i="15"/>
  <c r="X419" i="15"/>
  <c r="W419" i="15"/>
  <c r="AA419" i="15"/>
  <c r="Z421" i="15"/>
  <c r="Y421" i="15"/>
  <c r="X421" i="15"/>
  <c r="W421" i="15"/>
  <c r="AA421" i="15"/>
  <c r="Z423" i="15"/>
  <c r="Y423" i="15"/>
  <c r="X423" i="15"/>
  <c r="W423" i="15"/>
  <c r="AA423" i="15"/>
  <c r="Y428" i="15"/>
  <c r="W428" i="15"/>
  <c r="AA428" i="15"/>
  <c r="Z428" i="15"/>
  <c r="X428" i="15"/>
  <c r="Y439" i="15"/>
  <c r="W439" i="15"/>
  <c r="X439" i="15"/>
  <c r="AA439" i="15"/>
  <c r="Z439" i="15"/>
  <c r="Y444" i="15"/>
  <c r="AA444" i="15"/>
  <c r="W444" i="15"/>
  <c r="Z444" i="15"/>
  <c r="X444" i="15"/>
  <c r="Y450" i="15"/>
  <c r="X450" i="15"/>
  <c r="Z450" i="15"/>
  <c r="W450" i="15"/>
  <c r="AA450" i="15"/>
  <c r="X273" i="15"/>
  <c r="AA274" i="15"/>
  <c r="W274" i="15"/>
  <c r="Y290" i="15"/>
  <c r="V297" i="15"/>
  <c r="AA296" i="15"/>
  <c r="AA297" i="15" s="1"/>
  <c r="W296" i="15"/>
  <c r="W297" i="15" s="1"/>
  <c r="W298" i="15" s="1"/>
  <c r="K315" i="15"/>
  <c r="M313" i="15"/>
  <c r="M315" i="15" s="1"/>
  <c r="AB315" i="15"/>
  <c r="AD318" i="15"/>
  <c r="AD320" i="15" s="1"/>
  <c r="AC321" i="15" s="1"/>
  <c r="Y430" i="15"/>
  <c r="Z430" i="15"/>
  <c r="W430" i="15"/>
  <c r="AA430" i="15"/>
  <c r="X430" i="15"/>
  <c r="Y432" i="15"/>
  <c r="W432" i="15"/>
  <c r="AA432" i="15"/>
  <c r="Z432" i="15"/>
  <c r="X432" i="15"/>
  <c r="Y433" i="15"/>
  <c r="AA433" i="15"/>
  <c r="W433" i="15"/>
  <c r="Z433" i="15"/>
  <c r="X433" i="15"/>
  <c r="Y451" i="15"/>
  <c r="W451" i="15"/>
  <c r="X451" i="15"/>
  <c r="Z451" i="15"/>
  <c r="AA451" i="15"/>
  <c r="AD275" i="15"/>
  <c r="AC276" i="15" s="1"/>
  <c r="AA290" i="15"/>
  <c r="AC292" i="15"/>
  <c r="AC293" i="15" s="1"/>
  <c r="M401" i="15"/>
  <c r="AC402" i="15"/>
  <c r="Z408" i="15"/>
  <c r="Y408" i="15"/>
  <c r="X408" i="15"/>
  <c r="W408" i="15"/>
  <c r="AA408" i="15"/>
  <c r="Z410" i="15"/>
  <c r="Y410" i="15"/>
  <c r="X410" i="15"/>
  <c r="W410" i="15"/>
  <c r="AA410" i="15"/>
  <c r="Z412" i="15"/>
  <c r="Y412" i="15"/>
  <c r="X412" i="15"/>
  <c r="W412" i="15"/>
  <c r="AA412" i="15"/>
  <c r="Z414" i="15"/>
  <c r="Y414" i="15"/>
  <c r="X414" i="15"/>
  <c r="W414" i="15"/>
  <c r="AA414" i="15"/>
  <c r="Z416" i="15"/>
  <c r="Y416" i="15"/>
  <c r="X416" i="15"/>
  <c r="W416" i="15"/>
  <c r="AA416" i="15"/>
  <c r="Z418" i="15"/>
  <c r="Y418" i="15"/>
  <c r="X418" i="15"/>
  <c r="W418" i="15"/>
  <c r="AA418" i="15"/>
  <c r="Z420" i="15"/>
  <c r="Y420" i="15"/>
  <c r="X420" i="15"/>
  <c r="W420" i="15"/>
  <c r="AA420" i="15"/>
  <c r="Z422" i="15"/>
  <c r="Y422" i="15"/>
  <c r="X422" i="15"/>
  <c r="W422" i="15"/>
  <c r="AA422" i="15"/>
  <c r="Y427" i="15"/>
  <c r="X427" i="15"/>
  <c r="Z427" i="15"/>
  <c r="W427" i="15"/>
  <c r="AA427" i="15"/>
  <c r="Y435" i="15"/>
  <c r="X435" i="15"/>
  <c r="AA435" i="15"/>
  <c r="Z435" i="15"/>
  <c r="W435" i="15"/>
  <c r="Y436" i="15"/>
  <c r="W436" i="15"/>
  <c r="X436" i="15"/>
  <c r="AA436" i="15"/>
  <c r="Z436" i="15"/>
  <c r="Y446" i="15"/>
  <c r="X446" i="15"/>
  <c r="Z446" i="15"/>
  <c r="AA446" i="15"/>
  <c r="W446" i="15"/>
  <c r="AD249" i="15"/>
  <c r="AD253" i="15" s="1"/>
  <c r="AA273" i="15"/>
  <c r="N292" i="15"/>
  <c r="Q280" i="15"/>
  <c r="W290" i="15"/>
  <c r="X302" i="15"/>
  <c r="M318" i="15"/>
  <c r="M320" i="15" s="1"/>
  <c r="W319" i="15"/>
  <c r="N401" i="15"/>
  <c r="Q330" i="15"/>
  <c r="AD401" i="15"/>
  <c r="Z382" i="15"/>
  <c r="W382" i="15"/>
  <c r="AA382" i="15"/>
  <c r="X382" i="15"/>
  <c r="Z384" i="15"/>
  <c r="W384" i="15"/>
  <c r="AA384" i="15"/>
  <c r="X384" i="15"/>
  <c r="Z385" i="15"/>
  <c r="W385" i="15"/>
  <c r="AA385" i="15"/>
  <c r="Y385" i="15"/>
  <c r="X385" i="15"/>
  <c r="Z386" i="15"/>
  <c r="W386" i="15"/>
  <c r="AA386" i="15"/>
  <c r="Y386" i="15"/>
  <c r="X386" i="15"/>
  <c r="Z387" i="15"/>
  <c r="W387" i="15"/>
  <c r="AA387" i="15"/>
  <c r="Y387" i="15"/>
  <c r="X387" i="15"/>
  <c r="Z388" i="15"/>
  <c r="W388" i="15"/>
  <c r="AA388" i="15"/>
  <c r="Y388" i="15"/>
  <c r="X388" i="15"/>
  <c r="Z389" i="15"/>
  <c r="W389" i="15"/>
  <c r="AA389" i="15"/>
  <c r="Y389" i="15"/>
  <c r="X389" i="15"/>
  <c r="Z390" i="15"/>
  <c r="W390" i="15"/>
  <c r="AA390" i="15"/>
  <c r="Y390" i="15"/>
  <c r="X390" i="15"/>
  <c r="Z391" i="15"/>
  <c r="W391" i="15"/>
  <c r="AA391" i="15"/>
  <c r="Y391" i="15"/>
  <c r="X391" i="15"/>
  <c r="Z392" i="15"/>
  <c r="W392" i="15"/>
  <c r="AA392" i="15"/>
  <c r="Y392" i="15"/>
  <c r="X392" i="15"/>
  <c r="Z393" i="15"/>
  <c r="W393" i="15"/>
  <c r="AA393" i="15"/>
  <c r="Y393" i="15"/>
  <c r="X393" i="15"/>
  <c r="Z394" i="15"/>
  <c r="W394" i="15"/>
  <c r="AA394" i="15"/>
  <c r="Y394" i="15"/>
  <c r="X394" i="15"/>
  <c r="Z395" i="15"/>
  <c r="W395" i="15"/>
  <c r="AA395" i="15"/>
  <c r="Y395" i="15"/>
  <c r="X395" i="15"/>
  <c r="Z396" i="15"/>
  <c r="W396" i="15"/>
  <c r="AA396" i="15"/>
  <c r="Y396" i="15"/>
  <c r="X396" i="15"/>
  <c r="Z397" i="15"/>
  <c r="W397" i="15"/>
  <c r="AA397" i="15"/>
  <c r="Y397" i="15"/>
  <c r="X397" i="15"/>
  <c r="Z398" i="15"/>
  <c r="W398" i="15"/>
  <c r="AA398" i="15"/>
  <c r="Y398" i="15"/>
  <c r="X398" i="15"/>
  <c r="X399" i="15"/>
  <c r="W399" i="15"/>
  <c r="AA399" i="15"/>
  <c r="Z399" i="15"/>
  <c r="Y399" i="15"/>
  <c r="X424" i="15"/>
  <c r="W424" i="15"/>
  <c r="Z424" i="15"/>
  <c r="Y424" i="15"/>
  <c r="AA424" i="15"/>
  <c r="Y426" i="15"/>
  <c r="Z426" i="15"/>
  <c r="AA426" i="15"/>
  <c r="X426" i="15"/>
  <c r="W426" i="15"/>
  <c r="Y429" i="15"/>
  <c r="AA429" i="15"/>
  <c r="Z429" i="15"/>
  <c r="X429" i="15"/>
  <c r="W429" i="15"/>
  <c r="Y440" i="15"/>
  <c r="AA440" i="15"/>
  <c r="W440" i="15"/>
  <c r="X440" i="15"/>
  <c r="Z440" i="15"/>
  <c r="Y443" i="15"/>
  <c r="W443" i="15"/>
  <c r="X443" i="15"/>
  <c r="AA443" i="15"/>
  <c r="Z443" i="15"/>
  <c r="Y448" i="15"/>
  <c r="AA448" i="15"/>
  <c r="W448" i="15"/>
  <c r="Z448" i="15"/>
  <c r="X448" i="15"/>
  <c r="Y452" i="15"/>
  <c r="AA452" i="15"/>
  <c r="W452" i="15"/>
  <c r="Z452" i="15"/>
  <c r="X452" i="15"/>
  <c r="X455" i="15"/>
  <c r="Y455" i="15"/>
  <c r="Z455" i="15"/>
  <c r="W455" i="15"/>
  <c r="AA455" i="15"/>
  <c r="AB401" i="15"/>
  <c r="AA400" i="15"/>
  <c r="Y425" i="15"/>
  <c r="AA425" i="15"/>
  <c r="M430" i="15"/>
  <c r="L432" i="15"/>
  <c r="M432" i="15"/>
  <c r="R434" i="15"/>
  <c r="V434" i="15" s="1"/>
  <c r="Y437" i="15"/>
  <c r="Z437" i="15"/>
  <c r="AA437" i="15"/>
  <c r="R438" i="15"/>
  <c r="V438" i="15" s="1"/>
  <c r="M450" i="15"/>
  <c r="L451" i="15"/>
  <c r="M451" i="15"/>
  <c r="X453" i="15"/>
  <c r="Y453" i="15"/>
  <c r="AA453" i="15"/>
  <c r="W453" i="15"/>
  <c r="X454" i="15"/>
  <c r="Y454" i="15"/>
  <c r="W454" i="15"/>
  <c r="Z454" i="15"/>
  <c r="Z468" i="15"/>
  <c r="X468" i="15"/>
  <c r="Y468" i="15"/>
  <c r="W468" i="15"/>
  <c r="AA468" i="15"/>
  <c r="Z473" i="15"/>
  <c r="X473" i="15"/>
  <c r="Y473" i="15"/>
  <c r="AA473" i="15"/>
  <c r="W473" i="15"/>
  <c r="Z476" i="15"/>
  <c r="X476" i="15"/>
  <c r="Y476" i="15"/>
  <c r="W476" i="15"/>
  <c r="AA476" i="15"/>
  <c r="K505" i="15"/>
  <c r="K504" i="15"/>
  <c r="L405" i="15"/>
  <c r="AB504" i="15"/>
  <c r="AD405" i="15"/>
  <c r="AD504" i="15" s="1"/>
  <c r="L428" i="15"/>
  <c r="M428" i="15"/>
  <c r="L447" i="15"/>
  <c r="M447" i="15"/>
  <c r="Y449" i="15"/>
  <c r="Z449" i="15"/>
  <c r="AA449" i="15"/>
  <c r="X466" i="15"/>
  <c r="Y466" i="15"/>
  <c r="W466" i="15"/>
  <c r="AA466" i="15"/>
  <c r="Z466" i="15"/>
  <c r="Z467" i="15"/>
  <c r="X467" i="15"/>
  <c r="Y467" i="15"/>
  <c r="AA467" i="15"/>
  <c r="W467" i="15"/>
  <c r="Z474" i="15"/>
  <c r="X474" i="15"/>
  <c r="Y474" i="15"/>
  <c r="AA474" i="15"/>
  <c r="W474" i="15"/>
  <c r="M405" i="15"/>
  <c r="AC505" i="15"/>
  <c r="N504" i="15"/>
  <c r="M442" i="15"/>
  <c r="L443" i="15"/>
  <c r="M443" i="15"/>
  <c r="Y445" i="15"/>
  <c r="Z445" i="15"/>
  <c r="AA445" i="15"/>
  <c r="R447" i="15"/>
  <c r="V447" i="15" s="1"/>
  <c r="W449" i="15"/>
  <c r="X460" i="15"/>
  <c r="Y460" i="15"/>
  <c r="AA460" i="15"/>
  <c r="Z460" i="15"/>
  <c r="X461" i="15"/>
  <c r="Y461" i="15"/>
  <c r="AA461" i="15"/>
  <c r="W461" i="15"/>
  <c r="X462" i="15"/>
  <c r="Y462" i="15"/>
  <c r="W462" i="15"/>
  <c r="AA462" i="15"/>
  <c r="Z462" i="15"/>
  <c r="X463" i="15"/>
  <c r="Y463" i="15"/>
  <c r="Z463" i="15"/>
  <c r="W463" i="15"/>
  <c r="AA463" i="15"/>
  <c r="X465" i="15"/>
  <c r="Y465" i="15"/>
  <c r="AA465" i="15"/>
  <c r="Z465" i="15"/>
  <c r="W465" i="15"/>
  <c r="Z469" i="15"/>
  <c r="X469" i="15"/>
  <c r="Y469" i="15"/>
  <c r="AA469" i="15"/>
  <c r="W469" i="15"/>
  <c r="Z472" i="15"/>
  <c r="X472" i="15"/>
  <c r="Y472" i="15"/>
  <c r="W472" i="15"/>
  <c r="AA472" i="15"/>
  <c r="L382" i="15"/>
  <c r="L383" i="15"/>
  <c r="L384" i="15"/>
  <c r="L385" i="15"/>
  <c r="L386" i="15"/>
  <c r="L387" i="15"/>
  <c r="L388" i="15"/>
  <c r="L389" i="15"/>
  <c r="L390" i="15"/>
  <c r="L391" i="15"/>
  <c r="L392" i="15"/>
  <c r="L393" i="15"/>
  <c r="L394" i="15"/>
  <c r="L395" i="15"/>
  <c r="L396" i="15"/>
  <c r="L397" i="15"/>
  <c r="L398" i="15"/>
  <c r="Q504" i="15"/>
  <c r="Q406" i="15"/>
  <c r="R406" i="15" s="1"/>
  <c r="V406" i="15" s="1"/>
  <c r="M427" i="15"/>
  <c r="R431" i="15"/>
  <c r="V431" i="15" s="1"/>
  <c r="M434" i="15"/>
  <c r="L436" i="15"/>
  <c r="M436" i="15"/>
  <c r="M438" i="15"/>
  <c r="L439" i="15"/>
  <c r="M439" i="15"/>
  <c r="Y441" i="15"/>
  <c r="Z441" i="15"/>
  <c r="AA441" i="15"/>
  <c r="R442" i="15"/>
  <c r="V442" i="15" s="1"/>
  <c r="W445" i="15"/>
  <c r="X449" i="15"/>
  <c r="X456" i="15"/>
  <c r="Y456" i="15"/>
  <c r="AA456" i="15"/>
  <c r="Z456" i="15"/>
  <c r="X457" i="15"/>
  <c r="Y457" i="15"/>
  <c r="AA457" i="15"/>
  <c r="W457" i="15"/>
  <c r="X458" i="15"/>
  <c r="Y458" i="15"/>
  <c r="W458" i="15"/>
  <c r="Z458" i="15"/>
  <c r="X459" i="15"/>
  <c r="Y459" i="15"/>
  <c r="Z459" i="15"/>
  <c r="W459" i="15"/>
  <c r="AA459" i="15"/>
  <c r="W460" i="15"/>
  <c r="Z461" i="15"/>
  <c r="X464" i="15"/>
  <c r="Y464" i="15"/>
  <c r="AA464" i="15"/>
  <c r="Z464" i="15"/>
  <c r="W464" i="15"/>
  <c r="Z470" i="15"/>
  <c r="X470" i="15"/>
  <c r="Y470" i="15"/>
  <c r="AA470" i="15"/>
  <c r="W470" i="15"/>
  <c r="M440" i="15"/>
  <c r="M444" i="15"/>
  <c r="M448" i="15"/>
  <c r="M452" i="15"/>
  <c r="L468" i="15"/>
  <c r="L472" i="15"/>
  <c r="L476" i="15"/>
  <c r="AA481" i="15"/>
  <c r="W481" i="15"/>
  <c r="Y481" i="15"/>
  <c r="X481" i="15"/>
  <c r="Z481" i="15"/>
  <c r="AA484" i="15"/>
  <c r="W484" i="15"/>
  <c r="Z484" i="15"/>
  <c r="Y484" i="15"/>
  <c r="X484" i="15"/>
  <c r="AA486" i="15"/>
  <c r="W486" i="15"/>
  <c r="X486" i="15"/>
  <c r="Z486" i="15"/>
  <c r="Y486" i="15"/>
  <c r="AA489" i="15"/>
  <c r="W489" i="15"/>
  <c r="Y489" i="15"/>
  <c r="X489" i="15"/>
  <c r="Z489" i="15"/>
  <c r="AA492" i="15"/>
  <c r="W492" i="15"/>
  <c r="Z492" i="15"/>
  <c r="Y492" i="15"/>
  <c r="X492" i="15"/>
  <c r="Y497" i="15"/>
  <c r="AA497" i="15"/>
  <c r="Z497" i="15"/>
  <c r="X497" i="15"/>
  <c r="W497" i="15"/>
  <c r="Y500" i="15"/>
  <c r="W500" i="15"/>
  <c r="AA500" i="15"/>
  <c r="Z500" i="15"/>
  <c r="X500" i="15"/>
  <c r="AA509" i="15"/>
  <c r="W509" i="15"/>
  <c r="Z509" i="15"/>
  <c r="Y509" i="15"/>
  <c r="X509" i="15"/>
  <c r="Q513" i="15"/>
  <c r="N520" i="15"/>
  <c r="X516" i="15"/>
  <c r="Z516" i="15"/>
  <c r="Y516" i="15"/>
  <c r="W516" i="15"/>
  <c r="AA516" i="15"/>
  <c r="Q524" i="15"/>
  <c r="N525" i="15"/>
  <c r="X533" i="15"/>
  <c r="Z533" i="15"/>
  <c r="AA533" i="15"/>
  <c r="Y533" i="15"/>
  <c r="W533" i="15"/>
  <c r="Z471" i="15"/>
  <c r="X471" i="15"/>
  <c r="Y471" i="15"/>
  <c r="Z475" i="15"/>
  <c r="X475" i="15"/>
  <c r="Y475" i="15"/>
  <c r="AA478" i="15"/>
  <c r="W478" i="15"/>
  <c r="X478" i="15"/>
  <c r="Z478" i="15"/>
  <c r="Y478" i="15"/>
  <c r="AA479" i="15"/>
  <c r="W479" i="15"/>
  <c r="Z479" i="15"/>
  <c r="Y479" i="15"/>
  <c r="X479" i="15"/>
  <c r="AA487" i="15"/>
  <c r="W487" i="15"/>
  <c r="Z487" i="15"/>
  <c r="Y487" i="15"/>
  <c r="X487" i="15"/>
  <c r="X496" i="15"/>
  <c r="W496" i="15"/>
  <c r="AA496" i="15"/>
  <c r="Z496" i="15"/>
  <c r="Y496" i="15"/>
  <c r="Y499" i="15"/>
  <c r="X499" i="15"/>
  <c r="W499" i="15"/>
  <c r="AA499" i="15"/>
  <c r="Z499" i="15"/>
  <c r="Y501" i="15"/>
  <c r="AA501" i="15"/>
  <c r="Z501" i="15"/>
  <c r="X501" i="15"/>
  <c r="W501" i="15"/>
  <c r="X515" i="15"/>
  <c r="W515" i="15"/>
  <c r="AA515" i="15"/>
  <c r="Z515" i="15"/>
  <c r="Y515" i="15"/>
  <c r="X518" i="15"/>
  <c r="Z518" i="15"/>
  <c r="Y518" i="15"/>
  <c r="W518" i="15"/>
  <c r="AA518" i="15"/>
  <c r="L470" i="15"/>
  <c r="W471" i="15"/>
  <c r="L474" i="15"/>
  <c r="W475" i="15"/>
  <c r="AA477" i="15"/>
  <c r="W477" i="15"/>
  <c r="Y477" i="15"/>
  <c r="X477" i="15"/>
  <c r="Z477" i="15"/>
  <c r="AA480" i="15"/>
  <c r="W480" i="15"/>
  <c r="Z480" i="15"/>
  <c r="Y480" i="15"/>
  <c r="X480" i="15"/>
  <c r="AA482" i="15"/>
  <c r="W482" i="15"/>
  <c r="X482" i="15"/>
  <c r="Z482" i="15"/>
  <c r="Y482" i="15"/>
  <c r="AA485" i="15"/>
  <c r="W485" i="15"/>
  <c r="Y485" i="15"/>
  <c r="X485" i="15"/>
  <c r="Z485" i="15"/>
  <c r="AA488" i="15"/>
  <c r="W488" i="15"/>
  <c r="Z488" i="15"/>
  <c r="Y488" i="15"/>
  <c r="X488" i="15"/>
  <c r="AA490" i="15"/>
  <c r="W490" i="15"/>
  <c r="X490" i="15"/>
  <c r="Z490" i="15"/>
  <c r="Y490" i="15"/>
  <c r="AA493" i="15"/>
  <c r="W493" i="15"/>
  <c r="Y493" i="15"/>
  <c r="X493" i="15"/>
  <c r="Z493" i="15"/>
  <c r="AA502" i="15"/>
  <c r="W502" i="15"/>
  <c r="Z502" i="15"/>
  <c r="Y502" i="15"/>
  <c r="X502" i="15"/>
  <c r="AD520" i="15"/>
  <c r="X517" i="15"/>
  <c r="W517" i="15"/>
  <c r="AA517" i="15"/>
  <c r="Z517" i="15"/>
  <c r="Y517" i="15"/>
  <c r="N542" i="15"/>
  <c r="Q539" i="15"/>
  <c r="L471" i="15"/>
  <c r="AA471" i="15"/>
  <c r="L475" i="15"/>
  <c r="AA475" i="15"/>
  <c r="AA483" i="15"/>
  <c r="W483" i="15"/>
  <c r="Z483" i="15"/>
  <c r="Y483" i="15"/>
  <c r="X483" i="15"/>
  <c r="AA491" i="15"/>
  <c r="W491" i="15"/>
  <c r="Z491" i="15"/>
  <c r="Y491" i="15"/>
  <c r="X491" i="15"/>
  <c r="X495" i="15"/>
  <c r="Z495" i="15"/>
  <c r="Y495" i="15"/>
  <c r="W495" i="15"/>
  <c r="AA495" i="15"/>
  <c r="Y498" i="15"/>
  <c r="Z498" i="15"/>
  <c r="X498" i="15"/>
  <c r="W498" i="15"/>
  <c r="AA498" i="15"/>
  <c r="N510" i="15"/>
  <c r="Q507" i="15"/>
  <c r="AA508" i="15"/>
  <c r="W508" i="15"/>
  <c r="X508" i="15"/>
  <c r="Z508" i="15"/>
  <c r="Y508" i="15"/>
  <c r="X514" i="15"/>
  <c r="Z514" i="15"/>
  <c r="Y514" i="15"/>
  <c r="W514" i="15"/>
  <c r="AA514" i="15"/>
  <c r="X519" i="15"/>
  <c r="W519" i="15"/>
  <c r="AA519" i="15"/>
  <c r="Z519" i="15"/>
  <c r="Y519" i="15"/>
  <c r="Z540" i="15"/>
  <c r="Y540" i="15"/>
  <c r="AA540" i="15"/>
  <c r="W540" i="15"/>
  <c r="X544" i="15" s="1"/>
  <c r="X540" i="15"/>
  <c r="M479" i="15"/>
  <c r="M483" i="15"/>
  <c r="M487" i="15"/>
  <c r="M491" i="15"/>
  <c r="M501" i="15"/>
  <c r="Z503" i="15"/>
  <c r="AD508" i="15"/>
  <c r="AD510" i="15" s="1"/>
  <c r="AC511" i="15" s="1"/>
  <c r="M509" i="15"/>
  <c r="AC526" i="15"/>
  <c r="K536" i="15"/>
  <c r="K535" i="15"/>
  <c r="M528" i="15"/>
  <c r="M535" i="15" s="1"/>
  <c r="R529" i="15"/>
  <c r="V529" i="15" s="1"/>
  <c r="R530" i="15"/>
  <c r="V530" i="15" s="1"/>
  <c r="R531" i="15"/>
  <c r="V531" i="15" s="1"/>
  <c r="R532" i="15"/>
  <c r="V532" i="15" s="1"/>
  <c r="Y534" i="15"/>
  <c r="AB542" i="15"/>
  <c r="M550" i="15"/>
  <c r="K556" i="15"/>
  <c r="K555" i="15"/>
  <c r="R550" i="15"/>
  <c r="L550" i="15"/>
  <c r="M552" i="15"/>
  <c r="R552" i="15"/>
  <c r="V552" i="15" s="1"/>
  <c r="L552" i="15"/>
  <c r="AA566" i="15"/>
  <c r="X566" i="15"/>
  <c r="W566" i="15"/>
  <c r="X576" i="15"/>
  <c r="Z576" i="15"/>
  <c r="Y576" i="15"/>
  <c r="W576" i="15"/>
  <c r="AA576" i="15"/>
  <c r="AA580" i="15"/>
  <c r="W580" i="15"/>
  <c r="Y580" i="15"/>
  <c r="Z580" i="15"/>
  <c r="X580" i="15"/>
  <c r="R494" i="15"/>
  <c r="V494" i="15" s="1"/>
  <c r="AA503" i="15"/>
  <c r="AC520" i="15"/>
  <c r="AC521" i="15" s="1"/>
  <c r="AB535" i="15"/>
  <c r="AD528" i="15"/>
  <c r="AD529" i="15"/>
  <c r="AD530" i="15"/>
  <c r="AD531" i="15"/>
  <c r="AD532" i="15"/>
  <c r="Q555" i="15"/>
  <c r="X565" i="15"/>
  <c r="W565" i="15"/>
  <c r="AA565" i="15"/>
  <c r="X577" i="15"/>
  <c r="Z577" i="15"/>
  <c r="AA577" i="15"/>
  <c r="Y577" i="15"/>
  <c r="W577" i="15"/>
  <c r="X600" i="15"/>
  <c r="Z600" i="15"/>
  <c r="W600" i="15"/>
  <c r="AA600" i="15"/>
  <c r="Y600" i="15"/>
  <c r="L478" i="15"/>
  <c r="X534" i="15"/>
  <c r="Z534" i="15"/>
  <c r="X541" i="15"/>
  <c r="AA541" i="15"/>
  <c r="W541" i="15"/>
  <c r="Y541" i="15"/>
  <c r="M551" i="15"/>
  <c r="R551" i="15"/>
  <c r="V551" i="15" s="1"/>
  <c r="L551" i="15"/>
  <c r="Y554" i="15"/>
  <c r="X554" i="15"/>
  <c r="AA554" i="15"/>
  <c r="W554" i="15"/>
  <c r="Z554" i="15"/>
  <c r="X559" i="15"/>
  <c r="AA559" i="15"/>
  <c r="W559" i="15"/>
  <c r="Z559" i="15"/>
  <c r="Y559" i="15"/>
  <c r="AC569" i="15"/>
  <c r="AA564" i="15"/>
  <c r="W564" i="15"/>
  <c r="Z564" i="15"/>
  <c r="Y564" i="15"/>
  <c r="X564" i="15"/>
  <c r="Y578" i="15"/>
  <c r="AA578" i="15"/>
  <c r="W578" i="15"/>
  <c r="Z578" i="15"/>
  <c r="X578" i="15"/>
  <c r="Y582" i="15"/>
  <c r="AA582" i="15"/>
  <c r="W582" i="15"/>
  <c r="Z582" i="15"/>
  <c r="X582" i="15"/>
  <c r="M500" i="15"/>
  <c r="Y503" i="15"/>
  <c r="M508" i="15"/>
  <c r="M510" i="15" s="1"/>
  <c r="Q528" i="15"/>
  <c r="Q535" i="15" s="1"/>
  <c r="W534" i="15"/>
  <c r="Z541" i="15"/>
  <c r="N547" i="15"/>
  <c r="Q546" i="15"/>
  <c r="N555" i="15"/>
  <c r="AB555" i="15"/>
  <c r="AD550" i="15"/>
  <c r="AD555" i="15" s="1"/>
  <c r="AC556" i="15" s="1"/>
  <c r="Q563" i="15"/>
  <c r="Q568" i="15" s="1"/>
  <c r="N568" i="15"/>
  <c r="X567" i="15"/>
  <c r="W567" i="15"/>
  <c r="AA567" i="15"/>
  <c r="N587" i="15"/>
  <c r="Q574" i="15"/>
  <c r="X599" i="15"/>
  <c r="Z599" i="15"/>
  <c r="AA599" i="15"/>
  <c r="Y599" i="15"/>
  <c r="W599" i="15"/>
  <c r="X601" i="15"/>
  <c r="Z601" i="15"/>
  <c r="AA601" i="15"/>
  <c r="Y601" i="15"/>
  <c r="W601" i="15"/>
  <c r="M539" i="15"/>
  <c r="M542" i="15" s="1"/>
  <c r="AD539" i="15"/>
  <c r="AD542" i="15" s="1"/>
  <c r="AC543" i="15" s="1"/>
  <c r="Y553" i="15"/>
  <c r="AB587" i="15"/>
  <c r="W579" i="15"/>
  <c r="W581" i="15"/>
  <c r="R583" i="15"/>
  <c r="V583" i="15" s="1"/>
  <c r="L583" i="15"/>
  <c r="Q591" i="15"/>
  <c r="Q604" i="15" s="1"/>
  <c r="AB604" i="15"/>
  <c r="M598" i="15"/>
  <c r="AD599" i="15"/>
  <c r="AD601" i="15"/>
  <c r="K620" i="15"/>
  <c r="L608" i="15"/>
  <c r="V678" i="15"/>
  <c r="AA670" i="15"/>
  <c r="W670" i="15"/>
  <c r="Y670" i="15"/>
  <c r="Z670" i="15"/>
  <c r="X670" i="15"/>
  <c r="Z553" i="15"/>
  <c r="K568" i="15"/>
  <c r="R586" i="15"/>
  <c r="V586" i="15" s="1"/>
  <c r="L586" i="15"/>
  <c r="R593" i="15"/>
  <c r="V593" i="15" s="1"/>
  <c r="L593" i="15"/>
  <c r="R595" i="15"/>
  <c r="V595" i="15" s="1"/>
  <c r="L595" i="15"/>
  <c r="R597" i="15"/>
  <c r="V597" i="15" s="1"/>
  <c r="L597" i="15"/>
  <c r="K605" i="15"/>
  <c r="M620" i="15"/>
  <c r="Y611" i="15"/>
  <c r="X611" i="15"/>
  <c r="AA611" i="15"/>
  <c r="W611" i="15"/>
  <c r="Y612" i="15"/>
  <c r="X612" i="15"/>
  <c r="AA612" i="15"/>
  <c r="W612" i="15"/>
  <c r="Y613" i="15"/>
  <c r="X613" i="15"/>
  <c r="AA613" i="15"/>
  <c r="W613" i="15"/>
  <c r="Y614" i="15"/>
  <c r="X614" i="15"/>
  <c r="AA614" i="15"/>
  <c r="W614" i="15"/>
  <c r="Y615" i="15"/>
  <c r="X615" i="15"/>
  <c r="AA615" i="15"/>
  <c r="W615" i="15"/>
  <c r="Y616" i="15"/>
  <c r="X616" i="15"/>
  <c r="AA616" i="15"/>
  <c r="W616" i="15"/>
  <c r="Z618" i="15"/>
  <c r="Y618" i="15"/>
  <c r="X618" i="15"/>
  <c r="AA618" i="15"/>
  <c r="W618" i="15"/>
  <c r="X627" i="15"/>
  <c r="Y627" i="15"/>
  <c r="W627" i="15"/>
  <c r="AA627" i="15"/>
  <c r="Z627" i="15"/>
  <c r="X629" i="15"/>
  <c r="Y629" i="15"/>
  <c r="W629" i="15"/>
  <c r="AA629" i="15"/>
  <c r="Z629" i="15"/>
  <c r="X631" i="15"/>
  <c r="Y631" i="15"/>
  <c r="W631" i="15"/>
  <c r="AA631" i="15"/>
  <c r="Z631" i="15"/>
  <c r="X633" i="15"/>
  <c r="Y633" i="15"/>
  <c r="W633" i="15"/>
  <c r="AA633" i="15"/>
  <c r="Z633" i="15"/>
  <c r="Y671" i="15"/>
  <c r="Z671" i="15"/>
  <c r="W671" i="15"/>
  <c r="AA671" i="15"/>
  <c r="X671" i="15"/>
  <c r="N692" i="15"/>
  <c r="Q685" i="15"/>
  <c r="X687" i="15"/>
  <c r="Z687" i="15"/>
  <c r="AA687" i="15"/>
  <c r="Y687" i="15"/>
  <c r="W687" i="15"/>
  <c r="W553" i="15"/>
  <c r="AA553" i="15"/>
  <c r="L563" i="15"/>
  <c r="L568" i="15" s="1"/>
  <c r="R563" i="15"/>
  <c r="AB568" i="15"/>
  <c r="AD587" i="15"/>
  <c r="AC588" i="15" s="1"/>
  <c r="R584" i="15"/>
  <c r="V584" i="15" s="1"/>
  <c r="L584" i="15"/>
  <c r="L587" i="15" s="1"/>
  <c r="M586" i="15"/>
  <c r="M587" i="15" s="1"/>
  <c r="L591" i="15"/>
  <c r="M593" i="15"/>
  <c r="M604" i="15" s="1"/>
  <c r="M595" i="15"/>
  <c r="M597" i="15"/>
  <c r="Q598" i="15"/>
  <c r="R598" i="15"/>
  <c r="V598" i="15" s="1"/>
  <c r="AD598" i="15"/>
  <c r="AD600" i="15"/>
  <c r="Z602" i="15"/>
  <c r="X602" i="15"/>
  <c r="K604" i="15"/>
  <c r="Q608" i="15"/>
  <c r="Q620" i="15" s="1"/>
  <c r="Z611" i="15"/>
  <c r="Z612" i="15"/>
  <c r="Z613" i="15"/>
  <c r="Z614" i="15"/>
  <c r="Z615" i="15"/>
  <c r="Z616" i="15"/>
  <c r="AA673" i="15"/>
  <c r="W673" i="15"/>
  <c r="Z673" i="15"/>
  <c r="X673" i="15"/>
  <c r="Y673" i="15"/>
  <c r="X676" i="15"/>
  <c r="Y676" i="15"/>
  <c r="AA676" i="15"/>
  <c r="Z676" i="15"/>
  <c r="W676" i="15"/>
  <c r="W690" i="15"/>
  <c r="Z690" i="15"/>
  <c r="X690" i="15"/>
  <c r="Y690" i="15"/>
  <c r="Z579" i="15"/>
  <c r="X579" i="15"/>
  <c r="X581" i="15"/>
  <c r="Z581" i="15"/>
  <c r="K587" i="15"/>
  <c r="K588" i="15"/>
  <c r="R594" i="15"/>
  <c r="V594" i="15" s="1"/>
  <c r="L594" i="15"/>
  <c r="R596" i="15"/>
  <c r="V596" i="15" s="1"/>
  <c r="L596" i="15"/>
  <c r="AA603" i="15"/>
  <c r="W603" i="15"/>
  <c r="Y603" i="15"/>
  <c r="AC621" i="15"/>
  <c r="R610" i="15"/>
  <c r="V610" i="15" s="1"/>
  <c r="L610" i="15"/>
  <c r="K621" i="15"/>
  <c r="Z617" i="15"/>
  <c r="Y617" i="15"/>
  <c r="X617" i="15"/>
  <c r="AA617" i="15"/>
  <c r="W617" i="15"/>
  <c r="X626" i="15"/>
  <c r="AA626" i="15"/>
  <c r="Z626" i="15"/>
  <c r="Y626" i="15"/>
  <c r="W626" i="15"/>
  <c r="X628" i="15"/>
  <c r="AA628" i="15"/>
  <c r="Z628" i="15"/>
  <c r="Y628" i="15"/>
  <c r="W628" i="15"/>
  <c r="X630" i="15"/>
  <c r="AA630" i="15"/>
  <c r="Z630" i="15"/>
  <c r="Y630" i="15"/>
  <c r="W630" i="15"/>
  <c r="X632" i="15"/>
  <c r="AA632" i="15"/>
  <c r="Z632" i="15"/>
  <c r="Y632" i="15"/>
  <c r="W632" i="15"/>
  <c r="X634" i="15"/>
  <c r="AA634" i="15"/>
  <c r="Z634" i="15"/>
  <c r="Y634" i="15"/>
  <c r="W634" i="15"/>
  <c r="V652" i="15"/>
  <c r="R654" i="15"/>
  <c r="X672" i="15"/>
  <c r="Z672" i="15"/>
  <c r="AA672" i="15"/>
  <c r="Y672" i="15"/>
  <c r="W672" i="15"/>
  <c r="X686" i="15"/>
  <c r="W686" i="15"/>
  <c r="AA686" i="15"/>
  <c r="Z686" i="15"/>
  <c r="Y686" i="15"/>
  <c r="X688" i="15"/>
  <c r="W688" i="15"/>
  <c r="AA688" i="15"/>
  <c r="Z688" i="15"/>
  <c r="Y688" i="15"/>
  <c r="AD591" i="15"/>
  <c r="AD608" i="15"/>
  <c r="AD620" i="15" s="1"/>
  <c r="W619" i="15"/>
  <c r="L624" i="15"/>
  <c r="L637" i="15" s="1"/>
  <c r="AD627" i="15"/>
  <c r="W635" i="15"/>
  <c r="Z641" i="15"/>
  <c r="X651" i="15"/>
  <c r="M664" i="15"/>
  <c r="W660" i="15"/>
  <c r="W661" i="15"/>
  <c r="M671" i="15"/>
  <c r="M678" i="15" s="1"/>
  <c r="X674" i="15"/>
  <c r="X677" i="15"/>
  <c r="Y689" i="15"/>
  <c r="X689" i="15"/>
  <c r="W689" i="15"/>
  <c r="X619" i="15"/>
  <c r="N637" i="15"/>
  <c r="AD624" i="15"/>
  <c r="AD637" i="15" s="1"/>
  <c r="AC638" i="15" s="1"/>
  <c r="X635" i="15"/>
  <c r="AA636" i="15"/>
  <c r="W636" i="15"/>
  <c r="K637" i="15"/>
  <c r="AA641" i="15"/>
  <c r="X650" i="15"/>
  <c r="Z650" i="15"/>
  <c r="Q664" i="15"/>
  <c r="X659" i="15"/>
  <c r="AA659" i="15"/>
  <c r="X660" i="15"/>
  <c r="Y661" i="15"/>
  <c r="Y663" i="15"/>
  <c r="Z663" i="15"/>
  <c r="Y674" i="15"/>
  <c r="AC692" i="15"/>
  <c r="AC693" i="15" s="1"/>
  <c r="AD685" i="15"/>
  <c r="AD692" i="15" s="1"/>
  <c r="L611" i="15"/>
  <c r="L612" i="15"/>
  <c r="L613" i="15"/>
  <c r="L614" i="15"/>
  <c r="L615" i="15"/>
  <c r="L616" i="15"/>
  <c r="L617" i="15"/>
  <c r="L618" i="15"/>
  <c r="Y619" i="15"/>
  <c r="Q624" i="15"/>
  <c r="Q637" i="15" s="1"/>
  <c r="Y635" i="15"/>
  <c r="X636" i="15"/>
  <c r="W641" i="15"/>
  <c r="W642" i="15" s="1"/>
  <c r="Y649" i="15"/>
  <c r="Z649" i="15"/>
  <c r="W650" i="15"/>
  <c r="Q654" i="15"/>
  <c r="R658" i="15"/>
  <c r="W659" i="15"/>
  <c r="Z662" i="15"/>
  <c r="Y662" i="15"/>
  <c r="W663" i="15"/>
  <c r="Q678" i="15"/>
  <c r="K678" i="15"/>
  <c r="Z681" i="15"/>
  <c r="Y681" i="15"/>
  <c r="M692" i="15"/>
  <c r="N701" i="15"/>
  <c r="Q696" i="15"/>
  <c r="Q701" i="15" s="1"/>
  <c r="AA619" i="15"/>
  <c r="AA635" i="15"/>
  <c r="AA651" i="15"/>
  <c r="W651" i="15"/>
  <c r="Z651" i="15"/>
  <c r="Z660" i="15"/>
  <c r="AA660" i="15"/>
  <c r="X661" i="15"/>
  <c r="Z661" i="15"/>
  <c r="R678" i="15"/>
  <c r="Z674" i="15"/>
  <c r="W674" i="15"/>
  <c r="AA677" i="15"/>
  <c r="W677" i="15"/>
  <c r="Y677" i="15"/>
  <c r="M697" i="15"/>
  <c r="R697" i="15"/>
  <c r="V697" i="15" s="1"/>
  <c r="L697" i="15"/>
  <c r="X698" i="15"/>
  <c r="AA698" i="15"/>
  <c r="W698" i="15"/>
  <c r="Z698" i="15"/>
  <c r="Y698" i="15"/>
  <c r="R675" i="15"/>
  <c r="V675" i="15" s="1"/>
  <c r="W691" i="15"/>
  <c r="Z691" i="15"/>
  <c r="AB701" i="15"/>
  <c r="AD696" i="15"/>
  <c r="AD701" i="15" s="1"/>
  <c r="AA699" i="15"/>
  <c r="W699" i="15"/>
  <c r="Z699" i="15"/>
  <c r="Y699" i="15"/>
  <c r="AC701" i="15"/>
  <c r="AC702" i="15" s="1"/>
  <c r="X705" i="15"/>
  <c r="AA705" i="15"/>
  <c r="W705" i="15"/>
  <c r="Z705" i="15"/>
  <c r="K702" i="15"/>
  <c r="K701" i="15"/>
  <c r="M696" i="15"/>
  <c r="M701" i="15" s="1"/>
  <c r="R696" i="15"/>
  <c r="L696" i="15"/>
  <c r="L701" i="15" s="1"/>
  <c r="Y700" i="15"/>
  <c r="X700" i="15"/>
  <c r="AA700" i="15"/>
  <c r="W700" i="15"/>
  <c r="Y705" i="15"/>
  <c r="I2313" i="1" l="1"/>
  <c r="I3352" i="1"/>
  <c r="H2313" i="1"/>
  <c r="E2313" i="1"/>
  <c r="J2661" i="1"/>
  <c r="E2661" i="1"/>
  <c r="E1949" i="1"/>
  <c r="I1949" i="1"/>
  <c r="I2662" i="1" s="1"/>
  <c r="H1949" i="1"/>
  <c r="H2662" i="1" s="1"/>
  <c r="J1949" i="1"/>
  <c r="J2662" i="1" s="1"/>
  <c r="E12" i="14"/>
  <c r="M12" i="12"/>
  <c r="M14" i="12" s="1"/>
  <c r="B13" i="12"/>
  <c r="M13" i="12" s="1"/>
  <c r="D20" i="14"/>
  <c r="V658" i="15"/>
  <c r="R664" i="15"/>
  <c r="R624" i="15"/>
  <c r="AD604" i="15"/>
  <c r="AC605" i="15" s="1"/>
  <c r="Y595" i="15"/>
  <c r="AA595" i="15"/>
  <c r="W595" i="15"/>
  <c r="Z595" i="15"/>
  <c r="X595" i="15"/>
  <c r="AA586" i="15"/>
  <c r="W586" i="15"/>
  <c r="Y586" i="15"/>
  <c r="Z586" i="15"/>
  <c r="X586" i="15"/>
  <c r="Q587" i="15"/>
  <c r="R574" i="15"/>
  <c r="Z551" i="15"/>
  <c r="Y551" i="15"/>
  <c r="AA551" i="15"/>
  <c r="W551" i="15"/>
  <c r="X551" i="15"/>
  <c r="AD535" i="15"/>
  <c r="AC536" i="15" s="1"/>
  <c r="X494" i="15"/>
  <c r="W494" i="15"/>
  <c r="AA494" i="15"/>
  <c r="Z494" i="15"/>
  <c r="Y494" i="15"/>
  <c r="L555" i="15"/>
  <c r="M555" i="15"/>
  <c r="Z531" i="15"/>
  <c r="Y531" i="15"/>
  <c r="X531" i="15"/>
  <c r="W531" i="15"/>
  <c r="AA531" i="15"/>
  <c r="R539" i="15"/>
  <c r="Q542" i="15"/>
  <c r="Q520" i="15"/>
  <c r="R513" i="15"/>
  <c r="Y447" i="15"/>
  <c r="W447" i="15"/>
  <c r="X447" i="15"/>
  <c r="AA447" i="15"/>
  <c r="Z447" i="15"/>
  <c r="R504" i="15"/>
  <c r="R318" i="15"/>
  <c r="Q320" i="15"/>
  <c r="R309" i="15"/>
  <c r="V307" i="15"/>
  <c r="AC238" i="15"/>
  <c r="W96" i="15"/>
  <c r="Q87" i="15"/>
  <c r="R82" i="15"/>
  <c r="Y96" i="15"/>
  <c r="K710" i="15"/>
  <c r="K711" i="15" s="1"/>
  <c r="Q149" i="15"/>
  <c r="R146" i="15"/>
  <c r="M125" i="15"/>
  <c r="R221" i="15"/>
  <c r="Q125" i="15"/>
  <c r="R112" i="15"/>
  <c r="Q60" i="15"/>
  <c r="AG702" i="11"/>
  <c r="AI702" i="11" s="1"/>
  <c r="AJ702" i="11" s="1"/>
  <c r="V688" i="11"/>
  <c r="R695" i="11"/>
  <c r="AG677" i="11"/>
  <c r="AA164" i="15"/>
  <c r="R40" i="15"/>
  <c r="Q47" i="15"/>
  <c r="AC589" i="11"/>
  <c r="AG690" i="11"/>
  <c r="AI690" i="11" s="1"/>
  <c r="AJ690" i="11" s="1"/>
  <c r="Z666" i="11"/>
  <c r="W666" i="11"/>
  <c r="AA666" i="11"/>
  <c r="AA667" i="11" s="1"/>
  <c r="Y666" i="11"/>
  <c r="Y667" i="11" s="1"/>
  <c r="X666" i="11"/>
  <c r="AG635" i="11"/>
  <c r="AI635" i="11" s="1"/>
  <c r="AJ635" i="11" s="1"/>
  <c r="AG597" i="11"/>
  <c r="AI597" i="11" s="1"/>
  <c r="AJ597" i="11" s="1"/>
  <c r="Y564" i="11"/>
  <c r="X564" i="11"/>
  <c r="AA564" i="11"/>
  <c r="W564" i="11"/>
  <c r="Z564" i="11"/>
  <c r="Z680" i="11"/>
  <c r="X680" i="11"/>
  <c r="AG633" i="11"/>
  <c r="AI633" i="11" s="1"/>
  <c r="AJ633" i="11" s="1"/>
  <c r="AG617" i="11"/>
  <c r="AI617" i="11" s="1"/>
  <c r="AJ617" i="11" s="1"/>
  <c r="AG580" i="11"/>
  <c r="AI580" i="11" s="1"/>
  <c r="AJ580" i="11" s="1"/>
  <c r="AG560" i="11"/>
  <c r="AI560" i="11" s="1"/>
  <c r="AJ560" i="11" s="1"/>
  <c r="W561" i="11"/>
  <c r="AG498" i="11"/>
  <c r="AI498" i="11" s="1"/>
  <c r="AJ498" i="11" s="1"/>
  <c r="AG594" i="11"/>
  <c r="AI594" i="11" s="1"/>
  <c r="AJ594" i="11" s="1"/>
  <c r="AG582" i="11"/>
  <c r="AI582" i="11" s="1"/>
  <c r="AJ582" i="11" s="1"/>
  <c r="AG567" i="11"/>
  <c r="AI567" i="11" s="1"/>
  <c r="AJ567" i="11" s="1"/>
  <c r="AG553" i="11"/>
  <c r="AI553" i="11" s="1"/>
  <c r="AJ553" i="11" s="1"/>
  <c r="V510" i="11"/>
  <c r="R517" i="11"/>
  <c r="V504" i="11"/>
  <c r="R507" i="11"/>
  <c r="AG496" i="11"/>
  <c r="AI496" i="11" s="1"/>
  <c r="AJ496" i="11" s="1"/>
  <c r="AG653" i="11"/>
  <c r="AG613" i="11"/>
  <c r="AI613" i="11" s="1"/>
  <c r="AJ613" i="11" s="1"/>
  <c r="Q621" i="11"/>
  <c r="R605" i="11"/>
  <c r="V592" i="11"/>
  <c r="AG577" i="11"/>
  <c r="AI577" i="11" s="1"/>
  <c r="AJ577" i="11" s="1"/>
  <c r="AG515" i="11"/>
  <c r="AI515" i="11" s="1"/>
  <c r="AJ515" i="11" s="1"/>
  <c r="AG469" i="11"/>
  <c r="AI469" i="11" s="1"/>
  <c r="AJ469" i="11" s="1"/>
  <c r="AG462" i="11"/>
  <c r="AI462" i="11" s="1"/>
  <c r="AJ462" i="11" s="1"/>
  <c r="AG437" i="11"/>
  <c r="AI437" i="11" s="1"/>
  <c r="AJ437" i="11" s="1"/>
  <c r="AG428" i="11"/>
  <c r="AI428" i="11" s="1"/>
  <c r="AJ428" i="11" s="1"/>
  <c r="AG425" i="11"/>
  <c r="AI425" i="11" s="1"/>
  <c r="AJ425" i="11" s="1"/>
  <c r="AC500" i="11"/>
  <c r="AG386" i="11"/>
  <c r="AI386" i="11" s="1"/>
  <c r="AJ386" i="11" s="1"/>
  <c r="R308" i="11"/>
  <c r="V306" i="11"/>
  <c r="AG479" i="11"/>
  <c r="AI479" i="11" s="1"/>
  <c r="AJ479" i="11" s="1"/>
  <c r="AG472" i="11"/>
  <c r="AI472" i="11" s="1"/>
  <c r="AJ472" i="11" s="1"/>
  <c r="AG447" i="11"/>
  <c r="AI447" i="11" s="1"/>
  <c r="AJ447" i="11" s="1"/>
  <c r="AG440" i="11"/>
  <c r="AI440" i="11" s="1"/>
  <c r="AJ440" i="11" s="1"/>
  <c r="AG430" i="11"/>
  <c r="AI430" i="11" s="1"/>
  <c r="AJ430" i="11" s="1"/>
  <c r="AG414" i="11"/>
  <c r="AI414" i="11" s="1"/>
  <c r="AJ414" i="11" s="1"/>
  <c r="AG384" i="11"/>
  <c r="AI384" i="11" s="1"/>
  <c r="AJ384" i="11" s="1"/>
  <c r="AG372" i="11"/>
  <c r="AI372" i="11" s="1"/>
  <c r="AJ372" i="11" s="1"/>
  <c r="AG364" i="11"/>
  <c r="AI364" i="11" s="1"/>
  <c r="AJ364" i="11" s="1"/>
  <c r="AG356" i="11"/>
  <c r="AI356" i="11" s="1"/>
  <c r="AJ356" i="11" s="1"/>
  <c r="AG348" i="11"/>
  <c r="AI348" i="11" s="1"/>
  <c r="AJ348" i="11" s="1"/>
  <c r="AG490" i="11"/>
  <c r="AI490" i="11" s="1"/>
  <c r="AJ490" i="11" s="1"/>
  <c r="AG465" i="11"/>
  <c r="AI465" i="11" s="1"/>
  <c r="AJ465" i="11" s="1"/>
  <c r="AG458" i="11"/>
  <c r="AI458" i="11" s="1"/>
  <c r="AJ458" i="11" s="1"/>
  <c r="AG433" i="11"/>
  <c r="AI433" i="11" s="1"/>
  <c r="AJ433" i="11" s="1"/>
  <c r="AG424" i="11"/>
  <c r="AI424" i="11" s="1"/>
  <c r="AJ424" i="11" s="1"/>
  <c r="AG491" i="11"/>
  <c r="AI491" i="11" s="1"/>
  <c r="AJ491" i="11" s="1"/>
  <c r="AG484" i="11"/>
  <c r="AI484" i="11" s="1"/>
  <c r="AJ484" i="11" s="1"/>
  <c r="AG459" i="11"/>
  <c r="AI459" i="11" s="1"/>
  <c r="AJ459" i="11" s="1"/>
  <c r="AG452" i="11"/>
  <c r="AI452" i="11" s="1"/>
  <c r="AJ452" i="11" s="1"/>
  <c r="AD398" i="11"/>
  <c r="AG387" i="11"/>
  <c r="AI387" i="11" s="1"/>
  <c r="AJ387" i="11" s="1"/>
  <c r="AG370" i="11"/>
  <c r="AI370" i="11" s="1"/>
  <c r="AJ370" i="11" s="1"/>
  <c r="AG363" i="11"/>
  <c r="AI363" i="11" s="1"/>
  <c r="AJ363" i="11" s="1"/>
  <c r="AG354" i="11"/>
  <c r="AI354" i="11" s="1"/>
  <c r="AJ354" i="11" s="1"/>
  <c r="AG342" i="11"/>
  <c r="AI342" i="11" s="1"/>
  <c r="AJ342" i="11" s="1"/>
  <c r="R316" i="11"/>
  <c r="Q318" i="11"/>
  <c r="AG286" i="11"/>
  <c r="AI286" i="11" s="1"/>
  <c r="AJ286" i="11" s="1"/>
  <c r="AG282" i="11"/>
  <c r="AI282" i="11" s="1"/>
  <c r="AJ282" i="11" s="1"/>
  <c r="AG267" i="11"/>
  <c r="AI267" i="11" s="1"/>
  <c r="AJ267" i="11" s="1"/>
  <c r="W254" i="11"/>
  <c r="AG250" i="11"/>
  <c r="AI250" i="11" s="1"/>
  <c r="AG228" i="11"/>
  <c r="AI228" i="11" s="1"/>
  <c r="AJ228" i="11" s="1"/>
  <c r="W142" i="11"/>
  <c r="AG138" i="11"/>
  <c r="AI138" i="11" s="1"/>
  <c r="AG130" i="11"/>
  <c r="AI130" i="11" s="1"/>
  <c r="AJ130" i="11" s="1"/>
  <c r="AG344" i="11"/>
  <c r="AI344" i="11" s="1"/>
  <c r="AJ344" i="11" s="1"/>
  <c r="V398" i="11"/>
  <c r="X327" i="11"/>
  <c r="W327" i="11"/>
  <c r="Z327" i="11"/>
  <c r="Y327" i="11"/>
  <c r="AG283" i="11"/>
  <c r="AI283" i="11" s="1"/>
  <c r="AJ283" i="11" s="1"/>
  <c r="AG276" i="11"/>
  <c r="AI276" i="11" s="1"/>
  <c r="AJ276" i="11" s="1"/>
  <c r="AG268" i="11"/>
  <c r="AI268" i="11" s="1"/>
  <c r="AJ268" i="11" s="1"/>
  <c r="AG237" i="11"/>
  <c r="AI237" i="11" s="1"/>
  <c r="AJ237" i="11" s="1"/>
  <c r="AG229" i="11"/>
  <c r="AI229" i="11" s="1"/>
  <c r="AJ229" i="11" s="1"/>
  <c r="AG222" i="11"/>
  <c r="AI222" i="11" s="1"/>
  <c r="AJ222" i="11" s="1"/>
  <c r="AG156" i="11"/>
  <c r="AI156" i="11" s="1"/>
  <c r="AJ156" i="11" s="1"/>
  <c r="AG118" i="11"/>
  <c r="AI118" i="11" s="1"/>
  <c r="AJ118" i="11" s="1"/>
  <c r="X11" i="11"/>
  <c r="W11" i="11"/>
  <c r="AG397" i="11"/>
  <c r="AI397" i="11" s="1"/>
  <c r="AJ397" i="11" s="1"/>
  <c r="AG346" i="11"/>
  <c r="AI346" i="11" s="1"/>
  <c r="AJ346" i="11" s="1"/>
  <c r="AG210" i="11"/>
  <c r="AI210" i="11" s="1"/>
  <c r="AJ210" i="11" s="1"/>
  <c r="AG365" i="11"/>
  <c r="AI365" i="11" s="1"/>
  <c r="AJ365" i="11" s="1"/>
  <c r="AG349" i="11"/>
  <c r="AI349" i="11" s="1"/>
  <c r="AJ349" i="11" s="1"/>
  <c r="AG339" i="11"/>
  <c r="AI339" i="11" s="1"/>
  <c r="AJ339" i="11" s="1"/>
  <c r="AG332" i="11"/>
  <c r="AI332" i="11" s="1"/>
  <c r="AJ332" i="11" s="1"/>
  <c r="AG235" i="11"/>
  <c r="AI235" i="11" s="1"/>
  <c r="AJ235" i="11" s="1"/>
  <c r="AG195" i="11"/>
  <c r="AI195" i="11" s="1"/>
  <c r="AJ195" i="11" s="1"/>
  <c r="AG147" i="11"/>
  <c r="AI147" i="11" s="1"/>
  <c r="AJ147" i="11" s="1"/>
  <c r="Z117" i="11"/>
  <c r="AA117" i="11"/>
  <c r="W117" i="11"/>
  <c r="Y117" i="11"/>
  <c r="X117" i="11"/>
  <c r="AG176" i="11"/>
  <c r="AI176" i="11" s="1"/>
  <c r="AJ176" i="11" s="1"/>
  <c r="AG113" i="11"/>
  <c r="AI113" i="11" s="1"/>
  <c r="AJ113" i="11" s="1"/>
  <c r="AG104" i="11"/>
  <c r="AI104" i="11" s="1"/>
  <c r="AJ104" i="11" s="1"/>
  <c r="AG45" i="11"/>
  <c r="AI45" i="11" s="1"/>
  <c r="AJ45" i="11" s="1"/>
  <c r="AG26" i="11"/>
  <c r="AI26" i="11" s="1"/>
  <c r="AJ26" i="11" s="1"/>
  <c r="N714" i="11"/>
  <c r="Z125" i="11"/>
  <c r="AG180" i="11"/>
  <c r="W160" i="11"/>
  <c r="X160" i="11"/>
  <c r="X164" i="11" s="1"/>
  <c r="Z160" i="11"/>
  <c r="Z164" i="11" s="1"/>
  <c r="Y160" i="11"/>
  <c r="Y164" i="11" s="1"/>
  <c r="V164" i="11"/>
  <c r="AG140" i="11"/>
  <c r="AI140" i="11" s="1"/>
  <c r="AJ140" i="11" s="1"/>
  <c r="AG56" i="11"/>
  <c r="AI56" i="11" s="1"/>
  <c r="AJ56" i="11" s="1"/>
  <c r="Y40" i="11"/>
  <c r="Y47" i="11" s="1"/>
  <c r="V47" i="11"/>
  <c r="X40" i="11"/>
  <c r="X47" i="11" s="1"/>
  <c r="AA40" i="11"/>
  <c r="AA47" i="11" s="1"/>
  <c r="W40" i="11"/>
  <c r="Z40" i="11"/>
  <c r="Z47" i="11" s="1"/>
  <c r="AG30" i="11"/>
  <c r="AI30" i="11" s="1"/>
  <c r="AJ30" i="11" s="1"/>
  <c r="AG23" i="11"/>
  <c r="AI23" i="11" s="1"/>
  <c r="AJ23" i="11" s="1"/>
  <c r="AG10" i="11"/>
  <c r="AI10" i="11" s="1"/>
  <c r="AJ10" i="11" s="1"/>
  <c r="AC714" i="11"/>
  <c r="Y149" i="11"/>
  <c r="AG146" i="11"/>
  <c r="AI146" i="11" s="1"/>
  <c r="W149" i="11"/>
  <c r="AG119" i="11"/>
  <c r="AI119" i="11" s="1"/>
  <c r="AJ119" i="11" s="1"/>
  <c r="AG103" i="11"/>
  <c r="AI103" i="11" s="1"/>
  <c r="AJ103" i="11" s="1"/>
  <c r="AG75" i="11"/>
  <c r="AI75" i="11" s="1"/>
  <c r="AJ75" i="11" s="1"/>
  <c r="Q70" i="11"/>
  <c r="R66" i="11"/>
  <c r="AG43" i="11"/>
  <c r="AI43" i="11" s="1"/>
  <c r="AJ43" i="11" s="1"/>
  <c r="AG24" i="11"/>
  <c r="AI24" i="11" s="1"/>
  <c r="AJ24" i="11" s="1"/>
  <c r="AG15" i="11"/>
  <c r="AI15" i="11" s="1"/>
  <c r="AJ15" i="11" s="1"/>
  <c r="C6" i="14"/>
  <c r="E9" i="14"/>
  <c r="E20" i="14"/>
  <c r="Z552" i="15"/>
  <c r="Y552" i="15"/>
  <c r="X552" i="15"/>
  <c r="AA552" i="15"/>
  <c r="W552" i="15"/>
  <c r="V550" i="15"/>
  <c r="R555" i="15"/>
  <c r="Z530" i="15"/>
  <c r="Y530" i="15"/>
  <c r="X530" i="15"/>
  <c r="W530" i="15"/>
  <c r="AA530" i="15"/>
  <c r="R524" i="15"/>
  <c r="Q525" i="15"/>
  <c r="Y431" i="15"/>
  <c r="X431" i="15"/>
  <c r="AA431" i="15"/>
  <c r="Z431" i="15"/>
  <c r="W431" i="15"/>
  <c r="M504" i="15"/>
  <c r="Q292" i="15"/>
  <c r="R280" i="15"/>
  <c r="AA401" i="15"/>
  <c r="L221" i="15"/>
  <c r="Y193" i="15"/>
  <c r="W193" i="15"/>
  <c r="AA193" i="15"/>
  <c r="Z193" i="15"/>
  <c r="X193" i="15"/>
  <c r="V191" i="15"/>
  <c r="R195" i="15"/>
  <c r="Q237" i="15"/>
  <c r="R226" i="15"/>
  <c r="W199" i="15"/>
  <c r="Y199" i="15"/>
  <c r="X199" i="15"/>
  <c r="X221" i="15" s="1"/>
  <c r="V221" i="15"/>
  <c r="Z199" i="15"/>
  <c r="X51" i="15"/>
  <c r="Y51" i="15"/>
  <c r="W51" i="15"/>
  <c r="AA51" i="15"/>
  <c r="Z51" i="15"/>
  <c r="Q36" i="15"/>
  <c r="R20" i="15"/>
  <c r="AG634" i="11"/>
  <c r="AI634" i="11" s="1"/>
  <c r="AJ634" i="11" s="1"/>
  <c r="V57" i="15"/>
  <c r="R60" i="15"/>
  <c r="AA16" i="15"/>
  <c r="Z611" i="11"/>
  <c r="Y611" i="11"/>
  <c r="X611" i="11"/>
  <c r="AA611" i="11"/>
  <c r="AA621" i="11" s="1"/>
  <c r="W611" i="11"/>
  <c r="AG611" i="11" s="1"/>
  <c r="AI611" i="11" s="1"/>
  <c r="AJ611" i="11" s="1"/>
  <c r="AA525" i="11"/>
  <c r="AA532" i="11" s="1"/>
  <c r="W525" i="11"/>
  <c r="V532" i="11"/>
  <c r="Z525" i="11"/>
  <c r="Z532" i="11" s="1"/>
  <c r="X525" i="11"/>
  <c r="X532" i="11" s="1"/>
  <c r="Y525" i="11"/>
  <c r="Y532" i="11" s="1"/>
  <c r="W680" i="11"/>
  <c r="AG672" i="11"/>
  <c r="Q555" i="11"/>
  <c r="R550" i="11"/>
  <c r="AA605" i="11"/>
  <c r="AA522" i="11"/>
  <c r="W522" i="11"/>
  <c r="X522" i="11"/>
  <c r="Z522" i="11"/>
  <c r="Y522" i="11"/>
  <c r="AA588" i="11"/>
  <c r="AC543" i="11"/>
  <c r="AC399" i="11"/>
  <c r="R303" i="11"/>
  <c r="V301" i="11"/>
  <c r="AG419" i="11"/>
  <c r="AI419" i="11" s="1"/>
  <c r="AJ419" i="11" s="1"/>
  <c r="AG416" i="11"/>
  <c r="AI416" i="11" s="1"/>
  <c r="AJ416" i="11" s="1"/>
  <c r="AG391" i="11"/>
  <c r="AI391" i="11" s="1"/>
  <c r="AJ391" i="11" s="1"/>
  <c r="AG375" i="11"/>
  <c r="AI375" i="11" s="1"/>
  <c r="AJ375" i="11" s="1"/>
  <c r="AA402" i="11"/>
  <c r="AA499" i="11" s="1"/>
  <c r="W402" i="11"/>
  <c r="V499" i="11"/>
  <c r="Z402" i="11"/>
  <c r="Z499" i="11" s="1"/>
  <c r="X402" i="11"/>
  <c r="X499" i="11" s="1"/>
  <c r="Y402" i="11"/>
  <c r="Y499" i="11" s="1"/>
  <c r="Y296" i="11"/>
  <c r="Y297" i="11" s="1"/>
  <c r="X296" i="11"/>
  <c r="X297" i="11" s="1"/>
  <c r="AA296" i="11"/>
  <c r="AA297" i="11" s="1"/>
  <c r="W296" i="11"/>
  <c r="V297" i="11"/>
  <c r="Z296" i="11"/>
  <c r="Z297" i="11" s="1"/>
  <c r="R277" i="11"/>
  <c r="R157" i="11"/>
  <c r="V154" i="11"/>
  <c r="AG358" i="11"/>
  <c r="AI358" i="11" s="1"/>
  <c r="AJ358" i="11" s="1"/>
  <c r="X242" i="11"/>
  <c r="X247" i="11" s="1"/>
  <c r="V247" i="11"/>
  <c r="AA242" i="11"/>
  <c r="AA247" i="11" s="1"/>
  <c r="W242" i="11"/>
  <c r="Z242" i="11"/>
  <c r="Z247" i="11" s="1"/>
  <c r="Y242" i="11"/>
  <c r="Y247" i="11" s="1"/>
  <c r="W169" i="11"/>
  <c r="AG168" i="11"/>
  <c r="AI168" i="11" s="1"/>
  <c r="AJ168" i="11" s="1"/>
  <c r="R398" i="11"/>
  <c r="R399" i="11" s="1"/>
  <c r="Z284" i="11"/>
  <c r="Y284" i="11"/>
  <c r="X284" i="11"/>
  <c r="AA284" i="11"/>
  <c r="W284" i="11"/>
  <c r="AG284" i="11" s="1"/>
  <c r="AI284" i="11" s="1"/>
  <c r="AJ284" i="11" s="1"/>
  <c r="AG269" i="11"/>
  <c r="AI269" i="11" s="1"/>
  <c r="AJ269" i="11" s="1"/>
  <c r="AG261" i="11"/>
  <c r="AI261" i="11" s="1"/>
  <c r="AG244" i="11"/>
  <c r="AI244" i="11" s="1"/>
  <c r="AJ244" i="11" s="1"/>
  <c r="AG230" i="11"/>
  <c r="AI230" i="11" s="1"/>
  <c r="AJ230" i="11" s="1"/>
  <c r="AG212" i="11"/>
  <c r="AI212" i="11" s="1"/>
  <c r="AJ212" i="11" s="1"/>
  <c r="AG173" i="11"/>
  <c r="AI173" i="11" s="1"/>
  <c r="AJ173" i="11" s="1"/>
  <c r="Y132" i="11"/>
  <c r="Z132" i="11"/>
  <c r="W132" i="11"/>
  <c r="AG132" i="11" s="1"/>
  <c r="AI132" i="11" s="1"/>
  <c r="AJ132" i="11" s="1"/>
  <c r="AA132" i="11"/>
  <c r="X132" i="11"/>
  <c r="AG394" i="11"/>
  <c r="AI394" i="11" s="1"/>
  <c r="AJ394" i="11" s="1"/>
  <c r="AG329" i="11"/>
  <c r="AI329" i="11" s="1"/>
  <c r="AJ329" i="11" s="1"/>
  <c r="AG263" i="11"/>
  <c r="AI263" i="11" s="1"/>
  <c r="AJ263" i="11" s="1"/>
  <c r="X197" i="11"/>
  <c r="Q134" i="11"/>
  <c r="AB714" i="11"/>
  <c r="AG361" i="11"/>
  <c r="AI361" i="11" s="1"/>
  <c r="AJ361" i="11" s="1"/>
  <c r="AG347" i="11"/>
  <c r="AI347" i="11" s="1"/>
  <c r="AJ347" i="11" s="1"/>
  <c r="AG340" i="11"/>
  <c r="AI340" i="11" s="1"/>
  <c r="AJ340" i="11" s="1"/>
  <c r="AG275" i="11"/>
  <c r="AI275" i="11" s="1"/>
  <c r="AJ275" i="11" s="1"/>
  <c r="AG272" i="11"/>
  <c r="AI272" i="11" s="1"/>
  <c r="AJ272" i="11" s="1"/>
  <c r="AG236" i="11"/>
  <c r="AI236" i="11" s="1"/>
  <c r="AJ236" i="11" s="1"/>
  <c r="AG233" i="11"/>
  <c r="AI233" i="11" s="1"/>
  <c r="AJ233" i="11" s="1"/>
  <c r="Y206" i="11"/>
  <c r="X206" i="11"/>
  <c r="Z206" i="11"/>
  <c r="AA206" i="11"/>
  <c r="W206" i="11"/>
  <c r="AG201" i="11"/>
  <c r="AI201" i="11" s="1"/>
  <c r="X188" i="11"/>
  <c r="AF714" i="11"/>
  <c r="AG105" i="11"/>
  <c r="AI105" i="11" s="1"/>
  <c r="AJ105" i="11" s="1"/>
  <c r="AG27" i="11"/>
  <c r="AI27" i="11" s="1"/>
  <c r="AJ27" i="11" s="1"/>
  <c r="V16" i="11"/>
  <c r="Y9" i="11"/>
  <c r="Y16" i="11" s="1"/>
  <c r="X9" i="11"/>
  <c r="X16" i="11" s="1"/>
  <c r="W9" i="11"/>
  <c r="Z9" i="11"/>
  <c r="Z16" i="11" s="1"/>
  <c r="X125" i="11"/>
  <c r="AG28" i="11"/>
  <c r="AI28" i="11" s="1"/>
  <c r="AJ28" i="11" s="1"/>
  <c r="AG21" i="11"/>
  <c r="AI21" i="11" s="1"/>
  <c r="AJ21" i="11" s="1"/>
  <c r="AG218" i="11"/>
  <c r="AI218" i="11" s="1"/>
  <c r="AJ218" i="11" s="1"/>
  <c r="AA142" i="11"/>
  <c r="AG133" i="11"/>
  <c r="AI133" i="11" s="1"/>
  <c r="AJ133" i="11" s="1"/>
  <c r="AG95" i="11"/>
  <c r="AI95" i="11" s="1"/>
  <c r="AJ95" i="11" s="1"/>
  <c r="R91" i="11"/>
  <c r="Q96" i="11"/>
  <c r="AG31" i="11"/>
  <c r="AI31" i="11" s="1"/>
  <c r="AJ31" i="11" s="1"/>
  <c r="Z149" i="11"/>
  <c r="AG32" i="11"/>
  <c r="AI32" i="11" s="1"/>
  <c r="AJ32" i="11" s="1"/>
  <c r="AG25" i="11"/>
  <c r="AI25" i="11" s="1"/>
  <c r="AJ25" i="11" s="1"/>
  <c r="E17" i="14"/>
  <c r="C11" i="14"/>
  <c r="D6" i="14"/>
  <c r="G20" i="14"/>
  <c r="X598" i="15"/>
  <c r="Z598" i="15"/>
  <c r="W598" i="15"/>
  <c r="AA598" i="15"/>
  <c r="Y598" i="15"/>
  <c r="Z697" i="15"/>
  <c r="Y697" i="15"/>
  <c r="W697" i="15"/>
  <c r="AA697" i="15"/>
  <c r="X697" i="15"/>
  <c r="AA637" i="15"/>
  <c r="L604" i="15"/>
  <c r="Y584" i="15"/>
  <c r="AA584" i="15"/>
  <c r="W584" i="15"/>
  <c r="Z584" i="15"/>
  <c r="X584" i="15"/>
  <c r="Q692" i="15"/>
  <c r="R685" i="15"/>
  <c r="Y597" i="15"/>
  <c r="AA597" i="15"/>
  <c r="W597" i="15"/>
  <c r="Z597" i="15"/>
  <c r="X597" i="15"/>
  <c r="Y593" i="15"/>
  <c r="AA593" i="15"/>
  <c r="W593" i="15"/>
  <c r="Z593" i="15"/>
  <c r="X593" i="15"/>
  <c r="L620" i="15"/>
  <c r="Q547" i="15"/>
  <c r="R546" i="15"/>
  <c r="Z529" i="15"/>
  <c r="Y529" i="15"/>
  <c r="X529" i="15"/>
  <c r="W529" i="15"/>
  <c r="AA529" i="15"/>
  <c r="R507" i="15"/>
  <c r="Q510" i="15"/>
  <c r="L504" i="15"/>
  <c r="R313" i="15"/>
  <c r="Q315" i="15"/>
  <c r="AC254" i="15"/>
  <c r="Q186" i="15"/>
  <c r="R172" i="15"/>
  <c r="AC222" i="15"/>
  <c r="Q275" i="15"/>
  <c r="R259" i="15"/>
  <c r="AD186" i="15"/>
  <c r="AC187" i="15" s="1"/>
  <c r="Q157" i="15"/>
  <c r="R154" i="15"/>
  <c r="AD125" i="15"/>
  <c r="AC126" i="15" s="1"/>
  <c r="R74" i="15"/>
  <c r="Q76" i="15"/>
  <c r="AA203" i="15"/>
  <c r="AA221" i="15" s="1"/>
  <c r="W203" i="15"/>
  <c r="Z203" i="15"/>
  <c r="Y203" i="15"/>
  <c r="X203" i="15"/>
  <c r="AC710" i="15"/>
  <c r="Q195" i="15"/>
  <c r="R138" i="15"/>
  <c r="Q142" i="15"/>
  <c r="AC108" i="15"/>
  <c r="M96" i="15"/>
  <c r="M710" i="15" s="1"/>
  <c r="AB710" i="15"/>
  <c r="X667" i="11"/>
  <c r="W667" i="11"/>
  <c r="AG665" i="11"/>
  <c r="R70" i="15"/>
  <c r="V66" i="15"/>
  <c r="AG691" i="11"/>
  <c r="AI691" i="11" s="1"/>
  <c r="AJ691" i="11" s="1"/>
  <c r="W710" i="11"/>
  <c r="AG709" i="11"/>
  <c r="AI709" i="11" s="1"/>
  <c r="AJ709" i="11" s="1"/>
  <c r="W685" i="11"/>
  <c r="AG684" i="11"/>
  <c r="AI684" i="11" s="1"/>
  <c r="AJ684" i="11" s="1"/>
  <c r="AG627" i="11"/>
  <c r="AI627" i="11" s="1"/>
  <c r="AJ627" i="11" s="1"/>
  <c r="AG618" i="11"/>
  <c r="AI618" i="11" s="1"/>
  <c r="AJ618" i="11" s="1"/>
  <c r="AG578" i="11"/>
  <c r="AI578" i="11" s="1"/>
  <c r="AJ578" i="11" s="1"/>
  <c r="R565" i="11"/>
  <c r="Q569" i="11"/>
  <c r="AG530" i="11"/>
  <c r="AI530" i="11" s="1"/>
  <c r="AJ530" i="11" s="1"/>
  <c r="AA680" i="11"/>
  <c r="Z650" i="11"/>
  <c r="Z655" i="11" s="1"/>
  <c r="AA650" i="11"/>
  <c r="AA655" i="11" s="1"/>
  <c r="V655" i="11"/>
  <c r="Y650" i="11"/>
  <c r="Y655" i="11" s="1"/>
  <c r="X650" i="11"/>
  <c r="X655" i="11" s="1"/>
  <c r="W650" i="11"/>
  <c r="AG632" i="11"/>
  <c r="AI632" i="11" s="1"/>
  <c r="AJ632" i="11" s="1"/>
  <c r="Z628" i="11"/>
  <c r="Z638" i="11" s="1"/>
  <c r="AA628" i="11"/>
  <c r="AA638" i="11" s="1"/>
  <c r="Y628" i="11"/>
  <c r="Y638" i="11" s="1"/>
  <c r="X628" i="11"/>
  <c r="X638" i="11" s="1"/>
  <c r="W628" i="11"/>
  <c r="AG620" i="11"/>
  <c r="AI620" i="11" s="1"/>
  <c r="AJ620" i="11" s="1"/>
  <c r="AG600" i="11"/>
  <c r="AI600" i="11" s="1"/>
  <c r="AJ600" i="11" s="1"/>
  <c r="AG652" i="11"/>
  <c r="AG603" i="11"/>
  <c r="AI603" i="11" s="1"/>
  <c r="AJ603" i="11" s="1"/>
  <c r="AG601" i="11"/>
  <c r="AI601" i="11" s="1"/>
  <c r="AJ601" i="11" s="1"/>
  <c r="AG679" i="11"/>
  <c r="W638" i="11"/>
  <c r="AG625" i="11"/>
  <c r="AG619" i="11"/>
  <c r="AI619" i="11" s="1"/>
  <c r="AJ619" i="11" s="1"/>
  <c r="AG596" i="11"/>
  <c r="AI596" i="11" s="1"/>
  <c r="AJ596" i="11" s="1"/>
  <c r="AG585" i="11"/>
  <c r="AI585" i="11" s="1"/>
  <c r="AJ585" i="11" s="1"/>
  <c r="R575" i="11"/>
  <c r="Q588" i="11"/>
  <c r="AG566" i="11"/>
  <c r="AI566" i="11" s="1"/>
  <c r="AJ566" i="11" s="1"/>
  <c r="Z539" i="11"/>
  <c r="V542" i="11"/>
  <c r="Y539" i="11"/>
  <c r="AA539" i="11"/>
  <c r="AA542" i="11" s="1"/>
  <c r="W539" i="11"/>
  <c r="X539" i="11"/>
  <c r="AG506" i="11"/>
  <c r="AI506" i="11" s="1"/>
  <c r="AJ506" i="11" s="1"/>
  <c r="AG505" i="11"/>
  <c r="AI505" i="11" s="1"/>
  <c r="AJ505" i="11" s="1"/>
  <c r="AG493" i="11"/>
  <c r="AI493" i="11" s="1"/>
  <c r="AJ493" i="11" s="1"/>
  <c r="AG485" i="11"/>
  <c r="AI485" i="11" s="1"/>
  <c r="AJ485" i="11" s="1"/>
  <c r="AG478" i="11"/>
  <c r="AI478" i="11" s="1"/>
  <c r="AJ478" i="11" s="1"/>
  <c r="AG453" i="11"/>
  <c r="AI453" i="11" s="1"/>
  <c r="AJ453" i="11" s="1"/>
  <c r="AG446" i="11"/>
  <c r="AI446" i="11" s="1"/>
  <c r="AJ446" i="11" s="1"/>
  <c r="AG412" i="11"/>
  <c r="AI412" i="11" s="1"/>
  <c r="AJ412" i="11" s="1"/>
  <c r="AG409" i="11"/>
  <c r="AI409" i="11" s="1"/>
  <c r="AJ409" i="11" s="1"/>
  <c r="Y262" i="11"/>
  <c r="X262" i="11"/>
  <c r="X277" i="11" s="1"/>
  <c r="AA262" i="11"/>
  <c r="W262" i="11"/>
  <c r="Z262" i="11"/>
  <c r="Z277" i="11" s="1"/>
  <c r="AG551" i="11"/>
  <c r="AI551" i="11" s="1"/>
  <c r="AJ551" i="11" s="1"/>
  <c r="AG495" i="11"/>
  <c r="AI495" i="11" s="1"/>
  <c r="AJ495" i="11" s="1"/>
  <c r="AG488" i="11"/>
  <c r="AI488" i="11" s="1"/>
  <c r="AJ488" i="11" s="1"/>
  <c r="AG463" i="11"/>
  <c r="AI463" i="11" s="1"/>
  <c r="AJ463" i="11" s="1"/>
  <c r="AG456" i="11"/>
  <c r="AI456" i="11" s="1"/>
  <c r="AJ456" i="11" s="1"/>
  <c r="AG431" i="11"/>
  <c r="AI431" i="11" s="1"/>
  <c r="AJ431" i="11" s="1"/>
  <c r="AG422" i="11"/>
  <c r="AI422" i="11" s="1"/>
  <c r="AJ422" i="11" s="1"/>
  <c r="AG406" i="11"/>
  <c r="AI406" i="11" s="1"/>
  <c r="AJ406" i="11" s="1"/>
  <c r="AG360" i="11"/>
  <c r="AI360" i="11" s="1"/>
  <c r="AJ360" i="11" s="1"/>
  <c r="AG481" i="11"/>
  <c r="AI481" i="11" s="1"/>
  <c r="AJ481" i="11" s="1"/>
  <c r="AG474" i="11"/>
  <c r="AI474" i="11" s="1"/>
  <c r="AJ474" i="11" s="1"/>
  <c r="AG449" i="11"/>
  <c r="AI449" i="11" s="1"/>
  <c r="AJ449" i="11" s="1"/>
  <c r="AG442" i="11"/>
  <c r="AI442" i="11" s="1"/>
  <c r="AJ442" i="11" s="1"/>
  <c r="AG408" i="11"/>
  <c r="AI408" i="11" s="1"/>
  <c r="AJ408" i="11" s="1"/>
  <c r="AG475" i="11"/>
  <c r="AI475" i="11" s="1"/>
  <c r="AJ475" i="11" s="1"/>
  <c r="AG468" i="11"/>
  <c r="AI468" i="11" s="1"/>
  <c r="AJ468" i="11" s="1"/>
  <c r="AG443" i="11"/>
  <c r="AI443" i="11" s="1"/>
  <c r="AJ443" i="11" s="1"/>
  <c r="AG436" i="11"/>
  <c r="AI436" i="11" s="1"/>
  <c r="AJ436" i="11" s="1"/>
  <c r="R323" i="11"/>
  <c r="V321" i="11"/>
  <c r="AC255" i="11"/>
  <c r="R134" i="11"/>
  <c r="V129" i="11"/>
  <c r="AG379" i="11"/>
  <c r="AI379" i="11" s="1"/>
  <c r="AJ379" i="11" s="1"/>
  <c r="AG371" i="11"/>
  <c r="AI371" i="11" s="1"/>
  <c r="AJ371" i="11" s="1"/>
  <c r="AG362" i="11"/>
  <c r="AI362" i="11" s="1"/>
  <c r="AJ362" i="11" s="1"/>
  <c r="AG355" i="11"/>
  <c r="AI355" i="11" s="1"/>
  <c r="AJ355" i="11" s="1"/>
  <c r="AG333" i="11"/>
  <c r="AI333" i="11" s="1"/>
  <c r="AJ333" i="11" s="1"/>
  <c r="Y311" i="11"/>
  <c r="Y313" i="11" s="1"/>
  <c r="V313" i="11"/>
  <c r="X311" i="11"/>
  <c r="X313" i="11" s="1"/>
  <c r="AA311" i="11"/>
  <c r="AA313" i="11" s="1"/>
  <c r="W311" i="11"/>
  <c r="Z311" i="11"/>
  <c r="Z313" i="11" s="1"/>
  <c r="AG287" i="11"/>
  <c r="AI287" i="11" s="1"/>
  <c r="AJ287" i="11" s="1"/>
  <c r="AG285" i="11"/>
  <c r="AI285" i="11" s="1"/>
  <c r="AJ285" i="11" s="1"/>
  <c r="Y281" i="11"/>
  <c r="Y293" i="11" s="1"/>
  <c r="X281" i="11"/>
  <c r="X293" i="11" s="1"/>
  <c r="V293" i="11"/>
  <c r="AA281" i="11"/>
  <c r="AA293" i="11" s="1"/>
  <c r="W281" i="11"/>
  <c r="Z281" i="11"/>
  <c r="Z293" i="11" s="1"/>
  <c r="AG274" i="11"/>
  <c r="AI274" i="11" s="1"/>
  <c r="AJ274" i="11" s="1"/>
  <c r="AG220" i="11"/>
  <c r="AI220" i="11" s="1"/>
  <c r="AJ220" i="11" s="1"/>
  <c r="AG214" i="11"/>
  <c r="AI214" i="11" s="1"/>
  <c r="AJ214" i="11" s="1"/>
  <c r="AG211" i="11"/>
  <c r="AI211" i="11" s="1"/>
  <c r="AJ211" i="11" s="1"/>
  <c r="AG187" i="11"/>
  <c r="AI187" i="11" s="1"/>
  <c r="AJ187" i="11" s="1"/>
  <c r="AC126" i="11"/>
  <c r="V277" i="11"/>
  <c r="AA277" i="11"/>
  <c r="W259" i="11"/>
  <c r="AG258" i="11"/>
  <c r="AI258" i="11" s="1"/>
  <c r="AJ258" i="11" s="1"/>
  <c r="AG251" i="11"/>
  <c r="AI251" i="11" s="1"/>
  <c r="AJ251" i="11" s="1"/>
  <c r="AG202" i="11"/>
  <c r="AI202" i="11" s="1"/>
  <c r="AJ202" i="11" s="1"/>
  <c r="AG131" i="11"/>
  <c r="AI131" i="11" s="1"/>
  <c r="AJ131" i="11" s="1"/>
  <c r="AG116" i="11"/>
  <c r="AI116" i="11" s="1"/>
  <c r="AJ116" i="11" s="1"/>
  <c r="V74" i="11"/>
  <c r="R76" i="11"/>
  <c r="Y227" i="11"/>
  <c r="Y238" i="11" s="1"/>
  <c r="X227" i="11"/>
  <c r="X238" i="11" s="1"/>
  <c r="V238" i="11"/>
  <c r="Z227" i="11"/>
  <c r="Z238" i="11" s="1"/>
  <c r="AA227" i="11"/>
  <c r="AA238" i="11" s="1"/>
  <c r="W227" i="11"/>
  <c r="AG215" i="11"/>
  <c r="AI215" i="11" s="1"/>
  <c r="AJ215" i="11" s="1"/>
  <c r="AG207" i="11"/>
  <c r="AI207" i="11" s="1"/>
  <c r="AJ207" i="11" s="1"/>
  <c r="AG179" i="11"/>
  <c r="AI179" i="11" s="1"/>
  <c r="AJ179" i="11" s="1"/>
  <c r="AG177" i="11"/>
  <c r="AI177" i="11" s="1"/>
  <c r="AJ177" i="11" s="1"/>
  <c r="AG175" i="11"/>
  <c r="AI175" i="11" s="1"/>
  <c r="AJ175" i="11" s="1"/>
  <c r="AG115" i="11"/>
  <c r="AI115" i="11" s="1"/>
  <c r="AJ115" i="11" s="1"/>
  <c r="L572" i="11"/>
  <c r="Z188" i="11"/>
  <c r="Y64" i="11"/>
  <c r="X64" i="11"/>
  <c r="AA64" i="11"/>
  <c r="W64" i="11"/>
  <c r="Z64" i="11"/>
  <c r="Y55" i="11"/>
  <c r="Y60" i="11" s="1"/>
  <c r="V60" i="11"/>
  <c r="X55" i="11"/>
  <c r="X60" i="11" s="1"/>
  <c r="AA55" i="11"/>
  <c r="AA60" i="11" s="1"/>
  <c r="W55" i="11"/>
  <c r="Z55" i="11"/>
  <c r="Z60" i="11" s="1"/>
  <c r="R16" i="11"/>
  <c r="Y125" i="11"/>
  <c r="AG111" i="11"/>
  <c r="AI111" i="11" s="1"/>
  <c r="W125" i="11"/>
  <c r="AI65" i="11"/>
  <c r="AJ65" i="11"/>
  <c r="M572" i="11"/>
  <c r="V107" i="11"/>
  <c r="Y102" i="11"/>
  <c r="Y107" i="11" s="1"/>
  <c r="X102" i="11"/>
  <c r="X107" i="11" s="1"/>
  <c r="AA102" i="11"/>
  <c r="AA107" i="11" s="1"/>
  <c r="W102" i="11"/>
  <c r="Z102" i="11"/>
  <c r="Z107" i="11" s="1"/>
  <c r="Z652" i="15"/>
  <c r="Z654" i="15" s="1"/>
  <c r="W652" i="15"/>
  <c r="W654" i="15" s="1"/>
  <c r="W655" i="15" s="1"/>
  <c r="AA652" i="15"/>
  <c r="AA654" i="15" s="1"/>
  <c r="Y652" i="15"/>
  <c r="Y654" i="15" s="1"/>
  <c r="X652" i="15"/>
  <c r="X654" i="15" s="1"/>
  <c r="Y596" i="15"/>
  <c r="AA596" i="15"/>
  <c r="W596" i="15"/>
  <c r="X596" i="15"/>
  <c r="Z596" i="15"/>
  <c r="V563" i="15"/>
  <c r="R568" i="15"/>
  <c r="V696" i="15"/>
  <c r="R701" i="15"/>
  <c r="V654" i="15"/>
  <c r="W706" i="15"/>
  <c r="Y675" i="15"/>
  <c r="Y678" i="15" s="1"/>
  <c r="X675" i="15"/>
  <c r="X678" i="15" s="1"/>
  <c r="Z675" i="15"/>
  <c r="Z678" i="15" s="1"/>
  <c r="W675" i="15"/>
  <c r="W678" i="15" s="1"/>
  <c r="AA675" i="15"/>
  <c r="AA678" i="15" s="1"/>
  <c r="Y610" i="15"/>
  <c r="X610" i="15"/>
  <c r="AA610" i="15"/>
  <c r="AA620" i="15" s="1"/>
  <c r="W610" i="15"/>
  <c r="Z610" i="15"/>
  <c r="Y594" i="15"/>
  <c r="AA594" i="15"/>
  <c r="W594" i="15"/>
  <c r="X594" i="15"/>
  <c r="Z594" i="15"/>
  <c r="R591" i="15"/>
  <c r="R608" i="15"/>
  <c r="Y583" i="15"/>
  <c r="AA583" i="15"/>
  <c r="AA587" i="15" s="1"/>
  <c r="W583" i="15"/>
  <c r="Z583" i="15"/>
  <c r="X583" i="15"/>
  <c r="W560" i="15"/>
  <c r="Z532" i="15"/>
  <c r="Y532" i="15"/>
  <c r="X532" i="15"/>
  <c r="W532" i="15"/>
  <c r="AA532" i="15"/>
  <c r="R528" i="15"/>
  <c r="Y442" i="15"/>
  <c r="X442" i="15"/>
  <c r="Z442" i="15"/>
  <c r="AA442" i="15"/>
  <c r="W442" i="15"/>
  <c r="Z406" i="15"/>
  <c r="Y406" i="15"/>
  <c r="X406" i="15"/>
  <c r="W406" i="15"/>
  <c r="AA406" i="15"/>
  <c r="Y438" i="15"/>
  <c r="X438" i="15"/>
  <c r="Z438" i="15"/>
  <c r="AA438" i="15"/>
  <c r="W438" i="15"/>
  <c r="Y434" i="15"/>
  <c r="Z434" i="15"/>
  <c r="X434" i="15"/>
  <c r="W434" i="15"/>
  <c r="AA434" i="15"/>
  <c r="Q401" i="15"/>
  <c r="R330" i="15"/>
  <c r="V504" i="15"/>
  <c r="Z405" i="15"/>
  <c r="Y405" i="15"/>
  <c r="Y504" i="15" s="1"/>
  <c r="X405" i="15"/>
  <c r="X504" i="15" s="1"/>
  <c r="W405" i="15"/>
  <c r="AA405" i="15"/>
  <c r="Q326" i="15"/>
  <c r="R324" i="15"/>
  <c r="Q303" i="15"/>
  <c r="R301" i="15"/>
  <c r="Q253" i="15"/>
  <c r="R249" i="15"/>
  <c r="Y181" i="15"/>
  <c r="X181" i="15"/>
  <c r="W181" i="15"/>
  <c r="Z181" i="15"/>
  <c r="AA181" i="15"/>
  <c r="Q107" i="15"/>
  <c r="R102" i="15"/>
  <c r="R160" i="15"/>
  <c r="Q164" i="15"/>
  <c r="R131" i="15"/>
  <c r="Q134" i="15"/>
  <c r="Q9" i="15"/>
  <c r="N16" i="15"/>
  <c r="N710" i="15" s="1"/>
  <c r="W257" i="15"/>
  <c r="Q246" i="15"/>
  <c r="R241" i="15"/>
  <c r="L96" i="15"/>
  <c r="L710" i="15" s="1"/>
  <c r="Z111" i="15"/>
  <c r="AA111" i="15"/>
  <c r="W111" i="15"/>
  <c r="Y111" i="15"/>
  <c r="X111" i="15"/>
  <c r="W661" i="11"/>
  <c r="AG660" i="11"/>
  <c r="AA186" i="15"/>
  <c r="V700" i="11"/>
  <c r="R705" i="11"/>
  <c r="AG630" i="11"/>
  <c r="AI630" i="11" s="1"/>
  <c r="AJ630" i="11" s="1"/>
  <c r="AG676" i="11"/>
  <c r="AG675" i="11"/>
  <c r="Y67" i="15"/>
  <c r="W67" i="15"/>
  <c r="AA67" i="15"/>
  <c r="Z67" i="15"/>
  <c r="X67" i="15"/>
  <c r="AG693" i="11"/>
  <c r="AI693" i="11" s="1"/>
  <c r="AJ693" i="11" s="1"/>
  <c r="Z667" i="11"/>
  <c r="AG614" i="11"/>
  <c r="AI614" i="11" s="1"/>
  <c r="AJ614" i="11" s="1"/>
  <c r="AG604" i="11"/>
  <c r="AI604" i="11" s="1"/>
  <c r="AJ604" i="11" s="1"/>
  <c r="AG579" i="11"/>
  <c r="AI579" i="11" s="1"/>
  <c r="AJ579" i="11" s="1"/>
  <c r="AG513" i="11"/>
  <c r="AI513" i="11" s="1"/>
  <c r="AJ513" i="11" s="1"/>
  <c r="AG497" i="11"/>
  <c r="AI497" i="11" s="1"/>
  <c r="AJ497" i="11" s="1"/>
  <c r="Y680" i="11"/>
  <c r="AG642" i="11"/>
  <c r="AI642" i="11" s="1"/>
  <c r="AJ642" i="11" s="1"/>
  <c r="W643" i="11"/>
  <c r="AG629" i="11"/>
  <c r="AI629" i="11" s="1"/>
  <c r="AJ629" i="11" s="1"/>
  <c r="AG615" i="11"/>
  <c r="AI615" i="11" s="1"/>
  <c r="AJ615" i="11" s="1"/>
  <c r="AA540" i="11"/>
  <c r="W540" i="11"/>
  <c r="Z540" i="11"/>
  <c r="X544" i="11" s="1"/>
  <c r="X540" i="11"/>
  <c r="Y540" i="11"/>
  <c r="AG531" i="11"/>
  <c r="AI531" i="11" s="1"/>
  <c r="AJ531" i="11" s="1"/>
  <c r="AG527" i="11"/>
  <c r="AI527" i="11" s="1"/>
  <c r="AJ527" i="11" s="1"/>
  <c r="AG521" i="11"/>
  <c r="AG651" i="11"/>
  <c r="AG529" i="11"/>
  <c r="AI529" i="11" s="1"/>
  <c r="AJ529" i="11" s="1"/>
  <c r="V638" i="11"/>
  <c r="AG612" i="11"/>
  <c r="AI612" i="11" s="1"/>
  <c r="AJ612" i="11" s="1"/>
  <c r="V609" i="11"/>
  <c r="R621" i="11"/>
  <c r="AG602" i="11"/>
  <c r="AI602" i="11" s="1"/>
  <c r="AJ602" i="11" s="1"/>
  <c r="Y546" i="11"/>
  <c r="Y547" i="11" s="1"/>
  <c r="V547" i="11"/>
  <c r="X546" i="11"/>
  <c r="X547" i="11" s="1"/>
  <c r="Z546" i="11"/>
  <c r="Z547" i="11" s="1"/>
  <c r="AA546" i="11"/>
  <c r="AA547" i="11" s="1"/>
  <c r="W546" i="11"/>
  <c r="AC533" i="11"/>
  <c r="AG514" i="11"/>
  <c r="AI514" i="11" s="1"/>
  <c r="AJ514" i="11" s="1"/>
  <c r="AG494" i="11"/>
  <c r="AI494" i="11" s="1"/>
  <c r="AJ494" i="11" s="1"/>
  <c r="AG486" i="11"/>
  <c r="AI486" i="11" s="1"/>
  <c r="AJ486" i="11" s="1"/>
  <c r="AG461" i="11"/>
  <c r="AI461" i="11" s="1"/>
  <c r="AJ461" i="11" s="1"/>
  <c r="AG454" i="11"/>
  <c r="AI454" i="11" s="1"/>
  <c r="AJ454" i="11" s="1"/>
  <c r="AG420" i="11"/>
  <c r="AI420" i="11" s="1"/>
  <c r="AJ420" i="11" s="1"/>
  <c r="AG417" i="11"/>
  <c r="AI417" i="11" s="1"/>
  <c r="AJ417" i="11" s="1"/>
  <c r="AG471" i="11"/>
  <c r="AI471" i="11" s="1"/>
  <c r="AJ471" i="11" s="1"/>
  <c r="AG464" i="11"/>
  <c r="AI464" i="11" s="1"/>
  <c r="AJ464" i="11" s="1"/>
  <c r="AG439" i="11"/>
  <c r="AI439" i="11" s="1"/>
  <c r="AJ439" i="11" s="1"/>
  <c r="AG432" i="11"/>
  <c r="AI432" i="11" s="1"/>
  <c r="AJ432" i="11" s="1"/>
  <c r="AG427" i="11"/>
  <c r="AI427" i="11" s="1"/>
  <c r="AJ427" i="11" s="1"/>
  <c r="AG411" i="11"/>
  <c r="AI411" i="11" s="1"/>
  <c r="AJ411" i="11" s="1"/>
  <c r="AG392" i="11"/>
  <c r="AI392" i="11" s="1"/>
  <c r="AJ392" i="11" s="1"/>
  <c r="AG511" i="11"/>
  <c r="AI511" i="11" s="1"/>
  <c r="AJ511" i="11" s="1"/>
  <c r="AG489" i="11"/>
  <c r="AI489" i="11" s="1"/>
  <c r="AJ489" i="11" s="1"/>
  <c r="AG482" i="11"/>
  <c r="AI482" i="11" s="1"/>
  <c r="AJ482" i="11" s="1"/>
  <c r="AG457" i="11"/>
  <c r="AI457" i="11" s="1"/>
  <c r="AJ457" i="11" s="1"/>
  <c r="AG450" i="11"/>
  <c r="AI450" i="11" s="1"/>
  <c r="AJ450" i="11" s="1"/>
  <c r="AG383" i="11"/>
  <c r="AI383" i="11" s="1"/>
  <c r="AJ383" i="11" s="1"/>
  <c r="AG483" i="11"/>
  <c r="AI483" i="11" s="1"/>
  <c r="AJ483" i="11" s="1"/>
  <c r="AG476" i="11"/>
  <c r="AI476" i="11" s="1"/>
  <c r="AJ476" i="11" s="1"/>
  <c r="AG451" i="11"/>
  <c r="AI451" i="11" s="1"/>
  <c r="AJ451" i="11" s="1"/>
  <c r="AG444" i="11"/>
  <c r="AI444" i="11" s="1"/>
  <c r="AJ444" i="11" s="1"/>
  <c r="AG426" i="11"/>
  <c r="AI426" i="11" s="1"/>
  <c r="AJ426" i="11" s="1"/>
  <c r="AG418" i="11"/>
  <c r="AI418" i="11" s="1"/>
  <c r="AJ418" i="11" s="1"/>
  <c r="AG410" i="11"/>
  <c r="AI410" i="11" s="1"/>
  <c r="AJ410" i="11" s="1"/>
  <c r="AG396" i="11"/>
  <c r="AI396" i="11" s="1"/>
  <c r="AJ396" i="11" s="1"/>
  <c r="Z393" i="11"/>
  <c r="AA393" i="11"/>
  <c r="W393" i="11"/>
  <c r="Y393" i="11"/>
  <c r="X393" i="11"/>
  <c r="X205" i="11"/>
  <c r="X223" i="11" s="1"/>
  <c r="AA205" i="11"/>
  <c r="AA223" i="11" s="1"/>
  <c r="W205" i="11"/>
  <c r="W223" i="11" s="1"/>
  <c r="Y205" i="11"/>
  <c r="Z205" i="11"/>
  <c r="Z223" i="11" s="1"/>
  <c r="AG377" i="11"/>
  <c r="AI377" i="11" s="1"/>
  <c r="AJ377" i="11" s="1"/>
  <c r="AG366" i="11"/>
  <c r="AI366" i="11" s="1"/>
  <c r="AJ366" i="11" s="1"/>
  <c r="AG359" i="11"/>
  <c r="AI359" i="11" s="1"/>
  <c r="AJ359" i="11" s="1"/>
  <c r="AG350" i="11"/>
  <c r="AI350" i="11" s="1"/>
  <c r="AJ350" i="11" s="1"/>
  <c r="AG341" i="11"/>
  <c r="AI341" i="11" s="1"/>
  <c r="AJ341" i="11" s="1"/>
  <c r="AG334" i="11"/>
  <c r="AI334" i="11" s="1"/>
  <c r="AJ334" i="11" s="1"/>
  <c r="R293" i="11"/>
  <c r="AG266" i="11"/>
  <c r="AI266" i="11" s="1"/>
  <c r="AJ266" i="11" s="1"/>
  <c r="Z254" i="11"/>
  <c r="AG243" i="11"/>
  <c r="AI243" i="11" s="1"/>
  <c r="AJ243" i="11" s="1"/>
  <c r="AG343" i="11"/>
  <c r="AI343" i="11" s="1"/>
  <c r="AJ343" i="11" s="1"/>
  <c r="AG336" i="11"/>
  <c r="AI336" i="11" s="1"/>
  <c r="AJ336" i="11" s="1"/>
  <c r="AA398" i="11"/>
  <c r="AG292" i="11"/>
  <c r="AI292" i="11" s="1"/>
  <c r="AJ292" i="11" s="1"/>
  <c r="Y277" i="11"/>
  <c r="AG252" i="11"/>
  <c r="AI252" i="11" s="1"/>
  <c r="AJ252" i="11" s="1"/>
  <c r="AG219" i="11"/>
  <c r="AI219" i="11" s="1"/>
  <c r="AJ219" i="11" s="1"/>
  <c r="AG213" i="11"/>
  <c r="AI213" i="11" s="1"/>
  <c r="AJ213" i="11" s="1"/>
  <c r="AG204" i="11"/>
  <c r="AI204" i="11" s="1"/>
  <c r="AJ204" i="11" s="1"/>
  <c r="AG185" i="11"/>
  <c r="AI185" i="11" s="1"/>
  <c r="AJ185" i="11" s="1"/>
  <c r="AG183" i="11"/>
  <c r="AI183" i="11" s="1"/>
  <c r="AJ183" i="11" s="1"/>
  <c r="AG148" i="11"/>
  <c r="AI148" i="11" s="1"/>
  <c r="AJ148" i="11" s="1"/>
  <c r="AG94" i="11"/>
  <c r="AI94" i="11" s="1"/>
  <c r="AJ94" i="11" s="1"/>
  <c r="Q16" i="11"/>
  <c r="AG345" i="11"/>
  <c r="AI345" i="11" s="1"/>
  <c r="AJ345" i="11" s="1"/>
  <c r="AG338" i="11"/>
  <c r="AI338" i="11" s="1"/>
  <c r="AJ338" i="11" s="1"/>
  <c r="AG289" i="11"/>
  <c r="AI289" i="11" s="1"/>
  <c r="AJ289" i="11" s="1"/>
  <c r="AG271" i="11"/>
  <c r="AI271" i="11" s="1"/>
  <c r="AJ271" i="11" s="1"/>
  <c r="AG232" i="11"/>
  <c r="AI232" i="11" s="1"/>
  <c r="AJ232" i="11" s="1"/>
  <c r="AG217" i="11"/>
  <c r="AI217" i="11" s="1"/>
  <c r="AJ217" i="11" s="1"/>
  <c r="W197" i="11"/>
  <c r="AG193" i="11"/>
  <c r="AI193" i="11" s="1"/>
  <c r="AA188" i="11"/>
  <c r="AG161" i="11"/>
  <c r="AI161" i="11" s="1"/>
  <c r="AJ161" i="11" s="1"/>
  <c r="AG381" i="11"/>
  <c r="AI381" i="11" s="1"/>
  <c r="AJ381" i="11" s="1"/>
  <c r="AG369" i="11"/>
  <c r="AI369" i="11" s="1"/>
  <c r="AJ369" i="11" s="1"/>
  <c r="AG353" i="11"/>
  <c r="AI353" i="11" s="1"/>
  <c r="AJ353" i="11" s="1"/>
  <c r="AG331" i="11"/>
  <c r="AI331" i="11" s="1"/>
  <c r="AJ331" i="11" s="1"/>
  <c r="AG291" i="11"/>
  <c r="AI291" i="11" s="1"/>
  <c r="AJ291" i="11" s="1"/>
  <c r="AG265" i="11"/>
  <c r="AI265" i="11" s="1"/>
  <c r="AJ265" i="11" s="1"/>
  <c r="AG234" i="11"/>
  <c r="AI234" i="11" s="1"/>
  <c r="AJ234" i="11" s="1"/>
  <c r="AC224" i="11"/>
  <c r="Y223" i="11"/>
  <c r="AD197" i="11"/>
  <c r="AC198" i="11" s="1"/>
  <c r="AG172" i="11"/>
  <c r="AI172" i="11" s="1"/>
  <c r="W188" i="11"/>
  <c r="Q87" i="11"/>
  <c r="R82" i="11"/>
  <c r="AG186" i="11"/>
  <c r="AI186" i="11" s="1"/>
  <c r="AJ186" i="11" s="1"/>
  <c r="AG83" i="11"/>
  <c r="AI83" i="11" s="1"/>
  <c r="AJ83" i="11" s="1"/>
  <c r="AG44" i="11"/>
  <c r="AI44" i="11" s="1"/>
  <c r="AJ44" i="11" s="1"/>
  <c r="AG122" i="11"/>
  <c r="AI122" i="11" s="1"/>
  <c r="AJ122" i="11" s="1"/>
  <c r="AG121" i="11"/>
  <c r="AI121" i="11" s="1"/>
  <c r="AJ121" i="11" s="1"/>
  <c r="V125" i="11"/>
  <c r="AA125" i="11"/>
  <c r="AG35" i="11"/>
  <c r="AI35" i="11" s="1"/>
  <c r="AJ35" i="11" s="1"/>
  <c r="V36" i="11"/>
  <c r="Y20" i="11"/>
  <c r="Y36" i="11" s="1"/>
  <c r="X20" i="11"/>
  <c r="X36" i="11" s="1"/>
  <c r="AA20" i="11"/>
  <c r="AA36" i="11" s="1"/>
  <c r="W20" i="11"/>
  <c r="Z20" i="11"/>
  <c r="Z36" i="11" s="1"/>
  <c r="AG182" i="11"/>
  <c r="AG139" i="11"/>
  <c r="AI139" i="11" s="1"/>
  <c r="AJ139" i="11" s="1"/>
  <c r="AG85" i="11"/>
  <c r="AI85" i="11" s="1"/>
  <c r="AJ85" i="11" s="1"/>
  <c r="AG58" i="11"/>
  <c r="AI58" i="11" s="1"/>
  <c r="AJ58" i="11" s="1"/>
  <c r="AG46" i="11"/>
  <c r="AI46" i="11" s="1"/>
  <c r="AJ46" i="11" s="1"/>
  <c r="AG22" i="11"/>
  <c r="AI22" i="11" s="1"/>
  <c r="AJ22" i="11" s="1"/>
  <c r="AC17" i="11"/>
  <c r="AG184" i="11"/>
  <c r="AI184" i="11" s="1"/>
  <c r="AJ184" i="11" s="1"/>
  <c r="X149" i="11"/>
  <c r="AG42" i="11"/>
  <c r="AI42" i="11" s="1"/>
  <c r="AJ42" i="11" s="1"/>
  <c r="AG13" i="11"/>
  <c r="AI13" i="11" s="1"/>
  <c r="AJ13" i="11" s="1"/>
  <c r="AA16" i="11"/>
  <c r="E2662" i="1" l="1"/>
  <c r="W224" i="11"/>
  <c r="AG223" i="11"/>
  <c r="AI223" i="11" s="1"/>
  <c r="AJ223" i="11" s="1"/>
  <c r="W679" i="15"/>
  <c r="AG20" i="11"/>
  <c r="W36" i="11"/>
  <c r="R87" i="11"/>
  <c r="V82" i="11"/>
  <c r="W198" i="11"/>
  <c r="AG197" i="11"/>
  <c r="AI197" i="11" s="1"/>
  <c r="AJ197" i="11" s="1"/>
  <c r="AI521" i="11"/>
  <c r="AG523" i="11"/>
  <c r="W662" i="11"/>
  <c r="AG661" i="11"/>
  <c r="AI661" i="11" s="1"/>
  <c r="AJ661" i="11" s="1"/>
  <c r="W504" i="15"/>
  <c r="W505" i="15" s="1"/>
  <c r="Z696" i="15"/>
  <c r="Z701" i="15" s="1"/>
  <c r="V701" i="15"/>
  <c r="Y696" i="15"/>
  <c r="Y701" i="15" s="1"/>
  <c r="X696" i="15"/>
  <c r="X701" i="15" s="1"/>
  <c r="W696" i="15"/>
  <c r="W701" i="15" s="1"/>
  <c r="W702" i="15" s="1"/>
  <c r="AA696" i="15"/>
  <c r="AA701" i="15" s="1"/>
  <c r="AD714" i="11"/>
  <c r="R17" i="11"/>
  <c r="W238" i="11"/>
  <c r="AG227" i="11"/>
  <c r="AI227" i="11" s="1"/>
  <c r="W293" i="11"/>
  <c r="AG281" i="11"/>
  <c r="W313" i="11"/>
  <c r="AG311" i="11"/>
  <c r="AI311" i="11" s="1"/>
  <c r="AJ311" i="11" s="1"/>
  <c r="W542" i="11"/>
  <c r="AG539" i="11"/>
  <c r="Z542" i="11"/>
  <c r="AI625" i="11"/>
  <c r="AG628" i="11"/>
  <c r="AI628" i="11" s="1"/>
  <c r="AJ628" i="11" s="1"/>
  <c r="Y66" i="15"/>
  <c r="Y70" i="15" s="1"/>
  <c r="X66" i="15"/>
  <c r="X70" i="15" s="1"/>
  <c r="W66" i="15"/>
  <c r="W70" i="15" s="1"/>
  <c r="AA66" i="15"/>
  <c r="AA70" i="15" s="1"/>
  <c r="Z66" i="15"/>
  <c r="Z70" i="15" s="1"/>
  <c r="V70" i="15"/>
  <c r="R157" i="15"/>
  <c r="V154" i="15"/>
  <c r="W247" i="11"/>
  <c r="AG242" i="11"/>
  <c r="AI242" i="11" s="1"/>
  <c r="R36" i="15"/>
  <c r="V20" i="15"/>
  <c r="W52" i="15"/>
  <c r="V226" i="15"/>
  <c r="R237" i="15"/>
  <c r="Z191" i="15"/>
  <c r="Z195" i="15" s="1"/>
  <c r="Y191" i="15"/>
  <c r="Y195" i="15" s="1"/>
  <c r="X191" i="15"/>
  <c r="X195" i="15" s="1"/>
  <c r="V195" i="15"/>
  <c r="W191" i="15"/>
  <c r="W195" i="15" s="1"/>
  <c r="AA191" i="15"/>
  <c r="AA195" i="15" s="1"/>
  <c r="E6" i="14"/>
  <c r="AG117" i="11"/>
  <c r="AI117" i="11" s="1"/>
  <c r="AJ117" i="11" s="1"/>
  <c r="AG11" i="11"/>
  <c r="AI11" i="11" s="1"/>
  <c r="AJ11" i="11" s="1"/>
  <c r="Z398" i="11"/>
  <c r="AG666" i="11"/>
  <c r="AD710" i="15"/>
  <c r="V112" i="15"/>
  <c r="R125" i="15"/>
  <c r="R149" i="15"/>
  <c r="V146" i="15"/>
  <c r="R320" i="15"/>
  <c r="V318" i="15"/>
  <c r="Z658" i="15"/>
  <c r="Z664" i="15" s="1"/>
  <c r="W658" i="15"/>
  <c r="W664" i="15" s="1"/>
  <c r="W665" i="15" s="1"/>
  <c r="X658" i="15"/>
  <c r="X664" i="15" s="1"/>
  <c r="V664" i="15"/>
  <c r="AA658" i="15"/>
  <c r="AA664" i="15" s="1"/>
  <c r="Y658" i="15"/>
  <c r="Y664" i="15" s="1"/>
  <c r="Q714" i="11"/>
  <c r="Q572" i="11"/>
  <c r="AA700" i="11"/>
  <c r="AA705" i="11" s="1"/>
  <c r="W700" i="11"/>
  <c r="Z700" i="11"/>
  <c r="Z705" i="11" s="1"/>
  <c r="Y700" i="11"/>
  <c r="Y705" i="11" s="1"/>
  <c r="Y706" i="11" s="1"/>
  <c r="V705" i="11"/>
  <c r="X700" i="11"/>
  <c r="X705" i="11" s="1"/>
  <c r="R246" i="15"/>
  <c r="V241" i="15"/>
  <c r="Q16" i="15"/>
  <c r="Q710" i="15" s="1"/>
  <c r="R9" i="15"/>
  <c r="R164" i="15"/>
  <c r="V160" i="15"/>
  <c r="V249" i="15"/>
  <c r="R253" i="15"/>
  <c r="V324" i="15"/>
  <c r="R326" i="15"/>
  <c r="R401" i="15"/>
  <c r="V330" i="15"/>
  <c r="R604" i="15"/>
  <c r="V591" i="15"/>
  <c r="W126" i="11"/>
  <c r="AG125" i="11"/>
  <c r="AI125" i="11" s="1"/>
  <c r="AJ125" i="11" s="1"/>
  <c r="X321" i="11"/>
  <c r="X323" i="11" s="1"/>
  <c r="AA321" i="11"/>
  <c r="AA323" i="11" s="1"/>
  <c r="W321" i="11"/>
  <c r="V323" i="11"/>
  <c r="Z321" i="11"/>
  <c r="Z323" i="11" s="1"/>
  <c r="Y321" i="11"/>
  <c r="Y323" i="11" s="1"/>
  <c r="AG638" i="11"/>
  <c r="AI638" i="11" s="1"/>
  <c r="AJ638" i="11" s="1"/>
  <c r="W639" i="11"/>
  <c r="AG667" i="11"/>
  <c r="AI667" i="11" s="1"/>
  <c r="AJ667" i="11" s="1"/>
  <c r="R510" i="15"/>
  <c r="V507" i="15"/>
  <c r="R692" i="15"/>
  <c r="V685" i="15"/>
  <c r="V91" i="11"/>
  <c r="R96" i="11"/>
  <c r="AJ261" i="11"/>
  <c r="X154" i="11"/>
  <c r="X157" i="11" s="1"/>
  <c r="Y154" i="11"/>
  <c r="Y157" i="11" s="1"/>
  <c r="V157" i="11"/>
  <c r="Z154" i="11"/>
  <c r="Z157" i="11" s="1"/>
  <c r="W154" i="11"/>
  <c r="Y301" i="11"/>
  <c r="Y303" i="11" s="1"/>
  <c r="X301" i="11"/>
  <c r="X303" i="11" s="1"/>
  <c r="AA301" i="11"/>
  <c r="AA303" i="11" s="1"/>
  <c r="W301" i="11"/>
  <c r="V303" i="11"/>
  <c r="Z301" i="11"/>
  <c r="Z303" i="11" s="1"/>
  <c r="AG680" i="11"/>
  <c r="AI680" i="11" s="1"/>
  <c r="AJ680" i="11" s="1"/>
  <c r="W681" i="11"/>
  <c r="X57" i="15"/>
  <c r="X60" i="15" s="1"/>
  <c r="AA57" i="15"/>
  <c r="AA60" i="15" s="1"/>
  <c r="Z57" i="15"/>
  <c r="Z60" i="15" s="1"/>
  <c r="Y57" i="15"/>
  <c r="Y60" i="15" s="1"/>
  <c r="W57" i="15"/>
  <c r="W60" i="15" s="1"/>
  <c r="W61" i="15" s="1"/>
  <c r="V60" i="15"/>
  <c r="R292" i="15"/>
  <c r="V280" i="15"/>
  <c r="Z550" i="15"/>
  <c r="Z555" i="15" s="1"/>
  <c r="Y550" i="15"/>
  <c r="Y555" i="15" s="1"/>
  <c r="V555" i="15"/>
  <c r="AA550" i="15"/>
  <c r="AA555" i="15" s="1"/>
  <c r="W550" i="15"/>
  <c r="W555" i="15" s="1"/>
  <c r="X550" i="15"/>
  <c r="X555" i="15" s="1"/>
  <c r="V66" i="11"/>
  <c r="R70" i="11"/>
  <c r="R714" i="11" s="1"/>
  <c r="AG160" i="11"/>
  <c r="AI160" i="11" s="1"/>
  <c r="W164" i="11"/>
  <c r="W398" i="11"/>
  <c r="AG327" i="11"/>
  <c r="AI255" i="11"/>
  <c r="AJ250" i="11"/>
  <c r="AJ255" i="11" s="1"/>
  <c r="Y592" i="11"/>
  <c r="Y605" i="11" s="1"/>
  <c r="X592" i="11"/>
  <c r="X605" i="11" s="1"/>
  <c r="W592" i="11"/>
  <c r="V605" i="11"/>
  <c r="Z592" i="11"/>
  <c r="Z605" i="11" s="1"/>
  <c r="X504" i="11"/>
  <c r="X507" i="11" s="1"/>
  <c r="Y504" i="11"/>
  <c r="Y507" i="11" s="1"/>
  <c r="W504" i="11"/>
  <c r="AA504" i="11"/>
  <c r="AA507" i="11" s="1"/>
  <c r="V507" i="11"/>
  <c r="Z504" i="11"/>
  <c r="Z507" i="11" s="1"/>
  <c r="V40" i="15"/>
  <c r="R47" i="15"/>
  <c r="R87" i="15"/>
  <c r="V82" i="15"/>
  <c r="AA307" i="15"/>
  <c r="AA309" i="15" s="1"/>
  <c r="W307" i="15"/>
  <c r="W309" i="15" s="1"/>
  <c r="Z307" i="15"/>
  <c r="Z309" i="15" s="1"/>
  <c r="Y307" i="15"/>
  <c r="Y309" i="15" s="1"/>
  <c r="X307" i="15"/>
  <c r="X309" i="15" s="1"/>
  <c r="V309" i="15"/>
  <c r="L714" i="11"/>
  <c r="W189" i="11"/>
  <c r="AG188" i="11"/>
  <c r="AI188" i="11" s="1"/>
  <c r="AJ188" i="11" s="1"/>
  <c r="AG205" i="11"/>
  <c r="AI205" i="11" s="1"/>
  <c r="AJ205" i="11" s="1"/>
  <c r="R107" i="15"/>
  <c r="V102" i="15"/>
  <c r="Z563" i="15"/>
  <c r="Z568" i="15" s="1"/>
  <c r="Y563" i="15"/>
  <c r="Y568" i="15" s="1"/>
  <c r="X563" i="15"/>
  <c r="X568" i="15" s="1"/>
  <c r="V568" i="15"/>
  <c r="AA563" i="15"/>
  <c r="AA568" i="15" s="1"/>
  <c r="W563" i="15"/>
  <c r="W568" i="15" s="1"/>
  <c r="W107" i="11"/>
  <c r="AG102" i="11"/>
  <c r="AI102" i="11" s="1"/>
  <c r="AJ111" i="11"/>
  <c r="AJ126" i="11" s="1"/>
  <c r="W60" i="11"/>
  <c r="AG55" i="11"/>
  <c r="AG64" i="11"/>
  <c r="Z74" i="11"/>
  <c r="Z76" i="11" s="1"/>
  <c r="Y74" i="11"/>
  <c r="Y76" i="11" s="1"/>
  <c r="X74" i="11"/>
  <c r="X76" i="11" s="1"/>
  <c r="V76" i="11"/>
  <c r="AA74" i="11"/>
  <c r="AA76" i="11" s="1"/>
  <c r="W74" i="11"/>
  <c r="X129" i="11"/>
  <c r="X134" i="11" s="1"/>
  <c r="V134" i="11"/>
  <c r="Y129" i="11"/>
  <c r="Y134" i="11" s="1"/>
  <c r="W129" i="11"/>
  <c r="AA129" i="11"/>
  <c r="AA134" i="11" s="1"/>
  <c r="Z129" i="11"/>
  <c r="Z134" i="11" s="1"/>
  <c r="AG262" i="11"/>
  <c r="AI262" i="11" s="1"/>
  <c r="AJ262" i="11" s="1"/>
  <c r="Y542" i="11"/>
  <c r="W655" i="11"/>
  <c r="AG650" i="11"/>
  <c r="R76" i="15"/>
  <c r="V74" i="15"/>
  <c r="R186" i="15"/>
  <c r="V172" i="15"/>
  <c r="V313" i="15"/>
  <c r="R315" i="15"/>
  <c r="AA604" i="15"/>
  <c r="AJ201" i="11"/>
  <c r="AJ224" i="11" s="1"/>
  <c r="W277" i="11"/>
  <c r="AG296" i="11"/>
  <c r="AI296" i="11" s="1"/>
  <c r="AJ296" i="11" s="1"/>
  <c r="W297" i="11"/>
  <c r="W499" i="11"/>
  <c r="AG402" i="11"/>
  <c r="V550" i="11"/>
  <c r="R555" i="11"/>
  <c r="Y221" i="15"/>
  <c r="R525" i="15"/>
  <c r="V524" i="15"/>
  <c r="W150" i="11"/>
  <c r="AG149" i="11"/>
  <c r="AI149" i="11" s="1"/>
  <c r="AJ149" i="11" s="1"/>
  <c r="W47" i="11"/>
  <c r="AG40" i="11"/>
  <c r="AI40" i="11" s="1"/>
  <c r="X398" i="11"/>
  <c r="AI143" i="11"/>
  <c r="AJ138" i="11"/>
  <c r="AJ143" i="11" s="1"/>
  <c r="W255" i="11"/>
  <c r="AG254" i="11"/>
  <c r="AI254" i="11" s="1"/>
  <c r="AJ254" i="11" s="1"/>
  <c r="Y306" i="11"/>
  <c r="Y308" i="11" s="1"/>
  <c r="X306" i="11"/>
  <c r="X308" i="11" s="1"/>
  <c r="AA306" i="11"/>
  <c r="AA308" i="11" s="1"/>
  <c r="W306" i="11"/>
  <c r="V308" i="11"/>
  <c r="Z306" i="11"/>
  <c r="Z308" i="11" s="1"/>
  <c r="AG564" i="11"/>
  <c r="AA688" i="11"/>
  <c r="AA695" i="11" s="1"/>
  <c r="W688" i="11"/>
  <c r="Z688" i="11"/>
  <c r="Z695" i="11" s="1"/>
  <c r="Y688" i="11"/>
  <c r="Y695" i="11" s="1"/>
  <c r="V695" i="11"/>
  <c r="X688" i="11"/>
  <c r="X695" i="11" s="1"/>
  <c r="R542" i="15"/>
  <c r="V539" i="15"/>
  <c r="R587" i="15"/>
  <c r="V574" i="15"/>
  <c r="R637" i="15"/>
  <c r="V624" i="15"/>
  <c r="AI189" i="11"/>
  <c r="AJ172" i="11"/>
  <c r="AJ189" i="11" s="1"/>
  <c r="AI198" i="11"/>
  <c r="AJ193" i="11"/>
  <c r="AJ198" i="11" s="1"/>
  <c r="AG393" i="11"/>
  <c r="AI393" i="11" s="1"/>
  <c r="AJ393" i="11" s="1"/>
  <c r="W547" i="11"/>
  <c r="AG546" i="11"/>
  <c r="AI546" i="11" s="1"/>
  <c r="AJ546" i="11" s="1"/>
  <c r="W609" i="11"/>
  <c r="Z609" i="11"/>
  <c r="Z621" i="11" s="1"/>
  <c r="Y609" i="11"/>
  <c r="Y621" i="11" s="1"/>
  <c r="V621" i="11"/>
  <c r="X609" i="11"/>
  <c r="X621" i="11" s="1"/>
  <c r="AG540" i="11"/>
  <c r="AI540" i="11" s="1"/>
  <c r="AJ540" i="11" s="1"/>
  <c r="V131" i="15"/>
  <c r="R134" i="15"/>
  <c r="V301" i="15"/>
  <c r="R303" i="15"/>
  <c r="AA504" i="15"/>
  <c r="Z504" i="15"/>
  <c r="V528" i="15"/>
  <c r="R535" i="15"/>
  <c r="R620" i="15"/>
  <c r="V608" i="15"/>
  <c r="X542" i="11"/>
  <c r="V575" i="11"/>
  <c r="R588" i="11"/>
  <c r="V565" i="11"/>
  <c r="R569" i="11"/>
  <c r="R142" i="15"/>
  <c r="V138" i="15"/>
  <c r="AC711" i="15"/>
  <c r="R275" i="15"/>
  <c r="V259" i="15"/>
  <c r="R547" i="15"/>
  <c r="V546" i="15"/>
  <c r="AG9" i="11"/>
  <c r="W16" i="11"/>
  <c r="AG206" i="11"/>
  <c r="AI206" i="11" s="1"/>
  <c r="AJ206" i="11" s="1"/>
  <c r="W523" i="11"/>
  <c r="AG522" i="11"/>
  <c r="AI522" i="11" s="1"/>
  <c r="AJ522" i="11" s="1"/>
  <c r="W532" i="11"/>
  <c r="AG525" i="11"/>
  <c r="Z221" i="15"/>
  <c r="W221" i="15"/>
  <c r="W222" i="15" s="1"/>
  <c r="AI150" i="11"/>
  <c r="AJ146" i="11"/>
  <c r="AJ150" i="11" s="1"/>
  <c r="Y398" i="11"/>
  <c r="W143" i="11"/>
  <c r="AG142" i="11"/>
  <c r="AI142" i="11" s="1"/>
  <c r="AJ142" i="11" s="1"/>
  <c r="V316" i="11"/>
  <c r="R318" i="11"/>
  <c r="Y510" i="11"/>
  <c r="Y517" i="11" s="1"/>
  <c r="Y518" i="11" s="1"/>
  <c r="Z510" i="11"/>
  <c r="Z517" i="11" s="1"/>
  <c r="X510" i="11"/>
  <c r="X517" i="11" s="1"/>
  <c r="W510" i="11"/>
  <c r="V517" i="11"/>
  <c r="V518" i="11" s="1"/>
  <c r="U518" i="11" s="1"/>
  <c r="AA510" i="11"/>
  <c r="AA517" i="11" s="1"/>
  <c r="W97" i="15"/>
  <c r="W98" i="15"/>
  <c r="V513" i="15"/>
  <c r="R520" i="15"/>
  <c r="X513" i="15" l="1"/>
  <c r="X520" i="15" s="1"/>
  <c r="W513" i="15"/>
  <c r="W520" i="15" s="1"/>
  <c r="AA513" i="15"/>
  <c r="AA520" i="15" s="1"/>
  <c r="Z513" i="15"/>
  <c r="Z520" i="15" s="1"/>
  <c r="V520" i="15"/>
  <c r="Y513" i="15"/>
  <c r="Y520" i="15" s="1"/>
  <c r="Y521" i="15" s="1"/>
  <c r="X138" i="15"/>
  <c r="X142" i="15" s="1"/>
  <c r="V142" i="15"/>
  <c r="W138" i="15"/>
  <c r="W142" i="15" s="1"/>
  <c r="W143" i="15" s="1"/>
  <c r="Y138" i="15"/>
  <c r="Y142" i="15" s="1"/>
  <c r="Z138" i="15"/>
  <c r="Z142" i="15" s="1"/>
  <c r="V587" i="15"/>
  <c r="Z574" i="15"/>
  <c r="Z587" i="15" s="1"/>
  <c r="X574" i="15"/>
  <c r="X587" i="15" s="1"/>
  <c r="Y574" i="15"/>
  <c r="Y587" i="15" s="1"/>
  <c r="W574" i="15"/>
  <c r="W587" i="15" s="1"/>
  <c r="AI9" i="11"/>
  <c r="AG16" i="11"/>
  <c r="AI16" i="11" s="1"/>
  <c r="V275" i="15"/>
  <c r="AA259" i="15"/>
  <c r="AA275" i="15" s="1"/>
  <c r="W259" i="15"/>
  <c r="W275" i="15" s="1"/>
  <c r="Z259" i="15"/>
  <c r="Z275" i="15" s="1"/>
  <c r="Y259" i="15"/>
  <c r="Y275" i="15" s="1"/>
  <c r="X259" i="15"/>
  <c r="X275" i="15" s="1"/>
  <c r="Z575" i="11"/>
  <c r="Z588" i="11" s="1"/>
  <c r="V588" i="11"/>
  <c r="Y575" i="11"/>
  <c r="Y588" i="11" s="1"/>
  <c r="X575" i="11"/>
  <c r="X588" i="11" s="1"/>
  <c r="W575" i="11"/>
  <c r="D21" i="14"/>
  <c r="E21" i="14" s="1"/>
  <c r="X301" i="15"/>
  <c r="X303" i="15" s="1"/>
  <c r="W301" i="15"/>
  <c r="W303" i="15" s="1"/>
  <c r="AA301" i="15"/>
  <c r="AA303" i="15" s="1"/>
  <c r="V303" i="15"/>
  <c r="Z301" i="15"/>
  <c r="Z303" i="15" s="1"/>
  <c r="Y301" i="15"/>
  <c r="Y303" i="15" s="1"/>
  <c r="AG609" i="11"/>
  <c r="W621" i="11"/>
  <c r="W517" i="11"/>
  <c r="AG510" i="11"/>
  <c r="W61" i="11"/>
  <c r="AG60" i="11"/>
  <c r="AI60" i="11" s="1"/>
  <c r="AJ60" i="11" s="1"/>
  <c r="Z316" i="11"/>
  <c r="Z318" i="11" s="1"/>
  <c r="Y316" i="11"/>
  <c r="Y318" i="11" s="1"/>
  <c r="V318" i="11"/>
  <c r="X316" i="11"/>
  <c r="X318" i="11" s="1"/>
  <c r="AA316" i="11"/>
  <c r="AA318" i="11" s="1"/>
  <c r="W316" i="11"/>
  <c r="W533" i="11"/>
  <c r="AG532" i="11"/>
  <c r="AI532" i="11" s="1"/>
  <c r="AJ532" i="11" s="1"/>
  <c r="V547" i="15"/>
  <c r="X546" i="15"/>
  <c r="X547" i="15" s="1"/>
  <c r="AA546" i="15"/>
  <c r="AA547" i="15" s="1"/>
  <c r="W546" i="15"/>
  <c r="W547" i="15" s="1"/>
  <c r="Y546" i="15"/>
  <c r="Y547" i="15" s="1"/>
  <c r="Z546" i="15"/>
  <c r="Z547" i="15" s="1"/>
  <c r="Z565" i="11"/>
  <c r="Z569" i="11" s="1"/>
  <c r="Y565" i="11"/>
  <c r="Y569" i="11" s="1"/>
  <c r="X565" i="11"/>
  <c r="X569" i="11" s="1"/>
  <c r="AA565" i="11"/>
  <c r="AA569" i="11" s="1"/>
  <c r="W565" i="11"/>
  <c r="V569" i="11"/>
  <c r="Z131" i="15"/>
  <c r="Z134" i="15" s="1"/>
  <c r="AA131" i="15"/>
  <c r="AA134" i="15" s="1"/>
  <c r="W131" i="15"/>
  <c r="W134" i="15" s="1"/>
  <c r="W135" i="15" s="1"/>
  <c r="X131" i="15"/>
  <c r="X134" i="15" s="1"/>
  <c r="Y131" i="15"/>
  <c r="Y134" i="15" s="1"/>
  <c r="V134" i="15"/>
  <c r="W548" i="11"/>
  <c r="AG547" i="11"/>
  <c r="AI547" i="11" s="1"/>
  <c r="AJ547" i="11" s="1"/>
  <c r="AI564" i="11"/>
  <c r="AG306" i="11"/>
  <c r="AI306" i="11" s="1"/>
  <c r="AJ306" i="11" s="1"/>
  <c r="W308" i="11"/>
  <c r="AG500" i="11"/>
  <c r="AI402" i="11"/>
  <c r="W278" i="11"/>
  <c r="AG277" i="11"/>
  <c r="AI277" i="11" s="1"/>
  <c r="AJ277" i="11" s="1"/>
  <c r="AI224" i="11"/>
  <c r="Z313" i="15"/>
  <c r="Z315" i="15" s="1"/>
  <c r="X313" i="15"/>
  <c r="X315" i="15" s="1"/>
  <c r="W313" i="15"/>
  <c r="W315" i="15" s="1"/>
  <c r="W316" i="15" s="1"/>
  <c r="V315" i="15"/>
  <c r="AA313" i="15"/>
  <c r="AA315" i="15" s="1"/>
  <c r="Y313" i="15"/>
  <c r="Y315" i="15" s="1"/>
  <c r="W656" i="11"/>
  <c r="AG655" i="11"/>
  <c r="AI655" i="11" s="1"/>
  <c r="AJ655" i="11" s="1"/>
  <c r="AI126" i="11"/>
  <c r="AI108" i="11"/>
  <c r="AJ102" i="11"/>
  <c r="AJ108" i="11" s="1"/>
  <c r="AA102" i="15"/>
  <c r="AA107" i="15" s="1"/>
  <c r="W102" i="15"/>
  <c r="W107" i="15" s="1"/>
  <c r="W108" i="15" s="1"/>
  <c r="V107" i="15"/>
  <c r="X102" i="15"/>
  <c r="X107" i="15" s="1"/>
  <c r="Z102" i="15"/>
  <c r="Z107" i="15" s="1"/>
  <c r="Y102" i="15"/>
  <c r="Y107" i="15" s="1"/>
  <c r="C24" i="14"/>
  <c r="W310" i="15"/>
  <c r="AG399" i="11"/>
  <c r="AI327" i="11"/>
  <c r="W556" i="15"/>
  <c r="AI278" i="11"/>
  <c r="X324" i="15"/>
  <c r="X326" i="15" s="1"/>
  <c r="AA324" i="15"/>
  <c r="AA326" i="15" s="1"/>
  <c r="V326" i="15"/>
  <c r="Z324" i="15"/>
  <c r="Z326" i="15" s="1"/>
  <c r="Y324" i="15"/>
  <c r="Y326" i="15" s="1"/>
  <c r="W324" i="15"/>
  <c r="W326" i="15" s="1"/>
  <c r="Z112" i="15"/>
  <c r="Z125" i="15" s="1"/>
  <c r="AA112" i="15"/>
  <c r="AA125" i="15" s="1"/>
  <c r="W112" i="15"/>
  <c r="W125" i="15" s="1"/>
  <c r="W126" i="15" s="1"/>
  <c r="Y112" i="15"/>
  <c r="Y125" i="15" s="1"/>
  <c r="X112" i="15"/>
  <c r="X125" i="15" s="1"/>
  <c r="V125" i="15"/>
  <c r="W314" i="11"/>
  <c r="AG313" i="11"/>
  <c r="AI313" i="11" s="1"/>
  <c r="AJ313" i="11" s="1"/>
  <c r="AI20" i="11"/>
  <c r="AG37" i="11"/>
  <c r="AG688" i="11"/>
  <c r="AI688" i="11" s="1"/>
  <c r="AJ688" i="11" s="1"/>
  <c r="W695" i="11"/>
  <c r="AI48" i="11"/>
  <c r="AJ40" i="11"/>
  <c r="AJ48" i="11" s="1"/>
  <c r="X524" i="15"/>
  <c r="Z524" i="15"/>
  <c r="V525" i="15"/>
  <c r="Y524" i="15"/>
  <c r="W524" i="15"/>
  <c r="AA524" i="15"/>
  <c r="AG499" i="11"/>
  <c r="AI499" i="11" s="1"/>
  <c r="AJ499" i="11" s="1"/>
  <c r="W500" i="11"/>
  <c r="V186" i="15"/>
  <c r="X172" i="15"/>
  <c r="X186" i="15" s="1"/>
  <c r="W172" i="15"/>
  <c r="W186" i="15" s="1"/>
  <c r="W187" i="15" s="1"/>
  <c r="Y172" i="15"/>
  <c r="Y186" i="15" s="1"/>
  <c r="Z172" i="15"/>
  <c r="Z186" i="15" s="1"/>
  <c r="AG129" i="11"/>
  <c r="AI129" i="11" s="1"/>
  <c r="W134" i="11"/>
  <c r="W76" i="11"/>
  <c r="AG74" i="11"/>
  <c r="AI74" i="11" s="1"/>
  <c r="AJ74" i="11" s="1"/>
  <c r="AI64" i="11"/>
  <c r="AJ64" i="11"/>
  <c r="W108" i="11"/>
  <c r="AG107" i="11"/>
  <c r="AI107" i="11" s="1"/>
  <c r="AJ107" i="11" s="1"/>
  <c r="C5" i="14"/>
  <c r="Z40" i="15"/>
  <c r="Z47" i="15" s="1"/>
  <c r="AA40" i="15"/>
  <c r="AA47" i="15" s="1"/>
  <c r="V47" i="15"/>
  <c r="Y40" i="15"/>
  <c r="Y47" i="15" s="1"/>
  <c r="X40" i="15"/>
  <c r="X47" i="15" s="1"/>
  <c r="W40" i="15"/>
  <c r="W47" i="15" s="1"/>
  <c r="W48" i="15" s="1"/>
  <c r="W399" i="11"/>
  <c r="AG398" i="11"/>
  <c r="AI398" i="11" s="1"/>
  <c r="AJ398" i="11" s="1"/>
  <c r="V292" i="15"/>
  <c r="AA280" i="15"/>
  <c r="AA292" i="15" s="1"/>
  <c r="W280" i="15"/>
  <c r="W292" i="15" s="1"/>
  <c r="Y280" i="15"/>
  <c r="Y292" i="15" s="1"/>
  <c r="X280" i="15"/>
  <c r="X292" i="15" s="1"/>
  <c r="Z280" i="15"/>
  <c r="Z292" i="15" s="1"/>
  <c r="AJ278" i="11"/>
  <c r="Z91" i="11"/>
  <c r="Z96" i="11" s="1"/>
  <c r="V96" i="11"/>
  <c r="Y91" i="11"/>
  <c r="Y96" i="11" s="1"/>
  <c r="X91" i="11"/>
  <c r="X96" i="11" s="1"/>
  <c r="AA91" i="11"/>
  <c r="AA96" i="11" s="1"/>
  <c r="W91" i="11"/>
  <c r="V692" i="15"/>
  <c r="X685" i="15"/>
  <c r="X692" i="15" s="1"/>
  <c r="Z685" i="15"/>
  <c r="Z692" i="15" s="1"/>
  <c r="AA685" i="15"/>
  <c r="AA692" i="15" s="1"/>
  <c r="Y685" i="15"/>
  <c r="Y692" i="15" s="1"/>
  <c r="W685" i="15"/>
  <c r="W692" i="15" s="1"/>
  <c r="W693" i="15" s="1"/>
  <c r="V401" i="15"/>
  <c r="W330" i="15"/>
  <c r="W401" i="15" s="1"/>
  <c r="W402" i="15" s="1"/>
  <c r="Y330" i="15"/>
  <c r="Y401" i="15" s="1"/>
  <c r="X330" i="15"/>
  <c r="X401" i="15" s="1"/>
  <c r="Z330" i="15"/>
  <c r="Z401" i="15" s="1"/>
  <c r="R16" i="15"/>
  <c r="R710" i="15" s="1"/>
  <c r="V9" i="15"/>
  <c r="X146" i="15"/>
  <c r="X149" i="15" s="1"/>
  <c r="W146" i="15"/>
  <c r="W149" i="15" s="1"/>
  <c r="V149" i="15"/>
  <c r="Y146" i="15"/>
  <c r="Y149" i="15" s="1"/>
  <c r="Z146" i="15"/>
  <c r="Z149" i="15" s="1"/>
  <c r="X226" i="15"/>
  <c r="X237" i="15" s="1"/>
  <c r="AA226" i="15"/>
  <c r="AA237" i="15" s="1"/>
  <c r="Z226" i="15"/>
  <c r="Z237" i="15" s="1"/>
  <c r="Y226" i="15"/>
  <c r="Y237" i="15" s="1"/>
  <c r="V237" i="15"/>
  <c r="W226" i="15"/>
  <c r="W237" i="15" s="1"/>
  <c r="W238" i="15" s="1"/>
  <c r="AI248" i="11"/>
  <c r="AJ242" i="11"/>
  <c r="AJ248" i="11" s="1"/>
  <c r="V157" i="15"/>
  <c r="W154" i="15"/>
  <c r="W157" i="15" s="1"/>
  <c r="W158" i="15" s="1"/>
  <c r="Z154" i="15"/>
  <c r="Z157" i="15" s="1"/>
  <c r="X154" i="15"/>
  <c r="X157" i="15" s="1"/>
  <c r="Y154" i="15"/>
  <c r="Y157" i="15" s="1"/>
  <c r="AG543" i="11"/>
  <c r="AI539" i="11"/>
  <c r="AI281" i="11"/>
  <c r="AG294" i="11"/>
  <c r="AI239" i="11"/>
  <c r="AJ227" i="11"/>
  <c r="AJ239" i="11" s="1"/>
  <c r="R572" i="11"/>
  <c r="AI523" i="11"/>
  <c r="AJ521" i="11"/>
  <c r="AJ523" i="11" s="1"/>
  <c r="W17" i="11"/>
  <c r="Z528" i="15"/>
  <c r="Z535" i="15" s="1"/>
  <c r="Y528" i="15"/>
  <c r="Y535" i="15" s="1"/>
  <c r="V535" i="15"/>
  <c r="X528" i="15"/>
  <c r="X535" i="15" s="1"/>
  <c r="W528" i="15"/>
  <c r="W535" i="15" s="1"/>
  <c r="AA528" i="15"/>
  <c r="AA535" i="15" s="1"/>
  <c r="W48" i="11"/>
  <c r="AG47" i="11"/>
  <c r="AI47" i="11" s="1"/>
  <c r="AJ47" i="11" s="1"/>
  <c r="AG297" i="11"/>
  <c r="AI297" i="11" s="1"/>
  <c r="AJ297" i="11" s="1"/>
  <c r="W298" i="11"/>
  <c r="AI55" i="11"/>
  <c r="AI61" i="11" s="1"/>
  <c r="AJ55" i="11"/>
  <c r="AJ61" i="11" s="1"/>
  <c r="W569" i="15"/>
  <c r="X82" i="15"/>
  <c r="X87" i="15" s="1"/>
  <c r="Y82" i="15"/>
  <c r="Y87" i="15" s="1"/>
  <c r="Z82" i="15"/>
  <c r="Z87" i="15" s="1"/>
  <c r="W82" i="15"/>
  <c r="W87" i="15" s="1"/>
  <c r="W88" i="15" s="1"/>
  <c r="V87" i="15"/>
  <c r="AA82" i="15"/>
  <c r="AA87" i="15" s="1"/>
  <c r="W507" i="11"/>
  <c r="AG504" i="11"/>
  <c r="W165" i="11"/>
  <c r="AG164" i="11"/>
  <c r="AI164" i="11" s="1"/>
  <c r="AJ164" i="11" s="1"/>
  <c r="Z249" i="15"/>
  <c r="Z253" i="15" s="1"/>
  <c r="V253" i="15"/>
  <c r="X249" i="15"/>
  <c r="X253" i="15" s="1"/>
  <c r="AA249" i="15"/>
  <c r="AA253" i="15" s="1"/>
  <c r="W249" i="15"/>
  <c r="W253" i="15" s="1"/>
  <c r="W254" i="15" s="1"/>
  <c r="Y249" i="15"/>
  <c r="Y253" i="15" s="1"/>
  <c r="W248" i="11"/>
  <c r="AG247" i="11"/>
  <c r="AI247" i="11" s="1"/>
  <c r="AJ247" i="11" s="1"/>
  <c r="W71" i="15"/>
  <c r="AG639" i="11"/>
  <c r="W543" i="11"/>
  <c r="AG542" i="11"/>
  <c r="AI542" i="11" s="1"/>
  <c r="AJ542" i="11" s="1"/>
  <c r="W294" i="11"/>
  <c r="AG293" i="11"/>
  <c r="AI293" i="11" s="1"/>
  <c r="AJ293" i="11" s="1"/>
  <c r="W239" i="11"/>
  <c r="AG238" i="11"/>
  <c r="AI238" i="11" s="1"/>
  <c r="AJ238" i="11" s="1"/>
  <c r="AA82" i="11"/>
  <c r="AA87" i="11" s="1"/>
  <c r="W82" i="11"/>
  <c r="V87" i="11"/>
  <c r="Z82" i="11"/>
  <c r="Z87" i="11" s="1"/>
  <c r="Y82" i="11"/>
  <c r="Y87" i="11" s="1"/>
  <c r="X82" i="11"/>
  <c r="X87" i="11" s="1"/>
  <c r="AG533" i="11"/>
  <c r="AI525" i="11"/>
  <c r="W608" i="15"/>
  <c r="W620" i="15" s="1"/>
  <c r="V620" i="15"/>
  <c r="Y608" i="15"/>
  <c r="Y620" i="15" s="1"/>
  <c r="Z608" i="15"/>
  <c r="Z620" i="15" s="1"/>
  <c r="X608" i="15"/>
  <c r="X620" i="15" s="1"/>
  <c r="V637" i="15"/>
  <c r="Z624" i="15"/>
  <c r="Z637" i="15" s="1"/>
  <c r="Y624" i="15"/>
  <c r="Y637" i="15" s="1"/>
  <c r="X624" i="15"/>
  <c r="X637" i="15" s="1"/>
  <c r="W624" i="15"/>
  <c r="W637" i="15" s="1"/>
  <c r="W638" i="15" s="1"/>
  <c r="Y539" i="15"/>
  <c r="Y542" i="15" s="1"/>
  <c r="V542" i="15"/>
  <c r="X539" i="15"/>
  <c r="X542" i="15" s="1"/>
  <c r="Z539" i="15"/>
  <c r="Z542" i="15" s="1"/>
  <c r="AA539" i="15"/>
  <c r="AA542" i="15" s="1"/>
  <c r="W539" i="15"/>
  <c r="W542" i="15" s="1"/>
  <c r="W543" i="15" s="1"/>
  <c r="Z550" i="11"/>
  <c r="Z555" i="11" s="1"/>
  <c r="Y550" i="11"/>
  <c r="Y555" i="11" s="1"/>
  <c r="V555" i="11"/>
  <c r="AA550" i="11"/>
  <c r="AA555" i="11" s="1"/>
  <c r="W550" i="11"/>
  <c r="X550" i="11"/>
  <c r="X555" i="11" s="1"/>
  <c r="V76" i="15"/>
  <c r="Y74" i="15"/>
  <c r="Y76" i="15" s="1"/>
  <c r="Z74" i="15"/>
  <c r="Z76" i="15" s="1"/>
  <c r="AA74" i="15"/>
  <c r="AA76" i="15" s="1"/>
  <c r="X74" i="15"/>
  <c r="X76" i="15" s="1"/>
  <c r="W74" i="15"/>
  <c r="W76" i="15" s="1"/>
  <c r="W605" i="11"/>
  <c r="AG592" i="11"/>
  <c r="AI165" i="11"/>
  <c r="AJ160" i="11"/>
  <c r="AJ165" i="11" s="1"/>
  <c r="Z66" i="11"/>
  <c r="Z70" i="11" s="1"/>
  <c r="Z714" i="11" s="1"/>
  <c r="Z716" i="11" s="1"/>
  <c r="Y66" i="11"/>
  <c r="Y70" i="11" s="1"/>
  <c r="Y714" i="11" s="1"/>
  <c r="Y716" i="11" s="1"/>
  <c r="X66" i="11"/>
  <c r="X70" i="11" s="1"/>
  <c r="X714" i="11" s="1"/>
  <c r="X716" i="11" s="1"/>
  <c r="AA66" i="11"/>
  <c r="AA70" i="11" s="1"/>
  <c r="W66" i="11"/>
  <c r="V70" i="11"/>
  <c r="AG301" i="11"/>
  <c r="AI301" i="11" s="1"/>
  <c r="AJ301" i="11" s="1"/>
  <c r="W303" i="11"/>
  <c r="W157" i="11"/>
  <c r="AG154" i="11"/>
  <c r="AI154" i="11" s="1"/>
  <c r="V510" i="15"/>
  <c r="Y507" i="15"/>
  <c r="Y510" i="15" s="1"/>
  <c r="W507" i="15"/>
  <c r="W510" i="15" s="1"/>
  <c r="W511" i="15" s="1"/>
  <c r="AA507" i="15"/>
  <c r="AA510" i="15" s="1"/>
  <c r="Z507" i="15"/>
  <c r="Z510" i="15" s="1"/>
  <c r="X507" i="15"/>
  <c r="X510" i="15" s="1"/>
  <c r="AG321" i="11"/>
  <c r="AI321" i="11" s="1"/>
  <c r="AJ321" i="11" s="1"/>
  <c r="W323" i="11"/>
  <c r="V604" i="15"/>
  <c r="W591" i="15"/>
  <c r="W604" i="15" s="1"/>
  <c r="W605" i="15" s="1"/>
  <c r="Y591" i="15"/>
  <c r="Y604" i="15" s="1"/>
  <c r="Z591" i="15"/>
  <c r="Z604" i="15" s="1"/>
  <c r="X591" i="15"/>
  <c r="X604" i="15" s="1"/>
  <c r="X160" i="15"/>
  <c r="X164" i="15" s="1"/>
  <c r="V164" i="15"/>
  <c r="W160" i="15"/>
  <c r="W164" i="15" s="1"/>
  <c r="Y160" i="15"/>
  <c r="Y164" i="15" s="1"/>
  <c r="Z160" i="15"/>
  <c r="Z164" i="15" s="1"/>
  <c r="V246" i="15"/>
  <c r="X241" i="15"/>
  <c r="X246" i="15" s="1"/>
  <c r="AA241" i="15"/>
  <c r="AA246" i="15" s="1"/>
  <c r="Z241" i="15"/>
  <c r="Z246" i="15" s="1"/>
  <c r="Y241" i="15"/>
  <c r="Y246" i="15" s="1"/>
  <c r="W241" i="15"/>
  <c r="W246" i="15" s="1"/>
  <c r="W247" i="15" s="1"/>
  <c r="W705" i="11"/>
  <c r="AG700" i="11"/>
  <c r="AI700" i="11" s="1"/>
  <c r="AJ700" i="11" s="1"/>
  <c r="V320" i="15"/>
  <c r="Y318" i="15"/>
  <c r="Y320" i="15" s="1"/>
  <c r="W318" i="15"/>
  <c r="W320" i="15" s="1"/>
  <c r="W321" i="15" s="1"/>
  <c r="AA318" i="15"/>
  <c r="AA320" i="15" s="1"/>
  <c r="Z318" i="15"/>
  <c r="Z320" i="15" s="1"/>
  <c r="X318" i="15"/>
  <c r="X320" i="15" s="1"/>
  <c r="W196" i="15"/>
  <c r="V36" i="15"/>
  <c r="Z20" i="15"/>
  <c r="Z36" i="15" s="1"/>
  <c r="X20" i="15"/>
  <c r="X36" i="15" s="1"/>
  <c r="W20" i="15"/>
  <c r="W36" i="15" s="1"/>
  <c r="W37" i="15" s="1"/>
  <c r="AA20" i="15"/>
  <c r="AA36" i="15" s="1"/>
  <c r="Y20" i="15"/>
  <c r="Y36" i="15" s="1"/>
  <c r="AI639" i="11"/>
  <c r="AJ625" i="11"/>
  <c r="AJ639" i="11" s="1"/>
  <c r="W37" i="11"/>
  <c r="AG36" i="11"/>
  <c r="AI36" i="11" s="1"/>
  <c r="AJ36" i="11" s="1"/>
  <c r="W706" i="11" l="1"/>
  <c r="AG705" i="11"/>
  <c r="AI705" i="11" s="1"/>
  <c r="AJ705" i="11" s="1"/>
  <c r="AG323" i="11"/>
  <c r="AI323" i="11" s="1"/>
  <c r="AJ323" i="11" s="1"/>
  <c r="W324" i="11"/>
  <c r="AG303" i="11"/>
  <c r="AI303" i="11" s="1"/>
  <c r="AJ303" i="11" s="1"/>
  <c r="W304" i="11"/>
  <c r="AA714" i="11"/>
  <c r="AA716" i="11" s="1"/>
  <c r="W77" i="15"/>
  <c r="W555" i="11"/>
  <c r="AG550" i="11"/>
  <c r="W621" i="15"/>
  <c r="D10" i="14"/>
  <c r="E10" i="14" s="1"/>
  <c r="AJ539" i="11"/>
  <c r="AJ543" i="11" s="1"/>
  <c r="AI543" i="11"/>
  <c r="W150" i="15"/>
  <c r="V16" i="15"/>
  <c r="V710" i="15" s="1"/>
  <c r="Y9" i="15"/>
  <c r="Y16" i="15" s="1"/>
  <c r="X9" i="15"/>
  <c r="X16" i="15" s="1"/>
  <c r="W9" i="15"/>
  <c r="W16" i="15" s="1"/>
  <c r="Z9" i="15"/>
  <c r="Z16" i="15" s="1"/>
  <c r="W96" i="11"/>
  <c r="AG91" i="11"/>
  <c r="AI91" i="11" s="1"/>
  <c r="W293" i="15"/>
  <c r="C23" i="14"/>
  <c r="C26" i="14" s="1"/>
  <c r="W77" i="11"/>
  <c r="AG76" i="11"/>
  <c r="AI76" i="11" s="1"/>
  <c r="AJ76" i="11" s="1"/>
  <c r="W327" i="15"/>
  <c r="AI399" i="11"/>
  <c r="AJ327" i="11"/>
  <c r="AJ399" i="11" s="1"/>
  <c r="AG308" i="11"/>
  <c r="AI308" i="11" s="1"/>
  <c r="AJ308" i="11" s="1"/>
  <c r="W309" i="11"/>
  <c r="W622" i="11"/>
  <c r="AG621" i="11"/>
  <c r="AI621" i="11" s="1"/>
  <c r="AJ621" i="11" s="1"/>
  <c r="W521" i="15"/>
  <c r="AJ525" i="11"/>
  <c r="AJ533" i="11" s="1"/>
  <c r="AI533" i="11"/>
  <c r="AG134" i="11"/>
  <c r="AI134" i="11" s="1"/>
  <c r="AJ134" i="11" s="1"/>
  <c r="W135" i="11"/>
  <c r="AJ402" i="11"/>
  <c r="AJ500" i="11" s="1"/>
  <c r="AI500" i="11"/>
  <c r="AG565" i="11"/>
  <c r="W569" i="11"/>
  <c r="W318" i="11"/>
  <c r="AG316" i="11"/>
  <c r="AI316" i="11" s="1"/>
  <c r="AJ316" i="11" s="1"/>
  <c r="AG622" i="11"/>
  <c r="AI609" i="11"/>
  <c r="AJ16" i="11"/>
  <c r="AI504" i="11"/>
  <c r="AG508" i="11"/>
  <c r="AI158" i="11"/>
  <c r="AJ154" i="11"/>
  <c r="AJ158" i="11" s="1"/>
  <c r="V714" i="11"/>
  <c r="V572" i="11"/>
  <c r="AI592" i="11"/>
  <c r="AG606" i="11"/>
  <c r="W87" i="11"/>
  <c r="AG82" i="11"/>
  <c r="AI82" i="11" s="1"/>
  <c r="D11" i="14"/>
  <c r="E11" i="14" s="1"/>
  <c r="AG507" i="11"/>
  <c r="AI507" i="11" s="1"/>
  <c r="AJ507" i="11" s="1"/>
  <c r="W508" i="11"/>
  <c r="W536" i="15"/>
  <c r="AI135" i="11"/>
  <c r="AJ129" i="11"/>
  <c r="AJ135" i="11" s="1"/>
  <c r="X525" i="15"/>
  <c r="W525" i="15"/>
  <c r="AA525" i="15"/>
  <c r="AA710" i="15" s="1"/>
  <c r="Z525" i="15"/>
  <c r="Y525" i="15"/>
  <c r="AI510" i="11"/>
  <c r="AG518" i="11"/>
  <c r="W304" i="15"/>
  <c r="W588" i="11"/>
  <c r="AG575" i="11"/>
  <c r="W276" i="15"/>
  <c r="AJ9" i="11"/>
  <c r="AJ17" i="11" s="1"/>
  <c r="AI17" i="11"/>
  <c r="W165" i="15"/>
  <c r="W158" i="11"/>
  <c r="AG157" i="11"/>
  <c r="AI157" i="11" s="1"/>
  <c r="AJ157" i="11" s="1"/>
  <c r="AG66" i="11"/>
  <c r="AI66" i="11" s="1"/>
  <c r="AJ66" i="11" s="1"/>
  <c r="AJ71" i="11" s="1"/>
  <c r="W70" i="11"/>
  <c r="W606" i="11"/>
  <c r="AG605" i="11"/>
  <c r="AI605" i="11" s="1"/>
  <c r="AJ605" i="11" s="1"/>
  <c r="AI294" i="11"/>
  <c r="AJ281" i="11"/>
  <c r="AJ294" i="11" s="1"/>
  <c r="W696" i="11"/>
  <c r="AG695" i="11"/>
  <c r="AI695" i="11" s="1"/>
  <c r="AJ695" i="11" s="1"/>
  <c r="W697" i="11"/>
  <c r="AI37" i="11"/>
  <c r="AJ20" i="11"/>
  <c r="AJ37" i="11" s="1"/>
  <c r="AJ564" i="11"/>
  <c r="AG517" i="11"/>
  <c r="AI517" i="11" s="1"/>
  <c r="AJ517" i="11" s="1"/>
  <c r="W518" i="11"/>
  <c r="W588" i="15"/>
  <c r="D13" i="14" l="1"/>
  <c r="E13" i="14" s="1"/>
  <c r="AG589" i="11"/>
  <c r="AI575" i="11"/>
  <c r="AI518" i="11"/>
  <c r="AJ510" i="11"/>
  <c r="AJ518" i="11" s="1"/>
  <c r="AI88" i="11"/>
  <c r="AJ82" i="11"/>
  <c r="AJ88" i="11" s="1"/>
  <c r="AJ504" i="11"/>
  <c r="AI508" i="11"/>
  <c r="W570" i="11"/>
  <c r="AG569" i="11"/>
  <c r="AI569" i="11" s="1"/>
  <c r="AJ569" i="11" s="1"/>
  <c r="Z710" i="15"/>
  <c r="W71" i="11"/>
  <c r="AG70" i="11"/>
  <c r="AI70" i="11" s="1"/>
  <c r="W714" i="11"/>
  <c r="W526" i="15"/>
  <c r="AI71" i="11"/>
  <c r="W88" i="11"/>
  <c r="AG87" i="11"/>
  <c r="AI87" i="11" s="1"/>
  <c r="AJ87" i="11" s="1"/>
  <c r="AG318" i="11"/>
  <c r="AI318" i="11" s="1"/>
  <c r="AJ318" i="11" s="1"/>
  <c r="W319" i="11"/>
  <c r="AI565" i="11"/>
  <c r="AG570" i="11"/>
  <c r="W710" i="15"/>
  <c r="W17" i="15"/>
  <c r="AI97" i="11"/>
  <c r="AJ91" i="11"/>
  <c r="AJ97" i="11" s="1"/>
  <c r="X710" i="15"/>
  <c r="AI550" i="11"/>
  <c r="AG556" i="11"/>
  <c r="W589" i="11"/>
  <c r="AG588" i="11"/>
  <c r="AI588" i="11" s="1"/>
  <c r="AJ588" i="11" s="1"/>
  <c r="G23" i="14"/>
  <c r="G24" i="14" s="1"/>
  <c r="H24" i="14" s="1"/>
  <c r="AI622" i="11"/>
  <c r="AJ609" i="11"/>
  <c r="AJ622" i="11" s="1"/>
  <c r="W98" i="11"/>
  <c r="W97" i="11"/>
  <c r="AG96" i="11"/>
  <c r="AI96" i="11" s="1"/>
  <c r="AJ96" i="11" s="1"/>
  <c r="Y710" i="15"/>
  <c r="W556" i="11"/>
  <c r="AG555" i="11"/>
  <c r="AI555" i="11" s="1"/>
  <c r="AJ555" i="11" s="1"/>
  <c r="AJ592" i="11"/>
  <c r="AJ606" i="11" s="1"/>
  <c r="AI606" i="11"/>
  <c r="D24" i="14" l="1"/>
  <c r="AJ70" i="11"/>
  <c r="AJ714" i="11" s="1"/>
  <c r="AI714" i="11"/>
  <c r="AJ550" i="11"/>
  <c r="AJ556" i="11" s="1"/>
  <c r="AI556" i="11"/>
  <c r="AJ565" i="11"/>
  <c r="AJ570" i="11" s="1"/>
  <c r="AI570" i="11"/>
  <c r="W716" i="11"/>
  <c r="AG714" i="11"/>
  <c r="AJ575" i="11"/>
  <c r="AJ589" i="11" s="1"/>
  <c r="AI589" i="11"/>
  <c r="D19" i="14"/>
  <c r="E19" i="14" s="1"/>
  <c r="D7" i="14"/>
  <c r="E7" i="14" s="1"/>
  <c r="D5" i="14" l="1"/>
  <c r="D23" i="14"/>
  <c r="D26" i="14" s="1"/>
  <c r="E5" i="14"/>
  <c r="E23" i="14" s="1"/>
  <c r="E26" i="14" s="1"/>
</calcChain>
</file>

<file path=xl/comments1.xml><?xml version="1.0" encoding="utf-8"?>
<comments xmlns="http://schemas.openxmlformats.org/spreadsheetml/2006/main">
  <authors>
    <author/>
  </authors>
  <commentList>
    <comment ref="C31" authorId="0">
      <text>
        <r>
          <rPr>
            <sz val="11"/>
            <color rgb="FF000000"/>
            <rFont val="Calibri"/>
          </rPr>
          <t>$50,000 CROSSROADS ISD; $50,000 HELP CENTER
	-Lynn McCawley</t>
        </r>
      </text>
    </comment>
    <comment ref="E31" authorId="0">
      <text>
        <r>
          <rPr>
            <sz val="11"/>
            <color rgb="FF000000"/>
            <rFont val="Calibri"/>
          </rPr>
          <t>$25,000 HelpCenter; $12,598 CrossRoads; $12,293 LaPoynor
	-Lynn McCawley</t>
        </r>
      </text>
    </comment>
    <comment ref="G49" authorId="0">
      <text>
        <r>
          <rPr>
            <sz val="11"/>
            <color rgb="FF000000"/>
            <rFont val="Calibri"/>
          </rPr>
          <t>Per Jessica Brown
	-Lynn McCawley</t>
        </r>
      </text>
    </comment>
    <comment ref="I51" authorId="0">
      <text>
        <r>
          <rPr>
            <sz val="11"/>
            <color rgb="FF000000"/>
            <rFont val="Calibri"/>
          </rPr>
          <t>Same Revenue from City of Athens(received in Fund 290 for '19&amp;'18)
	-Lynn McCawley</t>
        </r>
      </text>
    </comment>
    <comment ref="C69" authorId="0">
      <text>
        <r>
          <rPr>
            <sz val="11"/>
            <color rgb="FF000000"/>
            <rFont val="Calibri"/>
          </rPr>
          <t>2021 Tax Commission is $372,539.96
	-Lynn McCawley</t>
        </r>
      </text>
    </comment>
    <comment ref="C206" authorId="0">
      <text>
        <r>
          <rPr>
            <sz val="11"/>
            <color rgb="FF000000"/>
            <rFont val="Calibri"/>
          </rPr>
          <t>Michael Hannigan $2,000/mo
	-Lynn McCawley</t>
        </r>
      </text>
    </comment>
    <comment ref="E211" authorId="0">
      <text>
        <r>
          <rPr>
            <sz val="11"/>
            <color rgb="FF000000"/>
            <rFont val="Calibri"/>
          </rPr>
          <t>Seven Points office $1,800 mo
	-Lynn McCawley</t>
        </r>
      </text>
    </comment>
    <comment ref="C214" authorId="0">
      <text>
        <r>
          <rPr>
            <sz val="11"/>
            <color rgb="FF000000"/>
            <rFont val="Calibri"/>
          </rPr>
          <t>Moved from Sher Dept 560
	-Lynn McCawley</t>
        </r>
      </text>
    </comment>
    <comment ref="C234" authorId="0">
      <text>
        <r>
          <rPr>
            <sz val="11"/>
            <color rgb="FF000000"/>
            <rFont val="Calibri"/>
          </rPr>
          <t>Andrews Center $44700yr $3725mo
	-Lynn McCawley</t>
        </r>
      </text>
    </comment>
    <comment ref="C340" authorId="0">
      <text>
        <r>
          <rPr>
            <sz val="11"/>
            <color rgb="FF000000"/>
            <rFont val="Calibri"/>
          </rPr>
          <t>Express Contract Services (Workers)
	-Lynn McCawley</t>
        </r>
      </text>
    </comment>
    <comment ref="H340" authorId="0">
      <text>
        <r>
          <rPr>
            <sz val="11"/>
            <color rgb="FF000000"/>
            <rFont val="Calibri"/>
          </rPr>
          <t>Hire temporary employees from Express Services for election.
	-Lynn McCawley</t>
        </r>
      </text>
    </comment>
    <comment ref="C419" authorId="0">
      <text>
        <r>
          <rPr>
            <sz val="11"/>
            <color rgb="FF000000"/>
            <rFont val="Calibri"/>
          </rPr>
          <t>TAC covers Liability ins for CCL judges
	-Lynn McCawley</t>
        </r>
      </text>
    </comment>
    <comment ref="C455" authorId="0">
      <text>
        <r>
          <rPr>
            <sz val="11"/>
            <color rgb="FF000000"/>
            <rFont val="Calibri"/>
          </rPr>
          <t>TAC covers Liability Ins CCL judges
	-Lynn McCawley</t>
        </r>
      </text>
    </comment>
    <comment ref="C651" authorId="0">
      <text>
        <r>
          <rPr>
            <sz val="11"/>
            <color rgb="FF000000"/>
            <rFont val="Calibri"/>
          </rPr>
          <t>Need increase if 2 clerks and judge go to conference, always short.
	-Lynn McCawley</t>
        </r>
      </text>
    </comment>
    <comment ref="C1345" authorId="0">
      <text>
        <r>
          <rPr>
            <sz val="11"/>
            <color rgb="FF000000"/>
            <rFont val="Calibri"/>
          </rPr>
          <t>$280yr Aerobic Septic Inspection
	-Lynn McCawley</t>
        </r>
      </text>
    </comment>
    <comment ref="C1737" authorId="0">
      <text>
        <r>
          <rPr>
            <sz val="11"/>
            <color rgb="FF000000"/>
            <rFont val="Calibri"/>
          </rPr>
          <t>@lmccawley@henderson-county.com 
Need to change description
_Assigned to Lynn McCawley_
	-Wade McKinney</t>
        </r>
      </text>
    </comment>
    <comment ref="C2001" authorId="0">
      <text>
        <r>
          <rPr>
            <sz val="11"/>
            <color rgb="FF000000"/>
            <rFont val="Calibri"/>
          </rPr>
          <t>County Transportation Infastructure Funding.  See expense 200-33800-610
	-Lynn McCawley</t>
        </r>
      </text>
    </comment>
    <comment ref="B2258" authorId="0">
      <text>
        <r>
          <rPr>
            <sz val="11"/>
            <color rgb="FF000000"/>
            <rFont val="Calibri"/>
          </rPr>
          <t>$280yr Aerobic Septic Inspection
	-Lynn McCawley</t>
        </r>
      </text>
    </comment>
    <comment ref="C2579" authorId="0">
      <text>
        <r>
          <rPr>
            <sz val="11"/>
            <color rgb="FF000000"/>
            <rFont val="Calibri"/>
          </rPr>
          <t>Exp charged here, use to be chrg to Building &amp; Grounds - Christie
	-Lynn McCawley</t>
        </r>
      </text>
    </comment>
  </commentList>
</comments>
</file>

<file path=xl/sharedStrings.xml><?xml version="1.0" encoding="utf-8"?>
<sst xmlns="http://schemas.openxmlformats.org/spreadsheetml/2006/main" count="9768" uniqueCount="4320">
  <si>
    <t xml:space="preserve"> </t>
  </si>
  <si>
    <t>Actual</t>
  </si>
  <si>
    <t>%</t>
  </si>
  <si>
    <t>% of</t>
  </si>
  <si>
    <t>Account</t>
  </si>
  <si>
    <t>Description</t>
  </si>
  <si>
    <t>Adopted</t>
  </si>
  <si>
    <t xml:space="preserve">Actuals </t>
  </si>
  <si>
    <t>Revised</t>
  </si>
  <si>
    <t>Actuals</t>
  </si>
  <si>
    <t>Budget</t>
  </si>
  <si>
    <t>Bdgt</t>
  </si>
  <si>
    <t/>
  </si>
  <si>
    <t>REVENUES</t>
  </si>
  <si>
    <t>GENERAL FUND REVENUES</t>
  </si>
  <si>
    <t>100-10000-310</t>
  </si>
  <si>
    <t>CURRENT TAXES</t>
  </si>
  <si>
    <t>100-20000-310</t>
  </si>
  <si>
    <t>DELINQUENT TAXES</t>
  </si>
  <si>
    <t>100-30000-319</t>
  </si>
  <si>
    <t>PENALTY &amp; INTEREST</t>
  </si>
  <si>
    <t>100-10000-320</t>
  </si>
  <si>
    <t>LIQUOR LICENSE</t>
  </si>
  <si>
    <t>100-40000-320</t>
  </si>
  <si>
    <t>ALCOHOL BEVERAGE TAX</t>
  </si>
  <si>
    <t>100-30100-330</t>
  </si>
  <si>
    <t>GRANT: MISCELLANEOUS</t>
  </si>
  <si>
    <t>-</t>
  </si>
  <si>
    <t>100-30200-330</t>
  </si>
  <si>
    <t>TITLE IVE - CWB</t>
  </si>
  <si>
    <t>100-30300-330</t>
  </si>
  <si>
    <t>TITLE IV-E LEGAL</t>
  </si>
  <si>
    <t>100-30500-330</t>
  </si>
  <si>
    <t>GRANT: DA/CA ASST PROS LONGEVITY</t>
  </si>
  <si>
    <t>100-31000-330</t>
  </si>
  <si>
    <t>CCL STATE SUPPLEMENT</t>
  </si>
  <si>
    <t>100-31500-330</t>
  </si>
  <si>
    <t>CO JDG STATE SUPPLEMENT</t>
  </si>
  <si>
    <t>100-31700-330</t>
  </si>
  <si>
    <t>DA STATE SUPPLEMENT</t>
  </si>
  <si>
    <t>100-32000-330</t>
  </si>
  <si>
    <t>EMERGENCY MANAGEMENT</t>
  </si>
  <si>
    <t>100-32100-330</t>
  </si>
  <si>
    <t>CORONAVIRUS RELIEF FUND</t>
  </si>
  <si>
    <t>100-32500-330</t>
  </si>
  <si>
    <t>COMPTROLLER - CAC</t>
  </si>
  <si>
    <t>100-34500-330</t>
  </si>
  <si>
    <t>SOLID WASTE GRANT</t>
  </si>
  <si>
    <t>100-35000-330</t>
  </si>
  <si>
    <t>LEOSE - SHERIFF</t>
  </si>
  <si>
    <t>100-35300-330</t>
  </si>
  <si>
    <t>LEOSE - CONSTABLES</t>
  </si>
  <si>
    <t>100-35500-330</t>
  </si>
  <si>
    <t>LEOSE - FIRE MARSHAL</t>
  </si>
  <si>
    <t>100-36000-330</t>
  </si>
  <si>
    <t>SHERIFF'S SECURITY RESOURCE DEPUTIES</t>
  </si>
  <si>
    <t>100-37600-330</t>
  </si>
  <si>
    <t>SHERIFF'S VINE GRANT</t>
  </si>
  <si>
    <t>100-37700-330</t>
  </si>
  <si>
    <t>AUTO THEFT TASK FORCE</t>
  </si>
  <si>
    <t>100-38000-330</t>
  </si>
  <si>
    <t>ALIEN ASSISTANCE PROG (SCAAP)</t>
  </si>
  <si>
    <t>100-38500-330</t>
  </si>
  <si>
    <t>BULLET PROOF VEST</t>
  </si>
  <si>
    <t>100-39000-330</t>
  </si>
  <si>
    <t>CO ATTY STATE SUPPLEMENT</t>
  </si>
  <si>
    <t>100-39400-330</t>
  </si>
  <si>
    <t>CHAPTER 19 FUNDS</t>
  </si>
  <si>
    <t>100-39500-330</t>
  </si>
  <si>
    <t>GRANT: HAVA</t>
  </si>
  <si>
    <t>100-39700-330</t>
  </si>
  <si>
    <t>GRANT: HAVA CARES</t>
  </si>
  <si>
    <t>100-40000-330</t>
  </si>
  <si>
    <t>PRISONER CARE</t>
  </si>
  <si>
    <t>100-40300-330</t>
  </si>
  <si>
    <t>OUT-OF-COUNTY INMATE HOUSING</t>
  </si>
  <si>
    <t>100-40400-330</t>
  </si>
  <si>
    <t>ICE INMATE HOUSING</t>
  </si>
  <si>
    <t>100-40500-330</t>
  </si>
  <si>
    <t>CRIME VICTIM'S REIMBURSEMENT</t>
  </si>
  <si>
    <t>100-42000-330</t>
  </si>
  <si>
    <t>INDIGENT HEALTH CARE REIMB.</t>
  </si>
  <si>
    <t>100-44000-330</t>
  </si>
  <si>
    <t>INDIGENT DEF. FORMULA</t>
  </si>
  <si>
    <t>100-44500-330</t>
  </si>
  <si>
    <t>IND. DEF. DISCRETIONARY GRANT</t>
  </si>
  <si>
    <t>100-45000-330</t>
  </si>
  <si>
    <t>INMATE TRANSPORTATION</t>
  </si>
  <si>
    <t>100-45500-330</t>
  </si>
  <si>
    <t>VOTING MACHINE LEASE FEES</t>
  </si>
  <si>
    <t>100-46000-330</t>
  </si>
  <si>
    <t>TOBACCO SETTLEMENT</t>
  </si>
  <si>
    <t>100-51000-330</t>
  </si>
  <si>
    <t>FIRST RESPONDER</t>
  </si>
  <si>
    <t>100-60300-330</t>
  </si>
  <si>
    <t>ANIMAL SHELTER SUPPORT</t>
  </si>
  <si>
    <t>100-20000-340</t>
  </si>
  <si>
    <t>COUNTY SHERIFF</t>
  </si>
  <si>
    <t>100-20500-340</t>
  </si>
  <si>
    <t>SHERIFF COURT COSTS</t>
  </si>
  <si>
    <t>100-25000-340</t>
  </si>
  <si>
    <t>COUNTY FIRE MARSHAL</t>
  </si>
  <si>
    <t>100-30000-340</t>
  </si>
  <si>
    <t>COUNTY ATTORNEY</t>
  </si>
  <si>
    <t>100-35000-340</t>
  </si>
  <si>
    <t>COURT APPT ATTORNEY FEES</t>
  </si>
  <si>
    <t>100-40000-340</t>
  </si>
  <si>
    <t>COUNTY CLERK FEES</t>
  </si>
  <si>
    <t>100-40200-340</t>
  </si>
  <si>
    <t>COUNTY COURT COSTS</t>
  </si>
  <si>
    <t>100-40500-340</t>
  </si>
  <si>
    <t>CO CLERK RECORDS ARCHIVE FEES</t>
  </si>
  <si>
    <t>100-41500-340</t>
  </si>
  <si>
    <t>COUNTY TRANSACTION FEES</t>
  </si>
  <si>
    <t>100-50000-340</t>
  </si>
  <si>
    <t>TAX COLL. PROP COMMISSIONS</t>
  </si>
  <si>
    <t>100-52000-340</t>
  </si>
  <si>
    <t>TAX COLLECTOR SVC. AGREE.</t>
  </si>
  <si>
    <t>100-53000-340</t>
  </si>
  <si>
    <t>AUTO TITLE FEES &amp; COMMISSIONS</t>
  </si>
  <si>
    <t>100-54500-340</t>
  </si>
  <si>
    <t>AUTO TAX COMMISSION (152.123B)</t>
  </si>
  <si>
    <t>100-55000-340</t>
  </si>
  <si>
    <t>TAX CERTIFICATE FEES</t>
  </si>
  <si>
    <t>100-70000-340</t>
  </si>
  <si>
    <t>DISTRICT CLERK FEES</t>
  </si>
  <si>
    <t>100-70100-340</t>
  </si>
  <si>
    <t>DISTICT COURT COSTS</t>
  </si>
  <si>
    <t>100-70500-340</t>
  </si>
  <si>
    <t>PASSPORT PHOTOS</t>
  </si>
  <si>
    <t>100-70600-340</t>
  </si>
  <si>
    <t>DISTRICT CLK ARCHIVE FEES</t>
  </si>
  <si>
    <t>100-80000-340</t>
  </si>
  <si>
    <t>TRUANCY COURT</t>
  </si>
  <si>
    <t>100-80100-340</t>
  </si>
  <si>
    <t>JP-PRECINCT #1</t>
  </si>
  <si>
    <t>100-80200-340</t>
  </si>
  <si>
    <t>JP-PRECINCT #2</t>
  </si>
  <si>
    <t>100-80300-340</t>
  </si>
  <si>
    <t>JP-PRECINCT #3</t>
  </si>
  <si>
    <t>100-80400-340</t>
  </si>
  <si>
    <t>JP-PRECINCT #4</t>
  </si>
  <si>
    <t>100-80500-340</t>
  </si>
  <si>
    <t>JP-PRECINCT #5</t>
  </si>
  <si>
    <t>100-80700-340</t>
  </si>
  <si>
    <t>TIME PAYMENT FEE $15</t>
  </si>
  <si>
    <t>100-80900-340</t>
  </si>
  <si>
    <t>JUVENILE COURT COSTS</t>
  </si>
  <si>
    <t>100-81100-340</t>
  </si>
  <si>
    <t>JP#1 TECHNOLOGY FEE</t>
  </si>
  <si>
    <t>100-81200-340</t>
  </si>
  <si>
    <t>JP#2 TECHNOLOGY FEE</t>
  </si>
  <si>
    <t>100-81300-340</t>
  </si>
  <si>
    <t>JP#3 TECHNOLOGY FEE</t>
  </si>
  <si>
    <t>100-81400-340</t>
  </si>
  <si>
    <t>JP#4 TECHNOLOGY FEE</t>
  </si>
  <si>
    <t>100-81500-340</t>
  </si>
  <si>
    <t>JP#5 TECHNOLOGY FEE</t>
  </si>
  <si>
    <t>100-81800-340</t>
  </si>
  <si>
    <t>CNTY / DST COURT TECH FEE</t>
  </si>
  <si>
    <t>100-82000-340</t>
  </si>
  <si>
    <t>JP COURT COSTS</t>
  </si>
  <si>
    <t>100-10000-341</t>
  </si>
  <si>
    <t>COURTHOUSE SECURITY FEES</t>
  </si>
  <si>
    <t>100-20000-341</t>
  </si>
  <si>
    <t>JUSTICE COURT SECURITY FEES</t>
  </si>
  <si>
    <t>100-10000-342</t>
  </si>
  <si>
    <t>CONSTABLE PCT #1</t>
  </si>
  <si>
    <t>100-20000-342</t>
  </si>
  <si>
    <t>CONSTABLE PCT #2</t>
  </si>
  <si>
    <t>100-30000-342</t>
  </si>
  <si>
    <t>CONSTABLE PCT #3</t>
  </si>
  <si>
    <t>100-40000-342</t>
  </si>
  <si>
    <t>CONSTABLE PCT #4</t>
  </si>
  <si>
    <t>100-50000-342</t>
  </si>
  <si>
    <t>CONSTABLE PCT #5</t>
  </si>
  <si>
    <t>100-15000-350</t>
  </si>
  <si>
    <t>COUNTY COURT FINES</t>
  </si>
  <si>
    <t>100-15100-350</t>
  </si>
  <si>
    <t>COUNTY COURT AT LAW FINES</t>
  </si>
  <si>
    <t>100-15200-350</t>
  </si>
  <si>
    <t>COUNTY COURT AT LAW 2 FINES</t>
  </si>
  <si>
    <t>100-31000-350</t>
  </si>
  <si>
    <t>DISTRICT COURT FINES</t>
  </si>
  <si>
    <t>100-50100-350</t>
  </si>
  <si>
    <t>JP 1 COURT FINES</t>
  </si>
  <si>
    <t>100-50200-350</t>
  </si>
  <si>
    <t>JP 2 COURT FINES</t>
  </si>
  <si>
    <t>100-50300-350</t>
  </si>
  <si>
    <t>JP 3 COURT FINES</t>
  </si>
  <si>
    <t>100-50400-350</t>
  </si>
  <si>
    <t>JP 4 COURT FINES</t>
  </si>
  <si>
    <t>100-50500-350</t>
  </si>
  <si>
    <t>JP 5 COURT FINES</t>
  </si>
  <si>
    <t>100-40000-352</t>
  </si>
  <si>
    <t>BOND FORFEITURE</t>
  </si>
  <si>
    <t>100-10000-360</t>
  </si>
  <si>
    <t>INTEREST INCOME</t>
  </si>
  <si>
    <t>100-20200-360</t>
  </si>
  <si>
    <t>HEALTH INSURANCE REFUNDS</t>
  </si>
  <si>
    <t>100-20000-364</t>
  </si>
  <si>
    <t>SALE OF ASSETS</t>
  </si>
  <si>
    <t>100-21000-364</t>
  </si>
  <si>
    <t>INSURANCE SETTLEMENT</t>
  </si>
  <si>
    <t>100-30000-364</t>
  </si>
  <si>
    <t>SALE OF BOOKS</t>
  </si>
  <si>
    <t>100-40000-364</t>
  </si>
  <si>
    <t>TELEPHONE-INMATE PHONE SYS.</t>
  </si>
  <si>
    <t>100-50000-364</t>
  </si>
  <si>
    <t>REBATES AND REFUNDS</t>
  </si>
  <si>
    <t>100-60000-364</t>
  </si>
  <si>
    <t>INMATE MEDICAL REIMB.</t>
  </si>
  <si>
    <t>100-10000-370</t>
  </si>
  <si>
    <t>SR CITIZENS BUILDING RENTAL</t>
  </si>
  <si>
    <t>100-20000-370</t>
  </si>
  <si>
    <t>OTHER RENTALS &amp; LEASES</t>
  </si>
  <si>
    <t>100-30000-370</t>
  </si>
  <si>
    <t>ROYALTY</t>
  </si>
  <si>
    <t>100-35000-370</t>
  </si>
  <si>
    <t>HISTORICAL COMMISSION REVENUE</t>
  </si>
  <si>
    <t>100-40000-370</t>
  </si>
  <si>
    <t>CSCD IT MANAGEMENT</t>
  </si>
  <si>
    <t>100-80000-381</t>
  </si>
  <si>
    <t>HEALTHY CNTY &amp; VENDING</t>
  </si>
  <si>
    <t>100-90000-381</t>
  </si>
  <si>
    <t>MISCELLANEOUS INCOME</t>
  </si>
  <si>
    <t>100-91000-381</t>
  </si>
  <si>
    <t>MISC REFUNDS &amp; REIMBURSEMENTS</t>
  </si>
  <si>
    <t>100-00000-390</t>
  </si>
  <si>
    <t>TRANSFERS</t>
  </si>
  <si>
    <t>TOTAL GENERAL FUND REVENUE</t>
  </si>
  <si>
    <t>EXPENDITURES BY DEPARTMENT</t>
  </si>
  <si>
    <t>ACCOUNT</t>
  </si>
  <si>
    <t>DEPARTMENT</t>
  </si>
  <si>
    <t>2022 ADOPTED</t>
  </si>
  <si>
    <t>2021 ACTUALS</t>
  </si>
  <si>
    <t>2021 ADOPTED BUDGET</t>
  </si>
  <si>
    <t>2020 ACTUALS</t>
  </si>
  <si>
    <t>2019 ACTUALS</t>
  </si>
  <si>
    <t>2018 ACTUAL</t>
  </si>
  <si>
    <t>EXPENDITURES</t>
  </si>
  <si>
    <t>COUNTY JUDGE</t>
  </si>
  <si>
    <t>100-10100-401</t>
  </si>
  <si>
    <t xml:space="preserve">SALARIES-ELECTED OFFICIALS </t>
  </si>
  <si>
    <t>100-10200-401</t>
  </si>
  <si>
    <t xml:space="preserve">SALARIES-FT                                 </t>
  </si>
  <si>
    <t>100-10800-401</t>
  </si>
  <si>
    <t>SALARIES- PT</t>
  </si>
  <si>
    <t>100-11200-401</t>
  </si>
  <si>
    <t xml:space="preserve">LONGEVITY                               </t>
  </si>
  <si>
    <t>100-15200-401</t>
  </si>
  <si>
    <t>TIME &amp; A HALF</t>
  </si>
  <si>
    <t>100-15700-401</t>
  </si>
  <si>
    <t>JUVENILE BOARD PAY</t>
  </si>
  <si>
    <t>100-16000-401</t>
  </si>
  <si>
    <t>STATE SUPPLEMENT</t>
  </si>
  <si>
    <t>100-20100-401</t>
  </si>
  <si>
    <t>FICA</t>
  </si>
  <si>
    <t>100-20200-401</t>
  </si>
  <si>
    <t>HEALTH INSURANCE</t>
  </si>
  <si>
    <t>100-20300-401</t>
  </si>
  <si>
    <t>RETIREMENT</t>
  </si>
  <si>
    <t>100-20500-401</t>
  </si>
  <si>
    <t>SUPPLEMENTAL RETIREMENT</t>
  </si>
  <si>
    <t>100-20700-401</t>
  </si>
  <si>
    <t>DENTAL INSURANCE</t>
  </si>
  <si>
    <t>100-31000-401</t>
  </si>
  <si>
    <t>OFFICE SUPPLIES</t>
  </si>
  <si>
    <t>100-31100-401</t>
  </si>
  <si>
    <t>POSTAGE</t>
  </si>
  <si>
    <t>100-34600-401</t>
  </si>
  <si>
    <t>BOOK AND BOOK UPDATES</t>
  </si>
  <si>
    <t>100-35000-401</t>
  </si>
  <si>
    <t>NON-CAPITAL EQUIP $500-$5K</t>
  </si>
  <si>
    <t>100-39100-401</t>
  </si>
  <si>
    <t>MINOR EQUIPMENT</t>
  </si>
  <si>
    <t>100-41300-401</t>
  </si>
  <si>
    <t>SPECIAL COURT REPORTER</t>
  </si>
  <si>
    <t>100-41900-401</t>
  </si>
  <si>
    <t>OTHER PROFESSIONAL SERVICES</t>
  </si>
  <si>
    <t>100-42600-401</t>
  </si>
  <si>
    <t>BUSINESS &amp; TRAVEL EXPENSE</t>
  </si>
  <si>
    <t>100-42700-401</t>
  </si>
  <si>
    <t>CONFERENCE &amp; EDUCATION</t>
  </si>
  <si>
    <t>100-42800-401</t>
  </si>
  <si>
    <t>DUES AND SUBSCRIPTIONS</t>
  </si>
  <si>
    <t>100-49100-401</t>
  </si>
  <si>
    <t>FIDELITY BONDS</t>
  </si>
  <si>
    <t>100-49300-401</t>
  </si>
  <si>
    <t>COPIER EXPENSE</t>
  </si>
  <si>
    <t>TOTAL COUNTY JUDGE</t>
  </si>
  <si>
    <t>GENERAL OPERATIONS</t>
  </si>
  <si>
    <t>100-20400-402</t>
  </si>
  <si>
    <t>WORKER'S COMPENSATION</t>
  </si>
  <si>
    <t>100-20600-402</t>
  </si>
  <si>
    <t>UNEMPLOYMENT COMPENSATION</t>
  </si>
  <si>
    <t>100-20800-402</t>
  </si>
  <si>
    <t>RETIREE HEALTH INSURANCE</t>
  </si>
  <si>
    <t>100-22200-402</t>
  </si>
  <si>
    <t>HSA/FSA EXPENSE</t>
  </si>
  <si>
    <t>100-31000-402</t>
  </si>
  <si>
    <t>100-31100-402</t>
  </si>
  <si>
    <t>100-35000-402</t>
  </si>
  <si>
    <t>NON-CAPITAL EQUIP $500-$5k (Tx P&amp;W)</t>
  </si>
  <si>
    <t>100-39100-402</t>
  </si>
  <si>
    <t xml:space="preserve">MINOR EQUIPMENT </t>
  </si>
  <si>
    <t>100-40000-402</t>
  </si>
  <si>
    <t>LEGAL</t>
  </si>
  <si>
    <t>100-40100-402</t>
  </si>
  <si>
    <t>AUDIT</t>
  </si>
  <si>
    <t>100-40200-402</t>
  </si>
  <si>
    <t>INDIGENT - COURT RELATED</t>
  </si>
  <si>
    <t>100-40300-402</t>
  </si>
  <si>
    <t>CT APPTY ATTY - CIVIL</t>
  </si>
  <si>
    <t>100-40400-402</t>
  </si>
  <si>
    <t>CT APPOINTED ATTORNEYS</t>
  </si>
  <si>
    <t>100-40500-402</t>
  </si>
  <si>
    <t>EMPLOYMENT EXAMS &amp; IMMUN.</t>
  </si>
  <si>
    <t>100-40600-402</t>
  </si>
  <si>
    <t>APPRAISAL DISTRICT</t>
  </si>
  <si>
    <t>100-40900-402</t>
  </si>
  <si>
    <t>CPS CT APPTY ATTY</t>
  </si>
  <si>
    <t>100-41300-402</t>
  </si>
  <si>
    <t>100-41400-402</t>
  </si>
  <si>
    <t>SPECIAL JUDGE</t>
  </si>
  <si>
    <t>100-41500-402</t>
  </si>
  <si>
    <t>CPS COURT RELATED EXPENSE</t>
  </si>
  <si>
    <t>100-41900-402</t>
  </si>
  <si>
    <t>100-42000-402</t>
  </si>
  <si>
    <t>TELEPHONE</t>
  </si>
  <si>
    <t>100-42500-402</t>
  </si>
  <si>
    <t>COMPLIANCE WITH HB 1495</t>
  </si>
  <si>
    <t>100-42600-402</t>
  </si>
  <si>
    <t>BUSINESS AND TRAVEL EXPENSE</t>
  </si>
  <si>
    <t>100-42800-402</t>
  </si>
  <si>
    <t>DUES AND SUBCRIPTIONS</t>
  </si>
  <si>
    <t>100-43000-402</t>
  </si>
  <si>
    <t>ADVERTISING &amp; PUBLICATION</t>
  </si>
  <si>
    <t>100-43300-402</t>
  </si>
  <si>
    <t xml:space="preserve">PUBLIC COMMUNICATIONS </t>
  </si>
  <si>
    <t>100-46200-402</t>
  </si>
  <si>
    <t>INTEROP COMMUNICATIONS MAINTENANCE</t>
  </si>
  <si>
    <t>100-48200-402</t>
  </si>
  <si>
    <t>LIABILITY/PROPERTY INSURANCE</t>
  </si>
  <si>
    <t>100-49000-402</t>
  </si>
  <si>
    <t>LIABILITY CLAIMS</t>
  </si>
  <si>
    <t>100-49100-402</t>
  </si>
  <si>
    <t>100-49200-402</t>
  </si>
  <si>
    <t>BUILDING/OFFICE RENTAL</t>
  </si>
  <si>
    <t>100-56000-402</t>
  </si>
  <si>
    <t>COMMUNICATIONS TOWER PROJECT (previously 100-56000-560)</t>
  </si>
  <si>
    <t>100-57600-402</t>
  </si>
  <si>
    <t>EQUIPMENT</t>
  </si>
  <si>
    <t>100-70000-402</t>
  </si>
  <si>
    <t>AUTOPSY</t>
  </si>
  <si>
    <t>100-70400-402</t>
  </si>
  <si>
    <t>IHC EMERGENCY PHYSICIAN</t>
  </si>
  <si>
    <t>100-70500-402</t>
  </si>
  <si>
    <t>IHC HOSPITAL-INPATIENT</t>
  </si>
  <si>
    <t>100-70600-402</t>
  </si>
  <si>
    <t>IHC HOSPITAL-OUTPATIENT</t>
  </si>
  <si>
    <t>100-70700-402</t>
  </si>
  <si>
    <t>IHC LABORATORY/X-RAY</t>
  </si>
  <si>
    <t>100-70800-402</t>
  </si>
  <si>
    <t>IHC PHYSICIAN, NON-EMERGENCY</t>
  </si>
  <si>
    <t>100-70900-402</t>
  </si>
  <si>
    <t>IHC PRESCRIPTION DRUGS</t>
  </si>
  <si>
    <t>100-71200-402</t>
  </si>
  <si>
    <t>CRIME VICTIM RELATED EXPENSES</t>
  </si>
  <si>
    <t>100-71400-402</t>
  </si>
  <si>
    <t>MENTAL COMMITMENTS</t>
  </si>
  <si>
    <t>100-71700-402</t>
  </si>
  <si>
    <t>CHILD WELFARE BOARD</t>
  </si>
  <si>
    <t>100-71900-402</t>
  </si>
  <si>
    <t>BURIAL</t>
  </si>
  <si>
    <t>100-72000-402</t>
  </si>
  <si>
    <t>CHILD ADVOCACY CENTER</t>
  </si>
  <si>
    <t>100-72200-402</t>
  </si>
  <si>
    <t>FIRE DEPARTMENT SUPPORT</t>
  </si>
  <si>
    <t>100-72300-402</t>
  </si>
  <si>
    <t>FIRE DEPARTMENT 1ST RESPONDER</t>
  </si>
  <si>
    <t>100-72400-402</t>
  </si>
  <si>
    <t>VOL FIRE DEPT EQUIPMENT</t>
  </si>
  <si>
    <t>100-72600-402</t>
  </si>
  <si>
    <t>LIBRARY DONATIONS</t>
  </si>
  <si>
    <t>100-72800-402</t>
  </si>
  <si>
    <t>MH/MR DONATION</t>
  </si>
  <si>
    <t>100-72900-402</t>
  </si>
  <si>
    <t>CITY OF ATHENS AIRPORT SUPPORT</t>
  </si>
  <si>
    <t>100-73000-402</t>
  </si>
  <si>
    <t>CONSERVATION DISTRICT</t>
  </si>
  <si>
    <t>100-73200-402</t>
  </si>
  <si>
    <t>RABIES/ANIMAL CONTROL EXPENSE</t>
  </si>
  <si>
    <t>100-73400-402</t>
  </si>
  <si>
    <t>EAST TX COUNCIL ON GOVERNMENT</t>
  </si>
  <si>
    <t>100-73500-402</t>
  </si>
  <si>
    <t>HUMANE SOCIETY SUPPORT</t>
  </si>
  <si>
    <t>100-73600-402</t>
  </si>
  <si>
    <t>EAST TX COUNCIL ON ALCOHOLISM AND DRUG ABUSE (ECADA)</t>
  </si>
  <si>
    <t>100-74000-402</t>
  </si>
  <si>
    <t>EAST TX ECONOMIC DEVELOPEMENT</t>
  </si>
  <si>
    <t>100-74100-402</t>
  </si>
  <si>
    <t>CASA</t>
  </si>
  <si>
    <t>100-74200-402</t>
  </si>
  <si>
    <t>EXTRAORDINARY EXPENSES</t>
  </si>
  <si>
    <t>100-74300-402</t>
  </si>
  <si>
    <t>MEALS ON WHEELS SUPPORT</t>
  </si>
  <si>
    <t>100-74700-402</t>
  </si>
  <si>
    <t>COVID-19 EXPENSES</t>
  </si>
  <si>
    <t>100-81000-402</t>
  </si>
  <si>
    <t>JUDICIAL EXPENSE</t>
  </si>
  <si>
    <t>100-81500-402</t>
  </si>
  <si>
    <t>CONTINGENCY FUND</t>
  </si>
  <si>
    <t>TOTAL GENERAL OPERATIONS</t>
  </si>
  <si>
    <t>JUVENILE - GENERAL OPERATIONS</t>
  </si>
  <si>
    <t>100-40400-404</t>
  </si>
  <si>
    <t>CT. APPOINTED ATTORNEYS</t>
  </si>
  <si>
    <t>100-40900-404</t>
  </si>
  <si>
    <t>CPS-COURT-APPOINTED ATTORNEYS</t>
  </si>
  <si>
    <t>TOTAL JUVENILE- GENERAL OPERATIONS</t>
  </si>
  <si>
    <t>INFORMATION SYSTEMS</t>
  </si>
  <si>
    <t>100-35000-405</t>
  </si>
  <si>
    <t>100-39100-405</t>
  </si>
  <si>
    <t>100-41900-405</t>
  </si>
  <si>
    <t>100-42600-405</t>
  </si>
  <si>
    <t>100-42700-405</t>
  </si>
  <si>
    <t>CONFERENCE AND EDUCATION</t>
  </si>
  <si>
    <t>100-42800-405</t>
  </si>
  <si>
    <t>100-45500-405</t>
  </si>
  <si>
    <t>HARDWARE MAINTENANCE</t>
  </si>
  <si>
    <t>100-45800-405</t>
  </si>
  <si>
    <t>SOFTWARE MAINTENANCE</t>
  </si>
  <si>
    <t>100-45900-405</t>
  </si>
  <si>
    <t>NETWORK EXP. &amp; MAINTENANCE</t>
  </si>
  <si>
    <t>TOTAL INFORMATION SYSTEMS</t>
  </si>
  <si>
    <t>COUNTY CLERK</t>
  </si>
  <si>
    <t>100-10100-410</t>
  </si>
  <si>
    <t>SALARIES-ELECTED OFFICIALS</t>
  </si>
  <si>
    <t>100-10200-410</t>
  </si>
  <si>
    <t>SALARIES-FT</t>
  </si>
  <si>
    <t>100-10800-410</t>
  </si>
  <si>
    <t>SALARIES-PT</t>
  </si>
  <si>
    <t>100-11200-410</t>
  </si>
  <si>
    <t>LONGEVITY</t>
  </si>
  <si>
    <t>100-15100-410</t>
  </si>
  <si>
    <t>STRAIGHT TIME</t>
  </si>
  <si>
    <t>100-15200-410</t>
  </si>
  <si>
    <t>100-20100-410</t>
  </si>
  <si>
    <t>100-20200-410</t>
  </si>
  <si>
    <t>100-20300-410</t>
  </si>
  <si>
    <t>100-20500-410</t>
  </si>
  <si>
    <t>100-20700-410</t>
  </si>
  <si>
    <t>100-31000-410</t>
  </si>
  <si>
    <t>100-31100-410</t>
  </si>
  <si>
    <t>100-37200-410</t>
  </si>
  <si>
    <t>FURNITURE &amp; FIXTURES LESS $5K</t>
  </si>
  <si>
    <t>100-39100-410</t>
  </si>
  <si>
    <t>100-42600-410</t>
  </si>
  <si>
    <t>100-42700-410</t>
  </si>
  <si>
    <t>100-42800-410</t>
  </si>
  <si>
    <t>100-45200-410</t>
  </si>
  <si>
    <t>OFFICE EQUIPMENT MAINTENANCE</t>
  </si>
  <si>
    <t>100-49100-410</t>
  </si>
  <si>
    <t>100-49300-410</t>
  </si>
  <si>
    <t>TOTAL COUNTY CLERK</t>
  </si>
  <si>
    <t>CO CLERK ARCHIVE FEES</t>
  </si>
  <si>
    <t>100-37200-411</t>
  </si>
  <si>
    <t>100-39100-411</t>
  </si>
  <si>
    <t>100-41800-411</t>
  </si>
  <si>
    <t>ARCHIVING SOFTWARE SERVICE</t>
  </si>
  <si>
    <t>100-49300-411</t>
  </si>
  <si>
    <t>TOTAL CO CLERK ARCHIVE FEES</t>
  </si>
  <si>
    <t>ELECTIONS ADMINISTRATION</t>
  </si>
  <si>
    <t>100-10200-412</t>
  </si>
  <si>
    <t>100-10800-412</t>
  </si>
  <si>
    <t>SALARIES - PT</t>
  </si>
  <si>
    <t>100-11200-412</t>
  </si>
  <si>
    <t>100-15100-412</t>
  </si>
  <si>
    <t>100-15200-412</t>
  </si>
  <si>
    <t>OT - TIME &amp; A HALF</t>
  </si>
  <si>
    <t>100-20100-412</t>
  </si>
  <si>
    <t>100-20200-412</t>
  </si>
  <si>
    <t>100-20300-412</t>
  </si>
  <si>
    <t>100-20500-412</t>
  </si>
  <si>
    <t>100-20700-412</t>
  </si>
  <si>
    <t>100-31000-412</t>
  </si>
  <si>
    <t>100-31100-412</t>
  </si>
  <si>
    <t>100-33000-412</t>
  </si>
  <si>
    <t>FUEL</t>
  </si>
  <si>
    <t>100-34000-412</t>
  </si>
  <si>
    <t>TIRES</t>
  </si>
  <si>
    <t>100-34600-412</t>
  </si>
  <si>
    <t>BOOK &amp; BOOK UPDATES</t>
  </si>
  <si>
    <t>100-35000-412</t>
  </si>
  <si>
    <t>100-37200-412</t>
  </si>
  <si>
    <t>100-39100-412</t>
  </si>
  <si>
    <t>100-41600-412</t>
  </si>
  <si>
    <t>CONTRACT SERVICES</t>
  </si>
  <si>
    <t>100-42000-412</t>
  </si>
  <si>
    <t>100-42600-412</t>
  </si>
  <si>
    <t>100-42700-412</t>
  </si>
  <si>
    <t>100-42800-412</t>
  </si>
  <si>
    <t>DUES &amp; SUBSCRIPTIONS</t>
  </si>
  <si>
    <t>100-43000-412</t>
  </si>
  <si>
    <t>ADVERTISING AND PUBLICATION</t>
  </si>
  <si>
    <t>100-43600-412</t>
  </si>
  <si>
    <t>100-45300-412</t>
  </si>
  <si>
    <t>OTHER EQUIP REPAIRS</t>
  </si>
  <si>
    <t>100-45400-412</t>
  </si>
  <si>
    <t>VEHICLE MAINTENANCE</t>
  </si>
  <si>
    <t>100-45800-412</t>
  </si>
  <si>
    <t>100-47500-412</t>
  </si>
  <si>
    <t>ELECTION FEE RESERVE EXPENSE</t>
  </si>
  <si>
    <t>100-48300-412</t>
  </si>
  <si>
    <t>CHAPTER-19 EXPENSES</t>
  </si>
  <si>
    <t>100-48400-412</t>
  </si>
  <si>
    <t>ELECTION EXPENSE</t>
  </si>
  <si>
    <t>100-49100-412</t>
  </si>
  <si>
    <t>100-49300-412</t>
  </si>
  <si>
    <t>100-57600-412</t>
  </si>
  <si>
    <t>TOTAL ELECTION ADMINISTRATION</t>
  </si>
  <si>
    <t>VETERANS SERVICES</t>
  </si>
  <si>
    <t>100-10800-413</t>
  </si>
  <si>
    <t>100-20100-413</t>
  </si>
  <si>
    <t>100-20300-413</t>
  </si>
  <si>
    <t>100-20500-413</t>
  </si>
  <si>
    <t>100-31000-413</t>
  </si>
  <si>
    <t>100-31100-413</t>
  </si>
  <si>
    <t>100-34600-413</t>
  </si>
  <si>
    <t>100-35000-413</t>
  </si>
  <si>
    <t>100-37200-413</t>
  </si>
  <si>
    <t>100-39100-413</t>
  </si>
  <si>
    <t>100-42600-413</t>
  </si>
  <si>
    <t>100-42700-413</t>
  </si>
  <si>
    <t>100-42800-413</t>
  </si>
  <si>
    <t>100-43000-413</t>
  </si>
  <si>
    <t>100-43600-413</t>
  </si>
  <si>
    <t>100-49100-413</t>
  </si>
  <si>
    <t>100-49300-413</t>
  </si>
  <si>
    <t>100-57600-413</t>
  </si>
  <si>
    <t>TOTAL VETERANS SERVICES</t>
  </si>
  <si>
    <t>COUNTY COURT-AT-LAW</t>
  </si>
  <si>
    <t>100-10100-425</t>
  </si>
  <si>
    <t>100-10200-425</t>
  </si>
  <si>
    <t>100-10800-425</t>
  </si>
  <si>
    <t>100-11200-425</t>
  </si>
  <si>
    <t>100-15700-425</t>
  </si>
  <si>
    <t>100-16000-425</t>
  </si>
  <si>
    <t>100-20100-425</t>
  </si>
  <si>
    <t>100-20200-425</t>
  </si>
  <si>
    <t>100-20300-425</t>
  </si>
  <si>
    <t>100-20500-425</t>
  </si>
  <si>
    <t>100-20700-425</t>
  </si>
  <si>
    <t>100-31000-425</t>
  </si>
  <si>
    <t>100-31100-425</t>
  </si>
  <si>
    <t>100-34600-425</t>
  </si>
  <si>
    <t>100-37200-425</t>
  </si>
  <si>
    <t>100-39100-425</t>
  </si>
  <si>
    <t>100-42700-425</t>
  </si>
  <si>
    <t>100-42800-425</t>
  </si>
  <si>
    <t>100-47200-425</t>
  </si>
  <si>
    <t>FURNITURE AND FIXTURES</t>
  </si>
  <si>
    <t>100-48200-425</t>
  </si>
  <si>
    <t>LIABLITY INSURANCE</t>
  </si>
  <si>
    <t>100-49100-425</t>
  </si>
  <si>
    <t>FIDELITY/NOTARY BONDS</t>
  </si>
  <si>
    <t>100-49300-425</t>
  </si>
  <si>
    <t>COPIER LEASE EXPENSE</t>
  </si>
  <si>
    <t>TOTAL COUNTY COURT-AT-LAW</t>
  </si>
  <si>
    <t>COUNTY COURT-AT-LAW 2</t>
  </si>
  <si>
    <t>100-10100-426</t>
  </si>
  <si>
    <t>100-10200-426</t>
  </si>
  <si>
    <t>100-10800-426</t>
  </si>
  <si>
    <t>100-11200-426</t>
  </si>
  <si>
    <t>100-15200-426</t>
  </si>
  <si>
    <t>100-15700-426</t>
  </si>
  <si>
    <t>100-16000-426</t>
  </si>
  <si>
    <t>100-20100-426</t>
  </si>
  <si>
    <t>100-20200-426</t>
  </si>
  <si>
    <t>100-20300-426</t>
  </si>
  <si>
    <t>100-20500-426</t>
  </si>
  <si>
    <t>100-20700-426</t>
  </si>
  <si>
    <t>100-21100-426</t>
  </si>
  <si>
    <t>UNIFORM ALLOWANCE</t>
  </si>
  <si>
    <t>100-31000-426</t>
  </si>
  <si>
    <t>100-31100-426</t>
  </si>
  <si>
    <t>100-34600-426</t>
  </si>
  <si>
    <t>100-37200-426</t>
  </si>
  <si>
    <t>100-41300-426</t>
  </si>
  <si>
    <t>100-42700-426</t>
  </si>
  <si>
    <t>100-42800-426</t>
  </si>
  <si>
    <t>100-48200-426</t>
  </si>
  <si>
    <t>LIABILTY INSURANCE</t>
  </si>
  <si>
    <t>100-49100-426</t>
  </si>
  <si>
    <t>100-49300-426</t>
  </si>
  <si>
    <t>TOTAL COUNTY COURT-AT-LAW 2</t>
  </si>
  <si>
    <t>DISTRICT COURT</t>
  </si>
  <si>
    <t>100-40700-430</t>
  </si>
  <si>
    <t>CT OF CIVIL APPEALS-SUPP PAY</t>
  </si>
  <si>
    <t>100-41100-430</t>
  </si>
  <si>
    <t>FIRST JUDICIAL REGION EXPENSE</t>
  </si>
  <si>
    <t>100-41300-430</t>
  </si>
  <si>
    <t>100-41900-430</t>
  </si>
  <si>
    <t>TOTAL DISTRICT COURT</t>
  </si>
  <si>
    <t>INDIGENT DEFENSE</t>
  </si>
  <si>
    <t>100-10200-431</t>
  </si>
  <si>
    <t>100-10800-431</t>
  </si>
  <si>
    <t>100-11200-431</t>
  </si>
  <si>
    <t>100-20100-431</t>
  </si>
  <si>
    <t>100-20200-431</t>
  </si>
  <si>
    <t>100-20300-431</t>
  </si>
  <si>
    <t>100-20500-431</t>
  </si>
  <si>
    <t>100-20700-431</t>
  </si>
  <si>
    <t>100-31000-431</t>
  </si>
  <si>
    <t>100-39100-431</t>
  </si>
  <si>
    <t>EQUIPMENT LESS $500</t>
  </si>
  <si>
    <t>100-42700-431</t>
  </si>
  <si>
    <t>100-42800-431</t>
  </si>
  <si>
    <t>100-45800-431</t>
  </si>
  <si>
    <t>SOFTWARE AND MAINTENANCE</t>
  </si>
  <si>
    <t>100-49100-431</t>
  </si>
  <si>
    <t>100-49300-431</t>
  </si>
  <si>
    <t>TOTAL INDIGENT DEFENSE</t>
  </si>
  <si>
    <t>3RD DISTRICT COURT</t>
  </si>
  <si>
    <t>100-10100-433</t>
  </si>
  <si>
    <t>SALARIES - ELECTED OFFICIALS</t>
  </si>
  <si>
    <t>100-10200-433</t>
  </si>
  <si>
    <t>100-10800-433</t>
  </si>
  <si>
    <t>100-11200-433</t>
  </si>
  <si>
    <t>100-15700-433</t>
  </si>
  <si>
    <t>100-20100-433</t>
  </si>
  <si>
    <t>100-20200-433</t>
  </si>
  <si>
    <t>100-20300-433</t>
  </si>
  <si>
    <t>100-20500-433</t>
  </si>
  <si>
    <t>100-20700-433</t>
  </si>
  <si>
    <t>100-31000-433</t>
  </si>
  <si>
    <t>100-31100-433</t>
  </si>
  <si>
    <t>100-34600-433</t>
  </si>
  <si>
    <t>100-42700-433</t>
  </si>
  <si>
    <t>100-42800-433</t>
  </si>
  <si>
    <t>100-48200-433</t>
  </si>
  <si>
    <t>LIABILITY INSURANCE</t>
  </si>
  <si>
    <t>100-49300-433</t>
  </si>
  <si>
    <t>TOTAL 3RD DISTRICT COURT</t>
  </si>
  <si>
    <t>173RD DISTRICT COURT</t>
  </si>
  <si>
    <t>100-10100-434</t>
  </si>
  <si>
    <t>SALARIES-ELECTED OFFICIAL</t>
  </si>
  <si>
    <t>100-10200-434</t>
  </si>
  <si>
    <t>100-11200-434</t>
  </si>
  <si>
    <t>100-15700-434</t>
  </si>
  <si>
    <t>100-20100-434</t>
  </si>
  <si>
    <t>100-20200-434</t>
  </si>
  <si>
    <t>100-20300-434</t>
  </si>
  <si>
    <t>100-20500-434</t>
  </si>
  <si>
    <t>100-20700-434</t>
  </si>
  <si>
    <t>100-31000-434</t>
  </si>
  <si>
    <t>100-31100-434</t>
  </si>
  <si>
    <t>100-34600-434</t>
  </si>
  <si>
    <t>100-37200-434</t>
  </si>
  <si>
    <t>FURNITURE &amp; FIXTURES &lt; $5K</t>
  </si>
  <si>
    <t>100-41300-434</t>
  </si>
  <si>
    <t>100-42700-434</t>
  </si>
  <si>
    <t>100-42800-434</t>
  </si>
  <si>
    <t>100-48200-434</t>
  </si>
  <si>
    <t>100-49300-434</t>
  </si>
  <si>
    <t>TOTAL 173RD DISTRICT COURT</t>
  </si>
  <si>
    <t>392ND DISTRICT COURT</t>
  </si>
  <si>
    <t>100-10100-435</t>
  </si>
  <si>
    <t>100-10200-435</t>
  </si>
  <si>
    <t>100-11200-435</t>
  </si>
  <si>
    <t>100-15100-435</t>
  </si>
  <si>
    <t>100-15200-435</t>
  </si>
  <si>
    <t>TIME AND HALF OVERTIME</t>
  </si>
  <si>
    <t>100-15500-435</t>
  </si>
  <si>
    <t>CERTIFICATE PAY</t>
  </si>
  <si>
    <t>100-15700-435</t>
  </si>
  <si>
    <t>100-20100-435</t>
  </si>
  <si>
    <t>100-20200-435</t>
  </si>
  <si>
    <t>100-20300-435</t>
  </si>
  <si>
    <t>100-20500-435</t>
  </si>
  <si>
    <t>100-20700-435</t>
  </si>
  <si>
    <t>100-31000-435</t>
  </si>
  <si>
    <t>100-31100-435</t>
  </si>
  <si>
    <t>100-34600-435</t>
  </si>
  <si>
    <t>100-37200-435</t>
  </si>
  <si>
    <t>100-39100-435</t>
  </si>
  <si>
    <t>100-42700-435</t>
  </si>
  <si>
    <t>100-42800-435</t>
  </si>
  <si>
    <t>100-48200-435</t>
  </si>
  <si>
    <t>100-49300-435</t>
  </si>
  <si>
    <t>TOTAL 392ND DISTRICT COURT</t>
  </si>
  <si>
    <t>COUNTY/DISTRICT TECH FUND</t>
  </si>
  <si>
    <t>100-39100-436</t>
  </si>
  <si>
    <t>MINOR EQUIPMENT LESS $500</t>
  </si>
  <si>
    <t>100-45900-436</t>
  </si>
  <si>
    <t>NETWORK EXPENSE &amp; MAINTENANCE</t>
  </si>
  <si>
    <t>TOTAL CO/DIST TECH FUND</t>
  </si>
  <si>
    <t>DISTRICT CLERK</t>
  </si>
  <si>
    <t>100-10100-445</t>
  </si>
  <si>
    <t>100-10200-445</t>
  </si>
  <si>
    <t>100-10800-445</t>
  </si>
  <si>
    <t>100-11200-445</t>
  </si>
  <si>
    <t>100-15200-445</t>
  </si>
  <si>
    <t>100-20100-445</t>
  </si>
  <si>
    <t>100-20200-445</t>
  </si>
  <si>
    <t>100-20300-445</t>
  </si>
  <si>
    <t>100-20500-445</t>
  </si>
  <si>
    <t>100-20700-445</t>
  </si>
  <si>
    <t>100-31000-445</t>
  </si>
  <si>
    <t>100-31100-445</t>
  </si>
  <si>
    <t>100-39100-445</t>
  </si>
  <si>
    <t>100-42700-445</t>
  </si>
  <si>
    <t>100-42800-445</t>
  </si>
  <si>
    <t>100-49100-445</t>
  </si>
  <si>
    <t>100-49300-445</t>
  </si>
  <si>
    <t>100-57700-445</t>
  </si>
  <si>
    <t>NON CAPITAL EQUIPMENT</t>
  </si>
  <si>
    <t>TOTAL DISTRICT CLERK</t>
  </si>
  <si>
    <t>DISTRICT CLERK ARCHIVES</t>
  </si>
  <si>
    <t>100-45800-446</t>
  </si>
  <si>
    <t>100-57600-446</t>
  </si>
  <si>
    <t>TOTAL DIST CLERK ARCHIVES</t>
  </si>
  <si>
    <t>JUSTICE OF THE PEACE, PRECINCT 1</t>
  </si>
  <si>
    <t>100-10100-451</t>
  </si>
  <si>
    <t>100-10200-451</t>
  </si>
  <si>
    <t>100-10800-451</t>
  </si>
  <si>
    <t>100-11200-451</t>
  </si>
  <si>
    <t>100-15200-451</t>
  </si>
  <si>
    <t>OT- TIME&amp; HALF</t>
  </si>
  <si>
    <t>100-20100-451</t>
  </si>
  <si>
    <t>100-20200-451</t>
  </si>
  <si>
    <t>100-20300-451</t>
  </si>
  <si>
    <t>100-20500-451</t>
  </si>
  <si>
    <t>100-20700-451</t>
  </si>
  <si>
    <t>100-20900-451</t>
  </si>
  <si>
    <t>PHONE ALLOWANCE</t>
  </si>
  <si>
    <t>100-31000-451</t>
  </si>
  <si>
    <t>100-31100-451</t>
  </si>
  <si>
    <t>100-34600-451</t>
  </si>
  <si>
    <t>100-37200-451</t>
  </si>
  <si>
    <t>100-39100-451</t>
  </si>
  <si>
    <t>EQUIPMENT NONDISP LESS $500</t>
  </si>
  <si>
    <t>100-42600-451</t>
  </si>
  <si>
    <t>BUSINESS &amp; TRAVEL</t>
  </si>
  <si>
    <t>100-42700-451</t>
  </si>
  <si>
    <t>100-42800-451</t>
  </si>
  <si>
    <t>100-49100-451</t>
  </si>
  <si>
    <t>100-49300-451</t>
  </si>
  <si>
    <t>TOTAL JP1</t>
  </si>
  <si>
    <t>JUSTICE OF THE PEACE, PRECINCT 2</t>
  </si>
  <si>
    <t>100-10100-452</t>
  </si>
  <si>
    <t>100-10200-452</t>
  </si>
  <si>
    <t>100-15200-452</t>
  </si>
  <si>
    <t>100-20100-452</t>
  </si>
  <si>
    <t>100-20200-452</t>
  </si>
  <si>
    <t>100-20300-452</t>
  </si>
  <si>
    <t>100-20500-452</t>
  </si>
  <si>
    <t>100-20700-452</t>
  </si>
  <si>
    <t>100-31000-452</t>
  </si>
  <si>
    <t>100-31100-452</t>
  </si>
  <si>
    <t>100-34600-452</t>
  </si>
  <si>
    <t>100-39100-452</t>
  </si>
  <si>
    <t>100-42000-452</t>
  </si>
  <si>
    <t>100-42600-452</t>
  </si>
  <si>
    <t>BUSINESS AND TRAVEL EXP</t>
  </si>
  <si>
    <t>100-42700-452</t>
  </si>
  <si>
    <t>100-42800-452</t>
  </si>
  <si>
    <t>100-49100-452</t>
  </si>
  <si>
    <t>100-49300-452</t>
  </si>
  <si>
    <t>TOTAL JP2</t>
  </si>
  <si>
    <t>JUSTICE OF THE PEACE, PRECINCT 3</t>
  </si>
  <si>
    <t>100-10100-453</t>
  </si>
  <si>
    <t>100-10200-453</t>
  </si>
  <si>
    <t>100-11200-453</t>
  </si>
  <si>
    <t>100-20100-453</t>
  </si>
  <si>
    <t>100-20200-453</t>
  </si>
  <si>
    <t>100-20300-453</t>
  </si>
  <si>
    <t>100-20500-453</t>
  </si>
  <si>
    <t>100-20700-453</t>
  </si>
  <si>
    <t>100-31000-453</t>
  </si>
  <si>
    <t>100-31100-453</t>
  </si>
  <si>
    <t>100-34600-453</t>
  </si>
  <si>
    <t>100-37200-453</t>
  </si>
  <si>
    <t>100-42000-453</t>
  </si>
  <si>
    <t>100-42600-453</t>
  </si>
  <si>
    <t>100-42700-453</t>
  </si>
  <si>
    <t>100-42800-453</t>
  </si>
  <si>
    <t>100-49100-453</t>
  </si>
  <si>
    <t>100-49300-453</t>
  </si>
  <si>
    <t>TOTAL JP3</t>
  </si>
  <si>
    <t>JUSTICE OF THE PEACE, PRECINCT 4</t>
  </si>
  <si>
    <t>100-10100-454</t>
  </si>
  <si>
    <t>100-10200-454</t>
  </si>
  <si>
    <t>100-11200-454</t>
  </si>
  <si>
    <t>100-20100-454</t>
  </si>
  <si>
    <t>100-20200-454</t>
  </si>
  <si>
    <t>100-20300-454</t>
  </si>
  <si>
    <t>100-20500-454</t>
  </si>
  <si>
    <t>100-20700-454</t>
  </si>
  <si>
    <t>100-31000-454</t>
  </si>
  <si>
    <t>100-31100-454</t>
  </si>
  <si>
    <t>100-34600-454</t>
  </si>
  <si>
    <t>100-42000-454</t>
  </si>
  <si>
    <t>100-42600-454</t>
  </si>
  <si>
    <t>100-42700-454</t>
  </si>
  <si>
    <t>100-42800-454</t>
  </si>
  <si>
    <t>100-49100-454</t>
  </si>
  <si>
    <t>100-49300-454</t>
  </si>
  <si>
    <t>TOTAL JP4</t>
  </si>
  <si>
    <t>JUSTICE OF THE PEACE, PRECINCT 5</t>
  </si>
  <si>
    <t>100-10100-455</t>
  </si>
  <si>
    <t>100-10200-455</t>
  </si>
  <si>
    <t>100-11200-455</t>
  </si>
  <si>
    <t>100-20100-455</t>
  </si>
  <si>
    <t>100-20200-455</t>
  </si>
  <si>
    <t>100-20300-455</t>
  </si>
  <si>
    <t>100-20500-455</t>
  </si>
  <si>
    <t>100-20700-455</t>
  </si>
  <si>
    <t>100-31000-455</t>
  </si>
  <si>
    <t>100-31100-455</t>
  </si>
  <si>
    <t>100-34600-455</t>
  </si>
  <si>
    <t>100-39100-455</t>
  </si>
  <si>
    <t>100-42000-455</t>
  </si>
  <si>
    <t>100-42600-455</t>
  </si>
  <si>
    <t>100-42700-455</t>
  </si>
  <si>
    <t>100-42800-455</t>
  </si>
  <si>
    <t>100-49100-455</t>
  </si>
  <si>
    <t>100-49300-455</t>
  </si>
  <si>
    <t>TOTAL JP5</t>
  </si>
  <si>
    <t>JP TRUANCY</t>
  </si>
  <si>
    <t>100-31000-460</t>
  </si>
  <si>
    <t>100-41900-460</t>
  </si>
  <si>
    <t>TOTAL JP TRUANCY</t>
  </si>
  <si>
    <t>JP#1 TECHNOLOGY FUND</t>
  </si>
  <si>
    <t>100-35000-461</t>
  </si>
  <si>
    <t>NON CAPITAL EQUIP $500-$5000</t>
  </si>
  <si>
    <t>100-39100-461</t>
  </si>
  <si>
    <t>100-42700-461</t>
  </si>
  <si>
    <t>100-42800-461</t>
  </si>
  <si>
    <t>100-45900-461</t>
  </si>
  <si>
    <t>WIRELESS/INTERNET SERVICES</t>
  </si>
  <si>
    <t>100-49300-461</t>
  </si>
  <si>
    <t>100-57400-461</t>
  </si>
  <si>
    <t>MIS SOFTWARE</t>
  </si>
  <si>
    <t>TOTAL JP#1 TECH FUND</t>
  </si>
  <si>
    <t>JP#2 TECHNOLOGY FUND</t>
  </si>
  <si>
    <t>100-31000-462</t>
  </si>
  <si>
    <t>100-35000-462</t>
  </si>
  <si>
    <t>NON-CAPITAL EQUIP $500-$5000</t>
  </si>
  <si>
    <t>100-39100-462</t>
  </si>
  <si>
    <t>100-42000-462</t>
  </si>
  <si>
    <t>100-42600-462</t>
  </si>
  <si>
    <t>100-42700-462</t>
  </si>
  <si>
    <t>100-42800-462</t>
  </si>
  <si>
    <t>100-45500-462</t>
  </si>
  <si>
    <t>100-45800-462</t>
  </si>
  <si>
    <t>100-45900-462</t>
  </si>
  <si>
    <t>NETWORK EXP. &amp; MAINT.</t>
  </si>
  <si>
    <t>100-57300-462</t>
  </si>
  <si>
    <t>MIS HARDWARE</t>
  </si>
  <si>
    <t>100-57400-462</t>
  </si>
  <si>
    <t>TOTAL JP#2 TECH FUND</t>
  </si>
  <si>
    <t>JP#3 TECHNOLOGY FUND</t>
  </si>
  <si>
    <t>100-35000-463</t>
  </si>
  <si>
    <t>NON CAPITAL EQUIP 500-5K</t>
  </si>
  <si>
    <t>100-39100-463</t>
  </si>
  <si>
    <t>100-42700-463</t>
  </si>
  <si>
    <t>100-45900-463</t>
  </si>
  <si>
    <t>100-57400-463</t>
  </si>
  <si>
    <t>TOTAL JP#3 TECH FUND</t>
  </si>
  <si>
    <t>JP#4 TECHNOLOGY FUND</t>
  </si>
  <si>
    <t>100-31000-464</t>
  </si>
  <si>
    <t>100-35000-464</t>
  </si>
  <si>
    <t>NON CAP EQUIP 500 TO 5,000</t>
  </si>
  <si>
    <t>100-39100-464</t>
  </si>
  <si>
    <t>100-42700-464</t>
  </si>
  <si>
    <t>100-45900-464</t>
  </si>
  <si>
    <t>100-57400-464</t>
  </si>
  <si>
    <t>TOTAL JP#4 TECH FUND</t>
  </si>
  <si>
    <t>JP#5 TECHNOLOGY FUND</t>
  </si>
  <si>
    <t>100-31000-465</t>
  </si>
  <si>
    <t>100-35000-465</t>
  </si>
  <si>
    <t>100-39100-465</t>
  </si>
  <si>
    <t>100-42600-465</t>
  </si>
  <si>
    <t>100-42700-465</t>
  </si>
  <si>
    <t>100-45900-465</t>
  </si>
  <si>
    <t>100-57400-465</t>
  </si>
  <si>
    <t>TOTAL JP#5 TECH FUND</t>
  </si>
  <si>
    <t>ARRAIGNMENTS</t>
  </si>
  <si>
    <t>100-10200-470</t>
  </si>
  <si>
    <t>100-20100-470</t>
  </si>
  <si>
    <t>100-20300-470</t>
  </si>
  <si>
    <t>100-20500-470</t>
  </si>
  <si>
    <t>100-42600-470</t>
  </si>
  <si>
    <t>TOTAL ARRAIGNMENTS</t>
  </si>
  <si>
    <t>COUNTY ATTORNEY PROSECUTION</t>
  </si>
  <si>
    <t>100-10100-475</t>
  </si>
  <si>
    <t>100-10200-475</t>
  </si>
  <si>
    <t>100-11200-475</t>
  </si>
  <si>
    <t>100-15200-475</t>
  </si>
  <si>
    <t>OT - TIME AND A HALF</t>
  </si>
  <si>
    <t>100-15700-475</t>
  </si>
  <si>
    <t>100-16000-475</t>
  </si>
  <si>
    <t>100-20100-475</t>
  </si>
  <si>
    <t>100-20200-475</t>
  </si>
  <si>
    <t>100-20300-475</t>
  </si>
  <si>
    <t>100-20500-475</t>
  </si>
  <si>
    <t>100-20700-475</t>
  </si>
  <si>
    <t>100-31000-475</t>
  </si>
  <si>
    <t>100-31100-475</t>
  </si>
  <si>
    <t>100-34600-475</t>
  </si>
  <si>
    <t>100-35000-475</t>
  </si>
  <si>
    <t>NON-CAPTIAL EQUIPMENT $500-$5K</t>
  </si>
  <si>
    <t>100-37200-475</t>
  </si>
  <si>
    <t>FURNITURE AND FIXTURES &lt; 5K</t>
  </si>
  <si>
    <t>100-39100-475</t>
  </si>
  <si>
    <t>100-41000-475</t>
  </si>
  <si>
    <t>COURT RELATED EXPENSE</t>
  </si>
  <si>
    <t>100-42600-475</t>
  </si>
  <si>
    <t>100-42700-475</t>
  </si>
  <si>
    <t>100-42800-475</t>
  </si>
  <si>
    <t>100-45400-475</t>
  </si>
  <si>
    <t>100-45800-475</t>
  </si>
  <si>
    <t>100-45900-475</t>
  </si>
  <si>
    <t>100-49100-475</t>
  </si>
  <si>
    <t>100-49300-475</t>
  </si>
  <si>
    <t>COUNTY ATTORNEY COLLECTIONS</t>
  </si>
  <si>
    <t>100-10200-476</t>
  </si>
  <si>
    <t>100-10800-476</t>
  </si>
  <si>
    <t>100-11200-476</t>
  </si>
  <si>
    <t>100-15500-476</t>
  </si>
  <si>
    <t>100-20100-476</t>
  </si>
  <si>
    <t>100-20200-476</t>
  </si>
  <si>
    <t>100-20300-476</t>
  </si>
  <si>
    <t>100-20500-476</t>
  </si>
  <si>
    <t>100-20700-476</t>
  </si>
  <si>
    <t>100-31000-476</t>
  </si>
  <si>
    <t>100-33000-476</t>
  </si>
  <si>
    <t>100-33700-476</t>
  </si>
  <si>
    <t>AMMUNITION</t>
  </si>
  <si>
    <t>100-34000-476</t>
  </si>
  <si>
    <t>100-37200-476</t>
  </si>
  <si>
    <t>100-39100-476</t>
  </si>
  <si>
    <t>100-41900-476</t>
  </si>
  <si>
    <t>100-42600-476</t>
  </si>
  <si>
    <t>100-42700-476</t>
  </si>
  <si>
    <t>100-42800-476</t>
  </si>
  <si>
    <t>100-45400-476</t>
  </si>
  <si>
    <t>100-45800-476</t>
  </si>
  <si>
    <t>100-49300-476</t>
  </si>
  <si>
    <t>100-57000-476</t>
  </si>
  <si>
    <t>VEHICLES</t>
  </si>
  <si>
    <t>100-57400-476</t>
  </si>
  <si>
    <t>TOTAL CO ATTY COLLECTIONS</t>
  </si>
  <si>
    <t>DISTRICT ATTORNEY</t>
  </si>
  <si>
    <t>100-10100-485</t>
  </si>
  <si>
    <t>100-10200-485</t>
  </si>
  <si>
    <t>100-10800-485</t>
  </si>
  <si>
    <t>100-11200-485</t>
  </si>
  <si>
    <t>STATE PROSECUTOR LONGEVITY</t>
  </si>
  <si>
    <t>100-15100-485</t>
  </si>
  <si>
    <t>OVERTME - STRAIGHT TIME</t>
  </si>
  <si>
    <t>100-15500-485</t>
  </si>
  <si>
    <t>100-15700-485</t>
  </si>
  <si>
    <t>100-16000-485</t>
  </si>
  <si>
    <t>100-20100-485</t>
  </si>
  <si>
    <t>100-20200-485</t>
  </si>
  <si>
    <t>100-20300-485</t>
  </si>
  <si>
    <t>100-20500-485</t>
  </si>
  <si>
    <t>100-20700-485</t>
  </si>
  <si>
    <t>100-31000-485</t>
  </si>
  <si>
    <t>100-31100-485</t>
  </si>
  <si>
    <t>100-33000-485</t>
  </si>
  <si>
    <t>100-34000-485</t>
  </si>
  <si>
    <t>100-34600-485</t>
  </si>
  <si>
    <t>100-35000-485</t>
  </si>
  <si>
    <t>NON CAPITAL $500 - $4,999</t>
  </si>
  <si>
    <t>100-37200-485</t>
  </si>
  <si>
    <t>100-39100-485</t>
  </si>
  <si>
    <t>100-41000-485</t>
  </si>
  <si>
    <t>100-41900-485</t>
  </si>
  <si>
    <t>100-42600-485</t>
  </si>
  <si>
    <t>BUSINESS AND TRAVEL</t>
  </si>
  <si>
    <t>100-42700-485</t>
  </si>
  <si>
    <t>100-42800-485</t>
  </si>
  <si>
    <t>100-45400-485</t>
  </si>
  <si>
    <t>100-45900-485</t>
  </si>
  <si>
    <t>100-49100-485</t>
  </si>
  <si>
    <t>100-49300-485</t>
  </si>
  <si>
    <t>TOTAL DISTRICT ATTORNEY</t>
  </si>
  <si>
    <t>DA CAPITAL CASES</t>
  </si>
  <si>
    <t>100-31000-486</t>
  </si>
  <si>
    <t>100-31100-486</t>
  </si>
  <si>
    <t>100-31200-486</t>
  </si>
  <si>
    <t>AUDIO &amp; VIDEO SUPPLIES</t>
  </si>
  <si>
    <t>100-31300-486</t>
  </si>
  <si>
    <t>COPIER/PRINTER SUPPLIES</t>
  </si>
  <si>
    <t>100-39100-486</t>
  </si>
  <si>
    <t>100-40400-486</t>
  </si>
  <si>
    <t>COURT-APPOINTED ATTORNEYS</t>
  </si>
  <si>
    <t>100-40800-486</t>
  </si>
  <si>
    <t>COMPETENCY EVALUATIONS</t>
  </si>
  <si>
    <t>100-41000-486</t>
  </si>
  <si>
    <t>100-41300-486</t>
  </si>
  <si>
    <t>100-41900-486</t>
  </si>
  <si>
    <t>100-42600-486</t>
  </si>
  <si>
    <t>100-42700-486</t>
  </si>
  <si>
    <t>100-45500-486</t>
  </si>
  <si>
    <t>100-45800-486</t>
  </si>
  <si>
    <t>100-48000-486</t>
  </si>
  <si>
    <t>ORIGINAL PUBLIC DEFENDER</t>
  </si>
  <si>
    <t>100-48800-486</t>
  </si>
  <si>
    <t>JURY EXPENSE</t>
  </si>
  <si>
    <t>100-49300-486</t>
  </si>
  <si>
    <t>100-57300-486</t>
  </si>
  <si>
    <t>MIS HARDWARE (see 45500)</t>
  </si>
  <si>
    <t>100-57400-486</t>
  </si>
  <si>
    <t>MIS SOFTWARE (See 45800)</t>
  </si>
  <si>
    <t>100-71100-486</t>
  </si>
  <si>
    <t>INMATE MEDICAL SERVICES</t>
  </si>
  <si>
    <t>100-71500-486</t>
  </si>
  <si>
    <t>PSYCHOLOGICAL TESTS &amp; TREAT</t>
  </si>
  <si>
    <t>100-71600-486</t>
  </si>
  <si>
    <t>TOTAL DA CAPITAL CASES</t>
  </si>
  <si>
    <t>COUNTY AUDITOR</t>
  </si>
  <si>
    <t>100-10200-495</t>
  </si>
  <si>
    <t>100-10800-495</t>
  </si>
  <si>
    <t>100-11200-495</t>
  </si>
  <si>
    <t>100-15100-495</t>
  </si>
  <si>
    <t>100-15200-495</t>
  </si>
  <si>
    <t>100-20100-495</t>
  </si>
  <si>
    <t>100-20200-495</t>
  </si>
  <si>
    <t>100-20300-495</t>
  </si>
  <si>
    <t>100-20500-495</t>
  </si>
  <si>
    <t>100-20700-495</t>
  </si>
  <si>
    <t>100-31000-495</t>
  </si>
  <si>
    <t>100-31100-495</t>
  </si>
  <si>
    <t>100-35000-495</t>
  </si>
  <si>
    <t>NON CAPITAL EQUIP $500-$5K</t>
  </si>
  <si>
    <t>100-37200-495</t>
  </si>
  <si>
    <t>100-39100-495</t>
  </si>
  <si>
    <t>100-41900-495</t>
  </si>
  <si>
    <t>100-42600-495</t>
  </si>
  <si>
    <t>100-42700-495</t>
  </si>
  <si>
    <t>100-42800-495</t>
  </si>
  <si>
    <t>100-45900-495</t>
  </si>
  <si>
    <t>100-49100-495</t>
  </si>
  <si>
    <t>100-49300-495</t>
  </si>
  <si>
    <t>100-57300-495</t>
  </si>
  <si>
    <t>TOTAL AUDIT DEPT</t>
  </si>
  <si>
    <t>INFORMATION TECHNOLOGY</t>
  </si>
  <si>
    <t>100-10200-496</t>
  </si>
  <si>
    <t>100-10800-496</t>
  </si>
  <si>
    <t>100-11200-496</t>
  </si>
  <si>
    <t>100-15100-496</t>
  </si>
  <si>
    <t>OT - STRAIGHT TIME</t>
  </si>
  <si>
    <t>100-15200-496</t>
  </si>
  <si>
    <t>100-20100-496</t>
  </si>
  <si>
    <t>100-20200-496</t>
  </si>
  <si>
    <t>100-20300-496</t>
  </si>
  <si>
    <t>100-20500-496</t>
  </si>
  <si>
    <t>100-20700-496</t>
  </si>
  <si>
    <t>100-31000-496</t>
  </si>
  <si>
    <t>100-35000-496</t>
  </si>
  <si>
    <t>100-39100-496</t>
  </si>
  <si>
    <t>100-42600-496</t>
  </si>
  <si>
    <t>100-42700-496</t>
  </si>
  <si>
    <t>100-57600-496</t>
  </si>
  <si>
    <t>TOTAL IT DEPT</t>
  </si>
  <si>
    <t>COUNTY TREASURER</t>
  </si>
  <si>
    <t>100-10100-497</t>
  </si>
  <si>
    <t>100-10200-497</t>
  </si>
  <si>
    <t>100-11200-497</t>
  </si>
  <si>
    <t>100-15100-497</t>
  </si>
  <si>
    <t>100-15200-497</t>
  </si>
  <si>
    <t>TIME &amp; HALF</t>
  </si>
  <si>
    <t>100-20100-497</t>
  </si>
  <si>
    <t>100-20200-497</t>
  </si>
  <si>
    <t>100-20300-497</t>
  </si>
  <si>
    <t>100-20500-497</t>
  </si>
  <si>
    <t>100-20700-497</t>
  </si>
  <si>
    <t>100-31000-497</t>
  </si>
  <si>
    <t>100-31100-497</t>
  </si>
  <si>
    <t>100-34600-497</t>
  </si>
  <si>
    <t>100-35000-497</t>
  </si>
  <si>
    <t>NON-CAPITAL EQUIPMENT $500-$5K</t>
  </si>
  <si>
    <t>100-37200-497</t>
  </si>
  <si>
    <t>100-39100-497</t>
  </si>
  <si>
    <t>100-42700-497</t>
  </si>
  <si>
    <t>100-42800-497</t>
  </si>
  <si>
    <t>100-49100-497</t>
  </si>
  <si>
    <t>100-49300-497</t>
  </si>
  <si>
    <t>TOTAL CO TREASURER</t>
  </si>
  <si>
    <t>HUMAN RESOURCES</t>
  </si>
  <si>
    <t>100-10200-498</t>
  </si>
  <si>
    <t>100-20100-498</t>
  </si>
  <si>
    <t>100-20200-498</t>
  </si>
  <si>
    <t>100-20300-498</t>
  </si>
  <si>
    <t>100-20500-498</t>
  </si>
  <si>
    <t>100-20700-498</t>
  </si>
  <si>
    <t>100-31000-498</t>
  </si>
  <si>
    <t>100-31100-498</t>
  </si>
  <si>
    <t>100-35000-498</t>
  </si>
  <si>
    <t>100-37200-498</t>
  </si>
  <si>
    <t>100-39100-498</t>
  </si>
  <si>
    <t>100-42600-498</t>
  </si>
  <si>
    <t>100-42700-498</t>
  </si>
  <si>
    <t>100-42800-498</t>
  </si>
  <si>
    <t>100-49300-498</t>
  </si>
  <si>
    <t>TAX ASSESSOR/COLLECTOR</t>
  </si>
  <si>
    <t>100-10100-499</t>
  </si>
  <si>
    <t>100-10200-499</t>
  </si>
  <si>
    <t>100-10800-499</t>
  </si>
  <si>
    <t>100-11200-499</t>
  </si>
  <si>
    <t>100-15100-499</t>
  </si>
  <si>
    <t>STRAIGHT OVERTIME</t>
  </si>
  <si>
    <t>100-15200-499</t>
  </si>
  <si>
    <t>100-20100-499</t>
  </si>
  <si>
    <t>100-20200-499</t>
  </si>
  <si>
    <t>100-20300-499</t>
  </si>
  <si>
    <t>RETIRMENT</t>
  </si>
  <si>
    <t>100-20500-499</t>
  </si>
  <si>
    <t>100-20700-499</t>
  </si>
  <si>
    <t>100-31000-499</t>
  </si>
  <si>
    <t>100-31100-499</t>
  </si>
  <si>
    <t>100-35000-499</t>
  </si>
  <si>
    <t>100-37200-499</t>
  </si>
  <si>
    <t>100-39100-499</t>
  </si>
  <si>
    <t>100-41900-499</t>
  </si>
  <si>
    <t>OTHER PROFESSIONAL SVCS</t>
  </si>
  <si>
    <t>100-42000-499</t>
  </si>
  <si>
    <t>100-42600-499</t>
  </si>
  <si>
    <t>100-42700-499</t>
  </si>
  <si>
    <t>100-42800-499</t>
  </si>
  <si>
    <t>100-49100-499</t>
  </si>
  <si>
    <t>100-49300-499</t>
  </si>
  <si>
    <t>TOTAL TAX ASSESSOR/COLLECTOR</t>
  </si>
  <si>
    <t>MAINTENANCE DEPARTMENT</t>
  </si>
  <si>
    <t>100-10200-510</t>
  </si>
  <si>
    <t>100-10800-510</t>
  </si>
  <si>
    <t>100-11200-510</t>
  </si>
  <si>
    <t>100-15100-510</t>
  </si>
  <si>
    <t>100-15200-510</t>
  </si>
  <si>
    <t>100-20100-510</t>
  </si>
  <si>
    <t>100-20200-510</t>
  </si>
  <si>
    <t>100-20300-510</t>
  </si>
  <si>
    <t>100-20500-510</t>
  </si>
  <si>
    <t>100-20700-510</t>
  </si>
  <si>
    <t>100-31000-510</t>
  </si>
  <si>
    <t>100-33000-510</t>
  </si>
  <si>
    <t>100-33600-510</t>
  </si>
  <si>
    <t>UNIFORMS</t>
  </si>
  <si>
    <t>100-34000-510</t>
  </si>
  <si>
    <t>100-34100-510</t>
  </si>
  <si>
    <t>SHOP SUPPLIES</t>
  </si>
  <si>
    <t>100-35000-510</t>
  </si>
  <si>
    <t>100-39100-510</t>
  </si>
  <si>
    <t>100-42600-510</t>
  </si>
  <si>
    <t>100-45000-510</t>
  </si>
  <si>
    <t>BUILDING &amp; GROUNDS MAINTENANCE</t>
  </si>
  <si>
    <t>100-45300-510</t>
  </si>
  <si>
    <t>OTHER EQUIPMENT REPAIRS</t>
  </si>
  <si>
    <t>100-45400-510</t>
  </si>
  <si>
    <t>100-45800-510</t>
  </si>
  <si>
    <t>TOTAL MAINTENANCE</t>
  </si>
  <si>
    <t>COUNTY SECURITY</t>
  </si>
  <si>
    <t>100-39100-511</t>
  </si>
  <si>
    <t>TOTAL COUNTY SECURITY</t>
  </si>
  <si>
    <t xml:space="preserve">COURTHOUSE </t>
  </si>
  <si>
    <t>100-33200-515</t>
  </si>
  <si>
    <t>JANITORIAL SUPPLIES</t>
  </si>
  <si>
    <t>100-35000-515</t>
  </si>
  <si>
    <t>100-37200-515</t>
  </si>
  <si>
    <t>100-39100-515</t>
  </si>
  <si>
    <t>100-44000-515</t>
  </si>
  <si>
    <t>ELECTRICITY</t>
  </si>
  <si>
    <t>100-44100-515</t>
  </si>
  <si>
    <t>NATURAL GAS</t>
  </si>
  <si>
    <t>100-44200-515</t>
  </si>
  <si>
    <t>WATER &amp; SEWAGE</t>
  </si>
  <si>
    <t>100-45000-515</t>
  </si>
  <si>
    <t>100-45600-515</t>
  </si>
  <si>
    <t>HEATING &amp; COOLING</t>
  </si>
  <si>
    <t>100-45700-515</t>
  </si>
  <si>
    <t>ELEVATOR MAINTENANCE</t>
  </si>
  <si>
    <t>100-55000-515</t>
  </si>
  <si>
    <t>IMPROVEMENTS</t>
  </si>
  <si>
    <t>TOTAL COURTHOUSE</t>
  </si>
  <si>
    <t>JUDICIAL COMPLEX</t>
  </si>
  <si>
    <t>100-35000-518</t>
  </si>
  <si>
    <t>100-39100-518</t>
  </si>
  <si>
    <t>100-44000-518</t>
  </si>
  <si>
    <t>100-44100-518</t>
  </si>
  <si>
    <t>100-44200-518</t>
  </si>
  <si>
    <t>100-45000-518</t>
  </si>
  <si>
    <t>100-45600-518</t>
  </si>
  <si>
    <t>100-55000-518</t>
  </si>
  <si>
    <t>TOTAL JUDICIAL COMPLEX</t>
  </si>
  <si>
    <t>JUSTICE CENTER</t>
  </si>
  <si>
    <t>100-33200-519</t>
  </si>
  <si>
    <t>100-35000-519</t>
  </si>
  <si>
    <t>100-39100-519</t>
  </si>
  <si>
    <t>100-44000-519</t>
  </si>
  <si>
    <t>100-44100-519</t>
  </si>
  <si>
    <t>100-44200-519</t>
  </si>
  <si>
    <t>100-45000-519</t>
  </si>
  <si>
    <t>100-45300-519</t>
  </si>
  <si>
    <t>100-45600-519</t>
  </si>
  <si>
    <t>100-55000-519</t>
  </si>
  <si>
    <t>100-57600-519</t>
  </si>
  <si>
    <t>TOTAL JUSTICE CENTER</t>
  </si>
  <si>
    <t>LARKIN STREET BUILDINGS</t>
  </si>
  <si>
    <t>100-44000-520</t>
  </si>
  <si>
    <t>100-44100-520</t>
  </si>
  <si>
    <t>100-44200-520</t>
  </si>
  <si>
    <t>100-45000-520</t>
  </si>
  <si>
    <t>100-45600-520</t>
  </si>
  <si>
    <t>100-55000-520</t>
  </si>
  <si>
    <t>100-57600-520</t>
  </si>
  <si>
    <t>TOTAL LARKIN STREET BUILDINGS</t>
  </si>
  <si>
    <t>LIBRARY BUILDING</t>
  </si>
  <si>
    <t>100-44000-523</t>
  </si>
  <si>
    <t>100-44100-523</t>
  </si>
  <si>
    <t>100-44200-523</t>
  </si>
  <si>
    <t>100-45000-523</t>
  </si>
  <si>
    <t>BUILIDNG &amp; GROUNDS MAINTENANCE</t>
  </si>
  <si>
    <t>100-45600-523</t>
  </si>
  <si>
    <t>100-45700-523</t>
  </si>
  <si>
    <t>TOTAL LIBRARY BUILDING</t>
  </si>
  <si>
    <t>SENIOR CITIZENS BUILDING</t>
  </si>
  <si>
    <t>100-44000-524</t>
  </si>
  <si>
    <t>100-44200-524</t>
  </si>
  <si>
    <t>100-45000-524</t>
  </si>
  <si>
    <t>100-45600-524</t>
  </si>
  <si>
    <t>COOLING</t>
  </si>
  <si>
    <t>100-45900-524</t>
  </si>
  <si>
    <t>INTERNET SERVICES</t>
  </si>
  <si>
    <t>100-46000-524</t>
  </si>
  <si>
    <t>SANITATION</t>
  </si>
  <si>
    <t>100-55000-524</t>
  </si>
  <si>
    <t>TOTAL SENIOR CITIZENS BUILDING</t>
  </si>
  <si>
    <t>CHANDLER SUB-STATION</t>
  </si>
  <si>
    <t>100-44000-525</t>
  </si>
  <si>
    <t>100-44200-525</t>
  </si>
  <si>
    <t>100-45000-525</t>
  </si>
  <si>
    <t>100-45600-525</t>
  </si>
  <si>
    <t>TOTAL CHANDLER SUB-STATION</t>
  </si>
  <si>
    <t>MALAKOFF SUB-STATION</t>
  </si>
  <si>
    <t>100-44000-528</t>
  </si>
  <si>
    <t>100-44200-528</t>
  </si>
  <si>
    <t>100-45000-528</t>
  </si>
  <si>
    <t>100-45600-528</t>
  </si>
  <si>
    <t>100-55000-528</t>
  </si>
  <si>
    <t>100-57600-528</t>
  </si>
  <si>
    <t>TOTAL MALAKOFF SUB-STATION</t>
  </si>
  <si>
    <t>MAINTENANCE SHOP (LUCAS ST)</t>
  </si>
  <si>
    <t>100-44000-529</t>
  </si>
  <si>
    <t>100-44200-529</t>
  </si>
  <si>
    <t>100-45000-529</t>
  </si>
  <si>
    <t>TOTAL MAINTENANCE SHOP</t>
  </si>
  <si>
    <t>HENDERSON COUNTY ANNEX</t>
  </si>
  <si>
    <t>100-37200-532</t>
  </si>
  <si>
    <t>100-41900-532</t>
  </si>
  <si>
    <t>100-44000-532</t>
  </si>
  <si>
    <t>100-44100-532</t>
  </si>
  <si>
    <t>100-44200-532</t>
  </si>
  <si>
    <t>100-45000-532</t>
  </si>
  <si>
    <t>BUILDING &amp; GROUNDS</t>
  </si>
  <si>
    <t>100-45600-532</t>
  </si>
  <si>
    <t>100-45700-532</t>
  </si>
  <si>
    <t>100-55000-532</t>
  </si>
  <si>
    <t>100-57600-532</t>
  </si>
  <si>
    <t>TOTAL HENDERSON COUNTY ANNEX</t>
  </si>
  <si>
    <t>POYNOR SUB-STATION</t>
  </si>
  <si>
    <t>100-44000-533</t>
  </si>
  <si>
    <t>100-44100-533</t>
  </si>
  <si>
    <t>100-44200-533</t>
  </si>
  <si>
    <t>100-45000-533</t>
  </si>
  <si>
    <t>100-46000-533</t>
  </si>
  <si>
    <t>TOTAL POYNOR SUB-STATION</t>
  </si>
  <si>
    <t>LARUE SUB-STATION</t>
  </si>
  <si>
    <t>100-44000-534</t>
  </si>
  <si>
    <t>100-44200-534</t>
  </si>
  <si>
    <t>100-45000-534</t>
  </si>
  <si>
    <t>100-46000-534</t>
  </si>
  <si>
    <t>100-53300-534</t>
  </si>
  <si>
    <t>CONSTRUCTION IN PROGRESS</t>
  </si>
  <si>
    <t>TOTAL LARUE SUB-STATION</t>
  </si>
  <si>
    <t>CONSTABLES</t>
  </si>
  <si>
    <t>100-33000-540</t>
  </si>
  <si>
    <t>100-34000-540</t>
  </si>
  <si>
    <t>100-45400-540</t>
  </si>
  <si>
    <t>TOTAL CONSTABLES</t>
  </si>
  <si>
    <t>CONSTABLE PCT 1</t>
  </si>
  <si>
    <t>100-10100-541</t>
  </si>
  <si>
    <t>100-11200-541</t>
  </si>
  <si>
    <t>100-20100-541</t>
  </si>
  <si>
    <t>100-20200-541</t>
  </si>
  <si>
    <t>100-20300-541</t>
  </si>
  <si>
    <t>100-20500-541</t>
  </si>
  <si>
    <t>100-20700-541</t>
  </si>
  <si>
    <t>100-21100-541</t>
  </si>
  <si>
    <t>100-31000-541</t>
  </si>
  <si>
    <t>100-31100-541</t>
  </si>
  <si>
    <t>100-33000-541</t>
  </si>
  <si>
    <t>100-34000-541</t>
  </si>
  <si>
    <t>100-34600-541</t>
  </si>
  <si>
    <t>BOOK &amp; BOOK UPDATE</t>
  </si>
  <si>
    <t>100-35000-541</t>
  </si>
  <si>
    <t>100-39100-541</t>
  </si>
  <si>
    <t>100-42800-541</t>
  </si>
  <si>
    <t>100-45300-541</t>
  </si>
  <si>
    <t>100-45400-541</t>
  </si>
  <si>
    <t>100-49100-541</t>
  </si>
  <si>
    <t>100-57000-541</t>
  </si>
  <si>
    <t>VEHICLE</t>
  </si>
  <si>
    <t>TOTAL CONSTABLE PCT 1</t>
  </si>
  <si>
    <t>CONSTABLE PRECINCT 2</t>
  </si>
  <si>
    <t>100-10100-542</t>
  </si>
  <si>
    <t>100-11200-542</t>
  </si>
  <si>
    <t>100-20100-542</t>
  </si>
  <si>
    <t>100-20200-542</t>
  </si>
  <si>
    <t>100-20300-542</t>
  </si>
  <si>
    <t>100-20500-542</t>
  </si>
  <si>
    <t>100-20700-542</t>
  </si>
  <si>
    <t>100-21100-542</t>
  </si>
  <si>
    <t>100-31000-542</t>
  </si>
  <si>
    <t>100-31100-542</t>
  </si>
  <si>
    <t>100-33000-542</t>
  </si>
  <si>
    <t>100-34000-542</t>
  </si>
  <si>
    <t>100-42700-542</t>
  </si>
  <si>
    <t>100-42800-542</t>
  </si>
  <si>
    <t>100-45400-542</t>
  </si>
  <si>
    <t>100-49100-542</t>
  </si>
  <si>
    <t>100-57000-542</t>
  </si>
  <si>
    <t>TOTAL CONSTABLE PCT 2</t>
  </si>
  <si>
    <t>CONSTABLE PRECINCT 3</t>
  </si>
  <si>
    <t>100-10100-543</t>
  </si>
  <si>
    <t>100-11200-543</t>
  </si>
  <si>
    <t>100-20100-543</t>
  </si>
  <si>
    <t>100-20200-543</t>
  </si>
  <si>
    <t>100-20300-543</t>
  </si>
  <si>
    <t>100-20500-543</t>
  </si>
  <si>
    <t>100-20700-543</t>
  </si>
  <si>
    <t>100-21100-543</t>
  </si>
  <si>
    <t>100-31000-543</t>
  </si>
  <si>
    <t>100-31100-543</t>
  </si>
  <si>
    <t>100-33000-543</t>
  </si>
  <si>
    <t>100-34000-543</t>
  </si>
  <si>
    <t>100-39100-543</t>
  </si>
  <si>
    <t>100-42700-543</t>
  </si>
  <si>
    <t>100-42800-543</t>
  </si>
  <si>
    <t>100-45300-543</t>
  </si>
  <si>
    <t>100-45400-543</t>
  </si>
  <si>
    <t>100-49100-543</t>
  </si>
  <si>
    <t>TOTAL CONSTABLE PCT 3</t>
  </si>
  <si>
    <t>CONSTABLE PRECINCT 4</t>
  </si>
  <si>
    <t>100-10100-544</t>
  </si>
  <si>
    <t>100-11200-544</t>
  </si>
  <si>
    <t>100-20100-544</t>
  </si>
  <si>
    <t>100-20200-544</t>
  </si>
  <si>
    <t>100-20300-544</t>
  </si>
  <si>
    <t>100-20500-544</t>
  </si>
  <si>
    <t>100-20700-544</t>
  </si>
  <si>
    <t>100-21100-544</t>
  </si>
  <si>
    <t>100-31000-544</t>
  </si>
  <si>
    <t>100-31100-544</t>
  </si>
  <si>
    <t>100-33000-544</t>
  </si>
  <si>
    <t>100-34000-544</t>
  </si>
  <si>
    <t>100-39100-544</t>
  </si>
  <si>
    <t>100-42700-544</t>
  </si>
  <si>
    <t>100-45400-544</t>
  </si>
  <si>
    <t>100-49100-544</t>
  </si>
  <si>
    <t>100-57000-544</t>
  </si>
  <si>
    <t>TOTAL CONSTABLE PCT 4</t>
  </si>
  <si>
    <t>CONSTABLE PRECINCT 5</t>
  </si>
  <si>
    <t>100-10100-545</t>
  </si>
  <si>
    <t>100-11200-545</t>
  </si>
  <si>
    <t>100-20100-545</t>
  </si>
  <si>
    <t>100-20200-545</t>
  </si>
  <si>
    <t>100-20300-545</t>
  </si>
  <si>
    <t>100-20500-545</t>
  </si>
  <si>
    <t>100-20700-545</t>
  </si>
  <si>
    <t>100-21100-545</t>
  </si>
  <si>
    <t>100-31000-545</t>
  </si>
  <si>
    <t>100-31100-545</t>
  </si>
  <si>
    <t>100-33000-545</t>
  </si>
  <si>
    <t>100-34000-545</t>
  </si>
  <si>
    <t>100-35000-545</t>
  </si>
  <si>
    <t>100-39100-545</t>
  </si>
  <si>
    <t>100-42700-545</t>
  </si>
  <si>
    <t>100-42800-545</t>
  </si>
  <si>
    <t>DUES &amp; SUBSCRIPITONS</t>
  </si>
  <si>
    <t>100-45400-545</t>
  </si>
  <si>
    <t>100-49100-545</t>
  </si>
  <si>
    <t>100-57000-545</t>
  </si>
  <si>
    <t>TOTAL CONSTABLE PCT 5</t>
  </si>
  <si>
    <t>CONSTABLE 1 LEOSE</t>
  </si>
  <si>
    <t>100-42700-551</t>
  </si>
  <si>
    <t>TOTAL CONST 1 LEOSE</t>
  </si>
  <si>
    <t>CONSTABLE 2 LEOSE</t>
  </si>
  <si>
    <t>100-42700-552</t>
  </si>
  <si>
    <t>TOTAL CONST 2 LEOSE</t>
  </si>
  <si>
    <t>CONSTABLE 3 LEOSE</t>
  </si>
  <si>
    <t>100-42700-553</t>
  </si>
  <si>
    <t>TOTAL CONST 3 LEOSE</t>
  </si>
  <si>
    <t>CONSTABLE 4 LEOSE</t>
  </si>
  <si>
    <t>100-33700-554</t>
  </si>
  <si>
    <t>100-42700-554</t>
  </si>
  <si>
    <t>TOTAL CONST 4 LEOSE</t>
  </si>
  <si>
    <t>CONSTABLE 5 LEOSE</t>
  </si>
  <si>
    <t>100-42700-555</t>
  </si>
  <si>
    <t>TOTAL CONST 5 LEOSE</t>
  </si>
  <si>
    <t>FIRST MARSHAL LEOSE</t>
  </si>
  <si>
    <t>100-42700-557</t>
  </si>
  <si>
    <t>TOTAL FIRE MARSHAL LEOSE</t>
  </si>
  <si>
    <t>SHERIFF DEPARTMENT FIELD OPERATIONS</t>
  </si>
  <si>
    <t>100-10100-560</t>
  </si>
  <si>
    <t>100-10200-560</t>
  </si>
  <si>
    <t>100-11200-560</t>
  </si>
  <si>
    <t>100-15100-560</t>
  </si>
  <si>
    <t>100-15200-560</t>
  </si>
  <si>
    <t>100-15500-560</t>
  </si>
  <si>
    <t>100-20100-560</t>
  </si>
  <si>
    <t>100-20200-560</t>
  </si>
  <si>
    <t>100-20300-560</t>
  </si>
  <si>
    <t>100-20500-560</t>
  </si>
  <si>
    <t>100-20700-560</t>
  </si>
  <si>
    <t>100-21100-560</t>
  </si>
  <si>
    <t>UNIFORM EXPENSE</t>
  </si>
  <si>
    <t>100-22500-560</t>
  </si>
  <si>
    <t>TRAVEL ALLOWANCE</t>
  </si>
  <si>
    <t>100-31000-560</t>
  </si>
  <si>
    <t>100-31100-560</t>
  </si>
  <si>
    <t>100-31200-560</t>
  </si>
  <si>
    <t>100-31400-560</t>
  </si>
  <si>
    <t>PROGRAM SUPLIES</t>
  </si>
  <si>
    <t>100-33000-560</t>
  </si>
  <si>
    <t>100-33600-560</t>
  </si>
  <si>
    <t>100-33700-560</t>
  </si>
  <si>
    <t>100-34000-560</t>
  </si>
  <si>
    <t>100-34300-560</t>
  </si>
  <si>
    <t>HEALTH AND SAFETY</t>
  </si>
  <si>
    <t>100-34600-560</t>
  </si>
  <si>
    <t>100-35000-560</t>
  </si>
  <si>
    <t>100-37200-560</t>
  </si>
  <si>
    <t>100-39100-560</t>
  </si>
  <si>
    <t>100-40500-560</t>
  </si>
  <si>
    <t>EMPLOYMENT EXAMS&amp;IMMUNIZATIONS</t>
  </si>
  <si>
    <t>100-41000-560</t>
  </si>
  <si>
    <t>100-41600-560</t>
  </si>
  <si>
    <t>100-41800-560</t>
  </si>
  <si>
    <t>LAB FEES EXPENSES</t>
  </si>
  <si>
    <t>100-41900-560</t>
  </si>
  <si>
    <t>100-42000-560</t>
  </si>
  <si>
    <t>100-42100-560</t>
  </si>
  <si>
    <t>COMMUNICATIONS TOWER</t>
  </si>
  <si>
    <t>100-42600-560</t>
  </si>
  <si>
    <t>100-42700-560</t>
  </si>
  <si>
    <t>100-42800-560</t>
  </si>
  <si>
    <t>100-42900-560</t>
  </si>
  <si>
    <t>PRISONER EXTRADITION</t>
  </si>
  <si>
    <t>100-43000-560</t>
  </si>
  <si>
    <t>100-44400-560</t>
  </si>
  <si>
    <t>SATELLITE/CABLE SERVICES</t>
  </si>
  <si>
    <t>100-45300-560</t>
  </si>
  <si>
    <t>100-45400-560</t>
  </si>
  <si>
    <t>100-45800-560</t>
  </si>
  <si>
    <t>100-45900-560</t>
  </si>
  <si>
    <t>100-48900-560</t>
  </si>
  <si>
    <t>DAMAGES</t>
  </si>
  <si>
    <t>100-49100-560</t>
  </si>
  <si>
    <t>100-49200-560</t>
  </si>
  <si>
    <t>100-49300-560</t>
  </si>
  <si>
    <t>100-49400-560</t>
  </si>
  <si>
    <t>EQUIPMENT RENTAL</t>
  </si>
  <si>
    <t>100-56000-560</t>
  </si>
  <si>
    <t>COMMUNICATIONS TOWER PROJECT</t>
  </si>
  <si>
    <t>100-57000-560</t>
  </si>
  <si>
    <t>100-57600-560</t>
  </si>
  <si>
    <t>100-70100-560</t>
  </si>
  <si>
    <t>DRUG SCREENING TESTS</t>
  </si>
  <si>
    <t>TOTAL SHERIFF'S DEPT FIELD OPS</t>
  </si>
  <si>
    <t>SHERIFF'S DEPARTMENT LEOSE</t>
  </si>
  <si>
    <t>100-33000-561</t>
  </si>
  <si>
    <t>100-42700-561</t>
  </si>
  <si>
    <t>SHERIFF DEPT LEOSE</t>
  </si>
  <si>
    <t>BULLET PROOF VEST GRANT</t>
  </si>
  <si>
    <t>100-33600-563</t>
  </si>
  <si>
    <t>100-35000-563</t>
  </si>
  <si>
    <t>100-39100-563</t>
  </si>
  <si>
    <t>TOTAL BULLET PROOF VEST GRANT</t>
  </si>
  <si>
    <t>S.O. VINE GRANT</t>
  </si>
  <si>
    <t>100-41900-567</t>
  </si>
  <si>
    <t>TOTAL VINE GRANT</t>
  </si>
  <si>
    <t>SHERIFF DEPARTMENT JAIL OPERATIONS</t>
  </si>
  <si>
    <t>100-10200-568</t>
  </si>
  <si>
    <t>SALARIES - FT</t>
  </si>
  <si>
    <t>100-11200-568</t>
  </si>
  <si>
    <t>100-15100-568</t>
  </si>
  <si>
    <t>100-15200-568</t>
  </si>
  <si>
    <t>100-15500-568</t>
  </si>
  <si>
    <t>100-20100-568</t>
  </si>
  <si>
    <t>100-20200-568</t>
  </si>
  <si>
    <t>100-20300-568</t>
  </si>
  <si>
    <t>100-20500-568</t>
  </si>
  <si>
    <t>100-20700-568</t>
  </si>
  <si>
    <t>100-21100-568</t>
  </si>
  <si>
    <t>100-31000-568</t>
  </si>
  <si>
    <t>100-31200-568</t>
  </si>
  <si>
    <t>100-33300-568</t>
  </si>
  <si>
    <t>CAFETERIA SUPPLIES</t>
  </si>
  <si>
    <t>100-33500-568</t>
  </si>
  <si>
    <t>PRISONER HYGENIC SUPPLIES</t>
  </si>
  <si>
    <t>100-33600-568</t>
  </si>
  <si>
    <t>100-34000-568</t>
  </si>
  <si>
    <t>100-34600-568</t>
  </si>
  <si>
    <t>100-39100-568</t>
  </si>
  <si>
    <t>100-40800-568</t>
  </si>
  <si>
    <t>100-42600-568</t>
  </si>
  <si>
    <t>100-42700-568</t>
  </si>
  <si>
    <t>100-42800-568</t>
  </si>
  <si>
    <t>DUES &amp; SUBSCFRIPTIONS</t>
  </si>
  <si>
    <t>100-42900-568</t>
  </si>
  <si>
    <t>100-45400-568</t>
  </si>
  <si>
    <t>100-49300-568</t>
  </si>
  <si>
    <t>100-70100-568</t>
  </si>
  <si>
    <t>100-71100-568</t>
  </si>
  <si>
    <t>INMATE MEDICAL</t>
  </si>
  <si>
    <t>TOTAL SHER DEPT JAIL OPS</t>
  </si>
  <si>
    <t>SHERIFF SCHOOL RESOURCE DEPUTIES (SRD)</t>
  </si>
  <si>
    <t>100-10200-569</t>
  </si>
  <si>
    <t>100-11200-569</t>
  </si>
  <si>
    <t>100-15500-569</t>
  </si>
  <si>
    <t>100-20100-569</t>
  </si>
  <si>
    <t>100-20200-569</t>
  </si>
  <si>
    <t>100-20300-569</t>
  </si>
  <si>
    <t>100-20500-569</t>
  </si>
  <si>
    <t>100-20700-569</t>
  </si>
  <si>
    <t>100-21100-569</t>
  </si>
  <si>
    <t>TOTAL SHER SRD</t>
  </si>
  <si>
    <t>JUVENILE COUNTY FUNDED</t>
  </si>
  <si>
    <t>100-10200-570</t>
  </si>
  <si>
    <t>100-11200-570</t>
  </si>
  <si>
    <t>100-15100-570</t>
  </si>
  <si>
    <t>100-20100-570</t>
  </si>
  <si>
    <t>100-20200-570</t>
  </si>
  <si>
    <t>100-20300-570</t>
  </si>
  <si>
    <t>100-20500-570</t>
  </si>
  <si>
    <t>100-20700-570</t>
  </si>
  <si>
    <t>DENTAL &amp; VISION INSURANCE</t>
  </si>
  <si>
    <t>100-31000-570</t>
  </si>
  <si>
    <t>100-31100-570</t>
  </si>
  <si>
    <t>100-31400-570</t>
  </si>
  <si>
    <t>PROGRAM SUPPLIES</t>
  </si>
  <si>
    <t>100-31600-570</t>
  </si>
  <si>
    <t>U.A SUPPLIES</t>
  </si>
  <si>
    <t>100-33000-570</t>
  </si>
  <si>
    <t>100-33600-570</t>
  </si>
  <si>
    <t>100-34000-570</t>
  </si>
  <si>
    <t>100-34600-570</t>
  </si>
  <si>
    <t>100-37200-570</t>
  </si>
  <si>
    <t>100-39100-570</t>
  </si>
  <si>
    <t>100-41700-570</t>
  </si>
  <si>
    <t>ELECTRONIC MONITORING</t>
  </si>
  <si>
    <t>100-41900-570</t>
  </si>
  <si>
    <t>OTHER PROFFESSIONAL SVC</t>
  </si>
  <si>
    <t>100-42600-570</t>
  </si>
  <si>
    <t>BUSINESS AND TRAVEL EXPENSES</t>
  </si>
  <si>
    <t>100-42700-570</t>
  </si>
  <si>
    <t>STAFF TRAINING/CONFERENCE</t>
  </si>
  <si>
    <t>100-42800-570</t>
  </si>
  <si>
    <t>100-45400-570</t>
  </si>
  <si>
    <t>100-49100-570</t>
  </si>
  <si>
    <t>100-49300-570</t>
  </si>
  <si>
    <t>100-70100-570</t>
  </si>
  <si>
    <t>100-71500-570</t>
  </si>
  <si>
    <t>PSYCHOLOGICAL &amp; COUNSELING</t>
  </si>
  <si>
    <t>100-75000-570</t>
  </si>
  <si>
    <t>CONTRACT DETENTION</t>
  </si>
  <si>
    <t>100-75100-570</t>
  </si>
  <si>
    <t>JUVENILE MEDICAL &amp; DENTAL</t>
  </si>
  <si>
    <t>TOTAL JUVENILE CO FUNDED</t>
  </si>
  <si>
    <t>FLOODPLAINS MANAGEMENT</t>
  </si>
  <si>
    <t>100-10200-588</t>
  </si>
  <si>
    <t>100-11200-588</t>
  </si>
  <si>
    <t>100-20100-588</t>
  </si>
  <si>
    <t>100-20200-588</t>
  </si>
  <si>
    <t>100-20300-588</t>
  </si>
  <si>
    <t>100-20500-588</t>
  </si>
  <si>
    <t>100-20700-588</t>
  </si>
  <si>
    <t>100-31000-588</t>
  </si>
  <si>
    <t>100-33000-588</t>
  </si>
  <si>
    <t>100-34000-588</t>
  </si>
  <si>
    <t>100-39100-588</t>
  </si>
  <si>
    <t>100-42700-588</t>
  </si>
  <si>
    <t>100-42800-588</t>
  </si>
  <si>
    <t>100-43000-588</t>
  </si>
  <si>
    <t>100-45400-588</t>
  </si>
  <si>
    <t>100-45900-588</t>
  </si>
  <si>
    <t>100-49300-588</t>
  </si>
  <si>
    <t>TOTAL FLOODPLAINS MANAGEMENT</t>
  </si>
  <si>
    <t>100-10200-590</t>
  </si>
  <si>
    <t>100-11200-590</t>
  </si>
  <si>
    <t>100-20100-590</t>
  </si>
  <si>
    <t>100-20200-590</t>
  </si>
  <si>
    <t>100-20300-590</t>
  </si>
  <si>
    <t>100-20500-590</t>
  </si>
  <si>
    <t>100-20700-590</t>
  </si>
  <si>
    <t>100-31000-590</t>
  </si>
  <si>
    <t>100-33000-590</t>
  </si>
  <si>
    <t>100-34000-590</t>
  </si>
  <si>
    <t>100-35000-590</t>
  </si>
  <si>
    <t>100-39100-590</t>
  </si>
  <si>
    <t>100-42200-590</t>
  </si>
  <si>
    <t>COMMAND TRAILER</t>
  </si>
  <si>
    <t>100-42700-590</t>
  </si>
  <si>
    <t>100-42800-590</t>
  </si>
  <si>
    <t>100-43000-590</t>
  </si>
  <si>
    <t>100-44400-590</t>
  </si>
  <si>
    <t>100-45400-590</t>
  </si>
  <si>
    <t>100-45900-590</t>
  </si>
  <si>
    <t>100-49300-590</t>
  </si>
  <si>
    <t>TOTAL EMERGENCY MGMT</t>
  </si>
  <si>
    <t>FIRE MARSHAL/ECU</t>
  </si>
  <si>
    <t>100-10200-591</t>
  </si>
  <si>
    <t>100-10800-591</t>
  </si>
  <si>
    <t>PART TIME</t>
  </si>
  <si>
    <t>100-11200-591</t>
  </si>
  <si>
    <t>100-15100-591</t>
  </si>
  <si>
    <t>100-15200-591</t>
  </si>
  <si>
    <t>100-20100-591</t>
  </si>
  <si>
    <t>100-20200-591</t>
  </si>
  <si>
    <t>100-20300-591</t>
  </si>
  <si>
    <t>100-20500-591</t>
  </si>
  <si>
    <t>100-20700-591</t>
  </si>
  <si>
    <t>100-21100-591</t>
  </si>
  <si>
    <t>100-31000-591</t>
  </si>
  <si>
    <t>100-31100-591</t>
  </si>
  <si>
    <t>100-31200-591</t>
  </si>
  <si>
    <t>100-33000-591</t>
  </si>
  <si>
    <t>100-33700-591</t>
  </si>
  <si>
    <t>100-34000-591</t>
  </si>
  <si>
    <t>100-34600-591</t>
  </si>
  <si>
    <t>100-35000-591</t>
  </si>
  <si>
    <t>100-37200-591</t>
  </si>
  <si>
    <t>100-39100-591</t>
  </si>
  <si>
    <t>100-41900-591</t>
  </si>
  <si>
    <t>100-42700-591</t>
  </si>
  <si>
    <t>100-42800-591</t>
  </si>
  <si>
    <t>100-45400-591</t>
  </si>
  <si>
    <t>100-45900-591</t>
  </si>
  <si>
    <t>100-49100-591</t>
  </si>
  <si>
    <t>BONDS</t>
  </si>
  <si>
    <t>100-49300-591</t>
  </si>
  <si>
    <t>100-57000-591</t>
  </si>
  <si>
    <t>TOTAL FIRE MARSHAL/ECU</t>
  </si>
  <si>
    <t>DEPARTMENT OF PUBLIC SAFETY</t>
  </si>
  <si>
    <t>100-10200-592</t>
  </si>
  <si>
    <t>100-11200-592</t>
  </si>
  <si>
    <t>100-20100-592</t>
  </si>
  <si>
    <t>100-20200-592</t>
  </si>
  <si>
    <t>100-20300-592</t>
  </si>
  <si>
    <t>100-20500-592</t>
  </si>
  <si>
    <t>100-20700-592</t>
  </si>
  <si>
    <t>100-31000-592</t>
  </si>
  <si>
    <t>100-31200-592</t>
  </si>
  <si>
    <t>100-34600-592</t>
  </si>
  <si>
    <t>BOOK AND BOOK UPDATE</t>
  </si>
  <si>
    <t>100-35000-592</t>
  </si>
  <si>
    <t>100-37200-592</t>
  </si>
  <si>
    <t>100-39100-592</t>
  </si>
  <si>
    <t>100-49100-592</t>
  </si>
  <si>
    <t>TOTAL DPS</t>
  </si>
  <si>
    <t>HEALTH CARE COORDINATOR</t>
  </si>
  <si>
    <t>100-10200-645</t>
  </si>
  <si>
    <t>100-11200-645</t>
  </si>
  <si>
    <t>100-20100-645</t>
  </si>
  <si>
    <t>100-20200-645</t>
  </si>
  <si>
    <t>100-20300-645</t>
  </si>
  <si>
    <t>100-20500-645</t>
  </si>
  <si>
    <t>100-20700-645</t>
  </si>
  <si>
    <t>100-31000-645</t>
  </si>
  <si>
    <t>100-31100-645</t>
  </si>
  <si>
    <t>100-37200-645</t>
  </si>
  <si>
    <t>100-39100-645</t>
  </si>
  <si>
    <t>100-42700-645</t>
  </si>
  <si>
    <t>100-42800-645</t>
  </si>
  <si>
    <t>100-45800-645</t>
  </si>
  <si>
    <t>100-49300-645</t>
  </si>
  <si>
    <t>TOTAL HEALTH CARE COORDINATOR</t>
  </si>
  <si>
    <t>PUBLIC LIBRARY</t>
  </si>
  <si>
    <t>100-10200-650</t>
  </si>
  <si>
    <t>100-10800-650</t>
  </si>
  <si>
    <t>100-11200-650</t>
  </si>
  <si>
    <t>100-15100-650</t>
  </si>
  <si>
    <t>100-15200-650</t>
  </si>
  <si>
    <t>100-20100-650</t>
  </si>
  <si>
    <t>100-20200-650</t>
  </si>
  <si>
    <t>100-20300-650</t>
  </si>
  <si>
    <t>100-20500-650</t>
  </si>
  <si>
    <t>100-20700-650</t>
  </si>
  <si>
    <t>100-31000-650</t>
  </si>
  <si>
    <t>100-31100-650</t>
  </si>
  <si>
    <t>100-34600-650</t>
  </si>
  <si>
    <t>BOOKS &amp; BOOK UPDATES</t>
  </si>
  <si>
    <t>100-39100-650</t>
  </si>
  <si>
    <t>100-42700-650</t>
  </si>
  <si>
    <t>100-45800-650</t>
  </si>
  <si>
    <t>TOTAL PUBLIC LIBRARY</t>
  </si>
  <si>
    <t>LIBRARY RESERVE</t>
  </si>
  <si>
    <t>100-34600-651</t>
  </si>
  <si>
    <t>100-57600-651</t>
  </si>
  <si>
    <t>TOTAL LIBRARY RESERVE</t>
  </si>
  <si>
    <t>HISTORICAL COMMISSION</t>
  </si>
  <si>
    <t>100-10800-660</t>
  </si>
  <si>
    <t>SALARIES PT</t>
  </si>
  <si>
    <t>100-20100-660</t>
  </si>
  <si>
    <t>100-20300-660</t>
  </si>
  <si>
    <t>100-20500-660</t>
  </si>
  <si>
    <t>100-31000-660</t>
  </si>
  <si>
    <t>100-31100-660</t>
  </si>
  <si>
    <t>100-34600-660</t>
  </si>
  <si>
    <t>100-37200-660</t>
  </si>
  <si>
    <t>FURNITURE &amp; FIXTURES &lt;$5K</t>
  </si>
  <si>
    <t>100-39100-660</t>
  </si>
  <si>
    <t>MINOR EQUIP NONDISPOSABLE $500</t>
  </si>
  <si>
    <t>100-42600-660</t>
  </si>
  <si>
    <t>100-42800-660</t>
  </si>
  <si>
    <t>100-43100-660</t>
  </si>
  <si>
    <t>HISTORICAL MARKER</t>
  </si>
  <si>
    <t>100-49300-660</t>
  </si>
  <si>
    <t>TOTAL HISTORICAL COMMISSION</t>
  </si>
  <si>
    <t>COUNTY EXTENTION OFFICE</t>
  </si>
  <si>
    <t>100-10200-665</t>
  </si>
  <si>
    <t>100-11200-665</t>
  </si>
  <si>
    <t>100-20100-665</t>
  </si>
  <si>
    <t>100-20200-665</t>
  </si>
  <si>
    <t>100-20300-665</t>
  </si>
  <si>
    <t>100-20500-665</t>
  </si>
  <si>
    <t>100-20700-665</t>
  </si>
  <si>
    <t>100-22500-665</t>
  </si>
  <si>
    <t>100-31000-665</t>
  </si>
  <si>
    <t>100-31100-665</t>
  </si>
  <si>
    <t>100-31400-665</t>
  </si>
  <si>
    <t>100-35000-665</t>
  </si>
  <si>
    <t>NON-CAPITAL EQUIP $500--$5K</t>
  </si>
  <si>
    <t>100-37200-665</t>
  </si>
  <si>
    <t>100-39000-665</t>
  </si>
  <si>
    <t>4-H SUPPLIES</t>
  </si>
  <si>
    <t>100-39100-665</t>
  </si>
  <si>
    <t>100-42600-665</t>
  </si>
  <si>
    <t>100-42700-665</t>
  </si>
  <si>
    <t>100-42800-665</t>
  </si>
  <si>
    <t>100-49300-665</t>
  </si>
  <si>
    <t>TOTAL CO EXT</t>
  </si>
  <si>
    <t>HEALTHY COUNTY/VENDING MACHINE</t>
  </si>
  <si>
    <t>100-31000-670</t>
  </si>
  <si>
    <t>100-31400-670</t>
  </si>
  <si>
    <t>100-33300-670</t>
  </si>
  <si>
    <t>FOOD SERVICES</t>
  </si>
  <si>
    <t>100-42700-670</t>
  </si>
  <si>
    <t>HEALTHY CO/VENDING MACHINE</t>
  </si>
  <si>
    <t>TOTAL GENERAL FUND EXPENSES</t>
  </si>
  <si>
    <t>FUND 150 - RECORDS MANAGEMENT</t>
  </si>
  <si>
    <t>150-40600-340</t>
  </si>
  <si>
    <t>CO CLERK RECORDS MGMT FEES</t>
  </si>
  <si>
    <t>150-42000-340</t>
  </si>
  <si>
    <t>CO RECORDS MGMT FEE</t>
  </si>
  <si>
    <t>150-70300-340</t>
  </si>
  <si>
    <t>DIST CLK RECORDS MGMT FEE</t>
  </si>
  <si>
    <t>150-00000-390</t>
  </si>
  <si>
    <t>TOTAL RCDS MGMT REVENUES</t>
  </si>
  <si>
    <t>EXPENSES</t>
  </si>
  <si>
    <t>COUNTY RECORDS MANAGEMENT</t>
  </si>
  <si>
    <t>150-31000-406</t>
  </si>
  <si>
    <t>150-35000-406</t>
  </si>
  <si>
    <t>150-41900-406</t>
  </si>
  <si>
    <t>150-45500-406</t>
  </si>
  <si>
    <t>COUNTY CLERK RECORS MANAGEMENT</t>
  </si>
  <si>
    <t>150-35000-411</t>
  </si>
  <si>
    <t>150-41800-411</t>
  </si>
  <si>
    <t>CO CLK RCDS MGMT/PRESERVATION</t>
  </si>
  <si>
    <t>150-42700-411</t>
  </si>
  <si>
    <t>150-45500-411</t>
  </si>
  <si>
    <t>150-45800-411</t>
  </si>
  <si>
    <t>SOFTWARE ANNUAL MAINTENANCE</t>
  </si>
  <si>
    <t>150-49300-411</t>
  </si>
  <si>
    <t>150-57200-411</t>
  </si>
  <si>
    <t>FURNITURE &amp; FIXTURES</t>
  </si>
  <si>
    <t>DISTRICT CLERK RECORDS MANAGEMENT</t>
  </si>
  <si>
    <t>150-31000-446</t>
  </si>
  <si>
    <t>150-37200-446</t>
  </si>
  <si>
    <t>150-41800-446</t>
  </si>
  <si>
    <t>DST CLK RCDS MGMT/PRESERVATION</t>
  </si>
  <si>
    <t>150-41900-446</t>
  </si>
  <si>
    <t>OTHER PROF SERVICES</t>
  </si>
  <si>
    <t>150-42700-446</t>
  </si>
  <si>
    <t>150-49300-446</t>
  </si>
  <si>
    <t>150-57200-446</t>
  </si>
  <si>
    <t>150-57600-446</t>
  </si>
  <si>
    <t>TOTAL RECORDS MGMT FUND EXP</t>
  </si>
  <si>
    <t>FUND 200 -</t>
  </si>
  <si>
    <t>ROAD AND BRIDGE</t>
  </si>
  <si>
    <t>200-11000-310</t>
  </si>
  <si>
    <t>CURRENT TAXES-FMFC</t>
  </si>
  <si>
    <t>200-12000-310</t>
  </si>
  <si>
    <t>CURRENT TAXES-ROAD &amp; BRIDGE</t>
  </si>
  <si>
    <t>200-21000-310</t>
  </si>
  <si>
    <t>DELINQUENT TAXES-FMFC</t>
  </si>
  <si>
    <t>200-22000-310</t>
  </si>
  <si>
    <t>DELINQUENT TAXES-ROAD &amp; BRIDGE</t>
  </si>
  <si>
    <t>200-20000-321</t>
  </si>
  <si>
    <t>MOTOR VEHICLE REGISTRATION</t>
  </si>
  <si>
    <t>200-32900-330</t>
  </si>
  <si>
    <t>CTIF (Previously CERTZ)</t>
  </si>
  <si>
    <t>200-33000-330</t>
  </si>
  <si>
    <t>LATERAL ROAD</t>
  </si>
  <si>
    <t>200-34000-330</t>
  </si>
  <si>
    <t>TX DEPT OF TRANSP &amp; WEIGHT</t>
  </si>
  <si>
    <t>200-43500-330</t>
  </si>
  <si>
    <t>FEMA GRANT REVENUE</t>
  </si>
  <si>
    <t>200-54000-340</t>
  </si>
  <si>
    <t>TAX COLLECTOR $10 REGIST. FEE</t>
  </si>
  <si>
    <t>200-62100-344</t>
  </si>
  <si>
    <t>WASTE COLLECTION PRECINCT 1</t>
  </si>
  <si>
    <t>200-62200-344</t>
  </si>
  <si>
    <t>WASTE COLLECTION PRECINCT 2</t>
  </si>
  <si>
    <t>200-62300-344</t>
  </si>
  <si>
    <t>WASTE COLLECTION PRECINCT 3</t>
  </si>
  <si>
    <t>200-62400-344</t>
  </si>
  <si>
    <t>WASTE COLLECTION PRECINCT 4</t>
  </si>
  <si>
    <t>200-10000-360</t>
  </si>
  <si>
    <t>200-20000-364</t>
  </si>
  <si>
    <t>200-20100-364</t>
  </si>
  <si>
    <t>PROCEEDS FROM CAPITAL LEASE</t>
  </si>
  <si>
    <t>200-90000-381</t>
  </si>
  <si>
    <t>200-00000-390</t>
  </si>
  <si>
    <t>OPERATING TRANSFERS</t>
  </si>
  <si>
    <t>TOTAL R&amp;B FUND REVENUES</t>
  </si>
  <si>
    <t>ROAD AND BRIDGE SPECIAL</t>
  </si>
  <si>
    <t>200-20800-610</t>
  </si>
  <si>
    <t>200-33800-610</t>
  </si>
  <si>
    <t>CTIF ROAD MATERIAL</t>
  </si>
  <si>
    <t>200-40500-610</t>
  </si>
  <si>
    <t>200-44000-610</t>
  </si>
  <si>
    <t>200-44100-610</t>
  </si>
  <si>
    <t>200-45000-610</t>
  </si>
  <si>
    <t>BLDG &amp; GROUNDS MAINT</t>
  </si>
  <si>
    <t>200-44300-610</t>
  </si>
  <si>
    <t>R.O.W.</t>
  </si>
  <si>
    <t>200-70100-610</t>
  </si>
  <si>
    <t>DRUG SCREEN TESTS</t>
  </si>
  <si>
    <t>200-73100-610</t>
  </si>
  <si>
    <t>CONSERVATION DISTRICTS</t>
  </si>
  <si>
    <t>TOTAL ROAD AND BRIDGE SPECIAL</t>
  </si>
  <si>
    <t>ROAD AND BRIDGE, PRECINCT 1</t>
  </si>
  <si>
    <t>200-10100-611</t>
  </si>
  <si>
    <t>200-10200-611</t>
  </si>
  <si>
    <t>200-10800-611</t>
  </si>
  <si>
    <t>200-11200-611</t>
  </si>
  <si>
    <t>200-20100-611</t>
  </si>
  <si>
    <t>200-20200-611</t>
  </si>
  <si>
    <t>200-20300-611</t>
  </si>
  <si>
    <t>200-20400-611</t>
  </si>
  <si>
    <t>WORKERS COMPENSATION</t>
  </si>
  <si>
    <t>200-20500-611</t>
  </si>
  <si>
    <t>200-20600-611</t>
  </si>
  <si>
    <t>200-20700-611</t>
  </si>
  <si>
    <t>200-22500-611</t>
  </si>
  <si>
    <t>200-31000-611</t>
  </si>
  <si>
    <t>200-31100-611</t>
  </si>
  <si>
    <t>200-33000-611</t>
  </si>
  <si>
    <t>200-33600-611</t>
  </si>
  <si>
    <t>200-33800-611</t>
  </si>
  <si>
    <t>ROAD MATERIAL</t>
  </si>
  <si>
    <t>200-33900-611</t>
  </si>
  <si>
    <t>BRIDGE MATERIAL</t>
  </si>
  <si>
    <t>200-34000-611</t>
  </si>
  <si>
    <t>200-34100-611</t>
  </si>
  <si>
    <t>200-34200-611</t>
  </si>
  <si>
    <t>SIGNS</t>
  </si>
  <si>
    <t>200-34300-611</t>
  </si>
  <si>
    <t>200-35000-611</t>
  </si>
  <si>
    <t>200-39100-611</t>
  </si>
  <si>
    <t>200-41900-611</t>
  </si>
  <si>
    <t>200-42000-611</t>
  </si>
  <si>
    <t>200-42600-611</t>
  </si>
  <si>
    <t>200-42700-611</t>
  </si>
  <si>
    <t>200-44000-611</t>
  </si>
  <si>
    <t>200-44100-611</t>
  </si>
  <si>
    <t>200-44200-611</t>
  </si>
  <si>
    <t>200-44300-611</t>
  </si>
  <si>
    <t>R.O.W. MAINTENANCE</t>
  </si>
  <si>
    <t>200-45000-611</t>
  </si>
  <si>
    <t>BLDG &amp; GROUNDS MAINTENANCE</t>
  </si>
  <si>
    <t>200-45100-611</t>
  </si>
  <si>
    <t>MACHINERY MAINTENANCE</t>
  </si>
  <si>
    <t>200-45300-611</t>
  </si>
  <si>
    <t>200-45400-611</t>
  </si>
  <si>
    <t>200-45800-611</t>
  </si>
  <si>
    <t>SOFTWARE &amp; MAINTENANCE</t>
  </si>
  <si>
    <t>200-48900-611</t>
  </si>
  <si>
    <t>200-49100-611</t>
  </si>
  <si>
    <t>200-49400-611</t>
  </si>
  <si>
    <t>200-55000-611</t>
  </si>
  <si>
    <t>200-57000-611</t>
  </si>
  <si>
    <t>200-57100-611</t>
  </si>
  <si>
    <t>HEAVY EQUIPMENT</t>
  </si>
  <si>
    <t>200-57400-611</t>
  </si>
  <si>
    <t>200-57600-611</t>
  </si>
  <si>
    <t>TOTAL R&amp;B, PRECINCT 1</t>
  </si>
  <si>
    <t>ROAD AND BRIDGE, PRECINCT 2</t>
  </si>
  <si>
    <t>200-10100-612</t>
  </si>
  <si>
    <t>200-10200-612</t>
  </si>
  <si>
    <t>200-10800-612</t>
  </si>
  <si>
    <t>200-11200-612</t>
  </si>
  <si>
    <t>200-15100-612</t>
  </si>
  <si>
    <t>200-15200-612</t>
  </si>
  <si>
    <t>200-20100-612</t>
  </si>
  <si>
    <t>200-20200-612</t>
  </si>
  <si>
    <t>200-20300-612</t>
  </si>
  <si>
    <t>200-20400-612</t>
  </si>
  <si>
    <t>200-20500-612</t>
  </si>
  <si>
    <t>200-20600-612</t>
  </si>
  <si>
    <t>200-20700-612</t>
  </si>
  <si>
    <t>200-22500-612</t>
  </si>
  <si>
    <t>200-31000-612</t>
  </si>
  <si>
    <t>200-33000-612</t>
  </si>
  <si>
    <t>200-33600-612</t>
  </si>
  <si>
    <t>200-33800-612</t>
  </si>
  <si>
    <t>200-33900-612</t>
  </si>
  <si>
    <t>200-34000-612</t>
  </si>
  <si>
    <t>200-34100-612</t>
  </si>
  <si>
    <t>200-34200-612</t>
  </si>
  <si>
    <t>200-34300-612</t>
  </si>
  <si>
    <t>200-35000-612</t>
  </si>
  <si>
    <t>200-39100-612</t>
  </si>
  <si>
    <t>200-41900-612</t>
  </si>
  <si>
    <t>200-42000-612</t>
  </si>
  <si>
    <t>200-42700-612</t>
  </si>
  <si>
    <t>200-43000-612</t>
  </si>
  <si>
    <t>200-44000-612</t>
  </si>
  <si>
    <t>200-44300-612</t>
  </si>
  <si>
    <t>200-45000-612</t>
  </si>
  <si>
    <t>200-45100-612</t>
  </si>
  <si>
    <t>200-45300-612</t>
  </si>
  <si>
    <t>200-45400-612</t>
  </si>
  <si>
    <t>200-45800-612</t>
  </si>
  <si>
    <t>200-48900-612</t>
  </si>
  <si>
    <t>200-49100-612</t>
  </si>
  <si>
    <t>200-49400-612</t>
  </si>
  <si>
    <t>200-55000-612</t>
  </si>
  <si>
    <t>200-57000-612</t>
  </si>
  <si>
    <t>200-57100-612</t>
  </si>
  <si>
    <t>200-57200-612</t>
  </si>
  <si>
    <t>200-57400-612</t>
  </si>
  <si>
    <t>200-57600-612</t>
  </si>
  <si>
    <t>TOTAL R&amp;B, PRECINCT 2</t>
  </si>
  <si>
    <t>ROAD &amp; BRIDGE, PRECINCT 3</t>
  </si>
  <si>
    <t>200-10100-613</t>
  </si>
  <si>
    <t>200-10200-613</t>
  </si>
  <si>
    <t>200-10800-613</t>
  </si>
  <si>
    <t>200-11200-613</t>
  </si>
  <si>
    <t>200-15100-613</t>
  </si>
  <si>
    <t>OT- STRAIGHT TIME</t>
  </si>
  <si>
    <t>200-20100-613</t>
  </si>
  <si>
    <t>200-20200-613</t>
  </si>
  <si>
    <t>200-20300-613</t>
  </si>
  <si>
    <t>200-20400-613</t>
  </si>
  <si>
    <t>200-20500-613</t>
  </si>
  <si>
    <t>200-20600-613</t>
  </si>
  <si>
    <t>200-20700-613</t>
  </si>
  <si>
    <t>200-22500-613</t>
  </si>
  <si>
    <t>200-31000-613</t>
  </si>
  <si>
    <t>200-33000-613</t>
  </si>
  <si>
    <t>200-33600-613</t>
  </si>
  <si>
    <t>200-33800-613</t>
  </si>
  <si>
    <t>200-33900-613</t>
  </si>
  <si>
    <t>200-34000-613</t>
  </si>
  <si>
    <t>200-34100-613</t>
  </si>
  <si>
    <t>200-34200-613</t>
  </si>
  <si>
    <t>200-34300-613</t>
  </si>
  <si>
    <t>200-35000-613</t>
  </si>
  <si>
    <t>200-39100-613</t>
  </si>
  <si>
    <t>200-40500-613</t>
  </si>
  <si>
    <t>200-41600-613</t>
  </si>
  <si>
    <t>200-42000-613</t>
  </si>
  <si>
    <t>200-42700-613</t>
  </si>
  <si>
    <t>200-44000-613</t>
  </si>
  <si>
    <t>200-44200-613</t>
  </si>
  <si>
    <t>200-44300-613</t>
  </si>
  <si>
    <t>200-45000-613</t>
  </si>
  <si>
    <t>200-45100-613</t>
  </si>
  <si>
    <t>200-45300-613</t>
  </si>
  <si>
    <t>200-45400-613</t>
  </si>
  <si>
    <t>200-45800-613</t>
  </si>
  <si>
    <t>200-45900-613</t>
  </si>
  <si>
    <t>200-48900-613</t>
  </si>
  <si>
    <t>200-49100-613</t>
  </si>
  <si>
    <t>200-55000-613</t>
  </si>
  <si>
    <t>200-57000-613</t>
  </si>
  <si>
    <t>200-57100-613</t>
  </si>
  <si>
    <t>200-57400-613</t>
  </si>
  <si>
    <t>200-57600-613</t>
  </si>
  <si>
    <t>200-57700-613</t>
  </si>
  <si>
    <t>TOTAL R&amp;B, PRECINCT 3</t>
  </si>
  <si>
    <t>ROAD AND BRIDGE, PRECINCT 4</t>
  </si>
  <si>
    <t>200-10100-614</t>
  </si>
  <si>
    <t>200-10200-614</t>
  </si>
  <si>
    <t>200-10800-614</t>
  </si>
  <si>
    <t>200-11200-614</t>
  </si>
  <si>
    <t>200-15100-614</t>
  </si>
  <si>
    <t>200-15200-614</t>
  </si>
  <si>
    <t>200-20100-614</t>
  </si>
  <si>
    <t>200-20200-614</t>
  </si>
  <si>
    <t>200-20300-614</t>
  </si>
  <si>
    <t>200-20400-614</t>
  </si>
  <si>
    <t>200-20500-614</t>
  </si>
  <si>
    <t>200-20600-614</t>
  </si>
  <si>
    <t>200-20700-614</t>
  </si>
  <si>
    <t>200-22500-614</t>
  </si>
  <si>
    <t>200-31000-614</t>
  </si>
  <si>
    <t>200-31100-614</t>
  </si>
  <si>
    <t>200-33000-614</t>
  </si>
  <si>
    <t>200-33600-614</t>
  </si>
  <si>
    <t>200-33800-614</t>
  </si>
  <si>
    <t>200-33900-614</t>
  </si>
  <si>
    <t>200-34000-614</t>
  </si>
  <si>
    <t>200-34100-614</t>
  </si>
  <si>
    <t>200-34200-614</t>
  </si>
  <si>
    <t>200-34300-614</t>
  </si>
  <si>
    <t>200-35000-614</t>
  </si>
  <si>
    <t>200-37200-614</t>
  </si>
  <si>
    <t>FURNITURE &amp; FIXTURE LESS $5K</t>
  </si>
  <si>
    <t>200-39100-614</t>
  </si>
  <si>
    <t>200-40500-614</t>
  </si>
  <si>
    <t>200-41600-614</t>
  </si>
  <si>
    <t>200-42000-614</t>
  </si>
  <si>
    <t>200-42700-614</t>
  </si>
  <si>
    <t>200-44000-614</t>
  </si>
  <si>
    <t>200-44100-614</t>
  </si>
  <si>
    <t>200-44200-614</t>
  </si>
  <si>
    <t>200-44300-614</t>
  </si>
  <si>
    <t>200-45000-614</t>
  </si>
  <si>
    <t>200-45100-614</t>
  </si>
  <si>
    <t>200-45300-614</t>
  </si>
  <si>
    <t>200-45400-614</t>
  </si>
  <si>
    <t>200-45600-614</t>
  </si>
  <si>
    <t>200-45800-614</t>
  </si>
  <si>
    <t>200-45900-614</t>
  </si>
  <si>
    <t>200-48900-614</t>
  </si>
  <si>
    <t>200-49100-614</t>
  </si>
  <si>
    <t>200-55000-614</t>
  </si>
  <si>
    <t>200-57000-614</t>
  </si>
  <si>
    <t>200-57100-614</t>
  </si>
  <si>
    <t>200-57600-614</t>
  </si>
  <si>
    <t>R&amp;B, PRECINCT 4</t>
  </si>
  <si>
    <t>PRECINCT 1, LATERAL ROAD</t>
  </si>
  <si>
    <t>200-33800-621</t>
  </si>
  <si>
    <t>PRECINCT 2, LATERAL ROAD</t>
  </si>
  <si>
    <t>200-33800-622</t>
  </si>
  <si>
    <t>PRECINCT 3, LATERAL ROAD</t>
  </si>
  <si>
    <t>200-33800-623</t>
  </si>
  <si>
    <t>PRECINCT 4, LATERAL ROAD</t>
  </si>
  <si>
    <t>200-33800-624</t>
  </si>
  <si>
    <t>WASTE MANAGEMENT</t>
  </si>
  <si>
    <t>200-10800-641</t>
  </si>
  <si>
    <t>200-20100-641</t>
  </si>
  <si>
    <t>200-20300-641</t>
  </si>
  <si>
    <t>200-20400-641</t>
  </si>
  <si>
    <t>200-20500-641</t>
  </si>
  <si>
    <t>200-20600-641</t>
  </si>
  <si>
    <t>200-31000-641</t>
  </si>
  <si>
    <t>200-41600-641</t>
  </si>
  <si>
    <t>200-42000-641</t>
  </si>
  <si>
    <t>200-44000-641</t>
  </si>
  <si>
    <t>200-45000-641</t>
  </si>
  <si>
    <t>BUILDING &amp; GROUNDS MAINTANENCE</t>
  </si>
  <si>
    <t>200-46000-641</t>
  </si>
  <si>
    <t>200-49100-641</t>
  </si>
  <si>
    <t>TOTAL WASTE MANAGEMENT</t>
  </si>
  <si>
    <t>TOTAL R&amp;B FUND EXPENSES</t>
  </si>
  <si>
    <t>FUND 230 -</t>
  </si>
  <si>
    <t>CLINT W MUCHISON LIBRARY</t>
  </si>
  <si>
    <t>230-00000-349</t>
  </si>
  <si>
    <t>LIBRARY FEES</t>
  </si>
  <si>
    <t>230-36000-330</t>
  </si>
  <si>
    <t>GRANT: LIBRARY</t>
  </si>
  <si>
    <t>230-10000-365</t>
  </si>
  <si>
    <t>CONTRIBUTIONS</t>
  </si>
  <si>
    <t>230-90000-381</t>
  </si>
  <si>
    <t>230-00000-390</t>
  </si>
  <si>
    <t>TOTAL LIBRARY FUND REVENUES</t>
  </si>
  <si>
    <t>230-31000-650</t>
  </si>
  <si>
    <t>230-31200-650</t>
  </si>
  <si>
    <t>AUDIO/VISUAL SUPPLIES</t>
  </si>
  <si>
    <t>230-31400-650</t>
  </si>
  <si>
    <t>230-34600-650</t>
  </si>
  <si>
    <t>230-35000-650</t>
  </si>
  <si>
    <t>NON-CAPITAL EQUIPMENT</t>
  </si>
  <si>
    <t>230-37200-650</t>
  </si>
  <si>
    <t>230-39100-650</t>
  </si>
  <si>
    <t>230-42700-650</t>
  </si>
  <si>
    <t>230-42800-650</t>
  </si>
  <si>
    <t>230-45900-650</t>
  </si>
  <si>
    <t>230-49300-650</t>
  </si>
  <si>
    <t>TOTAL LIBRARY FUND EXPENSES</t>
  </si>
  <si>
    <t xml:space="preserve">FUND 240 - </t>
  </si>
  <si>
    <t>COUNTY ATTORNEY HOT CHECK FUND</t>
  </si>
  <si>
    <t>240-30000-340</t>
  </si>
  <si>
    <t>240-90000-381</t>
  </si>
  <si>
    <t>240-00000-390</t>
  </si>
  <si>
    <t>TRANSFERS IN/OUT</t>
  </si>
  <si>
    <t>TOTAL CA HOT CK REVENUES</t>
  </si>
  <si>
    <t>240-10200-475</t>
  </si>
  <si>
    <t>240-20100-475</t>
  </si>
  <si>
    <t>240-20300-475</t>
  </si>
  <si>
    <t>240-20500-475</t>
  </si>
  <si>
    <t>240-20600-475</t>
  </si>
  <si>
    <t>240-31000-475</t>
  </si>
  <si>
    <t>240-39100-475</t>
  </si>
  <si>
    <t>240-41900-475</t>
  </si>
  <si>
    <t>240-42700-475</t>
  </si>
  <si>
    <t>240-42800-475</t>
  </si>
  <si>
    <t>240-70100-475</t>
  </si>
  <si>
    <t>TOTAL CA HOT CK EXPENSES</t>
  </si>
  <si>
    <t>FUND 243 -</t>
  </si>
  <si>
    <t>COUNTY ATTORNEY PRETRIAL INTERVENTION</t>
  </si>
  <si>
    <t>243-32500-340</t>
  </si>
  <si>
    <t>PRE-TRIAL DIVERSION FEE</t>
  </si>
  <si>
    <t>243-00000-390</t>
  </si>
  <si>
    <t>TOTAL CA PTI REVENUES</t>
  </si>
  <si>
    <t>243-10200-475</t>
  </si>
  <si>
    <t>243-20100-475</t>
  </si>
  <si>
    <t>243-20300-475</t>
  </si>
  <si>
    <t>243-20500-475</t>
  </si>
  <si>
    <t>243-31000-475</t>
  </si>
  <si>
    <t>243-39100-475</t>
  </si>
  <si>
    <t>243-42700-475</t>
  </si>
  <si>
    <t>243-42800-475</t>
  </si>
  <si>
    <t>TOTAL CA PTI EXPENSES</t>
  </si>
  <si>
    <t xml:space="preserve">FUND 250 - </t>
  </si>
  <si>
    <t>JURY FUND</t>
  </si>
  <si>
    <t>250-47000-330</t>
  </si>
  <si>
    <t>JUROR REIMBURSEMENT</t>
  </si>
  <si>
    <t>250-10000-360</t>
  </si>
  <si>
    <t>250-90000-381</t>
  </si>
  <si>
    <t>250-00000-390</t>
  </si>
  <si>
    <t>TOTAL JURY FUND REVENUES</t>
  </si>
  <si>
    <t>250-48500-410</t>
  </si>
  <si>
    <t>JUROR COMPENSATION</t>
  </si>
  <si>
    <t>250-31000-430</t>
  </si>
  <si>
    <t>250-48500-430</t>
  </si>
  <si>
    <t>250-48800-430</t>
  </si>
  <si>
    <t>TOTAL JURY FUND EXPENSES</t>
  </si>
  <si>
    <t>FUND 260 -</t>
  </si>
  <si>
    <t>DA SEIZURE FUND</t>
  </si>
  <si>
    <t>260-60000-350</t>
  </si>
  <si>
    <t>SEIZURES &amp; FORFEITURES</t>
  </si>
  <si>
    <t>260-10000-360</t>
  </si>
  <si>
    <t>TOTAL DA SEIZURE FUND REVENUES</t>
  </si>
  <si>
    <t>260-10200-485</t>
  </si>
  <si>
    <t>260-20100-485</t>
  </si>
  <si>
    <t>260-20300-485</t>
  </si>
  <si>
    <t>260-20500-485</t>
  </si>
  <si>
    <t>260-20600-485</t>
  </si>
  <si>
    <t>260-31000-485</t>
  </si>
  <si>
    <t>260-31100-485</t>
  </si>
  <si>
    <t>260-33600-485</t>
  </si>
  <si>
    <t>260-33700-485</t>
  </si>
  <si>
    <t>260-35000-485</t>
  </si>
  <si>
    <t>260-37200-485</t>
  </si>
  <si>
    <t>260-39100-485</t>
  </si>
  <si>
    <t>260-41000-485</t>
  </si>
  <si>
    <t>260-41600-485</t>
  </si>
  <si>
    <t>260-41900-485</t>
  </si>
  <si>
    <t>260-42600-485</t>
  </si>
  <si>
    <t>BUSINESS &amp; TRAVEL EXP</t>
  </si>
  <si>
    <t>260-42700-485</t>
  </si>
  <si>
    <t>260-42800-485</t>
  </si>
  <si>
    <t>260-44400-485</t>
  </si>
  <si>
    <t>260-45400-485</t>
  </si>
  <si>
    <t>260-45900-485</t>
  </si>
  <si>
    <t>TOTAL DA SEIZURE FUND EXPENSES</t>
  </si>
  <si>
    <t>FUND 261 -</t>
  </si>
  <si>
    <t>SHERIFF SEIZURE FUND</t>
  </si>
  <si>
    <t>261-60000-350</t>
  </si>
  <si>
    <t>261-10000-360</t>
  </si>
  <si>
    <t>261-00000-390</t>
  </si>
  <si>
    <t>TOTAL SHER SEIZURE FUND REVENUE</t>
  </si>
  <si>
    <t>261-31000-560</t>
  </si>
  <si>
    <t>261-35000-560</t>
  </si>
  <si>
    <t>261-37200-560</t>
  </si>
  <si>
    <t>261-39100-560</t>
  </si>
  <si>
    <t>261-41600-560</t>
  </si>
  <si>
    <t>261-41900-560</t>
  </si>
  <si>
    <t>261-42000-560</t>
  </si>
  <si>
    <t>261-42700-560</t>
  </si>
  <si>
    <t>261-42800-560</t>
  </si>
  <si>
    <t>261-45400-560</t>
  </si>
  <si>
    <t>261-45800-560</t>
  </si>
  <si>
    <t>261-45900-560</t>
  </si>
  <si>
    <t>261-48700-560</t>
  </si>
  <si>
    <t>DRUG INVESTIGATIVE EXPENSES</t>
  </si>
  <si>
    <t>261-48900-560</t>
  </si>
  <si>
    <t>261-57000-560</t>
  </si>
  <si>
    <t xml:space="preserve">VEHICLES </t>
  </si>
  <si>
    <t>261-57600-560</t>
  </si>
  <si>
    <t>TOTAL SHER SEIZURE FUND EXPENSES</t>
  </si>
  <si>
    <t>FUND 263 -</t>
  </si>
  <si>
    <t>FEDERAL SEIZURE FUND</t>
  </si>
  <si>
    <t>263-60000-350</t>
  </si>
  <si>
    <t>TOTAL FED SEIZURE FUND REVENUE</t>
  </si>
  <si>
    <t>CONSTABLE 5 SEIZURE FUND</t>
  </si>
  <si>
    <t>263-39100-545</t>
  </si>
  <si>
    <t>MINOR EQUIP NON-DISP LESS $500</t>
  </si>
  <si>
    <t>FEDERAL SEIZURES - SHERIFF DEPT</t>
  </si>
  <si>
    <t>263-31400-560</t>
  </si>
  <si>
    <t>263-31500-560</t>
  </si>
  <si>
    <t>K9 SUPPLIES</t>
  </si>
  <si>
    <t>263-35000-560</t>
  </si>
  <si>
    <t>263-39100-560</t>
  </si>
  <si>
    <t>263-42700-560</t>
  </si>
  <si>
    <t>263-42800-560</t>
  </si>
  <si>
    <t>263-45000-560</t>
  </si>
  <si>
    <t>263-45400-560</t>
  </si>
  <si>
    <t>263-49400-560</t>
  </si>
  <si>
    <t>263-57000-560</t>
  </si>
  <si>
    <t>263-57200-560</t>
  </si>
  <si>
    <t>FURNITURE &amp; FIXTURES OVER $5K</t>
  </si>
  <si>
    <t>263-57600-560</t>
  </si>
  <si>
    <t>EQUIPMENT OVER $5000</t>
  </si>
  <si>
    <t>263-71000-560</t>
  </si>
  <si>
    <t>K9 MEDICAL SERVICES</t>
  </si>
  <si>
    <t>TOTAL FED SEIZURE FUND EXPENSES</t>
  </si>
  <si>
    <t>FUND 267 -</t>
  </si>
  <si>
    <t>DA STATE FUNDS</t>
  </si>
  <si>
    <t>267-31700-330</t>
  </si>
  <si>
    <t>267-10000-360</t>
  </si>
  <si>
    <t>TOTAL DA STATE REVENUES</t>
  </si>
  <si>
    <t>267-10200-485</t>
  </si>
  <si>
    <t>267-20100-485</t>
  </si>
  <si>
    <t>267-20300-485</t>
  </si>
  <si>
    <t>267-20500-485</t>
  </si>
  <si>
    <t>267-20600-485</t>
  </si>
  <si>
    <t>TOTAL DA STATE FEE EXPENSES</t>
  </si>
  <si>
    <t xml:space="preserve">FUND 270 - </t>
  </si>
  <si>
    <t>BAIL BOND BOARD</t>
  </si>
  <si>
    <t>270-70000-364</t>
  </si>
  <si>
    <t>FILING/APP/AGENT FEES</t>
  </si>
  <si>
    <t>TOTAL BBB FUND REVENUES</t>
  </si>
  <si>
    <t>270-31000-559</t>
  </si>
  <si>
    <t>270-39100-559</t>
  </si>
  <si>
    <t>270-41900-559</t>
  </si>
  <si>
    <t>270-42700-559</t>
  </si>
  <si>
    <t>TOTAL BBB FUND EXPENSES</t>
  </si>
  <si>
    <t xml:space="preserve">FUND 280 - </t>
  </si>
  <si>
    <t>LAW LIBRARY</t>
  </si>
  <si>
    <t>280-30000-341</t>
  </si>
  <si>
    <t>LAW LIBRARY FEES</t>
  </si>
  <si>
    <t>TOTAL LAW LIBRARY FUND REVENUES</t>
  </si>
  <si>
    <t>280-34600-653</t>
  </si>
  <si>
    <t>TOTAL LAW LIBRARY FUND EXPENSES</t>
  </si>
  <si>
    <t xml:space="preserve">FUND 300 - </t>
  </si>
  <si>
    <t>AMERICAN RESCUE PLAN</t>
  </si>
  <si>
    <t>300-32200-330</t>
  </si>
  <si>
    <t>AMER RESCUE PLAN RECEIPTS</t>
  </si>
  <si>
    <t>TOTAL ARP RECEIPTS</t>
  </si>
  <si>
    <t>300-41900-XXX</t>
  </si>
  <si>
    <t>TOTAL ARP DISBURSEMENTS</t>
  </si>
  <si>
    <t>FUND 800 -</t>
  </si>
  <si>
    <t>FAIRPARK OPERATING</t>
  </si>
  <si>
    <t>800-10000-365</t>
  </si>
  <si>
    <t>800-12000-370</t>
  </si>
  <si>
    <t>COLISEUM RENTAL</t>
  </si>
  <si>
    <t>800-13000-370</t>
  </si>
  <si>
    <t>OUTDOOR ARENA RENTAL</t>
  </si>
  <si>
    <t>800-15500-370</t>
  </si>
  <si>
    <t>BARREL RACING FEES</t>
  </si>
  <si>
    <t>800-16000-370</t>
  </si>
  <si>
    <t>R.V. HOOK-UPS</t>
  </si>
  <si>
    <t>800-17000-370</t>
  </si>
  <si>
    <t>STALL RENTAL</t>
  </si>
  <si>
    <t>800-18000-370</t>
  </si>
  <si>
    <t>VENDOR RENTAL</t>
  </si>
  <si>
    <t>800-18500-370</t>
  </si>
  <si>
    <t>TRACTOR FEE</t>
  </si>
  <si>
    <t>800-19000-370</t>
  </si>
  <si>
    <t>HAY</t>
  </si>
  <si>
    <t>800-00000-380</t>
  </si>
  <si>
    <t>SHAVINGS</t>
  </si>
  <si>
    <t>800-90000-381</t>
  </si>
  <si>
    <t>800-00000-390</t>
  </si>
  <si>
    <t>TOTAL FP OPERATING FUND REVENUE</t>
  </si>
  <si>
    <t>800-10200-673</t>
  </si>
  <si>
    <t>800-10800-673</t>
  </si>
  <si>
    <t>800-11200-673</t>
  </si>
  <si>
    <t>800-15100-673</t>
  </si>
  <si>
    <t>OVERTIME - STRAIGHT TIME</t>
  </si>
  <si>
    <t>800-15200-673</t>
  </si>
  <si>
    <t>800-20100-673</t>
  </si>
  <si>
    <t>800-20200-673</t>
  </si>
  <si>
    <t>800-20300-673</t>
  </si>
  <si>
    <t>800-20400-673</t>
  </si>
  <si>
    <t>800-20500-673</t>
  </si>
  <si>
    <t>800-20600-673</t>
  </si>
  <si>
    <t>800-20700-673</t>
  </si>
  <si>
    <t>800-22500-673</t>
  </si>
  <si>
    <t>800-31000-673</t>
  </si>
  <si>
    <t>800-31100-673</t>
  </si>
  <si>
    <t>800-33000-673</t>
  </si>
  <si>
    <t>800-33200-673</t>
  </si>
  <si>
    <t>800-34000-673</t>
  </si>
  <si>
    <t>800-34100-673</t>
  </si>
  <si>
    <t>800-35000-673</t>
  </si>
  <si>
    <t>800-39100-673</t>
  </si>
  <si>
    <t>800-39400-673</t>
  </si>
  <si>
    <t>800-39500-673</t>
  </si>
  <si>
    <t>SHOW EXPENSES</t>
  </si>
  <si>
    <t>800-41600-673</t>
  </si>
  <si>
    <t>800-41900-673</t>
  </si>
  <si>
    <t>800-42000-673</t>
  </si>
  <si>
    <t>800-42600-673</t>
  </si>
  <si>
    <t>800-43000-673</t>
  </si>
  <si>
    <t>800-44000-673</t>
  </si>
  <si>
    <t>800-44200-673</t>
  </si>
  <si>
    <t>800-45000-673</t>
  </si>
  <si>
    <t>800-45100-673</t>
  </si>
  <si>
    <t>800-45300-673</t>
  </si>
  <si>
    <t>800-45400-673</t>
  </si>
  <si>
    <t>800-46000-673</t>
  </si>
  <si>
    <t>800-49100-673</t>
  </si>
  <si>
    <t>800-49400-673</t>
  </si>
  <si>
    <t>TOTAL FP OPERATING EXPENSES</t>
  </si>
  <si>
    <t>FUND 810 -</t>
  </si>
  <si>
    <t>FAIRPARK GROWTH AND DEVELOPMENT</t>
  </si>
  <si>
    <t>810-30000-315</t>
  </si>
  <si>
    <t>HOTEL/ MOTEL TAX</t>
  </si>
  <si>
    <t>810-10000-365</t>
  </si>
  <si>
    <t>SIGN ADVERTISING</t>
  </si>
  <si>
    <t>810-90000-381</t>
  </si>
  <si>
    <t>810-00000-390</t>
  </si>
  <si>
    <t>TOTAL FP GRW&amp;DEV FUND REVENUES</t>
  </si>
  <si>
    <t>810-35000-673</t>
  </si>
  <si>
    <t>810-39100-673</t>
  </si>
  <si>
    <t>810-39500-673</t>
  </si>
  <si>
    <t>SHOW EXPENSE</t>
  </si>
  <si>
    <t>810-43000-673</t>
  </si>
  <si>
    <t>810-45000-673</t>
  </si>
  <si>
    <t>810-49500-673</t>
  </si>
  <si>
    <t>DEPRECIATION EXPENSE</t>
  </si>
  <si>
    <t>810-55000-673</t>
  </si>
  <si>
    <t>810-57600-673</t>
  </si>
  <si>
    <t>810-57200-673</t>
  </si>
  <si>
    <t>810-65000-673</t>
  </si>
  <si>
    <t>INTEREST</t>
  </si>
  <si>
    <t>810-68200-673</t>
  </si>
  <si>
    <t>OTHER EXPENSES</t>
  </si>
  <si>
    <t>810-81500-673</t>
  </si>
  <si>
    <t>TOTAL FP GRW&amp;DEV FUND EXPENSES</t>
  </si>
  <si>
    <t>FUND 820 -</t>
  </si>
  <si>
    <t>FAIRPARK CONCESSIONS</t>
  </si>
  <si>
    <t>820-15000-370</t>
  </si>
  <si>
    <t>CONCESSIONS/RENTAL</t>
  </si>
  <si>
    <t>820-00000-390</t>
  </si>
  <si>
    <t>TOTAL FP CONCESSION REVENUE</t>
  </si>
  <si>
    <t>820-10800-673</t>
  </si>
  <si>
    <t>820-20100-673</t>
  </si>
  <si>
    <t>820-20300-673</t>
  </si>
  <si>
    <t>820-20500-673</t>
  </si>
  <si>
    <t>820-20600-673</t>
  </si>
  <si>
    <t>820-31000-673</t>
  </si>
  <si>
    <t>820-33300-673</t>
  </si>
  <si>
    <t>820-35000-673</t>
  </si>
  <si>
    <t>820-39100-673</t>
  </si>
  <si>
    <t>820-41600-673</t>
  </si>
  <si>
    <t>820-43600-673</t>
  </si>
  <si>
    <t>SALES TAX</t>
  </si>
  <si>
    <t>820-57600-673</t>
  </si>
  <si>
    <t>TOTAL FP CONCESSION EXPENSES</t>
  </si>
  <si>
    <t>GRAND TOTAL REVENUES</t>
  </si>
  <si>
    <t>GRAND TOTAL EXPENSES</t>
  </si>
  <si>
    <t>Law Enforcement Only-(Sher &amp; FM)</t>
  </si>
  <si>
    <t xml:space="preserve">Flat Increase </t>
  </si>
  <si>
    <t>Percentage increase</t>
  </si>
  <si>
    <t>Years of</t>
  </si>
  <si>
    <t>Hourly</t>
  </si>
  <si>
    <t>Bi-Weekly</t>
  </si>
  <si>
    <t>"178" Assistant</t>
  </si>
  <si>
    <t xml:space="preserve">Total Base </t>
  </si>
  <si>
    <t>Clothing</t>
  </si>
  <si>
    <t>Certificate</t>
  </si>
  <si>
    <t>Total</t>
  </si>
  <si>
    <t>Dept</t>
  </si>
  <si>
    <t>Posn Id</t>
  </si>
  <si>
    <t>Job Description</t>
  </si>
  <si>
    <t>Last Name</t>
  </si>
  <si>
    <t>First Name</t>
  </si>
  <si>
    <t>Hire Date</t>
  </si>
  <si>
    <t>Service</t>
  </si>
  <si>
    <t>Step Plan</t>
  </si>
  <si>
    <t>Budgeted Salary</t>
  </si>
  <si>
    <t>Rate</t>
  </si>
  <si>
    <t>Base</t>
  </si>
  <si>
    <t>Prosecutor Long</t>
  </si>
  <si>
    <t>Travel</t>
  </si>
  <si>
    <t>Allowance</t>
  </si>
  <si>
    <t>Pay</t>
  </si>
  <si>
    <t>Gross Salary</t>
  </si>
  <si>
    <t>Medicare</t>
  </si>
  <si>
    <t>RET</t>
  </si>
  <si>
    <t>SRT(term-life)</t>
  </si>
  <si>
    <t>Unemployment</t>
  </si>
  <si>
    <t>Dental</t>
  </si>
  <si>
    <t>Health/AD/Vision</t>
  </si>
  <si>
    <t>Medical Inc</t>
  </si>
  <si>
    <t>CJ001</t>
  </si>
  <si>
    <t>MCKINNEY</t>
  </si>
  <si>
    <t>WADE</t>
  </si>
  <si>
    <t>EX</t>
  </si>
  <si>
    <t>WADE (State Supplement)</t>
  </si>
  <si>
    <t>NA</t>
  </si>
  <si>
    <t>CJ002</t>
  </si>
  <si>
    <t>COURT COORDINATOR</t>
  </si>
  <si>
    <t>EWASKIW</t>
  </si>
  <si>
    <t>ANGIE</t>
  </si>
  <si>
    <t>CJ003</t>
  </si>
  <si>
    <t>MENTAL HEALTH COORDINATOR</t>
  </si>
  <si>
    <t>WILSON</t>
  </si>
  <si>
    <t>ANGELA</t>
  </si>
  <si>
    <t>OVER TIME TIME &amp; A HALF</t>
  </si>
  <si>
    <t>CC001</t>
  </si>
  <si>
    <t>WRIGHT</t>
  </si>
  <si>
    <t>MARYMARGARET</t>
  </si>
  <si>
    <t>CC002</t>
  </si>
  <si>
    <t>CHIEF OFFICE DEPUTY</t>
  </si>
  <si>
    <t>MARTINEZ</t>
  </si>
  <si>
    <t>NOEMI</t>
  </si>
  <si>
    <t>CC003</t>
  </si>
  <si>
    <t>DEPUTY I</t>
  </si>
  <si>
    <t>JOHNSON</t>
  </si>
  <si>
    <t>COURTNEY</t>
  </si>
  <si>
    <t>CC004</t>
  </si>
  <si>
    <t>HANKINS</t>
  </si>
  <si>
    <t>JANICE</t>
  </si>
  <si>
    <t>CC005</t>
  </si>
  <si>
    <t>SIMPSON</t>
  </si>
  <si>
    <t>GABRIELLE</t>
  </si>
  <si>
    <t>CC006</t>
  </si>
  <si>
    <t>DUGGAN</t>
  </si>
  <si>
    <t>CC007</t>
  </si>
  <si>
    <t>ANDREWS</t>
  </si>
  <si>
    <t>CHRISTIANN</t>
  </si>
  <si>
    <t>CC008</t>
  </si>
  <si>
    <t>DEPUTY II</t>
  </si>
  <si>
    <t>TILLEY</t>
  </si>
  <si>
    <t>CC009</t>
  </si>
  <si>
    <t>KIRKPATRICK</t>
  </si>
  <si>
    <t>ALECIA</t>
  </si>
  <si>
    <t>CC010</t>
  </si>
  <si>
    <t>MCCARLEY</t>
  </si>
  <si>
    <t>DEELENA</t>
  </si>
  <si>
    <t>CC011</t>
  </si>
  <si>
    <t>CC012</t>
  </si>
  <si>
    <t>PORTER</t>
  </si>
  <si>
    <t>RENE</t>
  </si>
  <si>
    <t>CC013</t>
  </si>
  <si>
    <t>GONZALES</t>
  </si>
  <si>
    <t>CYNTHIA</t>
  </si>
  <si>
    <t>CC014</t>
  </si>
  <si>
    <t>DEPUTY III</t>
  </si>
  <si>
    <t>BUTTON</t>
  </si>
  <si>
    <t>GINA</t>
  </si>
  <si>
    <t>Part time - Temp - $11/hr</t>
  </si>
  <si>
    <t>OT - TIME &amp; HALF</t>
  </si>
  <si>
    <t>EA001</t>
  </si>
  <si>
    <t>ELECTIONS ADMINISTRATOR</t>
  </si>
  <si>
    <t>LUDTKE</t>
  </si>
  <si>
    <t>PAULA</t>
  </si>
  <si>
    <t>EA002</t>
  </si>
  <si>
    <t>DEPUTY ELECTIONS ADMINISTRATOR</t>
  </si>
  <si>
    <t>DEFOORE</t>
  </si>
  <si>
    <t>JOSHUA</t>
  </si>
  <si>
    <t>EA003</t>
  </si>
  <si>
    <t>VOTER REGISTRAR</t>
  </si>
  <si>
    <t>MICHAEL</t>
  </si>
  <si>
    <t>EA004</t>
  </si>
  <si>
    <t>GAMOW</t>
  </si>
  <si>
    <t>MYRA</t>
  </si>
  <si>
    <t>EA005</t>
  </si>
  <si>
    <t xml:space="preserve">VOTER REGISTRAR </t>
  </si>
  <si>
    <t>JESSICA</t>
  </si>
  <si>
    <t>EA006</t>
  </si>
  <si>
    <t>PART TIME ELECTION WORKERS</t>
  </si>
  <si>
    <t>OVER TIME - TIME &amp; A HALF</t>
  </si>
  <si>
    <t>VETERANS SERVICE OFFICER  - PART TIME</t>
  </si>
  <si>
    <t>PARKER</t>
  </si>
  <si>
    <t>JORDAN</t>
  </si>
  <si>
    <t>CC101</t>
  </si>
  <si>
    <t>WILLIAMS</t>
  </si>
  <si>
    <t>SCOTT (NO RAISE/NO LONGEVITY)</t>
  </si>
  <si>
    <t>SCOTT (STATE SUPPLEMENT)</t>
  </si>
  <si>
    <t>CC102</t>
  </si>
  <si>
    <t>COURT REPORTER - CCL</t>
  </si>
  <si>
    <t>BROWN</t>
  </si>
  <si>
    <t>LAURIE</t>
  </si>
  <si>
    <t>CC103</t>
  </si>
  <si>
    <t>COURT COORDINATOR - CCL</t>
  </si>
  <si>
    <t>NOTEWARE</t>
  </si>
  <si>
    <t>NICKI</t>
  </si>
  <si>
    <t>CC201</t>
  </si>
  <si>
    <t>COUNTY COURT-AT-LAW #2</t>
  </si>
  <si>
    <t>PERRYMAN</t>
  </si>
  <si>
    <t>NANCY (NO RAISE/NO LONGEVITY)</t>
  </si>
  <si>
    <t>NANCY (STATE SUPPLEMENT)</t>
  </si>
  <si>
    <t>CC202</t>
  </si>
  <si>
    <t>COURT REPORTER - CCL #2</t>
  </si>
  <si>
    <t>GAMM</t>
  </si>
  <si>
    <t>JUDY</t>
  </si>
  <si>
    <t>CC203</t>
  </si>
  <si>
    <t>COURT COORDINATOR - CCL #2</t>
  </si>
  <si>
    <t>DEMOSS</t>
  </si>
  <si>
    <t>JULI</t>
  </si>
  <si>
    <t>CC204</t>
  </si>
  <si>
    <t>PART TIME-BAILIFF</t>
  </si>
  <si>
    <t>MCINTOSH</t>
  </si>
  <si>
    <t>MARK</t>
  </si>
  <si>
    <t>ID001</t>
  </si>
  <si>
    <t>COURT COORDINATOR - INDIGENT DEFENSE</t>
  </si>
  <si>
    <t>PADRON</t>
  </si>
  <si>
    <t>MARICELA</t>
  </si>
  <si>
    <t>ID002</t>
  </si>
  <si>
    <t>NEW POSITION DENIED FOR 2020</t>
  </si>
  <si>
    <t>DC301</t>
  </si>
  <si>
    <t>COURT REPORTER - 3RD</t>
  </si>
  <si>
    <t>RAY</t>
  </si>
  <si>
    <t>BRANDI(longv. Is portioned)</t>
  </si>
  <si>
    <t>DC302</t>
  </si>
  <si>
    <t>COORDNIATOR - 3RD</t>
  </si>
  <si>
    <t>RODRIGUEZ</t>
  </si>
  <si>
    <t>SELENA</t>
  </si>
  <si>
    <t>DC303</t>
  </si>
  <si>
    <t>JUV BOARD - 3RD JUDGE</t>
  </si>
  <si>
    <t>CALHOON</t>
  </si>
  <si>
    <t>3RD DIST COURT - ELECTED OFFICIAL</t>
  </si>
  <si>
    <t>MARK (NO LONGEVITY)</t>
  </si>
  <si>
    <t>COURT REPORTER - 173RD</t>
  </si>
  <si>
    <t>LEWIS</t>
  </si>
  <si>
    <t>TAMI</t>
  </si>
  <si>
    <t>BAILIFF - 173RD</t>
  </si>
  <si>
    <t>WARD</t>
  </si>
  <si>
    <t>ERIC</t>
  </si>
  <si>
    <t>COORDINATOR - 173RD</t>
  </si>
  <si>
    <t>ELLIS</t>
  </si>
  <si>
    <t>AMANDA</t>
  </si>
  <si>
    <t>JUV BOARD - 173RD JUDGE</t>
  </si>
  <si>
    <t>MOORE</t>
  </si>
  <si>
    <t>W DAN</t>
  </si>
  <si>
    <t>173RD DIST COURT - ELECTED OFFICIAL</t>
  </si>
  <si>
    <t>W DAN (NO RAISE/NO LONGEVITY)</t>
  </si>
  <si>
    <t>COURT REPORTER - 392ND</t>
  </si>
  <si>
    <t>FORBES</t>
  </si>
  <si>
    <t>MELANIE</t>
  </si>
  <si>
    <t>BAILIFF - 392ND</t>
  </si>
  <si>
    <t>HALBERT</t>
  </si>
  <si>
    <t>RONNY</t>
  </si>
  <si>
    <t>COORDINATOR - 392ND</t>
  </si>
  <si>
    <t>ENDSLEY</t>
  </si>
  <si>
    <t>KEVIN</t>
  </si>
  <si>
    <t>JUV BOARD - 392ND JUDGE</t>
  </si>
  <si>
    <t>McKEE</t>
  </si>
  <si>
    <t>SCOTT(ROBERT)</t>
  </si>
  <si>
    <t>392ND DIST COURT - ELECTED OFFICIAL</t>
  </si>
  <si>
    <t>SCOTT(ROBERT)(NO RAISE/NO LONGEVITY)</t>
  </si>
  <si>
    <t>DC001</t>
  </si>
  <si>
    <t>HERRIAGE</t>
  </si>
  <si>
    <t>BETTY</t>
  </si>
  <si>
    <t>DC002</t>
  </si>
  <si>
    <t>CHIEF DEPUTY</t>
  </si>
  <si>
    <t>FOSTER</t>
  </si>
  <si>
    <t>SHERRY</t>
  </si>
  <si>
    <t>DC003</t>
  </si>
  <si>
    <t>ASST. CHIEF DEPUTY</t>
  </si>
  <si>
    <t>JONES</t>
  </si>
  <si>
    <t>DC004</t>
  </si>
  <si>
    <t>SHELLEY</t>
  </si>
  <si>
    <t>DC005</t>
  </si>
  <si>
    <t>KUTSCHEROUSKY</t>
  </si>
  <si>
    <t>ASHLEY</t>
  </si>
  <si>
    <t>DC006</t>
  </si>
  <si>
    <t>McLAREN</t>
  </si>
  <si>
    <t>KELSEY</t>
  </si>
  <si>
    <t>DC007</t>
  </si>
  <si>
    <t>HOLT</t>
  </si>
  <si>
    <t>CHARLOTTE</t>
  </si>
  <si>
    <t>DC008</t>
  </si>
  <si>
    <t>DELGADO</t>
  </si>
  <si>
    <t>CARMEN</t>
  </si>
  <si>
    <t>DC009</t>
  </si>
  <si>
    <t>CANTU</t>
  </si>
  <si>
    <t>LORI</t>
  </si>
  <si>
    <t>DC010</t>
  </si>
  <si>
    <t>SIMS</t>
  </si>
  <si>
    <t>DEIDRA</t>
  </si>
  <si>
    <t>DC011</t>
  </si>
  <si>
    <t>MURILLO</t>
  </si>
  <si>
    <t>SANDY</t>
  </si>
  <si>
    <t>DC012</t>
  </si>
  <si>
    <t>HARRIS</t>
  </si>
  <si>
    <t>RONNI</t>
  </si>
  <si>
    <t>PART - TIME</t>
  </si>
  <si>
    <t>JP101</t>
  </si>
  <si>
    <t>JUSTICE OF THE PEACE, PCT #1</t>
  </si>
  <si>
    <t>DANIEL</t>
  </si>
  <si>
    <t>RANDY</t>
  </si>
  <si>
    <t>JP102</t>
  </si>
  <si>
    <t>JP COURT COORDINATOR</t>
  </si>
  <si>
    <t>MORALES</t>
  </si>
  <si>
    <t>MARCELA</t>
  </si>
  <si>
    <t>JP103</t>
  </si>
  <si>
    <t xml:space="preserve">JP COURT COORDINATOR </t>
  </si>
  <si>
    <t>PEREZ</t>
  </si>
  <si>
    <t>MONICA</t>
  </si>
  <si>
    <t>JP201</t>
  </si>
  <si>
    <t>JUSTICE OF THE PEACE, PCT #2</t>
  </si>
  <si>
    <t>POLLOCK</t>
  </si>
  <si>
    <t>JP202</t>
  </si>
  <si>
    <t>BAIRFIELD</t>
  </si>
  <si>
    <t>KAY(SHANNAN)</t>
  </si>
  <si>
    <t>JP203</t>
  </si>
  <si>
    <t>KAREN(holder)</t>
  </si>
  <si>
    <t>JP301</t>
  </si>
  <si>
    <t>JUSTICE OF THE PEACE, PCT #3</t>
  </si>
  <si>
    <t>DUNCAN</t>
  </si>
  <si>
    <t>JAMES</t>
  </si>
  <si>
    <t>JP302</t>
  </si>
  <si>
    <t>WEAVER</t>
  </si>
  <si>
    <t>ALANNA</t>
  </si>
  <si>
    <t>JP401</t>
  </si>
  <si>
    <t>JUSTICE OF THE PEACE, PCT #4</t>
  </si>
  <si>
    <t>ADAMS</t>
  </si>
  <si>
    <t>MILTON</t>
  </si>
  <si>
    <t>JP402</t>
  </si>
  <si>
    <t>CAIN</t>
  </si>
  <si>
    <t>JP501</t>
  </si>
  <si>
    <t>JUSTICE OF THE PEACE, PCT #5</t>
  </si>
  <si>
    <t>BROWNLOW</t>
  </si>
  <si>
    <t>BELINDA</t>
  </si>
  <si>
    <t>JP502</t>
  </si>
  <si>
    <t>FAWNS</t>
  </si>
  <si>
    <t>JAMIE</t>
  </si>
  <si>
    <t>JP503</t>
  </si>
  <si>
    <t>MELISSA</t>
  </si>
  <si>
    <t>CA001</t>
  </si>
  <si>
    <t>DAVIS</t>
  </si>
  <si>
    <t>CLINT</t>
  </si>
  <si>
    <t>CO ATTY - STATE SUPPLEMENT</t>
  </si>
  <si>
    <t>CA002</t>
  </si>
  <si>
    <t>ASST. CO. ATTORNEY I</t>
  </si>
  <si>
    <t>RAY(stewart)</t>
  </si>
  <si>
    <t>REBECCA</t>
  </si>
  <si>
    <t>CA003</t>
  </si>
  <si>
    <t>BURKETT</t>
  </si>
  <si>
    <t>JOE</t>
  </si>
  <si>
    <t>CA012</t>
  </si>
  <si>
    <t>ASST. CO. ATTORNEY I - CPS</t>
  </si>
  <si>
    <t>NEU</t>
  </si>
  <si>
    <t>BETH</t>
  </si>
  <si>
    <t>CA013</t>
  </si>
  <si>
    <t>RIDGLE</t>
  </si>
  <si>
    <t>MACKENZIE</t>
  </si>
  <si>
    <t>CA004</t>
  </si>
  <si>
    <t>ASST. COUNTY ATTORNEY II</t>
  </si>
  <si>
    <t>SPENCER</t>
  </si>
  <si>
    <t>BARRY</t>
  </si>
  <si>
    <t>CA005</t>
  </si>
  <si>
    <t>ASST. COUNTY ATTORNEY III</t>
  </si>
  <si>
    <t>HICKS</t>
  </si>
  <si>
    <t>SAM</t>
  </si>
  <si>
    <t>CA006</t>
  </si>
  <si>
    <t>ODYSSEY PRJT MGR/CJIS COORD/CED MGR/ADMIN ASST</t>
  </si>
  <si>
    <t>RUSS</t>
  </si>
  <si>
    <t>DIANE</t>
  </si>
  <si>
    <t>CA007</t>
  </si>
  <si>
    <t>VICTIM ASST. COORDINATOR</t>
  </si>
  <si>
    <t>McDonald(RIGHTENOUR)</t>
  </si>
  <si>
    <t>TIFFANY</t>
  </si>
  <si>
    <t>CA008</t>
  </si>
  <si>
    <t>COURT COORDINATOR I - CC COURT</t>
  </si>
  <si>
    <t>BLESS</t>
  </si>
  <si>
    <t>JAQLYNN</t>
  </si>
  <si>
    <t>CA009</t>
  </si>
  <si>
    <t>COURT COORDINATOR I - CCL 1</t>
  </si>
  <si>
    <t>LESLIE</t>
  </si>
  <si>
    <t>CA010</t>
  </si>
  <si>
    <t>COURT COORDINATOR II - CCL 2</t>
  </si>
  <si>
    <t>JACQUELINE</t>
  </si>
  <si>
    <t>COURT COORDINATOR - CPS</t>
  </si>
  <si>
    <t>MARSH</t>
  </si>
  <si>
    <t>CA011</t>
  </si>
  <si>
    <t>RECEPTIONIST</t>
  </si>
  <si>
    <t>245-330</t>
  </si>
  <si>
    <t>SUPPLEMENT PAY</t>
  </si>
  <si>
    <t>CA101</t>
  </si>
  <si>
    <t xml:space="preserve">CT. ENFOR. CASE WORKER </t>
  </si>
  <si>
    <t>BEVEL</t>
  </si>
  <si>
    <t>SANDRA</t>
  </si>
  <si>
    <t>CA102</t>
  </si>
  <si>
    <t>CT. ENFOR. CASE WORKER / OPEN RECORDS</t>
  </si>
  <si>
    <t>DAVILA</t>
  </si>
  <si>
    <t>JOANNA</t>
  </si>
  <si>
    <t>CA103</t>
  </si>
  <si>
    <t>WARRANT OFFICER</t>
  </si>
  <si>
    <t>GRAY</t>
  </si>
  <si>
    <t>BRADLEY</t>
  </si>
  <si>
    <t>GOODRICH</t>
  </si>
  <si>
    <t>ROSE</t>
  </si>
  <si>
    <t>HOUSTON</t>
  </si>
  <si>
    <t>DOROTHY</t>
  </si>
  <si>
    <t>DA001</t>
  </si>
  <si>
    <t>DA - Elected Official</t>
  </si>
  <si>
    <t>PALMER</t>
  </si>
  <si>
    <t>DA - State Supplement</t>
  </si>
  <si>
    <t>Juvenile Board</t>
  </si>
  <si>
    <t>DA002</t>
  </si>
  <si>
    <t>ASST. DISTRICT ATTORNEY II</t>
  </si>
  <si>
    <t>DA003</t>
  </si>
  <si>
    <t>ASST. DISTRICT ATTORNEY I</t>
  </si>
  <si>
    <t>DA006</t>
  </si>
  <si>
    <t>DA007</t>
  </si>
  <si>
    <t>KENNETH</t>
  </si>
  <si>
    <t>DA008</t>
  </si>
  <si>
    <t>CARPENTER</t>
  </si>
  <si>
    <t>LAURA</t>
  </si>
  <si>
    <t>DA009</t>
  </si>
  <si>
    <t>ASST. DISTRICT ATTORNEY III</t>
  </si>
  <si>
    <t>COX</t>
  </si>
  <si>
    <t>DANNY</t>
  </si>
  <si>
    <t>DA050</t>
  </si>
  <si>
    <t>OFFICE MANAGER</t>
  </si>
  <si>
    <t>FAUGHT</t>
  </si>
  <si>
    <t>DA051</t>
  </si>
  <si>
    <t>VICTIMS COORDINATOR/INVESTIGATOR</t>
  </si>
  <si>
    <t>KAREN</t>
  </si>
  <si>
    <t>DA052</t>
  </si>
  <si>
    <t>COURT COORDINATOR II</t>
  </si>
  <si>
    <t>SARAH</t>
  </si>
  <si>
    <t>DA053</t>
  </si>
  <si>
    <t>HUGHES</t>
  </si>
  <si>
    <t>MARISSA</t>
  </si>
  <si>
    <t>DA054</t>
  </si>
  <si>
    <t>HARMON</t>
  </si>
  <si>
    <t>ELIZABETH</t>
  </si>
  <si>
    <t>DA055</t>
  </si>
  <si>
    <t>MIRANDA</t>
  </si>
  <si>
    <t>DA056</t>
  </si>
  <si>
    <t>MEDELLIN</t>
  </si>
  <si>
    <t>BRENDA</t>
  </si>
  <si>
    <t>DA075</t>
  </si>
  <si>
    <t>INVESTIGATOR</t>
  </si>
  <si>
    <t>QUINTANILLA</t>
  </si>
  <si>
    <t>BALDEMAR</t>
  </si>
  <si>
    <t>DA076</t>
  </si>
  <si>
    <t xml:space="preserve">INVESTIGATOR </t>
  </si>
  <si>
    <t>HILL</t>
  </si>
  <si>
    <t>PART-TIME - $9/HR</t>
  </si>
  <si>
    <t>AUD01</t>
  </si>
  <si>
    <t>LEE</t>
  </si>
  <si>
    <t>ANN</t>
  </si>
  <si>
    <t>AUD02</t>
  </si>
  <si>
    <t>FIRST ASST. COUNTY AUDITOR</t>
  </si>
  <si>
    <t>MCCAWLEY</t>
  </si>
  <si>
    <t>LYNN</t>
  </si>
  <si>
    <t>AUD03</t>
  </si>
  <si>
    <t>ASSISTANT AUDITOR I</t>
  </si>
  <si>
    <t>AUD04</t>
  </si>
  <si>
    <t>BARRIOS</t>
  </si>
  <si>
    <t>AUD05</t>
  </si>
  <si>
    <t>ASSISTANT AUDITOR II</t>
  </si>
  <si>
    <t>LETICIA</t>
  </si>
  <si>
    <t>AUD06</t>
  </si>
  <si>
    <t>BLAKENEY</t>
  </si>
  <si>
    <t>CHRISTIE</t>
  </si>
  <si>
    <t>AUD07</t>
  </si>
  <si>
    <t>MAPLE</t>
  </si>
  <si>
    <t>AUD08</t>
  </si>
  <si>
    <t>STICE</t>
  </si>
  <si>
    <t>MISTY</t>
  </si>
  <si>
    <t>AUD09</t>
  </si>
  <si>
    <t>ASSISTANT AUDITOR III</t>
  </si>
  <si>
    <t>NICHOLSON</t>
  </si>
  <si>
    <t>JENNIFER</t>
  </si>
  <si>
    <t>IT001</t>
  </si>
  <si>
    <t>IT MANAGER</t>
  </si>
  <si>
    <t>BROCK</t>
  </si>
  <si>
    <t>JOSH</t>
  </si>
  <si>
    <t>IT002</t>
  </si>
  <si>
    <t>NETWORK MANAGER</t>
  </si>
  <si>
    <t>VINCIK</t>
  </si>
  <si>
    <t>JODY</t>
  </si>
  <si>
    <t>IT003</t>
  </si>
  <si>
    <t>APPLICATIONS MANAGER</t>
  </si>
  <si>
    <t>GALVAN</t>
  </si>
  <si>
    <t>ULYSSES</t>
  </si>
  <si>
    <t>VACANT</t>
  </si>
  <si>
    <t>POSITION</t>
  </si>
  <si>
    <t>IT004</t>
  </si>
  <si>
    <t>HELP DESK COORDINATOR</t>
  </si>
  <si>
    <t>CT001</t>
  </si>
  <si>
    <t>BYNUM</t>
  </si>
  <si>
    <t>CT002</t>
  </si>
  <si>
    <t>ASST. TREASURER / BOOKKEEPER</t>
  </si>
  <si>
    <t>PITCHFORD</t>
  </si>
  <si>
    <t>CHRISTIAN</t>
  </si>
  <si>
    <t>CT003</t>
  </si>
  <si>
    <t>ASST. TREASURER / PAYROLL COORDINATOR</t>
  </si>
  <si>
    <t>NIKKI</t>
  </si>
  <si>
    <t>HR001</t>
  </si>
  <si>
    <t>HUMAN RESOURCE POSITION</t>
  </si>
  <si>
    <t>BEVER</t>
  </si>
  <si>
    <t>HALIE</t>
  </si>
  <si>
    <t>HR002</t>
  </si>
  <si>
    <t>HUMAN RESOURCE ASSISTANT</t>
  </si>
  <si>
    <t>TAX01</t>
  </si>
  <si>
    <t>COUNTY TAX COLLECTOR</t>
  </si>
  <si>
    <t>GOODALL</t>
  </si>
  <si>
    <t>PEGGY</t>
  </si>
  <si>
    <t>TAX02</t>
  </si>
  <si>
    <t xml:space="preserve">CHIEF DEPUTY </t>
  </si>
  <si>
    <t>KNIGHT</t>
  </si>
  <si>
    <t>CAROL</t>
  </si>
  <si>
    <t>TAX03</t>
  </si>
  <si>
    <t xml:space="preserve">BOOKKEEPER - MVR </t>
  </si>
  <si>
    <t>GANDY</t>
  </si>
  <si>
    <t>KAY</t>
  </si>
  <si>
    <t>TAX04</t>
  </si>
  <si>
    <t xml:space="preserve">BOOKKEEPER - TAX </t>
  </si>
  <si>
    <t>LOVELADY</t>
  </si>
  <si>
    <t>BARBARA</t>
  </si>
  <si>
    <t>TAX05</t>
  </si>
  <si>
    <t>ASST. BOOKKEEPER / DEPUTY CLERK</t>
  </si>
  <si>
    <t>WALDO</t>
  </si>
  <si>
    <t>TAX06</t>
  </si>
  <si>
    <t>DEPUTY CLERK</t>
  </si>
  <si>
    <t>BAUCOM</t>
  </si>
  <si>
    <t>TAWNI</t>
  </si>
  <si>
    <t>TAX07</t>
  </si>
  <si>
    <t>PARRISH</t>
  </si>
  <si>
    <t>THERESA</t>
  </si>
  <si>
    <t>TAX08</t>
  </si>
  <si>
    <t>DEPUTY CLERK - CHANDLER</t>
  </si>
  <si>
    <t>CHAMBERS</t>
  </si>
  <si>
    <t>TAX09</t>
  </si>
  <si>
    <t>PASTOR</t>
  </si>
  <si>
    <t>BRITTANY</t>
  </si>
  <si>
    <t>TAX10</t>
  </si>
  <si>
    <t>DARLENE</t>
  </si>
  <si>
    <t>TAX11</t>
  </si>
  <si>
    <t>DEPUTY CLERK - 7 PTS</t>
  </si>
  <si>
    <t>SHAVOR</t>
  </si>
  <si>
    <t>TAX12</t>
  </si>
  <si>
    <t>STEWART</t>
  </si>
  <si>
    <t>TAX13</t>
  </si>
  <si>
    <t>HANEY</t>
  </si>
  <si>
    <t>PAMELA</t>
  </si>
  <si>
    <t>TAX14</t>
  </si>
  <si>
    <t>ALMON</t>
  </si>
  <si>
    <t>JULIA</t>
  </si>
  <si>
    <t>MNT01</t>
  </si>
  <si>
    <t>MAINT. SUPERVISOR</t>
  </si>
  <si>
    <t>GREEN</t>
  </si>
  <si>
    <t>RICK</t>
  </si>
  <si>
    <t>MNT02</t>
  </si>
  <si>
    <t>HEAD JANITOR / ASST. MAINT. TECH III</t>
  </si>
  <si>
    <t>HANRATTY</t>
  </si>
  <si>
    <t>MNT03</t>
  </si>
  <si>
    <t>Position moved to Sher Dept</t>
  </si>
  <si>
    <t>MNT04</t>
  </si>
  <si>
    <t xml:space="preserve">CUSTODIAN </t>
  </si>
  <si>
    <t>SALAZAR</t>
  </si>
  <si>
    <t>CRISTINA (Maria)</t>
  </si>
  <si>
    <t>MNT05</t>
  </si>
  <si>
    <t>MARONGE</t>
  </si>
  <si>
    <t>MNT06</t>
  </si>
  <si>
    <t>RAWLS</t>
  </si>
  <si>
    <t>CINDY</t>
  </si>
  <si>
    <t>MNT07</t>
  </si>
  <si>
    <t>MNT08</t>
  </si>
  <si>
    <t>ASST. MAINT. TECHNICIAN I</t>
  </si>
  <si>
    <t>MNT09</t>
  </si>
  <si>
    <t>MNT10</t>
  </si>
  <si>
    <t>ASST. MAINT. TECHNICIAN II</t>
  </si>
  <si>
    <t>STRANGE</t>
  </si>
  <si>
    <t>CHANDLER SUB STATION - PT</t>
  </si>
  <si>
    <t>KONG</t>
  </si>
  <si>
    <t>COURTHOUSE SECURITY DEPUTY</t>
  </si>
  <si>
    <t>CN101</t>
  </si>
  <si>
    <t>CONSTABLE, PCT. #1</t>
  </si>
  <si>
    <t>GOODELL</t>
  </si>
  <si>
    <t>THOMAS</t>
  </si>
  <si>
    <t>Cell Phone Allowance</t>
  </si>
  <si>
    <t>CN201</t>
  </si>
  <si>
    <t>CONSTABLE, PCT. #2</t>
  </si>
  <si>
    <t>BAKER</t>
  </si>
  <si>
    <t>MITCHEL</t>
  </si>
  <si>
    <t>CN301</t>
  </si>
  <si>
    <t>CONSTABLE, PCT. #3</t>
  </si>
  <si>
    <t>GRUBBS</t>
  </si>
  <si>
    <t>DAVID</t>
  </si>
  <si>
    <t>No County Cell Phone</t>
  </si>
  <si>
    <t>CN401</t>
  </si>
  <si>
    <t>CONSTABLE, PCT. #4</t>
  </si>
  <si>
    <t>FLOYD</t>
  </si>
  <si>
    <t>JOHN</t>
  </si>
  <si>
    <t>CN501</t>
  </si>
  <si>
    <t>CONSTABLE, PCT. #5</t>
  </si>
  <si>
    <t>MIERS</t>
  </si>
  <si>
    <t>SO001</t>
  </si>
  <si>
    <t>HILLHOUSE</t>
  </si>
  <si>
    <t>EUGENE (BOTIE)</t>
  </si>
  <si>
    <t>SO002</t>
  </si>
  <si>
    <t>SO003</t>
  </si>
  <si>
    <t>CLED LIEUTENANT</t>
  </si>
  <si>
    <t>POCHOBRADSKY</t>
  </si>
  <si>
    <t>KYLE</t>
  </si>
  <si>
    <t>SO004</t>
  </si>
  <si>
    <t>CAPTAIN</t>
  </si>
  <si>
    <t>SO050</t>
  </si>
  <si>
    <t>PATROL SERGEANT</t>
  </si>
  <si>
    <t>PATRICK</t>
  </si>
  <si>
    <t>SO051</t>
  </si>
  <si>
    <t>DANIELS</t>
  </si>
  <si>
    <t>JOHNATHAN</t>
  </si>
  <si>
    <t>SO052</t>
  </si>
  <si>
    <t>SO053</t>
  </si>
  <si>
    <t>SANDERS</t>
  </si>
  <si>
    <t>DUANE</t>
  </si>
  <si>
    <t>SO100</t>
  </si>
  <si>
    <t>PATROL DEPUTY I</t>
  </si>
  <si>
    <t>PATTERSON</t>
  </si>
  <si>
    <t>MITCHUM</t>
  </si>
  <si>
    <t>SO101</t>
  </si>
  <si>
    <t>EDWIN</t>
  </si>
  <si>
    <t>SO102</t>
  </si>
  <si>
    <t>CODY</t>
  </si>
  <si>
    <t>SO103</t>
  </si>
  <si>
    <t>PARRAS</t>
  </si>
  <si>
    <t>VICTOR</t>
  </si>
  <si>
    <t>SO104</t>
  </si>
  <si>
    <t>ARNOLD</t>
  </si>
  <si>
    <t>CLIFFTON</t>
  </si>
  <si>
    <t>SO105</t>
  </si>
  <si>
    <t>POWERS</t>
  </si>
  <si>
    <t>SO106</t>
  </si>
  <si>
    <t>RAMSEY</t>
  </si>
  <si>
    <t>JASON</t>
  </si>
  <si>
    <t>SO107</t>
  </si>
  <si>
    <t>SO108</t>
  </si>
  <si>
    <t>RACHEL</t>
  </si>
  <si>
    <t>LUKE</t>
  </si>
  <si>
    <t>SO109</t>
  </si>
  <si>
    <t>MASSEY</t>
  </si>
  <si>
    <t>SO110</t>
  </si>
  <si>
    <t>SHOEMAKE</t>
  </si>
  <si>
    <t>SO111</t>
  </si>
  <si>
    <t>TANNER</t>
  </si>
  <si>
    <t>TIMOTHY</t>
  </si>
  <si>
    <t>SO112</t>
  </si>
  <si>
    <t>SO113</t>
  </si>
  <si>
    <t>SEWARD</t>
  </si>
  <si>
    <t>BLAKE</t>
  </si>
  <si>
    <t>SO114</t>
  </si>
  <si>
    <t>RESCHKE</t>
  </si>
  <si>
    <t>MATTHEW</t>
  </si>
  <si>
    <t>SO115</t>
  </si>
  <si>
    <t>ADDKISON</t>
  </si>
  <si>
    <t>SAMUEL</t>
  </si>
  <si>
    <t>SO116</t>
  </si>
  <si>
    <t>OWENS</t>
  </si>
  <si>
    <t>RYAN</t>
  </si>
  <si>
    <t>SO117</t>
  </si>
  <si>
    <t>JONATHAN</t>
  </si>
  <si>
    <t>SO150</t>
  </si>
  <si>
    <t>PATROL DEPUTY II</t>
  </si>
  <si>
    <t>HOGAN</t>
  </si>
  <si>
    <t>MEAGAN</t>
  </si>
  <si>
    <t>SO151</t>
  </si>
  <si>
    <t>MILLER</t>
  </si>
  <si>
    <t>RICHARD</t>
  </si>
  <si>
    <t>SO152</t>
  </si>
  <si>
    <t>JISTEL</t>
  </si>
  <si>
    <t>SO153</t>
  </si>
  <si>
    <t>ROBERTSON</t>
  </si>
  <si>
    <t>SO154</t>
  </si>
  <si>
    <t>SO200</t>
  </si>
  <si>
    <t xml:space="preserve">INVESTIGATOR, old SRD </t>
  </si>
  <si>
    <t>CAYCE</t>
  </si>
  <si>
    <t>SO201</t>
  </si>
  <si>
    <t>HALL</t>
  </si>
  <si>
    <t>BRIAN</t>
  </si>
  <si>
    <t>SO202</t>
  </si>
  <si>
    <t>SO203</t>
  </si>
  <si>
    <t>WALKER</t>
  </si>
  <si>
    <t xml:space="preserve">WILLIAM </t>
  </si>
  <si>
    <t>SO204</t>
  </si>
  <si>
    <t>SHUE</t>
  </si>
  <si>
    <t>GABRIEL</t>
  </si>
  <si>
    <t>SO205</t>
  </si>
  <si>
    <t>SLATON</t>
  </si>
  <si>
    <t>SO206</t>
  </si>
  <si>
    <t>SMITH</t>
  </si>
  <si>
    <t>DUSTIN</t>
  </si>
  <si>
    <t>SO207</t>
  </si>
  <si>
    <t>THORNTON</t>
  </si>
  <si>
    <t>WILLIAM</t>
  </si>
  <si>
    <t>SO208</t>
  </si>
  <si>
    <t>NUTT</t>
  </si>
  <si>
    <t>WAYNE</t>
  </si>
  <si>
    <t>SO209</t>
  </si>
  <si>
    <t>CLEMENTS</t>
  </si>
  <si>
    <t>SO210</t>
  </si>
  <si>
    <t>HUTCHISON</t>
  </si>
  <si>
    <t>SO211</t>
  </si>
  <si>
    <t>INVESTIGATOR-CAC(FUNDED BY HELP CENTER) (MOVED POSITION FROM SRD PROGRAM)</t>
  </si>
  <si>
    <t>JERRY</t>
  </si>
  <si>
    <t>SO212</t>
  </si>
  <si>
    <t>SO213</t>
  </si>
  <si>
    <t>SO250</t>
  </si>
  <si>
    <t>ADMINISTRATIVE ASST.</t>
  </si>
  <si>
    <t>COUCH</t>
  </si>
  <si>
    <t>CRISTA</t>
  </si>
  <si>
    <t>SO251</t>
  </si>
  <si>
    <t>CLERKS</t>
  </si>
  <si>
    <t>SO252</t>
  </si>
  <si>
    <t>BLACK</t>
  </si>
  <si>
    <t>KRISTY</t>
  </si>
  <si>
    <t>SO253</t>
  </si>
  <si>
    <t>LISA</t>
  </si>
  <si>
    <t>SO254</t>
  </si>
  <si>
    <t>DONNA</t>
  </si>
  <si>
    <t>SO300</t>
  </si>
  <si>
    <t>SERGEANT CIVIL DEPUTY</t>
  </si>
  <si>
    <t>EARL ( DEBBS )</t>
  </si>
  <si>
    <t>SO301</t>
  </si>
  <si>
    <t>CIVIL DEPUTY</t>
  </si>
  <si>
    <t xml:space="preserve">DAN </t>
  </si>
  <si>
    <t>SO302</t>
  </si>
  <si>
    <t>FOLMAR</t>
  </si>
  <si>
    <t>GORDON (JAMES)</t>
  </si>
  <si>
    <t>SO303</t>
  </si>
  <si>
    <t>CRAIG</t>
  </si>
  <si>
    <t>SO304</t>
  </si>
  <si>
    <t>TEEL</t>
  </si>
  <si>
    <t>WILLIAM ( MICHAEL )</t>
  </si>
  <si>
    <t>SO305</t>
  </si>
  <si>
    <t>ANIMAL CONTROL DEPUTY</t>
  </si>
  <si>
    <t>MAYO</t>
  </si>
  <si>
    <t>ROBERT</t>
  </si>
  <si>
    <t>SO306</t>
  </si>
  <si>
    <t>SO307</t>
  </si>
  <si>
    <t>SANDOVAL</t>
  </si>
  <si>
    <t>SO308</t>
  </si>
  <si>
    <t>SPECIAL ASSIGNMENT DEPUTY</t>
  </si>
  <si>
    <t>EDUARDO</t>
  </si>
  <si>
    <t>SO309</t>
  </si>
  <si>
    <t>RADIO SPECIALIST</t>
  </si>
  <si>
    <t>MILLS</t>
  </si>
  <si>
    <t>JARED</t>
  </si>
  <si>
    <t>SO350</t>
  </si>
  <si>
    <t>COMMUNICATIONS SERGEANT</t>
  </si>
  <si>
    <t>ASHLEE(sparks)</t>
  </si>
  <si>
    <t>SO351</t>
  </si>
  <si>
    <t>COMMUNICATIONS I</t>
  </si>
  <si>
    <t>FERGUSON</t>
  </si>
  <si>
    <t>JORDYN</t>
  </si>
  <si>
    <t>SO352</t>
  </si>
  <si>
    <t>CAMBRA</t>
  </si>
  <si>
    <t>AUTUMN</t>
  </si>
  <si>
    <t>SO353</t>
  </si>
  <si>
    <t>SHELBY</t>
  </si>
  <si>
    <t>SO354</t>
  </si>
  <si>
    <t>ROLLINS</t>
  </si>
  <si>
    <t>WENDY</t>
  </si>
  <si>
    <t>SO355</t>
  </si>
  <si>
    <t>SUMRALL</t>
  </si>
  <si>
    <t>KATIE</t>
  </si>
  <si>
    <t>SO356</t>
  </si>
  <si>
    <t>SO357</t>
  </si>
  <si>
    <t>KIDD</t>
  </si>
  <si>
    <t>SO358</t>
  </si>
  <si>
    <t>MORGAN</t>
  </si>
  <si>
    <t>SO359</t>
  </si>
  <si>
    <t>HALEY</t>
  </si>
  <si>
    <t>SO360</t>
  </si>
  <si>
    <t>QUATTLEBAUM</t>
  </si>
  <si>
    <t>SO361</t>
  </si>
  <si>
    <t>COMMUNICATIONS II</t>
  </si>
  <si>
    <t>SO362</t>
  </si>
  <si>
    <t xml:space="preserve">CHRISTIAN </t>
  </si>
  <si>
    <t>OVER TIME - STRAIGHT TIME</t>
  </si>
  <si>
    <t>JO001</t>
  </si>
  <si>
    <t>MAJOR</t>
  </si>
  <si>
    <t>JO002</t>
  </si>
  <si>
    <t>CAPITAN (JAIL OPS)</t>
  </si>
  <si>
    <t>BARNETT</t>
  </si>
  <si>
    <t>JO003</t>
  </si>
  <si>
    <t>LIEUTENANT</t>
  </si>
  <si>
    <t>JO004</t>
  </si>
  <si>
    <t>YOCKEY</t>
  </si>
  <si>
    <t>RAYMOND</t>
  </si>
  <si>
    <t>JO100</t>
  </si>
  <si>
    <t>SERGEANT</t>
  </si>
  <si>
    <t>MARIA</t>
  </si>
  <si>
    <t>JO101</t>
  </si>
  <si>
    <t>PRESTON</t>
  </si>
  <si>
    <t>JO102</t>
  </si>
  <si>
    <t>HOCUTT</t>
  </si>
  <si>
    <t>DERRICK</t>
  </si>
  <si>
    <t>JO103</t>
  </si>
  <si>
    <t>SNOWDEN</t>
  </si>
  <si>
    <t>JO150</t>
  </si>
  <si>
    <t xml:space="preserve">CORPORAL </t>
  </si>
  <si>
    <t>ELLMAN</t>
  </si>
  <si>
    <t>EDWARD</t>
  </si>
  <si>
    <t>JO151</t>
  </si>
  <si>
    <t>RICH</t>
  </si>
  <si>
    <t>BRADEN</t>
  </si>
  <si>
    <t>JO152</t>
  </si>
  <si>
    <t>MORRIS</t>
  </si>
  <si>
    <t>ELSA</t>
  </si>
  <si>
    <t>JO153</t>
  </si>
  <si>
    <t>STEPHENSON</t>
  </si>
  <si>
    <t>MARY</t>
  </si>
  <si>
    <t>JO154</t>
  </si>
  <si>
    <t>JOCK</t>
  </si>
  <si>
    <t>JO155</t>
  </si>
  <si>
    <t>LEBLANC</t>
  </si>
  <si>
    <t>DONALD</t>
  </si>
  <si>
    <t>JO156</t>
  </si>
  <si>
    <t>QUIGG</t>
  </si>
  <si>
    <t>GEORGE JR</t>
  </si>
  <si>
    <t>JO157</t>
  </si>
  <si>
    <t>ALSOBROOK</t>
  </si>
  <si>
    <t>COLTON</t>
  </si>
  <si>
    <t>JO200</t>
  </si>
  <si>
    <t>DETENTION OFFICER I</t>
  </si>
  <si>
    <t>FAIN</t>
  </si>
  <si>
    <t>JO201</t>
  </si>
  <si>
    <t>JO202</t>
  </si>
  <si>
    <t>JO203</t>
  </si>
  <si>
    <t>JO204</t>
  </si>
  <si>
    <t>CALDWELL</t>
  </si>
  <si>
    <t>TAYLOR</t>
  </si>
  <si>
    <t>JO205</t>
  </si>
  <si>
    <t>JO206</t>
  </si>
  <si>
    <t>JO207</t>
  </si>
  <si>
    <t>JO208</t>
  </si>
  <si>
    <t>ST. CLAIR</t>
  </si>
  <si>
    <t>JO209</t>
  </si>
  <si>
    <t>JO210</t>
  </si>
  <si>
    <t>JO211</t>
  </si>
  <si>
    <t>JO212</t>
  </si>
  <si>
    <t>MATHIS</t>
  </si>
  <si>
    <t>JO213</t>
  </si>
  <si>
    <t>MATICH</t>
  </si>
  <si>
    <t>KALYNN</t>
  </si>
  <si>
    <t>JO214</t>
  </si>
  <si>
    <t>JO215</t>
  </si>
  <si>
    <t>JO216</t>
  </si>
  <si>
    <t>JO217</t>
  </si>
  <si>
    <t>JO218</t>
  </si>
  <si>
    <t>JO219</t>
  </si>
  <si>
    <t>JO220</t>
  </si>
  <si>
    <t>JO221</t>
  </si>
  <si>
    <t>HERNANDEZ</t>
  </si>
  <si>
    <t>JOHNNY</t>
  </si>
  <si>
    <t>JO222</t>
  </si>
  <si>
    <t>HYLES</t>
  </si>
  <si>
    <t>MAKENZIE</t>
  </si>
  <si>
    <t>JO223</t>
  </si>
  <si>
    <t>BAILEY</t>
  </si>
  <si>
    <t>JO224</t>
  </si>
  <si>
    <t>RICKMAN</t>
  </si>
  <si>
    <t>JO225</t>
  </si>
  <si>
    <t>KREIE</t>
  </si>
  <si>
    <t>NOAH</t>
  </si>
  <si>
    <t>JO226</t>
  </si>
  <si>
    <t>JO227</t>
  </si>
  <si>
    <t>BOB</t>
  </si>
  <si>
    <t>JO228</t>
  </si>
  <si>
    <t>MATTI</t>
  </si>
  <si>
    <t>JO229</t>
  </si>
  <si>
    <t>KELLY</t>
  </si>
  <si>
    <t>JO230</t>
  </si>
  <si>
    <t>JO231</t>
  </si>
  <si>
    <t>JO232</t>
  </si>
  <si>
    <t>JO233</t>
  </si>
  <si>
    <t>JO234</t>
  </si>
  <si>
    <t>MARQUETA</t>
  </si>
  <si>
    <t>JO235</t>
  </si>
  <si>
    <t>JO236</t>
  </si>
  <si>
    <t>JO237</t>
  </si>
  <si>
    <t>JO238</t>
  </si>
  <si>
    <t>JO239</t>
  </si>
  <si>
    <t>JO240</t>
  </si>
  <si>
    <t>BRIGGS</t>
  </si>
  <si>
    <t>MICHELLE</t>
  </si>
  <si>
    <t>JO241</t>
  </si>
  <si>
    <t>ALEXANDER</t>
  </si>
  <si>
    <t>JO242</t>
  </si>
  <si>
    <t>JO243</t>
  </si>
  <si>
    <t>JO244</t>
  </si>
  <si>
    <t>STREET</t>
  </si>
  <si>
    <t>VICTORIA</t>
  </si>
  <si>
    <t>JO245</t>
  </si>
  <si>
    <t>JO246</t>
  </si>
  <si>
    <t>ACEVEDO</t>
  </si>
  <si>
    <t>JO247</t>
  </si>
  <si>
    <t>JO248</t>
  </si>
  <si>
    <t>TOWNSON</t>
  </si>
  <si>
    <t>JO249</t>
  </si>
  <si>
    <t>JO250</t>
  </si>
  <si>
    <t>MADYSON</t>
  </si>
  <si>
    <t>JO251</t>
  </si>
  <si>
    <t>KRISTIE</t>
  </si>
  <si>
    <t>JO252</t>
  </si>
  <si>
    <t>ALLISON</t>
  </si>
  <si>
    <t>JO253</t>
  </si>
  <si>
    <t>JO254</t>
  </si>
  <si>
    <t>JO255</t>
  </si>
  <si>
    <t>JO256</t>
  </si>
  <si>
    <t>JO257</t>
  </si>
  <si>
    <t>JO258</t>
  </si>
  <si>
    <t>BOYD</t>
  </si>
  <si>
    <t>JO259</t>
  </si>
  <si>
    <t>JO260</t>
  </si>
  <si>
    <t>JO261</t>
  </si>
  <si>
    <t>JO300</t>
  </si>
  <si>
    <t>DETENTION OFFICER II</t>
  </si>
  <si>
    <t>JO301</t>
  </si>
  <si>
    <t>SHACKELFORD</t>
  </si>
  <si>
    <t>JO302</t>
  </si>
  <si>
    <t>BALL</t>
  </si>
  <si>
    <t>GREGORY</t>
  </si>
  <si>
    <t>JO303</t>
  </si>
  <si>
    <t>TRAHERN</t>
  </si>
  <si>
    <t>JO304</t>
  </si>
  <si>
    <t>TYE</t>
  </si>
  <si>
    <t>JO305</t>
  </si>
  <si>
    <t>RICHARDSON</t>
  </si>
  <si>
    <t>TERISA</t>
  </si>
  <si>
    <t>JO306</t>
  </si>
  <si>
    <t>SOUKUP</t>
  </si>
  <si>
    <t>KATRINA</t>
  </si>
  <si>
    <t>JO307</t>
  </si>
  <si>
    <t>WARREN</t>
  </si>
  <si>
    <t>KELLI</t>
  </si>
  <si>
    <t>JO308</t>
  </si>
  <si>
    <t>JO309</t>
  </si>
  <si>
    <t>JO310</t>
  </si>
  <si>
    <t>CONNER</t>
  </si>
  <si>
    <t>VICKIE</t>
  </si>
  <si>
    <t>JO311</t>
  </si>
  <si>
    <t>JO312</t>
  </si>
  <si>
    <t>JO400</t>
  </si>
  <si>
    <t>TRANSPORT SERGEANT</t>
  </si>
  <si>
    <t>GWEN</t>
  </si>
  <si>
    <t>JO401</t>
  </si>
  <si>
    <t>TRANSPORT DEPUTY</t>
  </si>
  <si>
    <t>KNOTTS</t>
  </si>
  <si>
    <t>JO402</t>
  </si>
  <si>
    <t>PINEDO</t>
  </si>
  <si>
    <t>CARLOS</t>
  </si>
  <si>
    <t>JO403</t>
  </si>
  <si>
    <t>JO404</t>
  </si>
  <si>
    <t>BRYANT</t>
  </si>
  <si>
    <t>JO405</t>
  </si>
  <si>
    <t>CHAVEZ</t>
  </si>
  <si>
    <t>MIGUEL</t>
  </si>
  <si>
    <t>JO406</t>
  </si>
  <si>
    <t>JO407</t>
  </si>
  <si>
    <t>PERRY</t>
  </si>
  <si>
    <t>BERTON</t>
  </si>
  <si>
    <t>JO408</t>
  </si>
  <si>
    <t>JO409</t>
  </si>
  <si>
    <t>JM501</t>
  </si>
  <si>
    <t>HEAD JANITOR / ASST. MAINT. TECH</t>
  </si>
  <si>
    <t>DUNLAP</t>
  </si>
  <si>
    <t>NICHOLAS</t>
  </si>
  <si>
    <t>JM502</t>
  </si>
  <si>
    <t>EQUIP/BLDG MAINT. FOREMAN</t>
  </si>
  <si>
    <t>STALLINGS</t>
  </si>
  <si>
    <t>JULIUS (Allen)</t>
  </si>
  <si>
    <t>SRD02</t>
  </si>
  <si>
    <t>SCHOOL RESOURCE DEPUTY - CROSSROADS</t>
  </si>
  <si>
    <t>DEBRA</t>
  </si>
  <si>
    <t>JV001</t>
  </si>
  <si>
    <t>CHIEF JUVENILE OFFICER</t>
  </si>
  <si>
    <t>JEFFERY (BLU)</t>
  </si>
  <si>
    <t>JV002</t>
  </si>
  <si>
    <t>ASST. CHIEF OFFICER</t>
  </si>
  <si>
    <t>MIDDLETON</t>
  </si>
  <si>
    <t>ANNA</t>
  </si>
  <si>
    <t>JV003</t>
  </si>
  <si>
    <t>PROBATION I</t>
  </si>
  <si>
    <t>CHELSEA</t>
  </si>
  <si>
    <t>JV004</t>
  </si>
  <si>
    <t>JV005</t>
  </si>
  <si>
    <t>JV006</t>
  </si>
  <si>
    <t>JV007</t>
  </si>
  <si>
    <t>MEDIAN</t>
  </si>
  <si>
    <t>JENNIE</t>
  </si>
  <si>
    <t>EM001</t>
  </si>
  <si>
    <t>FLOODPLAINS MANAGER</t>
  </si>
  <si>
    <t>KIMBROUGH</t>
  </si>
  <si>
    <t>JOY</t>
  </si>
  <si>
    <t>FM001</t>
  </si>
  <si>
    <t>FIRE MARSHAL/EMG MGMT COOR</t>
  </si>
  <si>
    <t>RENBERG</t>
  </si>
  <si>
    <t>RODNEY(shane)</t>
  </si>
  <si>
    <t>FM002</t>
  </si>
  <si>
    <t>ASST. FIRE MARSHAL/ASST EMG MGMT COOR</t>
  </si>
  <si>
    <t>BURGER</t>
  </si>
  <si>
    <t>FM003</t>
  </si>
  <si>
    <t>ENVIRONMENTAL CRIMES OFFICER I</t>
  </si>
  <si>
    <t>NATHAN</t>
  </si>
  <si>
    <t>FM004</t>
  </si>
  <si>
    <t>DEPUTY FM</t>
  </si>
  <si>
    <t xml:space="preserve">VACANT </t>
  </si>
  <si>
    <t>FM005</t>
  </si>
  <si>
    <t>ENVIRONMENTAL CRIMES OFFICER II</t>
  </si>
  <si>
    <t>PART TIME - $15 HR</t>
  </si>
  <si>
    <t>DPS01</t>
  </si>
  <si>
    <t>DPS CLERK I</t>
  </si>
  <si>
    <t>CLETO</t>
  </si>
  <si>
    <t>JANETTE</t>
  </si>
  <si>
    <t>DPS02</t>
  </si>
  <si>
    <t>DPS CLERK II</t>
  </si>
  <si>
    <t>GRAHAM</t>
  </si>
  <si>
    <t>JUDITH FRIZZELL</t>
  </si>
  <si>
    <t>PART TIME - $10 HR</t>
  </si>
  <si>
    <t>LIB01</t>
  </si>
  <si>
    <t>HEAD LIBRARIAN</t>
  </si>
  <si>
    <t>ZENOR</t>
  </si>
  <si>
    <t>LIB02</t>
  </si>
  <si>
    <t>ASST. LIBRARIAN</t>
  </si>
  <si>
    <t>RENOTTA</t>
  </si>
  <si>
    <t>LIB03</t>
  </si>
  <si>
    <t>CHILDRENS LIBRARIAN</t>
  </si>
  <si>
    <t>BOBBIE</t>
  </si>
  <si>
    <t>HUGGHINS</t>
  </si>
  <si>
    <t>LEONNA</t>
  </si>
  <si>
    <t>PART TIME $11hr for 2022 Budget</t>
  </si>
  <si>
    <t>FORD</t>
  </si>
  <si>
    <t>LANI</t>
  </si>
  <si>
    <t>49,920/4=12,480./10=54912</t>
  </si>
  <si>
    <t>TAYRON</t>
  </si>
  <si>
    <t>DOOLEY</t>
  </si>
  <si>
    <t>PART TIME-HISTORICAL COMMISSION</t>
  </si>
  <si>
    <t>SIEGRIST</t>
  </si>
  <si>
    <t>Move to $11 for 2022 Budget</t>
  </si>
  <si>
    <t>EXT01</t>
  </si>
  <si>
    <t>CLERICAL I</t>
  </si>
  <si>
    <t>CONWAY</t>
  </si>
  <si>
    <t>ARIEL</t>
  </si>
  <si>
    <t>EXT02</t>
  </si>
  <si>
    <t>SPLAWN</t>
  </si>
  <si>
    <t>EMILY</t>
  </si>
  <si>
    <t>EXT03</t>
  </si>
  <si>
    <t>CEA - AG</t>
  </si>
  <si>
    <t>PERKINS</t>
  </si>
  <si>
    <t>EXT04</t>
  </si>
  <si>
    <t>ASST. CEA - AG</t>
  </si>
  <si>
    <t>HEMPHILL</t>
  </si>
  <si>
    <t>EXT05</t>
  </si>
  <si>
    <t>CEA - FCS</t>
  </si>
  <si>
    <t>TYLER</t>
  </si>
  <si>
    <t>CAROLYN</t>
  </si>
  <si>
    <t>*State Employees do not receive County Raises or longevity.</t>
  </si>
  <si>
    <t>TOTALS FOR GENERAL FUND</t>
  </si>
  <si>
    <t>200-611</t>
  </si>
  <si>
    <t>RB101</t>
  </si>
  <si>
    <t>COMMISSIONER - PCT #1</t>
  </si>
  <si>
    <t>SPIVEY</t>
  </si>
  <si>
    <t>RB102</t>
  </si>
  <si>
    <t>RB103</t>
  </si>
  <si>
    <t>EQUIPMENT OPERATOR I</t>
  </si>
  <si>
    <t>LAUGHERY</t>
  </si>
  <si>
    <t>RB104</t>
  </si>
  <si>
    <t>COSTLOW</t>
  </si>
  <si>
    <t>JERMEY</t>
  </si>
  <si>
    <t>RB105</t>
  </si>
  <si>
    <t>GARY</t>
  </si>
  <si>
    <t>RB106</t>
  </si>
  <si>
    <t>EQUIPMENT OPERATOR II</t>
  </si>
  <si>
    <t>RB107</t>
  </si>
  <si>
    <t>EQUIPMENT OPERATOR III</t>
  </si>
  <si>
    <t>STONE</t>
  </si>
  <si>
    <t>JIMMY</t>
  </si>
  <si>
    <t>RB108</t>
  </si>
  <si>
    <t>JEFFERY (JJ)</t>
  </si>
  <si>
    <t>RB109</t>
  </si>
  <si>
    <t>MECHANIC</t>
  </si>
  <si>
    <t>RICARDO</t>
  </si>
  <si>
    <t>RB110</t>
  </si>
  <si>
    <t>FOREMAN</t>
  </si>
  <si>
    <t>SANITATION CLERK</t>
  </si>
  <si>
    <t>MCGEE</t>
  </si>
  <si>
    <t>CLINTON</t>
  </si>
  <si>
    <t>200-612</t>
  </si>
  <si>
    <t>RB201</t>
  </si>
  <si>
    <t>COMMISSIONER - PCT #2</t>
  </si>
  <si>
    <t>TULEY</t>
  </si>
  <si>
    <t>SCOTT</t>
  </si>
  <si>
    <t>RB202</t>
  </si>
  <si>
    <t>SHERRIE</t>
  </si>
  <si>
    <t>RB203</t>
  </si>
  <si>
    <t>RB212</t>
  </si>
  <si>
    <t>RB205</t>
  </si>
  <si>
    <t>RB211</t>
  </si>
  <si>
    <t>VACANT POSITION</t>
  </si>
  <si>
    <t>RB204</t>
  </si>
  <si>
    <t>MCCLEAN</t>
  </si>
  <si>
    <t>TORANCE</t>
  </si>
  <si>
    <t>RB206</t>
  </si>
  <si>
    <t xml:space="preserve">MANNING </t>
  </si>
  <si>
    <t>RB207</t>
  </si>
  <si>
    <t>RB208</t>
  </si>
  <si>
    <t>BARDWELL</t>
  </si>
  <si>
    <t>RB209</t>
  </si>
  <si>
    <t>JEFFREY</t>
  </si>
  <si>
    <t>RB210</t>
  </si>
  <si>
    <t>HUDGENS</t>
  </si>
  <si>
    <t>200-613</t>
  </si>
  <si>
    <t>RB301</t>
  </si>
  <si>
    <t>COMMISSIONER - PCT #3</t>
  </si>
  <si>
    <t>McHAM</t>
  </si>
  <si>
    <t>CHUCK</t>
  </si>
  <si>
    <t>RB302</t>
  </si>
  <si>
    <t>HEATHER</t>
  </si>
  <si>
    <t>RB303</t>
  </si>
  <si>
    <t>OPERATOR II</t>
  </si>
  <si>
    <t>RICKY</t>
  </si>
  <si>
    <t>RB304</t>
  </si>
  <si>
    <t>OPERATOR III</t>
  </si>
  <si>
    <t>LAMB</t>
  </si>
  <si>
    <t>CHARLES</t>
  </si>
  <si>
    <t>RB305</t>
  </si>
  <si>
    <t>RB306</t>
  </si>
  <si>
    <t>RB307</t>
  </si>
  <si>
    <t>OPERATOR I</t>
  </si>
  <si>
    <t>STEPHENS</t>
  </si>
  <si>
    <t>BOBBY JOE</t>
  </si>
  <si>
    <t>RB308</t>
  </si>
  <si>
    <t>EDDIE</t>
  </si>
  <si>
    <t>RB309</t>
  </si>
  <si>
    <t>RB310</t>
  </si>
  <si>
    <t>200-614</t>
  </si>
  <si>
    <t>RB401</t>
  </si>
  <si>
    <t>COMMISSIONER - PCT #4</t>
  </si>
  <si>
    <t>LARRY MARK</t>
  </si>
  <si>
    <t>RB411</t>
  </si>
  <si>
    <t>RB402</t>
  </si>
  <si>
    <t xml:space="preserve">ODOM </t>
  </si>
  <si>
    <t>RB403</t>
  </si>
  <si>
    <t>MCDONALD</t>
  </si>
  <si>
    <t>RB404</t>
  </si>
  <si>
    <t>HOLDER</t>
  </si>
  <si>
    <t>RB405</t>
  </si>
  <si>
    <t>RB406</t>
  </si>
  <si>
    <t>CUMMINGS</t>
  </si>
  <si>
    <t>RB407</t>
  </si>
  <si>
    <t>BOBBY</t>
  </si>
  <si>
    <t>RB408</t>
  </si>
  <si>
    <t>BRAD</t>
  </si>
  <si>
    <t>RB409</t>
  </si>
  <si>
    <t>SKILES</t>
  </si>
  <si>
    <t>RB410</t>
  </si>
  <si>
    <t>PART TIME - $12.50/HR</t>
  </si>
  <si>
    <t xml:space="preserve">EPSY </t>
  </si>
  <si>
    <t>200-641</t>
  </si>
  <si>
    <t>240-475</t>
  </si>
  <si>
    <t>CA HOT CHECK FEE FUND</t>
  </si>
  <si>
    <t>CC DOCKET COORDINATOR</t>
  </si>
  <si>
    <t>CCL #2 COORDINATOR</t>
  </si>
  <si>
    <t>RIGHTENOUR</t>
  </si>
  <si>
    <t>ODOM</t>
  </si>
  <si>
    <t>ASST ATTORNEY</t>
  </si>
  <si>
    <t>243-475</t>
  </si>
  <si>
    <t>CO ATTY PTI FUND</t>
  </si>
  <si>
    <t>NEW FOR 2018</t>
  </si>
  <si>
    <t>260-485</t>
  </si>
  <si>
    <t>LAW ENFORCEMENT - DA</t>
  </si>
  <si>
    <t>OFFICE COORDINATOR</t>
  </si>
  <si>
    <t>VICTIMS COORD/INVESTIGATOR</t>
  </si>
  <si>
    <t>ASST. DISTRICT ATTORNEY - CPS</t>
  </si>
  <si>
    <t>INVESTIGATOR - 1</t>
  </si>
  <si>
    <t>INVESTIGATOR - 2</t>
  </si>
  <si>
    <t xml:space="preserve">ASST. DISTRICT ATTORNEY </t>
  </si>
  <si>
    <t>261-560</t>
  </si>
  <si>
    <t>SHERIFF'S SEIZURE FUND</t>
  </si>
  <si>
    <t>SUPPLEMENTAL</t>
  </si>
  <si>
    <t>SALARY IN BUDGET</t>
  </si>
  <si>
    <t>DA STATE FEES</t>
  </si>
  <si>
    <t>267-485</t>
  </si>
  <si>
    <t>800-673</t>
  </si>
  <si>
    <t>FG001</t>
  </si>
  <si>
    <t>FAIRGROUND MANAGER</t>
  </si>
  <si>
    <t>CALLOWAY</t>
  </si>
  <si>
    <t>HOWARD</t>
  </si>
  <si>
    <t>FG002</t>
  </si>
  <si>
    <t>FAIRGROUND ASST MANAGER I</t>
  </si>
  <si>
    <t>FG003</t>
  </si>
  <si>
    <t>FAIRGROUND ASST MANAGER II</t>
  </si>
  <si>
    <t>BRANDON</t>
  </si>
  <si>
    <t>FG004</t>
  </si>
  <si>
    <t>FAIRGROUND 2ND ASST MANAGER II</t>
  </si>
  <si>
    <t>DICKENSON</t>
  </si>
  <si>
    <t>TOMMY</t>
  </si>
  <si>
    <t>820-673</t>
  </si>
  <si>
    <t>FAIR PARK CONCESSIONS - PART TIME</t>
  </si>
  <si>
    <t>ERIKA</t>
  </si>
  <si>
    <t>GRIFFIN</t>
  </si>
  <si>
    <t>MELBA</t>
  </si>
  <si>
    <t>HENDERSON</t>
  </si>
  <si>
    <t>VICKY</t>
  </si>
  <si>
    <t>SHAWNA</t>
  </si>
  <si>
    <t>Grand Total</t>
  </si>
  <si>
    <t>BALANCE</t>
  </si>
  <si>
    <t>GENERAL</t>
  </si>
  <si>
    <t>RECORDS MANAGEMENT</t>
  </si>
  <si>
    <t>JUVENILE</t>
  </si>
  <si>
    <t>LIBRARY</t>
  </si>
  <si>
    <t>HOT CHECK FEE</t>
  </si>
  <si>
    <t>PTI PROGRAM</t>
  </si>
  <si>
    <t>JURY</t>
  </si>
  <si>
    <t>LAW ENFORCEMENT - SHER</t>
  </si>
  <si>
    <t>SHERIFF/CONST 5 SIEZURES</t>
  </si>
  <si>
    <t>FAIRPARK</t>
  </si>
  <si>
    <t>FAIRPARK GROWTH &amp; DEV</t>
  </si>
  <si>
    <t>FAIRPARK CONCESSION</t>
  </si>
  <si>
    <t>TOTAL FROM ABOVE</t>
  </si>
  <si>
    <t>Total R&amp;B Rev</t>
  </si>
  <si>
    <t>200-610</t>
  </si>
  <si>
    <t>Lateral Road</t>
  </si>
  <si>
    <t>Waste Mgmt</t>
  </si>
  <si>
    <t>TOTAL FROM BUDGET WORKSHEET</t>
  </si>
  <si>
    <t>Total per precinct</t>
  </si>
  <si>
    <t>Transfers In from</t>
  </si>
  <si>
    <t>FUND</t>
  </si>
  <si>
    <t>Fund Balance</t>
  </si>
  <si>
    <t>Transfers Into General Fund</t>
  </si>
  <si>
    <t>Transfer from Gen to R&amp;B</t>
  </si>
  <si>
    <t>Transfer from Gen to Jury</t>
  </si>
  <si>
    <t>Transfer from Gen Fund to FG Operations</t>
  </si>
  <si>
    <t>Transfer from FG Op to FG Growth &amp; Dev</t>
  </si>
  <si>
    <t>Transfer from FG Op to FG Concessions</t>
  </si>
  <si>
    <t>Transfer in from Fund Balance(Individual Funds)</t>
  </si>
  <si>
    <t>Total Transfers</t>
  </si>
  <si>
    <t>CONTINGENCY FUND 100-81500-402</t>
  </si>
  <si>
    <t>DA Capital</t>
  </si>
  <si>
    <t>Radio Tower project</t>
  </si>
  <si>
    <t>Contingency Fund</t>
  </si>
  <si>
    <t>Election's Dept Personnel</t>
  </si>
  <si>
    <t>Harris Radios for VFDs(2portables+1mobile)</t>
  </si>
  <si>
    <t>Total Contingency Fund</t>
  </si>
  <si>
    <t>2019 Year</t>
  </si>
  <si>
    <t>BUDGET</t>
  </si>
  <si>
    <t>to Date</t>
  </si>
  <si>
    <t>FUND 210 -</t>
  </si>
  <si>
    <t>210-21000-330</t>
  </si>
  <si>
    <t>JUV STATE AID - GRANT A</t>
  </si>
  <si>
    <t>210-27000-330</t>
  </si>
  <si>
    <t>MENTAL HEALTH - GRANT R</t>
  </si>
  <si>
    <t>210-90500-349</t>
  </si>
  <si>
    <t>PROBATION FEES</t>
  </si>
  <si>
    <t>TOTAL JUVENILE REVENUE</t>
  </si>
  <si>
    <t>210-10200-571</t>
  </si>
  <si>
    <t>210-20100-571</t>
  </si>
  <si>
    <t>210-20200-571</t>
  </si>
  <si>
    <t>210-20300-571</t>
  </si>
  <si>
    <t>210-20500-571</t>
  </si>
  <si>
    <t>210-20600-571</t>
  </si>
  <si>
    <t>210-31000-571</t>
  </si>
  <si>
    <t>210-35000-571</t>
  </si>
  <si>
    <t>210-37200-571</t>
  </si>
  <si>
    <t>210-41700.571</t>
  </si>
  <si>
    <t>210-41900-571</t>
  </si>
  <si>
    <t>210-42700-571</t>
  </si>
  <si>
    <t>210-71500-571</t>
  </si>
  <si>
    <t>210-72400-571</t>
  </si>
  <si>
    <t>JV CLOTHING &amp; SUPPLIES</t>
  </si>
  <si>
    <t>210-74800-571</t>
  </si>
  <si>
    <t>SECURE RESIDENTIAL PLACEMENT</t>
  </si>
  <si>
    <t>210-74900-571</t>
  </si>
  <si>
    <t>NON-SECURE RESIDENT PLACEMENT</t>
  </si>
  <si>
    <t>210-75100-571</t>
  </si>
  <si>
    <t>JUV MEDICAL &amp; DENTAL</t>
  </si>
  <si>
    <t>TOTAL JUVENILE GRANT A</t>
  </si>
  <si>
    <t>210-42700-572</t>
  </si>
  <si>
    <t>210-45800-572</t>
  </si>
  <si>
    <t>210-71500-572</t>
  </si>
  <si>
    <t>TOTAL JUVENILE GRANT R</t>
  </si>
  <si>
    <t xml:space="preserve">            JUVENILE BUDGET TOTALS</t>
  </si>
  <si>
    <t>FUND 220 -</t>
  </si>
  <si>
    <t>CSCD BASIC</t>
  </si>
  <si>
    <t>220-11000-330</t>
  </si>
  <si>
    <t>CSCD BASIC SUPERVISION</t>
  </si>
  <si>
    <t>220-14000-330</t>
  </si>
  <si>
    <t>CSCD CCP</t>
  </si>
  <si>
    <t>220-90500-349</t>
  </si>
  <si>
    <t>220-92000-349</t>
  </si>
  <si>
    <t>ALCOHOL EDUCATION PROG FEES</t>
  </si>
  <si>
    <t>220-93000-349</t>
  </si>
  <si>
    <t>REPEAT OFFENDER PROG FEES</t>
  </si>
  <si>
    <t>220-94000-349</t>
  </si>
  <si>
    <t>DRUG OFFENDER EDUCATION FEES</t>
  </si>
  <si>
    <t>220-94500-349</t>
  </si>
  <si>
    <t>VICTIM IMPACT PANEL</t>
  </si>
  <si>
    <t>220-95000-349</t>
  </si>
  <si>
    <t>PRE-TRIAL FEES</t>
  </si>
  <si>
    <t>220-95500-349</t>
  </si>
  <si>
    <t>CIVIL PROBATION FEES</t>
  </si>
  <si>
    <t>220-96000.349</t>
  </si>
  <si>
    <t>SASSI FEES</t>
  </si>
  <si>
    <t>220-96500-349</t>
  </si>
  <si>
    <t>PERSONALITY ASSESS INVENT</t>
  </si>
  <si>
    <t>220-97000-349</t>
  </si>
  <si>
    <t>UA's DRUG SCREENING</t>
  </si>
  <si>
    <t>220-97500-349</t>
  </si>
  <si>
    <t>POLYGRAPH FEES</t>
  </si>
  <si>
    <t>220-98900-349</t>
  </si>
  <si>
    <t>LIFE SKILLS EDUCATION FEES</t>
  </si>
  <si>
    <t>220-99200-349</t>
  </si>
  <si>
    <t>BOND SUPERVISION FEES</t>
  </si>
  <si>
    <t>220-99300-349</t>
  </si>
  <si>
    <t>BOND SUPERVISION DRUG TESTING</t>
  </si>
  <si>
    <t>220-99400-349</t>
  </si>
  <si>
    <t>SAQ FEES</t>
  </si>
  <si>
    <t>220-99500-349</t>
  </si>
  <si>
    <t>COUNSELING FEES</t>
  </si>
  <si>
    <t>220-10000-360</t>
  </si>
  <si>
    <t>220-90000-381</t>
  </si>
  <si>
    <t>220-00000-390</t>
  </si>
  <si>
    <t>TOTAL CSCD</t>
  </si>
  <si>
    <t>220-10200-582</t>
  </si>
  <si>
    <t>220-11200-582</t>
  </si>
  <si>
    <t>220-15300-582</t>
  </si>
  <si>
    <t>CLASS INSTRUCTION</t>
  </si>
  <si>
    <t>220-20100-582</t>
  </si>
  <si>
    <t>220-20300-582</t>
  </si>
  <si>
    <t>220-20500-582</t>
  </si>
  <si>
    <t>220-20600-582</t>
  </si>
  <si>
    <t>220-29700-582</t>
  </si>
  <si>
    <t>BENEFITS</t>
  </si>
  <si>
    <t>220-31000-582</t>
  </si>
  <si>
    <t>220-31300-582</t>
  </si>
  <si>
    <t>220-31600-582</t>
  </si>
  <si>
    <t>UA SUPPLIES</t>
  </si>
  <si>
    <t>220-31700-582</t>
  </si>
  <si>
    <t>CSCD SOFTWARE MAINTENANCE</t>
  </si>
  <si>
    <t>220-33000-582</t>
  </si>
  <si>
    <t>220-34000-582</t>
  </si>
  <si>
    <t>220-40100-582</t>
  </si>
  <si>
    <t>220-40500-582</t>
  </si>
  <si>
    <t>EMPLOYMENT EXAMS &amp; IMMUN</t>
  </si>
  <si>
    <t>220-41600-582</t>
  </si>
  <si>
    <t>220-41900-582</t>
  </si>
  <si>
    <t>220-42000-582</t>
  </si>
  <si>
    <t>220-42300-582</t>
  </si>
  <si>
    <t>CSCD PER DIEM</t>
  </si>
  <si>
    <t>220-42400-582</t>
  </si>
  <si>
    <t>CSCD MILEAGE</t>
  </si>
  <si>
    <t>220-42700-582</t>
  </si>
  <si>
    <t>220-42800-582</t>
  </si>
  <si>
    <t>220-45400-582</t>
  </si>
  <si>
    <t>220-46100-582</t>
  </si>
  <si>
    <t>CSCD AUTO INSURANCE</t>
  </si>
  <si>
    <t>220-48200-582</t>
  </si>
  <si>
    <t>LIABILITY PROPERTY INSURANCE</t>
  </si>
  <si>
    <t>220-48300-582</t>
  </si>
  <si>
    <t>CSR INSURANCE</t>
  </si>
  <si>
    <t>220-49300-582</t>
  </si>
  <si>
    <t>220-57600-582</t>
  </si>
  <si>
    <t>220-74200-582</t>
  </si>
  <si>
    <t>UNBUDGETED EXPENDITURES</t>
  </si>
  <si>
    <t>TOTAL CSCD BASIC</t>
  </si>
  <si>
    <t>220-10200-583</t>
  </si>
  <si>
    <t>220-11200-583</t>
  </si>
  <si>
    <t>220-20100-583</t>
  </si>
  <si>
    <t>220-20300-583</t>
  </si>
  <si>
    <t>220-20500-583</t>
  </si>
  <si>
    <t>220-20600-583</t>
  </si>
  <si>
    <t>220-31000-583</t>
  </si>
  <si>
    <t>220-31600-583</t>
  </si>
  <si>
    <t>220-40100-583</t>
  </si>
  <si>
    <t>220-41600-583</t>
  </si>
  <si>
    <t>220-42000-583</t>
  </si>
  <si>
    <t>220-42300-583</t>
  </si>
  <si>
    <t>CSCD PERDIEM</t>
  </si>
  <si>
    <t>220-42400-583</t>
  </si>
  <si>
    <t>220-42700-583</t>
  </si>
  <si>
    <t>TOTAL CSCD CCP</t>
  </si>
  <si>
    <t>220-31000-584</t>
  </si>
  <si>
    <t>220-31600-584</t>
  </si>
  <si>
    <t>220-41600-584</t>
  </si>
  <si>
    <t>CONTRACT SERVES</t>
  </si>
  <si>
    <t>220-74200-584</t>
  </si>
  <si>
    <t>TOTAL CSCD BOND SUPERVISION</t>
  </si>
  <si>
    <t>FUND 222-</t>
  </si>
  <si>
    <t xml:space="preserve">CSCD CIVIL </t>
  </si>
  <si>
    <t>222-95500-349</t>
  </si>
  <si>
    <t>222-10000-360</t>
  </si>
  <si>
    <t>222-00000-390</t>
  </si>
  <si>
    <t>TOTAL CSCD CIVIL REVENUE</t>
  </si>
  <si>
    <t>222-10200-584</t>
  </si>
  <si>
    <t>222-11200-584</t>
  </si>
  <si>
    <t>222-20100-584</t>
  </si>
  <si>
    <t>222-20200-584</t>
  </si>
  <si>
    <t>222-20300-584</t>
  </si>
  <si>
    <t>222-20500-584</t>
  </si>
  <si>
    <t>222-20600-584</t>
  </si>
  <si>
    <t>222-21000-584</t>
  </si>
  <si>
    <t>BASIC LIFE INSURANCE CSCD</t>
  </si>
  <si>
    <t>222-31000-584</t>
  </si>
  <si>
    <t>222-31300-584</t>
  </si>
  <si>
    <t>COMPUTER /PRINTER SUPPLIES</t>
  </si>
  <si>
    <t>222-33000-584</t>
  </si>
  <si>
    <t>222-41600-584</t>
  </si>
  <si>
    <t>222-41900-584</t>
  </si>
  <si>
    <t>222-42000-584</t>
  </si>
  <si>
    <t>222-42300-584</t>
  </si>
  <si>
    <t>PER DIEM</t>
  </si>
  <si>
    <t>222-57300-584</t>
  </si>
  <si>
    <t>COMPUTER EQUIPMENT</t>
  </si>
  <si>
    <t>222-74200-584</t>
  </si>
  <si>
    <t>TOTAL CSCD CIVIL</t>
  </si>
  <si>
    <t>Step Plan N/A</t>
  </si>
  <si>
    <t>Other</t>
  </si>
  <si>
    <t>RATES HAVE BEEN UPDATED FOR 2021 BUDGET ………..LM</t>
  </si>
  <si>
    <t>Change</t>
  </si>
  <si>
    <t xml:space="preserve">Benefits &amp; </t>
  </si>
  <si>
    <t>Benefits &amp;</t>
  </si>
  <si>
    <t xml:space="preserve">Change in </t>
  </si>
  <si>
    <t>Total Change</t>
  </si>
  <si>
    <t>Actual Pay</t>
  </si>
  <si>
    <t>Long.</t>
  </si>
  <si>
    <t>Longevity</t>
  </si>
  <si>
    <t>In Salary</t>
  </si>
  <si>
    <t>Taxes 2021</t>
  </si>
  <si>
    <t>Taxes 2020</t>
  </si>
  <si>
    <t>Benefits/Taxes</t>
  </si>
  <si>
    <t>Salary+Benefits</t>
  </si>
  <si>
    <t>Phone Allowance</t>
  </si>
  <si>
    <t>TORRES</t>
  </si>
  <si>
    <t>ADAIR</t>
  </si>
  <si>
    <t>ALLEN</t>
  </si>
  <si>
    <t>UNDERHILL</t>
  </si>
  <si>
    <t>PAM</t>
  </si>
  <si>
    <t>DENISE</t>
  </si>
  <si>
    <t>CANALES</t>
  </si>
  <si>
    <t>ROAF</t>
  </si>
  <si>
    <t>MARILYN</t>
  </si>
  <si>
    <t>*No Raises or Longevity for District Judges that will exceed $158,000 from all sources, per Gov Code 659.012</t>
  </si>
  <si>
    <t>ROGERS</t>
  </si>
  <si>
    <t>MCKENZIE</t>
  </si>
  <si>
    <t>ALISHA</t>
  </si>
  <si>
    <t>MARHRA</t>
  </si>
  <si>
    <t>SHAELYN</t>
  </si>
  <si>
    <t>GLOGER</t>
  </si>
  <si>
    <t>ISAAC</t>
  </si>
  <si>
    <t>AUSTEN</t>
  </si>
  <si>
    <t>JAMES ( DAVID)</t>
  </si>
  <si>
    <t>ASST. DISTRICT ATTORNEY - CPS 2</t>
  </si>
  <si>
    <t>Vacant - Moved to CA</t>
  </si>
  <si>
    <t>DICKENS</t>
  </si>
  <si>
    <t>JAMES (PINK)</t>
  </si>
  <si>
    <t>ASST. DISTRICT ATTORNEY - 6</t>
  </si>
  <si>
    <t>ABBE</t>
  </si>
  <si>
    <t>COURT COORDINATOR I</t>
  </si>
  <si>
    <t>COOK</t>
  </si>
  <si>
    <t>LATRICIA(lewallen)</t>
  </si>
  <si>
    <t>INVESTIGATOR / WARRANT OFFICER</t>
  </si>
  <si>
    <t>FRIZZELL</t>
  </si>
  <si>
    <t>DANI</t>
  </si>
  <si>
    <t>EDWARDS</t>
  </si>
  <si>
    <t>RAKESTRAW</t>
  </si>
  <si>
    <t>WEST</t>
  </si>
  <si>
    <t>CHRISTINE</t>
  </si>
  <si>
    <t>NEW POSITION FOR 2017</t>
  </si>
  <si>
    <t>ASST. MAINT. TECHNICIAN</t>
  </si>
  <si>
    <t>LANGFORD</t>
  </si>
  <si>
    <t>JEROMEY</t>
  </si>
  <si>
    <t>BOSHER</t>
  </si>
  <si>
    <t>RADAR</t>
  </si>
  <si>
    <t xml:space="preserve">HILL </t>
  </si>
  <si>
    <t>WHATLEY</t>
  </si>
  <si>
    <t>DAILLE</t>
  </si>
  <si>
    <t>KRISTA</t>
  </si>
  <si>
    <t>EPPERSON</t>
  </si>
  <si>
    <t>BILLIE</t>
  </si>
  <si>
    <t>LING</t>
  </si>
  <si>
    <t>PENNY</t>
  </si>
  <si>
    <t>MOSELEY</t>
  </si>
  <si>
    <t>BONNER</t>
  </si>
  <si>
    <t>JUDE</t>
  </si>
  <si>
    <t>KEE</t>
  </si>
  <si>
    <t>DEVIN</t>
  </si>
  <si>
    <t>DUNKIN</t>
  </si>
  <si>
    <t>JACKSON</t>
  </si>
  <si>
    <t>PRINCE</t>
  </si>
  <si>
    <t>LOUIS</t>
  </si>
  <si>
    <t>WHITE</t>
  </si>
  <si>
    <t>KRISTEN</t>
  </si>
  <si>
    <t>ROBERTS II</t>
  </si>
  <si>
    <t>FORREST</t>
  </si>
  <si>
    <t>SUNNI</t>
  </si>
  <si>
    <t>BALDWIN</t>
  </si>
  <si>
    <t>KEYWORTH</t>
  </si>
  <si>
    <t>DANIEL "CORBIN"</t>
  </si>
  <si>
    <t>DORA</t>
  </si>
  <si>
    <t>TRAVIS</t>
  </si>
  <si>
    <t>SERRANO</t>
  </si>
  <si>
    <t>TINA</t>
  </si>
  <si>
    <t>ZACKERY</t>
  </si>
  <si>
    <t>PITTMAN</t>
  </si>
  <si>
    <t>PRYOR</t>
  </si>
  <si>
    <t>NOLAN</t>
  </si>
  <si>
    <t>BARR</t>
  </si>
  <si>
    <t>PATRICIA</t>
  </si>
  <si>
    <t>SHER RESERVE DEPUTY - MURCHISON</t>
  </si>
  <si>
    <t>NEW POSITION FOR 2019</t>
  </si>
  <si>
    <t>SRD01</t>
  </si>
  <si>
    <t>SORRELLS</t>
  </si>
  <si>
    <t>JODIE</t>
  </si>
  <si>
    <t>SCHOOL RESOURCE DEPUTY - LaPOYNOR</t>
  </si>
  <si>
    <t>100-570</t>
  </si>
  <si>
    <t>MIZE</t>
  </si>
  <si>
    <t>SHANE</t>
  </si>
  <si>
    <t>FLORENCE</t>
  </si>
  <si>
    <t>LAUREN</t>
  </si>
  <si>
    <t>EMERGENCY MANAGEMENT COORDINATOR</t>
  </si>
  <si>
    <t>FIRE MARSHAL</t>
  </si>
  <si>
    <t>ASST. FIRE MARSHAL</t>
  </si>
  <si>
    <t>JACQULYN</t>
  </si>
  <si>
    <t>MEGHAN</t>
  </si>
  <si>
    <t>CALLAWAY</t>
  </si>
  <si>
    <t>STELTER</t>
  </si>
  <si>
    <t>KELSEA</t>
  </si>
  <si>
    <t>PART TIME $10hr for 2020 budget</t>
  </si>
  <si>
    <t>SCOTTY</t>
  </si>
  <si>
    <t>KITCHENS</t>
  </si>
  <si>
    <t>MILES</t>
  </si>
  <si>
    <t>LAWRENCE</t>
  </si>
  <si>
    <t>STEVEN</t>
  </si>
  <si>
    <t>SCHULTE</t>
  </si>
  <si>
    <t>BENEZUE</t>
  </si>
  <si>
    <t>MARTIN</t>
  </si>
  <si>
    <t>GLENN</t>
  </si>
  <si>
    <t>SPEER</t>
  </si>
  <si>
    <t>DOUGLAS</t>
  </si>
  <si>
    <t>RONALD</t>
  </si>
  <si>
    <t>CHANEY</t>
  </si>
  <si>
    <t>MILBURN</t>
  </si>
  <si>
    <t>SUPERINTENDENT</t>
  </si>
  <si>
    <t>JUDY  (PCT 1)</t>
  </si>
  <si>
    <t>DAILY</t>
  </si>
  <si>
    <t>BILL   (PCT 2)</t>
  </si>
  <si>
    <t>DENNY  (PCT 3)</t>
  </si>
  <si>
    <t>ESPY</t>
  </si>
  <si>
    <t>GARY  (PCT 4)</t>
  </si>
  <si>
    <t>x24hr/wkx52=</t>
  </si>
  <si>
    <t>WORKERS COMP</t>
  </si>
  <si>
    <t>245-475</t>
  </si>
  <si>
    <t>STATE SUPPLEMENT MOVED TO GENERAL FUND IN 2019</t>
  </si>
  <si>
    <t>ADMINISTRATIVE ASSISTANT</t>
  </si>
  <si>
    <t>AMBER</t>
  </si>
  <si>
    <t>CLERICAL 3</t>
  </si>
  <si>
    <t>ASST. DISTRICT ATTORNEY - 3</t>
  </si>
  <si>
    <t>290-595</t>
  </si>
  <si>
    <t>ANIMAL SHELTER</t>
  </si>
  <si>
    <t>AS001</t>
  </si>
  <si>
    <t>SHELTER DIRECTOR</t>
  </si>
  <si>
    <t>LAMBERT</t>
  </si>
  <si>
    <t>AMY</t>
  </si>
  <si>
    <t>AS002</t>
  </si>
  <si>
    <t>ASST. DIRECTOR</t>
  </si>
  <si>
    <t>AS003</t>
  </si>
  <si>
    <t>KENNEL ATTENDANT I</t>
  </si>
  <si>
    <t>FAGG</t>
  </si>
  <si>
    <t>STEPHANIE</t>
  </si>
  <si>
    <t>AS004</t>
  </si>
  <si>
    <t>KENNEL ATTENDANT II</t>
  </si>
  <si>
    <t>MYER</t>
  </si>
  <si>
    <t>KAREL (Renee)</t>
  </si>
  <si>
    <t>AS005</t>
  </si>
  <si>
    <t>KENNEL ATTENDANT III</t>
  </si>
  <si>
    <t>LINVILLE</t>
  </si>
  <si>
    <t>PART TIME(2x $9.50hr/25hrs wk)</t>
  </si>
  <si>
    <t>GONZALEZ</t>
  </si>
  <si>
    <t>JORGE</t>
  </si>
  <si>
    <t>KIMBALL</t>
  </si>
  <si>
    <t>JIM BOB</t>
  </si>
  <si>
    <t>FAIRGROUND ASSISTANT MANAGER I</t>
  </si>
  <si>
    <t>TREVOER</t>
  </si>
  <si>
    <t>800-674</t>
  </si>
  <si>
    <t>KANDI</t>
  </si>
  <si>
    <t>LANCE</t>
  </si>
  <si>
    <t xml:space="preserve">BROWN </t>
  </si>
  <si>
    <t>Transfer in from Reserve</t>
  </si>
  <si>
    <t>Transfer from Gen to Animal Shelter</t>
  </si>
  <si>
    <t>TRANSFERS FROM RESERVES INTO GENERAL FUND</t>
  </si>
  <si>
    <t>2020  $#s</t>
  </si>
  <si>
    <t>2020 $#s</t>
  </si>
  <si>
    <t>Generators</t>
  </si>
  <si>
    <t>Surplus Rev in Bdgt</t>
  </si>
  <si>
    <t>Animal Shelter Improvements</t>
  </si>
  <si>
    <t>TOTAL TRANSFERS INTO GENERAL</t>
  </si>
  <si>
    <t>Matrix Salary Contengency</t>
  </si>
  <si>
    <t>JP4 Building</t>
  </si>
  <si>
    <t>Juv Build Remodel</t>
  </si>
  <si>
    <t>Constable Vehicles (#2 and #4)</t>
  </si>
  <si>
    <t>Roof Old Jail</t>
  </si>
  <si>
    <t>Roof for Annex</t>
  </si>
  <si>
    <t xml:space="preserve">HENDERSON COUNTY 2021 BUDGET </t>
  </si>
  <si>
    <t>2021 BUDGET</t>
  </si>
  <si>
    <t>Fund 150 - Records Management</t>
  </si>
  <si>
    <t>Co Clk</t>
  </si>
  <si>
    <t>County</t>
  </si>
  <si>
    <t>Dist Clk</t>
  </si>
  <si>
    <t>Fund Bal 12/31/17</t>
  </si>
  <si>
    <t>Rev Actual 2018</t>
  </si>
  <si>
    <t>Exp Actual 2018</t>
  </si>
  <si>
    <t>Fund Bal 12/31/18</t>
  </si>
  <si>
    <t>Rev Actual 2019</t>
  </si>
  <si>
    <t>Exp Actual 2019</t>
  </si>
  <si>
    <t>Est Bal 12/31/19</t>
  </si>
  <si>
    <t>Rev Bdgt 2020</t>
  </si>
  <si>
    <t>Exp Bdgt 2020</t>
  </si>
  <si>
    <t>Est Bal 12/31/20</t>
  </si>
  <si>
    <t>All FT Employees</t>
  </si>
  <si>
    <t>2020 POSITION BUDGET</t>
  </si>
  <si>
    <t>Budgeted</t>
  </si>
  <si>
    <t>Total Base +</t>
  </si>
  <si>
    <t>RATES HAVE BEEN UPDATED FOR 2020 BUDGET ………..LM</t>
  </si>
  <si>
    <t>Base Salary</t>
  </si>
  <si>
    <t>Salary</t>
  </si>
  <si>
    <t>DEPUTY - 1</t>
  </si>
  <si>
    <t xml:space="preserve">ADAIR </t>
  </si>
  <si>
    <t>DEPUTY - 2</t>
  </si>
  <si>
    <t>DEPUTY - 3</t>
  </si>
  <si>
    <t>DEPUTY - 4</t>
  </si>
  <si>
    <t>DEPUTY - 5</t>
  </si>
  <si>
    <t>DEPUTY - 7</t>
  </si>
  <si>
    <t>DEPUTY - 8</t>
  </si>
  <si>
    <t>DEPUTY - 9</t>
  </si>
  <si>
    <t>COLE(Underhill)</t>
  </si>
  <si>
    <t>DEPUTY - 10</t>
  </si>
  <si>
    <t>DEPUTY - 11</t>
  </si>
  <si>
    <t>DEPUTY - 12</t>
  </si>
  <si>
    <t>CT. ENFOR. CASE WORKER - 2</t>
  </si>
  <si>
    <t>VOTER REGISTRAR -2</t>
  </si>
  <si>
    <t>VOTER REGISTRAR -3</t>
  </si>
  <si>
    <t>VOTER REGISTRAR -4</t>
  </si>
  <si>
    <t>REINSTATE POSITION FOR 2020</t>
  </si>
  <si>
    <t>VETERANS SERVICE OFFICER -  P/T $15.87HR</t>
  </si>
  <si>
    <t>Position Budgeted for 2020</t>
  </si>
  <si>
    <t>INDIGENT DEFENSE-COORDINATOR</t>
  </si>
  <si>
    <t>FIGUEROA</t>
  </si>
  <si>
    <t>INDIGENT DEFENSE-ASSISTANT</t>
  </si>
  <si>
    <t>*No Raises or Longevity for Judges that will exceed $158,000 from all sources, per Gov Code 659.012</t>
  </si>
  <si>
    <t>COWAN</t>
  </si>
  <si>
    <t>DEPUTY - 6</t>
  </si>
  <si>
    <t>DEPUTY - 8   (Criminal e-filing clerk)</t>
  </si>
  <si>
    <t>ABNEY</t>
  </si>
  <si>
    <t>BRANDY</t>
  </si>
  <si>
    <t>HARDY</t>
  </si>
  <si>
    <t>CORTNEY</t>
  </si>
  <si>
    <t>SPOON</t>
  </si>
  <si>
    <t>KATHY</t>
  </si>
  <si>
    <t>JP COURT COORDINATOR - 2</t>
  </si>
  <si>
    <t>FIRST ASST. COUNTY ATTORNEY</t>
  </si>
  <si>
    <t>ASST. COUNTY ATTORNEY - 2</t>
  </si>
  <si>
    <t>ASST. COUNTY ATTORNEY - 3</t>
  </si>
  <si>
    <t>ASST. COUNTY ATTORNEY - 4</t>
  </si>
  <si>
    <t>CCL #1 COORDINATOR</t>
  </si>
  <si>
    <t>CREECH</t>
  </si>
  <si>
    <t>FINE &amp; COURT COST CLERK</t>
  </si>
  <si>
    <t>CT. ENFOR. CASE WORKER - 1</t>
  </si>
  <si>
    <t>GARRETT</t>
  </si>
  <si>
    <t>FIRST ASST DA</t>
  </si>
  <si>
    <t>RUMAR</t>
  </si>
  <si>
    <t>NANCY</t>
  </si>
  <si>
    <t>ASST. DISTRICT ATTORNEY - 2</t>
  </si>
  <si>
    <t>ASST. DISTRICT ATTORNEY - 4</t>
  </si>
  <si>
    <t>JAMES (DAVID)</t>
  </si>
  <si>
    <t>ASST. DISTRICT ATTORNEY - 5</t>
  </si>
  <si>
    <t>CLERICAL 4</t>
  </si>
  <si>
    <t>CLERICAL 6</t>
  </si>
  <si>
    <t>CLERICAL 7</t>
  </si>
  <si>
    <t>CLERICAL 8</t>
  </si>
  <si>
    <t>SHAVER</t>
  </si>
  <si>
    <t>ASSISTANT AUDITOR - 3</t>
  </si>
  <si>
    <t>ASSISTANT AUDITOR - 4</t>
  </si>
  <si>
    <t>ASSISTANT AUDITOR - 5</t>
  </si>
  <si>
    <t>CROUCH</t>
  </si>
  <si>
    <t>JANE</t>
  </si>
  <si>
    <t>ASSISTANT AUDITOR - 6</t>
  </si>
  <si>
    <t>ASSISTANT AUDITOR - 7</t>
  </si>
  <si>
    <t>ASSISTANT AUDITOR - 8</t>
  </si>
  <si>
    <t>ASSISTANT AUDITOR - 9</t>
  </si>
  <si>
    <t>PAYROLL COORDINATOR</t>
  </si>
  <si>
    <t>ASST. TREASURER - 1</t>
  </si>
  <si>
    <t>CHIEF OFFICE DEPUTY - TAX</t>
  </si>
  <si>
    <t>BOOKKEEPER - MVR - 1</t>
  </si>
  <si>
    <t>BOOKKEEPER - TAX - 1</t>
  </si>
  <si>
    <t>BOOKKEEPER - TAX - 2</t>
  </si>
  <si>
    <t>TAX DEPUTY - 1</t>
  </si>
  <si>
    <t>TAX DEPUTY - 2</t>
  </si>
  <si>
    <t>TAX DEPUTY - 3 - CHANDLER</t>
  </si>
  <si>
    <t>MVR DEPUTY - 1/ ASST. BOOKKEEPER</t>
  </si>
  <si>
    <t>MVR DEPUTY - 3</t>
  </si>
  <si>
    <t>PASTER</t>
  </si>
  <si>
    <t>MVR DEPUTY - 4</t>
  </si>
  <si>
    <t>MVR DEPUTY - 7PTS - 1</t>
  </si>
  <si>
    <t>MVR DEPUTY - 7PTS - 2</t>
  </si>
  <si>
    <t>MVR DEPUTY - CHANDLER - 1</t>
  </si>
  <si>
    <t>HEAD JANITOR</t>
  </si>
  <si>
    <t>CUSTODIAN - 1</t>
  </si>
  <si>
    <t>CUSTODIAN - 2</t>
  </si>
  <si>
    <t>CUSTODIAN - 3</t>
  </si>
  <si>
    <t>CUSTODIAN - 5</t>
  </si>
  <si>
    <t>CUSTODIAN - 4</t>
  </si>
  <si>
    <t>MAINT. TECHNICIAN</t>
  </si>
  <si>
    <t>SERGEANT - 1</t>
  </si>
  <si>
    <t>SERGEANT - 2</t>
  </si>
  <si>
    <t>SERGEANT - 3</t>
  </si>
  <si>
    <t>SERGEANT - 4</t>
  </si>
  <si>
    <t>SPURGER</t>
  </si>
  <si>
    <t>CLIFF</t>
  </si>
  <si>
    <t>DEPUTY - 13</t>
  </si>
  <si>
    <t>DEPUTY - 14</t>
  </si>
  <si>
    <t>DEPUTY - 15</t>
  </si>
  <si>
    <t>DEPUTY - 16</t>
  </si>
  <si>
    <t>DEPUTY - 17</t>
  </si>
  <si>
    <t>DEPUTY - 18</t>
  </si>
  <si>
    <t>DEPUTY - 19</t>
  </si>
  <si>
    <t>DEPUTY - 21</t>
  </si>
  <si>
    <t>BOSWELL</t>
  </si>
  <si>
    <t>DAMON</t>
  </si>
  <si>
    <t>INVESTIGATOR - 3</t>
  </si>
  <si>
    <t>INVESTIGATOR - 4</t>
  </si>
  <si>
    <t>INVESTIGATOR - 5</t>
  </si>
  <si>
    <t xml:space="preserve">WILLIAM  </t>
  </si>
  <si>
    <t>INVESTIGATOR - 6</t>
  </si>
  <si>
    <t xml:space="preserve">THORNTON </t>
  </si>
  <si>
    <t>INVESTIGATOR - 7</t>
  </si>
  <si>
    <t>INVESTIGATOR - 8</t>
  </si>
  <si>
    <t>INVESTIGATOR - 9</t>
  </si>
  <si>
    <t>INVESTIGATOR - 10</t>
  </si>
  <si>
    <t>INVESTIGATOR - 11</t>
  </si>
  <si>
    <t>CIVIL CLERK</t>
  </si>
  <si>
    <t>ADMINISTRATIVE TECHNICIAN</t>
  </si>
  <si>
    <t>DONNA(woodard)</t>
  </si>
  <si>
    <t>CRIMINAL CLERK</t>
  </si>
  <si>
    <t>BOND CLERK</t>
  </si>
  <si>
    <t>CIVIL DEPUTY - 1</t>
  </si>
  <si>
    <t>EARL (DEBBS)</t>
  </si>
  <si>
    <t>CIVIL DEPUTY - 2</t>
  </si>
  <si>
    <t>CIVIL DEPUTY - 3</t>
  </si>
  <si>
    <t>CIVIL DEPUTY - 4</t>
  </si>
  <si>
    <t>WILLIAM (Michael)</t>
  </si>
  <si>
    <t>WARRANTS DEPUTY</t>
  </si>
  <si>
    <t>MENTAL HEALTH DEPUTY - 1</t>
  </si>
  <si>
    <t>MENTAL HEALTH DEPUTY - 2</t>
  </si>
  <si>
    <t>SPECIAL DEPUTY (ANIMAL CONTROL) - 1</t>
  </si>
  <si>
    <t>SPECIAL DEPUTY (ANIMAL CONTROL) - 2</t>
  </si>
  <si>
    <t>HAVERLY</t>
  </si>
  <si>
    <t>SPECIAL DEPUTY (LAKE PATROL)</t>
  </si>
  <si>
    <t>SPECIAL DEPUTY (ANIMAL CONTROL) - 3</t>
  </si>
  <si>
    <t>SPECIAL ASSIGNMENTS</t>
  </si>
  <si>
    <t>CHRISTINA(modzelewski)</t>
  </si>
  <si>
    <t>COMMUNICATIONS OFFICER - 1</t>
  </si>
  <si>
    <t>COMMUNICATIONS OFFICER - 2</t>
  </si>
  <si>
    <t>SPEAK</t>
  </si>
  <si>
    <t>COMMUNICATIONS OFFICER - 3</t>
  </si>
  <si>
    <t>COMMUNICATIONS OFFICER - 4</t>
  </si>
  <si>
    <t>COMMUNICATIONS OFFICER - 5</t>
  </si>
  <si>
    <t>COMMUNICATIONS OFFICER - 6</t>
  </si>
  <si>
    <t>COMMUNICATIONS OFFICER - 7</t>
  </si>
  <si>
    <t>COMMUNICATIONS OFFICER - 8</t>
  </si>
  <si>
    <t>COMMUNICATIONS OFFICER - 9</t>
  </si>
  <si>
    <t>COMMUNICATIONS OFFICER - 10</t>
  </si>
  <si>
    <t>COMMUNICATIONS OFFICER - 11</t>
  </si>
  <si>
    <t>TARA</t>
  </si>
  <si>
    <t>COMMUNICATIONS OFFICER - 12</t>
  </si>
  <si>
    <t>LIEUTENANT-2</t>
  </si>
  <si>
    <t>GARCIA</t>
  </si>
  <si>
    <t>CORPORAL - 1</t>
  </si>
  <si>
    <t>STRICKLAND</t>
  </si>
  <si>
    <t>CORPORAL - 2</t>
  </si>
  <si>
    <t>MEGAN</t>
  </si>
  <si>
    <t>CORPORAL - 3</t>
  </si>
  <si>
    <t>CORPORAL - 4</t>
  </si>
  <si>
    <t>CORPORAL - 5</t>
  </si>
  <si>
    <t>CORPORAL - 7</t>
  </si>
  <si>
    <t>CORPORAL - 8</t>
  </si>
  <si>
    <t>CORPORAL - 9</t>
  </si>
  <si>
    <t>New</t>
  </si>
  <si>
    <t>RECORDS OFFICER</t>
  </si>
  <si>
    <t>DETENTION OFFICER - 1</t>
  </si>
  <si>
    <t>DETENTION OFFICER - 2</t>
  </si>
  <si>
    <t>DETENTION OFFICER - 3</t>
  </si>
  <si>
    <t>DETENTION OFFICER - 4</t>
  </si>
  <si>
    <t>DETENTION OFFICER - 5</t>
  </si>
  <si>
    <t>DETENTION OFFICER - 6</t>
  </si>
  <si>
    <t>DETENTION OFFICER - 7</t>
  </si>
  <si>
    <t>DETENTION OFFICER - 9</t>
  </si>
  <si>
    <t>DETENTION OFFICER - 10</t>
  </si>
  <si>
    <t>DETENTION OFFICER - 11</t>
  </si>
  <si>
    <t>DETENTION OFFICER - 13</t>
  </si>
  <si>
    <t>DETENTION OFFICER - 14</t>
  </si>
  <si>
    <t>DETENTION OFFICER - 15</t>
  </si>
  <si>
    <t>DETENTION OFFICER - 16</t>
  </si>
  <si>
    <t>DETENTION OFFICER - 17</t>
  </si>
  <si>
    <t>CHARLOTTE(holder)</t>
  </si>
  <si>
    <t>DETENTION OFFICER - 18</t>
  </si>
  <si>
    <t>DETENTION OFFICER - 19</t>
  </si>
  <si>
    <t>DETENTION OFFICER - 20</t>
  </si>
  <si>
    <t>PATRICIA(DIANN)</t>
  </si>
  <si>
    <t>DETENTION OFFICER - 21</t>
  </si>
  <si>
    <t>DETENTION OFFICER - 22</t>
  </si>
  <si>
    <t>DETENTION OFFICER - 23</t>
  </si>
  <si>
    <t>DETENTION OFFICER - 24</t>
  </si>
  <si>
    <t>DETENTION OFFICER - 25</t>
  </si>
  <si>
    <t>DETENTION OFFICER - 26</t>
  </si>
  <si>
    <t xml:space="preserve">RICH </t>
  </si>
  <si>
    <t>DETENTION OFFICER - 27</t>
  </si>
  <si>
    <t>DETENTION OFFICER - 28</t>
  </si>
  <si>
    <t>DETENTION OFFICER - 29</t>
  </si>
  <si>
    <t>DETENTION OFFICER - 30</t>
  </si>
  <si>
    <t>WOODRUM</t>
  </si>
  <si>
    <t>SAVANNAH</t>
  </si>
  <si>
    <t>DETENTION OFFICER - 32</t>
  </si>
  <si>
    <t>DETENTION OFFICER - 33</t>
  </si>
  <si>
    <t>YAGER</t>
  </si>
  <si>
    <t>DETENTION OFFICER - 34</t>
  </si>
  <si>
    <t>DETENTION OFFICER - 36</t>
  </si>
  <si>
    <t>DETENTION OFFICER - 37</t>
  </si>
  <si>
    <t>JACOB</t>
  </si>
  <si>
    <t>DETENTION OFFICER - 38</t>
  </si>
  <si>
    <t>DETENTION OFFICER - 39</t>
  </si>
  <si>
    <t>DETENTION OFFICER - 40</t>
  </si>
  <si>
    <t>DETENTION OFFICER - 41</t>
  </si>
  <si>
    <t>DETENTION OFFICER - 43</t>
  </si>
  <si>
    <t>DETENTION OFFICER - 44</t>
  </si>
  <si>
    <t>DETENTION OFFICER - 45</t>
  </si>
  <si>
    <t>GAMMILL</t>
  </si>
  <si>
    <t>TREVOR</t>
  </si>
  <si>
    <t>DETENTION OFFICER - 46</t>
  </si>
  <si>
    <t>DETENTION OFFICER - 47</t>
  </si>
  <si>
    <t>DETENTION OFFICER - 48</t>
  </si>
  <si>
    <t>DETENTION OFFICER - 49</t>
  </si>
  <si>
    <t>DETENTION OFFICER - 50</t>
  </si>
  <si>
    <t>DETENTION OFFICER - 51</t>
  </si>
  <si>
    <t>RAINWATER</t>
  </si>
  <si>
    <t>HELEN</t>
  </si>
  <si>
    <t>DETENTION OFFICER - 52</t>
  </si>
  <si>
    <t>SHACKLEFORD</t>
  </si>
  <si>
    <t>DETENTION OFFICER - 53</t>
  </si>
  <si>
    <t>DETENTION OFFICER - 54</t>
  </si>
  <si>
    <t>DETENTION OFFICER - 55</t>
  </si>
  <si>
    <t>JORDON</t>
  </si>
  <si>
    <t>DETENTION OFFICER - 56</t>
  </si>
  <si>
    <t>DETENTION OFFICER - 59</t>
  </si>
  <si>
    <t>DETENTION OFFICER - 61</t>
  </si>
  <si>
    <t>DETENTION OFFICER - 62</t>
  </si>
  <si>
    <t>DETENTION OFFICER - 63</t>
  </si>
  <si>
    <t>RASHAAN</t>
  </si>
  <si>
    <t>DETENTION OFFICER - 65</t>
  </si>
  <si>
    <t>POSITION CUT</t>
  </si>
  <si>
    <t>FOR 2019</t>
  </si>
  <si>
    <t>DETENTION OFFICER - 66</t>
  </si>
  <si>
    <t>DETENTION OFFICER - 67</t>
  </si>
  <si>
    <t>DUNKLIN</t>
  </si>
  <si>
    <t>DETENTION OFFICER - 68</t>
  </si>
  <si>
    <t>ROY "ADAM"</t>
  </si>
  <si>
    <t>DETENTION OFFICER - 69</t>
  </si>
  <si>
    <t>DETENTION OFFICER - 70</t>
  </si>
  <si>
    <t>DETENTION OFFICER - 71</t>
  </si>
  <si>
    <t>PARROTT</t>
  </si>
  <si>
    <t>DETENTION OFFICER - 72</t>
  </si>
  <si>
    <t>DETENTION OFFICER - 74</t>
  </si>
  <si>
    <t>ROUSE</t>
  </si>
  <si>
    <t>JENNEY</t>
  </si>
  <si>
    <t>DETENTION OFFICER - 75</t>
  </si>
  <si>
    <t>DETENTION OFFICER - 76</t>
  </si>
  <si>
    <t>DETENTION OFFICER - 77</t>
  </si>
  <si>
    <t>DETENTION OFFICER - 78</t>
  </si>
  <si>
    <t xml:space="preserve">COOK </t>
  </si>
  <si>
    <t>CLAYTON</t>
  </si>
  <si>
    <t>DETENTION OFFICER - 79</t>
  </si>
  <si>
    <t>DETENTION OFFICER - 80</t>
  </si>
  <si>
    <t>DETENTION OFFICER - 81</t>
  </si>
  <si>
    <t>KREIR</t>
  </si>
  <si>
    <t>DETENTION OFFICER - 82</t>
  </si>
  <si>
    <t>TRANSPORT DEPUTY - 1</t>
  </si>
  <si>
    <t>TRANSPORT DEPUTY - 2</t>
  </si>
  <si>
    <t>TRANSPORT DEPUTY - 3</t>
  </si>
  <si>
    <t>TRANSPORT DEPUTY - 4</t>
  </si>
  <si>
    <t>TRANSPORT DEPUTY - 5</t>
  </si>
  <si>
    <t>TRANSPORT DEPUTY - 6</t>
  </si>
  <si>
    <t>TRANSPORT DEPUTY - 7</t>
  </si>
  <si>
    <t>SRO DEPUTY - MURCHISON</t>
  </si>
  <si>
    <t>POSITION ELIMINATED FOR 2020</t>
  </si>
  <si>
    <t>SRO DEPUTY - CROSSROADS</t>
  </si>
  <si>
    <t>SRO DEPUTY - LaPOYNOR</t>
  </si>
  <si>
    <t>PROBATION OFFICER - 1</t>
  </si>
  <si>
    <t>PROBATION OFFICER - 2</t>
  </si>
  <si>
    <t>PROBATION OFFICER - 3</t>
  </si>
  <si>
    <t>COMMUNITY CORRECTIONS OFFICER</t>
  </si>
  <si>
    <t>PROGRESSIVE SANCTIONS OFFICER</t>
  </si>
  <si>
    <t>CLERICAL (PROBATION)</t>
  </si>
  <si>
    <t>MEDINA</t>
  </si>
  <si>
    <t>*Position amendment approved in CCt on 6/4/19 $3,401.81</t>
  </si>
  <si>
    <t xml:space="preserve">INVESTIGATOR/ECU </t>
  </si>
  <si>
    <t>ENVIRONMENTAL CRIMES OFFICER</t>
  </si>
  <si>
    <t>ENVIRONMENTAL CRIMES OFFICE -2</t>
  </si>
  <si>
    <t>ENVIRONMENTAL CRIMES OFFICE -3</t>
  </si>
  <si>
    <t>MARRINAN</t>
  </si>
  <si>
    <t>SEAN</t>
  </si>
  <si>
    <t>HANSEN</t>
  </si>
  <si>
    <t>ALLY</t>
  </si>
  <si>
    <t>DPS CLERICAL</t>
  </si>
  <si>
    <t>DPS CLERICAL - 2</t>
  </si>
  <si>
    <t xml:space="preserve"> POSITION</t>
  </si>
  <si>
    <t>PART TIME Increase to $10 for 2020</t>
  </si>
  <si>
    <t>DONATHAN</t>
  </si>
  <si>
    <t>MARGARET</t>
  </si>
  <si>
    <t>BELL</t>
  </si>
  <si>
    <t>CLERICAL - 1</t>
  </si>
  <si>
    <t>CLERICAL - 2</t>
  </si>
  <si>
    <t>*State Employees do not receive County Raises.</t>
  </si>
  <si>
    <t>ROAD &amp; BRIDGE FOREMAN</t>
  </si>
  <si>
    <t>PRECINCT OFFICE MANAGER</t>
  </si>
  <si>
    <t>OPERATOR - 1</t>
  </si>
  <si>
    <t>OPERATOR - 2</t>
  </si>
  <si>
    <t>OPERATOR - 3</t>
  </si>
  <si>
    <t>OPERATOR - 4</t>
  </si>
  <si>
    <t>OPERATOR - 6</t>
  </si>
  <si>
    <t>OPERATOR - 8</t>
  </si>
  <si>
    <t>JEREMY</t>
  </si>
  <si>
    <t>OPERATOR - 7</t>
  </si>
  <si>
    <t>MAINTENANCE FOREMAN</t>
  </si>
  <si>
    <t>CADDELL</t>
  </si>
  <si>
    <t>OPERATOR - 5</t>
  </si>
  <si>
    <t>ALLSIP</t>
  </si>
  <si>
    <t>WALLACE</t>
  </si>
  <si>
    <t>GEESLIN</t>
  </si>
  <si>
    <t>KEN</t>
  </si>
  <si>
    <t>OPERATOR - 2 / CREW CHIEF</t>
  </si>
  <si>
    <t>OPERATOR - 8 / CREW CHIEF</t>
  </si>
  <si>
    <t>ELIZABETH (PCT 1)</t>
  </si>
  <si>
    <t>FIRST ASST CO ATTY -SUPP PAY</t>
  </si>
  <si>
    <t>ASST CO ATTY 3 - SUPP PAY</t>
  </si>
  <si>
    <t>PRJT MGR - SUPP PAY</t>
  </si>
  <si>
    <t>CCL1 COOR - SUPP PAY</t>
  </si>
  <si>
    <t>BRITNEY</t>
  </si>
  <si>
    <t>CCL2 COOR - SUPP PAY</t>
  </si>
  <si>
    <t>KENNEL ATTENDANT - 1</t>
  </si>
  <si>
    <t>WAGNER</t>
  </si>
  <si>
    <t>CLARA</t>
  </si>
  <si>
    <t>KENNEL ATTENDANT - 2</t>
  </si>
  <si>
    <t>KENNEL ATTENDANT - 3</t>
  </si>
  <si>
    <t>KENNEL ATTENDANT - 4</t>
  </si>
  <si>
    <t>FAIRGROUND ASSISTANT MANAGER</t>
  </si>
  <si>
    <t>FAIRGROUND 2ND ASST MANAGER</t>
  </si>
  <si>
    <t>TX Parks and Wildlife:  Would like the County to purchase a "FLIR Thermosight Pro"  (Night Scope) $3,795+shipping.</t>
  </si>
  <si>
    <t>Regional Prosecutor out of Lubbock, TX for Capital Murders; DA Capital Cases is Dept 486</t>
  </si>
  <si>
    <t>DA:</t>
  </si>
  <si>
    <t>Change Mark Hall's county salary to $9,000; reduce state supplement to $0 effective 9/1/2019.</t>
  </si>
  <si>
    <t>M Hall requested increase in the salaries of Balde and Josh Rickman.  Spoke to M Hall after proposed was filed and he requested $89,993 and 51,742. for salaries.</t>
  </si>
  <si>
    <t>Judge McKee - 392nd - Request salary increase for court coordinators to $45,000</t>
  </si>
  <si>
    <t>HR - Haile requested funds for a Xerox Copier (suggestion was made for treasurer's copier to go to HR),  More funds in conference and education,  business and travel, more office supplies &amp; postage, needs a scanner</t>
  </si>
  <si>
    <t>JP1 - Judge Daniels requested conference and education increase to $2,700</t>
  </si>
  <si>
    <t>JP5 - Brownlow requested 1750.00 in conf and ed.  Request PT to scan files (discussion if Rcds Mgmt Funds could be used for scanning)</t>
  </si>
  <si>
    <t xml:space="preserve">FM - Shane requested $100 more in tires.  $2,000 less in professional services.  </t>
  </si>
  <si>
    <t>Animal Shelter:  Needs new/additional 5x10 or 8x10 dog pens.  Need additional part-time employees.</t>
  </si>
  <si>
    <t>Note:  Mention to an expense line for animal responsibility education to be added.</t>
  </si>
  <si>
    <t>Ann Marie mentioned adding another full-time person to help with the overtime and over work of the employees.</t>
  </si>
  <si>
    <t>Physicals and Drug Test for new employees:  The sheriff says we can get the pre-employment exams done at the jail for $15 vs $150 HR has found at the hospital/clinic.</t>
  </si>
  <si>
    <t>Potential employees will have to go to jail Mon-Wed to leave urine sample and then return on Friday for physical.</t>
  </si>
  <si>
    <t>Library - Michele requested increase in PT employees hourly pay from $9.50 to $10.00 (.50 increase x 5,096 hrs = $2,548)</t>
  </si>
  <si>
    <t xml:space="preserve">                 Add $200 increase in ostage for Thank You notes for postage.  Add $500 to Conference and Ed for Michele and Renata.</t>
  </si>
  <si>
    <t xml:space="preserve">                The overall library budget will not be increase but $119 because $4,129 longevity will not be needed for Erin and Rachel in 2020.</t>
  </si>
  <si>
    <t>Fairgrounds - Jim Bob and Bob Miers request county to transfer/contribute $75,000 instead of the $25,000 in the past.  Capital budget $230,000</t>
  </si>
  <si>
    <t>CO Ext. - Spencer requested Angela and Ariel salaries to be the same</t>
  </si>
  <si>
    <t>Election - Denise requested a scanner at $50,000 for recalls.  Need raises for employees because of turnover.</t>
  </si>
  <si>
    <t>NON-PROFITS:</t>
  </si>
  <si>
    <t xml:space="preserve">Humane Society of Cedar Creek - Partnered with ASPCA to transfer 720 animals on average.  Remodel tech room, Dr Syler does on-site spay and neuters. </t>
  </si>
  <si>
    <t xml:space="preserve">    Remodel to hold 27-32 dogs to go out to other programs.  </t>
  </si>
  <si>
    <t xml:space="preserve">    Animal intake for 2019 Jan-May Most from Kaufman and GunBarrel.  335 from Henderson County.   </t>
  </si>
  <si>
    <t xml:space="preserve">    Receives 50% from Kaufman Co.  </t>
  </si>
  <si>
    <t xml:space="preserve">    Capacity to take on Henderson County once Kaufman Co builds their shelter.  </t>
  </si>
  <si>
    <t xml:space="preserve">    Expenses are driven by a director salary.  Also have volunteers.  10 on staff.  $48,000 in labor.  Medical Costs $42,000.  </t>
  </si>
  <si>
    <t xml:space="preserve">    Asking Henderson County to cover the 8% of expenses for the number of animals taken in.  $31,125.00 </t>
  </si>
  <si>
    <t>CASA thanked court for support.  Court discussed adding .50 per vehicle registration to go to CASA program.</t>
  </si>
  <si>
    <t>Lila Lane supports men who need help after prison or drugs to get back job and family.  Would like support, no amount requested.</t>
  </si>
  <si>
    <t>East Tx Council On Alcoholism and Drug Abuse -  No dollar amount requested.  Kevin will ask for a Dollar funding per request of Judge.  Ken asked if there will be any plans for an office in Athens.  Kevin said they are asking for $1,000.  Other Counties support at $2,000.   Kevin said as of Aug 2018 the program is abolished in Henderson County.  Botie said he would like to look at it next year to see if it is reinstated in Henderson COunty.</t>
  </si>
  <si>
    <t>Kings Rein - See email from Wade.  Equine ranch for mental needs in County.  No dollar amount requested.</t>
  </si>
  <si>
    <t>ITEMS TO DISCUSS DURING BUDGET WORKSHOPS:</t>
  </si>
  <si>
    <t>*TX Parks and Wildlife:  Would like the County to purchase a "FLIR Thermosight Pro"  (Night Scope) $3,795+shipping.</t>
  </si>
  <si>
    <t>*Regional Prosecutor out of Lubbock, TX for Capital Murders; DA Capital Cases is Dept 486</t>
  </si>
  <si>
    <t>*Discuss cell phones</t>
  </si>
  <si>
    <t>Veterans Services office:  Make Veteran Dept Part-time position.   3 Days a week/about 24 hours a week.</t>
  </si>
  <si>
    <t xml:space="preserve">Indigent Health:  Will stay in County Judges office.  </t>
  </si>
  <si>
    <t>Public Relations Employee:  Discussion to add a public relations employee to the Co Judge's office to post county Info to FB or media.  Other option is to hire someone outside of the county to do this for us like Michael Hannigan at $24,000 a year.  Josh recommended YouTube videos linked to H.C. Website.</t>
  </si>
  <si>
    <t>PERSONNEL BUDGET</t>
  </si>
  <si>
    <t>Henderson County Fiscal Year 2022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</si>
</sst>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mm/dd/yyyy"/>
    <numFmt numFmtId="167" formatCode="m/d/yy"/>
    <numFmt numFmtId="168" formatCode="0.0"/>
    <numFmt numFmtId="169" formatCode="&quot;$&quot;#,##0.00"/>
  </numFmts>
  <fonts count="38" x14ac:knownFonts="1">
    <font>
      <sz val="11"/>
      <color rgb="FF000000"/>
      <name val="Calibri"/>
    </font>
    <font>
      <sz val="11"/>
      <color rgb="FF000000"/>
      <name val="Arial"/>
      <family val="2"/>
    </font>
    <font>
      <b/>
      <sz val="11"/>
      <color theme="1"/>
      <name val="Calibri"/>
      <family val="2"/>
    </font>
    <font>
      <b/>
      <sz val="11"/>
      <color rgb="FF000000"/>
      <name val="Arial"/>
      <family val="2"/>
    </font>
    <font>
      <sz val="11"/>
      <color theme="1"/>
      <name val="Calibri"/>
      <family val="2"/>
    </font>
    <font>
      <b/>
      <sz val="12"/>
      <color rgb="FF000000"/>
      <name val="Arial"/>
      <family val="2"/>
    </font>
    <font>
      <b/>
      <sz val="11"/>
      <color theme="1"/>
      <name val="Calibri"/>
      <family val="2"/>
    </font>
    <font>
      <sz val="12"/>
      <color rgb="FF000000"/>
      <name val="Arial"/>
      <family val="2"/>
    </font>
    <font>
      <b/>
      <sz val="14"/>
      <color rgb="FF000000"/>
      <name val="Arial"/>
      <family val="2"/>
    </font>
    <font>
      <b/>
      <sz val="10"/>
      <color rgb="FF000000"/>
      <name val="Arial"/>
      <family val="2"/>
    </font>
    <font>
      <sz val="11"/>
      <color theme="1"/>
      <name val="Calibri"/>
      <family val="2"/>
    </font>
    <font>
      <b/>
      <sz val="11"/>
      <color rgb="FF000000"/>
      <name val="Calibri"/>
      <family val="2"/>
    </font>
    <font>
      <sz val="11"/>
      <color theme="1"/>
      <name val="Arial"/>
      <family val="2"/>
    </font>
    <font>
      <b/>
      <sz val="12"/>
      <color rgb="FF980000"/>
      <name val="Calibri"/>
      <family val="2"/>
    </font>
    <font>
      <b/>
      <sz val="24"/>
      <color rgb="FFE69138"/>
      <name val="Calibri"/>
      <family val="2"/>
    </font>
    <font>
      <b/>
      <sz val="12"/>
      <color rgb="FF0000FF"/>
      <name val="Calibri"/>
      <family val="2"/>
    </font>
    <font>
      <b/>
      <sz val="11"/>
      <color rgb="FF0000FF"/>
      <name val="Calibri"/>
      <family val="2"/>
    </font>
    <font>
      <sz val="11"/>
      <color rgb="FFFF0000"/>
      <name val="Calibri"/>
      <family val="2"/>
    </font>
    <font>
      <b/>
      <sz val="11"/>
      <color rgb="FFFF0000"/>
      <name val="Calibri"/>
      <family val="2"/>
    </font>
    <font>
      <sz val="10"/>
      <color rgb="FF000000"/>
      <name val="Calibri"/>
      <family val="2"/>
    </font>
    <font>
      <sz val="9"/>
      <color theme="1"/>
      <name val="Arial"/>
      <family val="2"/>
    </font>
    <font>
      <sz val="11"/>
      <color rgb="FF000000"/>
      <name val="Arial"/>
      <family val="2"/>
    </font>
    <font>
      <b/>
      <sz val="20"/>
      <color rgb="FF000000"/>
      <name val="Calibri"/>
      <family val="2"/>
    </font>
    <font>
      <sz val="11"/>
      <name val="Calibri"/>
      <family val="2"/>
    </font>
    <font>
      <sz val="11"/>
      <color rgb="FFFF0000"/>
      <name val="Calibri"/>
      <family val="2"/>
    </font>
    <font>
      <b/>
      <sz val="12"/>
      <color theme="1"/>
      <name val="Arial"/>
      <family val="2"/>
    </font>
    <font>
      <sz val="11"/>
      <color theme="1"/>
      <name val="Arial"/>
      <family val="2"/>
    </font>
    <font>
      <b/>
      <sz val="11"/>
      <color theme="1"/>
      <name val="Arial"/>
      <family val="2"/>
    </font>
    <font>
      <b/>
      <sz val="11"/>
      <color rgb="FF000000"/>
      <name val="Arial"/>
      <family val="2"/>
    </font>
    <font>
      <sz val="11"/>
      <color rgb="FF000000"/>
      <name val="Calibri"/>
      <family val="2"/>
    </font>
    <font>
      <b/>
      <sz val="11"/>
      <color rgb="FF00FF00"/>
      <name val="Calibri"/>
      <family val="2"/>
    </font>
    <font>
      <b/>
      <sz val="11"/>
      <color rgb="FFFF0000"/>
      <name val="Calibri"/>
      <family val="2"/>
    </font>
    <font>
      <sz val="11"/>
      <color rgb="FFFF0000"/>
      <name val="Arial"/>
      <family val="2"/>
    </font>
    <font>
      <b/>
      <sz val="24"/>
      <color rgb="FF00FF00"/>
      <name val="Calibri"/>
      <family val="2"/>
    </font>
    <font>
      <sz val="11"/>
      <color rgb="FF0000FF"/>
      <name val="Calibri"/>
      <family val="2"/>
    </font>
    <font>
      <sz val="11"/>
      <color rgb="FF434343"/>
      <name val="Calibri"/>
      <family val="2"/>
    </font>
    <font>
      <b/>
      <sz val="14"/>
      <color rgb="FF000000"/>
      <name val="Calibri"/>
      <family val="2"/>
    </font>
    <font>
      <b/>
      <sz val="16"/>
      <color rgb="FF000000"/>
      <name val="Times New Roman"/>
      <family val="1"/>
    </font>
  </fonts>
  <fills count="44">
    <fill>
      <patternFill patternType="none"/>
    </fill>
    <fill>
      <patternFill patternType="gray125"/>
    </fill>
    <fill>
      <patternFill patternType="solid">
        <fgColor rgb="FFCFE2F3"/>
        <bgColor rgb="FFCFE2F3"/>
      </patternFill>
    </fill>
    <fill>
      <patternFill patternType="solid">
        <fgColor rgb="FFFFFF00"/>
        <bgColor rgb="FFFFFF00"/>
      </patternFill>
    </fill>
    <fill>
      <patternFill patternType="solid">
        <fgColor rgb="FF99FF99"/>
        <bgColor rgb="FF99FF99"/>
      </patternFill>
    </fill>
    <fill>
      <patternFill patternType="solid">
        <fgColor rgb="FFFF9900"/>
        <bgColor rgb="FFFF9900"/>
      </patternFill>
    </fill>
    <fill>
      <patternFill patternType="solid">
        <fgColor rgb="FFF6B26B"/>
        <bgColor rgb="FFF6B26B"/>
      </patternFill>
    </fill>
    <fill>
      <patternFill patternType="solid">
        <fgColor rgb="FFF9CB9C"/>
        <bgColor rgb="FFF9CB9C"/>
      </patternFill>
    </fill>
    <fill>
      <patternFill patternType="solid">
        <fgColor rgb="FFB6D7A8"/>
        <bgColor rgb="FFB6D7A8"/>
      </patternFill>
    </fill>
    <fill>
      <patternFill patternType="solid">
        <fgColor rgb="FFD9EAD3"/>
        <bgColor rgb="FFD9EAD3"/>
      </patternFill>
    </fill>
    <fill>
      <patternFill patternType="solid">
        <fgColor rgb="FFFFF2CC"/>
        <bgColor rgb="FFFFF2CC"/>
      </patternFill>
    </fill>
    <fill>
      <patternFill patternType="solid">
        <fgColor rgb="FFE4DFEC"/>
        <bgColor rgb="FFE4DFEC"/>
      </patternFill>
    </fill>
    <fill>
      <patternFill patternType="solid">
        <fgColor rgb="FFEAD1DC"/>
        <bgColor rgb="FFEAD1DC"/>
      </patternFill>
    </fill>
    <fill>
      <patternFill patternType="solid">
        <fgColor rgb="FFFFFFFF"/>
        <bgColor rgb="FFFFFFFF"/>
      </patternFill>
    </fill>
    <fill>
      <patternFill patternType="solid">
        <fgColor rgb="FF00FFFF"/>
        <bgColor rgb="FF00FFFF"/>
      </patternFill>
    </fill>
    <fill>
      <patternFill patternType="solid">
        <fgColor rgb="FFD0E0E3"/>
        <bgColor rgb="FFD0E0E3"/>
      </patternFill>
    </fill>
    <fill>
      <patternFill patternType="solid">
        <fgColor rgb="FF00FF00"/>
        <bgColor rgb="FF00FF00"/>
      </patternFill>
    </fill>
    <fill>
      <patternFill patternType="solid">
        <fgColor rgb="FF4A86E8"/>
        <bgColor rgb="FF4A86E8"/>
      </patternFill>
    </fill>
    <fill>
      <patternFill patternType="solid">
        <fgColor rgb="FF27FFFF"/>
        <bgColor rgb="FF27FFFF"/>
      </patternFill>
    </fill>
    <fill>
      <patternFill patternType="solid">
        <fgColor rgb="FF808080"/>
        <bgColor rgb="FF808080"/>
      </patternFill>
    </fill>
    <fill>
      <patternFill patternType="solid">
        <fgColor rgb="FFC4D79B"/>
        <bgColor rgb="FFC4D79B"/>
      </patternFill>
    </fill>
    <fill>
      <patternFill patternType="solid">
        <fgColor rgb="FFD9D2E9"/>
        <bgColor rgb="FFD9D2E9"/>
      </patternFill>
    </fill>
    <fill>
      <patternFill patternType="solid">
        <fgColor rgb="FF00B0F0"/>
        <bgColor rgb="FF00B0F0"/>
      </patternFill>
    </fill>
    <fill>
      <patternFill patternType="solid">
        <fgColor rgb="FFB1A0C7"/>
        <bgColor rgb="FFB1A0C7"/>
      </patternFill>
    </fill>
    <fill>
      <patternFill patternType="solid">
        <fgColor rgb="FFC5D9F1"/>
        <bgColor rgb="FFC5D9F1"/>
      </patternFill>
    </fill>
    <fill>
      <patternFill patternType="solid">
        <fgColor rgb="FFFF0000"/>
        <bgColor rgb="FFFF0000"/>
      </patternFill>
    </fill>
    <fill>
      <patternFill patternType="solid">
        <fgColor rgb="FFFFC000"/>
        <bgColor rgb="FFFFC000"/>
      </patternFill>
    </fill>
    <fill>
      <patternFill patternType="solid">
        <fgColor rgb="FFF4CCCC"/>
        <bgColor rgb="FFF4CCCC"/>
      </patternFill>
    </fill>
    <fill>
      <patternFill patternType="solid">
        <fgColor rgb="FFEFEFEF"/>
        <bgColor rgb="FFEFEFEF"/>
      </patternFill>
    </fill>
    <fill>
      <patternFill patternType="solid">
        <fgColor rgb="FFFFFF99"/>
        <bgColor rgb="FFFFFF99"/>
      </patternFill>
    </fill>
    <fill>
      <patternFill patternType="solid">
        <fgColor rgb="FF8E7CC3"/>
        <bgColor rgb="FF8E7CC3"/>
      </patternFill>
    </fill>
    <fill>
      <patternFill patternType="solid">
        <fgColor theme="0"/>
        <bgColor theme="0"/>
      </patternFill>
    </fill>
    <fill>
      <patternFill patternType="solid">
        <fgColor rgb="FFD9D9D9"/>
        <bgColor rgb="FFD9D9D9"/>
      </patternFill>
    </fill>
    <fill>
      <patternFill patternType="solid">
        <fgColor rgb="FF134F5C"/>
        <bgColor rgb="FF134F5C"/>
      </patternFill>
    </fill>
    <fill>
      <patternFill patternType="solid">
        <fgColor rgb="FF0C343D"/>
        <bgColor rgb="FF0C343D"/>
      </patternFill>
    </fill>
    <fill>
      <patternFill patternType="solid">
        <fgColor rgb="FF99B3FF"/>
        <bgColor rgb="FF99B3FF"/>
      </patternFill>
    </fill>
    <fill>
      <patternFill patternType="solid">
        <fgColor rgb="FFABE491"/>
        <bgColor rgb="FFABE491"/>
      </patternFill>
    </fill>
    <fill>
      <patternFill patternType="solid">
        <fgColor rgb="FF93C47D"/>
        <bgColor rgb="FF93C47D"/>
      </patternFill>
    </fill>
    <fill>
      <patternFill patternType="solid">
        <fgColor rgb="FFFFFFCC"/>
        <bgColor rgb="FFFFFFCC"/>
      </patternFill>
    </fill>
    <fill>
      <patternFill patternType="solid">
        <fgColor rgb="FF434343"/>
        <bgColor rgb="FF434343"/>
      </patternFill>
    </fill>
    <fill>
      <patternFill patternType="solid">
        <fgColor rgb="FFFFFFFF"/>
        <bgColor indexed="64"/>
      </patternFill>
    </fill>
    <fill>
      <patternFill patternType="solid">
        <fgColor rgb="FFFFFFFF"/>
        <bgColor rgb="FF00FFFF"/>
      </patternFill>
    </fill>
    <fill>
      <patternFill patternType="solid">
        <fgColor theme="6" tint="0.39997558519241921"/>
        <bgColor indexed="64"/>
      </patternFill>
    </fill>
    <fill>
      <patternFill patternType="solid">
        <fgColor theme="2" tint="-0.14999847407452621"/>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ck">
        <color rgb="FF000000"/>
      </right>
      <top/>
      <bottom/>
      <diagonal/>
    </border>
    <border>
      <left/>
      <right/>
      <top/>
      <bottom/>
      <diagonal/>
    </border>
    <border>
      <left/>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bottom style="medium">
        <color rgb="FF000000"/>
      </bottom>
      <diagonal/>
    </border>
    <border>
      <left/>
      <right/>
      <top/>
      <bottom style="medium">
        <color rgb="FF000000"/>
      </bottom>
      <diagonal/>
    </border>
    <border>
      <left/>
      <right/>
      <top style="thin">
        <color indexed="64"/>
      </top>
      <bottom/>
      <diagonal/>
    </border>
  </borders>
  <cellStyleXfs count="1">
    <xf numFmtId="0" fontId="0" fillId="0" borderId="0"/>
  </cellStyleXfs>
  <cellXfs count="518">
    <xf numFmtId="0" fontId="0" fillId="0" borderId="0" xfId="0" applyFont="1" applyAlignment="1"/>
    <xf numFmtId="0" fontId="1" fillId="0" borderId="0" xfId="0" applyFont="1"/>
    <xf numFmtId="0" fontId="3" fillId="0" borderId="0" xfId="0" applyFont="1" applyAlignment="1">
      <alignment horizontal="center"/>
    </xf>
    <xf numFmtId="0" fontId="3" fillId="2" borderId="0" xfId="0" applyFont="1" applyFill="1" applyAlignment="1">
      <alignment horizontal="center"/>
    </xf>
    <xf numFmtId="0" fontId="3" fillId="7"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10" borderId="0" xfId="0" applyFont="1" applyFill="1" applyAlignment="1">
      <alignment horizontal="center"/>
    </xf>
    <xf numFmtId="0" fontId="4" fillId="10" borderId="0" xfId="0" applyFont="1" applyFill="1"/>
    <xf numFmtId="0" fontId="2" fillId="0" borderId="0" xfId="0" applyFont="1"/>
    <xf numFmtId="0" fontId="3" fillId="7" borderId="0" xfId="0" applyFont="1" applyFill="1" applyAlignment="1">
      <alignment horizontal="center"/>
    </xf>
    <xf numFmtId="0" fontId="1" fillId="0" borderId="0" xfId="0" applyFont="1" applyAlignment="1"/>
    <xf numFmtId="0" fontId="3" fillId="0" borderId="0" xfId="0" applyFont="1" applyAlignment="1"/>
    <xf numFmtId="2" fontId="3" fillId="2" borderId="0" xfId="0" applyNumberFormat="1" applyFont="1" applyFill="1" applyAlignment="1">
      <alignment horizontal="center"/>
    </xf>
    <xf numFmtId="0" fontId="5" fillId="0" borderId="0" xfId="0" applyFont="1"/>
    <xf numFmtId="4" fontId="1" fillId="0" borderId="0" xfId="0" applyNumberFormat="1" applyFont="1" applyAlignment="1">
      <alignment horizontal="right"/>
    </xf>
    <xf numFmtId="4" fontId="1" fillId="8" borderId="0" xfId="0" applyNumberFormat="1" applyFont="1" applyFill="1" applyAlignment="1">
      <alignment horizontal="right"/>
    </xf>
    <xf numFmtId="9" fontId="1" fillId="2" borderId="0" xfId="0" applyNumberFormat="1" applyFont="1" applyFill="1" applyAlignment="1">
      <alignment horizontal="right"/>
    </xf>
    <xf numFmtId="4" fontId="1" fillId="10" borderId="0" xfId="0" applyNumberFormat="1" applyFont="1" applyFill="1" applyAlignment="1">
      <alignment horizontal="right"/>
    </xf>
    <xf numFmtId="4" fontId="1" fillId="0" borderId="0" xfId="0" applyNumberFormat="1" applyFont="1"/>
    <xf numFmtId="4" fontId="1" fillId="7" borderId="0" xfId="0" applyNumberFormat="1" applyFont="1" applyFill="1" applyAlignment="1">
      <alignment horizontal="right"/>
    </xf>
    <xf numFmtId="4" fontId="1" fillId="2" borderId="0" xfId="0" applyNumberFormat="1" applyFont="1" applyFill="1" applyAlignment="1">
      <alignment horizontal="right"/>
    </xf>
    <xf numFmtId="0" fontId="1" fillId="0" borderId="0" xfId="0" applyFont="1" applyAlignment="1"/>
    <xf numFmtId="4" fontId="1" fillId="7" borderId="0" xfId="0" applyNumberFormat="1" applyFont="1" applyFill="1"/>
    <xf numFmtId="4" fontId="1" fillId="8" borderId="0" xfId="0" applyNumberFormat="1" applyFont="1" applyFill="1"/>
    <xf numFmtId="4" fontId="1" fillId="2" borderId="0" xfId="0" applyNumberFormat="1" applyFont="1" applyFill="1"/>
    <xf numFmtId="4" fontId="1" fillId="10" borderId="0" xfId="0" applyNumberFormat="1" applyFont="1" applyFill="1"/>
    <xf numFmtId="0" fontId="1" fillId="13" borderId="0" xfId="0" applyFont="1" applyFill="1" applyAlignment="1"/>
    <xf numFmtId="0" fontId="1" fillId="13" borderId="0" xfId="0" applyFont="1" applyFill="1"/>
    <xf numFmtId="4" fontId="1" fillId="9" borderId="0" xfId="0" applyNumberFormat="1" applyFont="1" applyFill="1"/>
    <xf numFmtId="0" fontId="3" fillId="13" borderId="0" xfId="0" applyFont="1" applyFill="1"/>
    <xf numFmtId="0" fontId="4" fillId="0" borderId="0" xfId="0" applyFont="1"/>
    <xf numFmtId="0" fontId="4" fillId="2" borderId="0" xfId="0" applyFont="1" applyFill="1"/>
    <xf numFmtId="0" fontId="4" fillId="3" borderId="0" xfId="0" applyFont="1" applyFill="1"/>
    <xf numFmtId="4" fontId="4" fillId="8" borderId="0" xfId="0" applyNumberFormat="1" applyFont="1" applyFill="1"/>
    <xf numFmtId="0" fontId="1" fillId="0" borderId="4" xfId="0"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1" xfId="0" applyFont="1" applyBorder="1" applyAlignment="1">
      <alignment vertical="center" wrapText="1"/>
    </xf>
    <xf numFmtId="0" fontId="3" fillId="0" borderId="0" xfId="0" applyFont="1"/>
    <xf numFmtId="4" fontId="1" fillId="0" borderId="6" xfId="0" applyNumberFormat="1" applyFont="1" applyBorder="1" applyAlignment="1">
      <alignment horizontal="right"/>
    </xf>
    <xf numFmtId="4" fontId="1" fillId="2" borderId="6" xfId="0" applyNumberFormat="1" applyFont="1" applyFill="1" applyBorder="1" applyAlignment="1">
      <alignment horizontal="right"/>
    </xf>
    <xf numFmtId="4" fontId="1" fillId="8" borderId="6" xfId="0" applyNumberFormat="1" applyFont="1" applyFill="1" applyBorder="1" applyAlignment="1">
      <alignment horizontal="right"/>
    </xf>
    <xf numFmtId="4" fontId="1" fillId="10" borderId="6" xfId="0" applyNumberFormat="1" applyFont="1" applyFill="1" applyBorder="1" applyAlignment="1">
      <alignment horizontal="right"/>
    </xf>
    <xf numFmtId="4" fontId="1" fillId="7" borderId="6" xfId="0" applyNumberFormat="1" applyFont="1" applyFill="1" applyBorder="1" applyAlignment="1">
      <alignment horizontal="right"/>
    </xf>
    <xf numFmtId="0" fontId="6" fillId="0" borderId="0" xfId="0" applyFont="1" applyAlignment="1"/>
    <xf numFmtId="0" fontId="5" fillId="0" borderId="0" xfId="0" applyFont="1" applyAlignment="1"/>
    <xf numFmtId="0" fontId="7" fillId="0" borderId="0" xfId="0" applyFont="1" applyAlignment="1"/>
    <xf numFmtId="0" fontId="3" fillId="0" borderId="0" xfId="0" applyFont="1" applyAlignment="1"/>
    <xf numFmtId="0" fontId="5" fillId="13" borderId="0" xfId="0" applyFont="1" applyFill="1"/>
    <xf numFmtId="0" fontId="8" fillId="0" borderId="0" xfId="0" applyFont="1"/>
    <xf numFmtId="4" fontId="1" fillId="13" borderId="6" xfId="0" applyNumberFormat="1" applyFont="1" applyFill="1" applyBorder="1" applyAlignment="1">
      <alignment horizontal="right"/>
    </xf>
    <xf numFmtId="0" fontId="8" fillId="0" borderId="0" xfId="0" applyFont="1" applyAlignment="1"/>
    <xf numFmtId="0" fontId="3" fillId="13" borderId="0" xfId="0" applyFont="1" applyFill="1" applyAlignment="1"/>
    <xf numFmtId="0" fontId="9" fillId="0" borderId="0" xfId="0" applyFont="1" applyAlignment="1"/>
    <xf numFmtId="0" fontId="10" fillId="0" borderId="0" xfId="0" applyFont="1" applyAlignment="1"/>
    <xf numFmtId="164" fontId="10" fillId="13" borderId="0" xfId="0" applyNumberFormat="1" applyFont="1" applyFill="1" applyAlignment="1"/>
    <xf numFmtId="164" fontId="0" fillId="13" borderId="0" xfId="0" applyNumberFormat="1" applyFont="1" applyFill="1" applyAlignment="1">
      <alignment horizontal="right"/>
    </xf>
    <xf numFmtId="14" fontId="0" fillId="0" borderId="0" xfId="0" applyNumberFormat="1" applyFont="1" applyAlignment="1">
      <alignment horizontal="right"/>
    </xf>
    <xf numFmtId="2" fontId="0" fillId="0" borderId="0" xfId="0" applyNumberFormat="1" applyFont="1" applyAlignment="1">
      <alignment horizontal="right"/>
    </xf>
    <xf numFmtId="164" fontId="10" fillId="13" borderId="0" xfId="0" applyNumberFormat="1" applyFont="1" applyFill="1" applyAlignment="1"/>
    <xf numFmtId="4" fontId="0" fillId="0" borderId="0" xfId="0" applyNumberFormat="1" applyFont="1" applyAlignment="1">
      <alignment horizontal="right"/>
    </xf>
    <xf numFmtId="4" fontId="10" fillId="0" borderId="0" xfId="0" applyNumberFormat="1" applyFont="1" applyAlignment="1"/>
    <xf numFmtId="164" fontId="0" fillId="0" borderId="0" xfId="0" applyNumberFormat="1" applyFont="1" applyAlignment="1">
      <alignment horizontal="right"/>
    </xf>
    <xf numFmtId="164" fontId="10" fillId="0" borderId="0" xfId="0" applyNumberFormat="1" applyFont="1" applyAlignment="1"/>
    <xf numFmtId="164" fontId="10" fillId="0" borderId="0" xfId="0" applyNumberFormat="1" applyFont="1" applyAlignment="1"/>
    <xf numFmtId="164" fontId="0" fillId="13" borderId="0" xfId="0" applyNumberFormat="1" applyFont="1" applyFill="1" applyAlignment="1">
      <alignment horizontal="right"/>
    </xf>
    <xf numFmtId="164" fontId="10" fillId="0" borderId="0" xfId="0" applyNumberFormat="1" applyFont="1" applyAlignment="1">
      <alignment horizontal="right"/>
    </xf>
    <xf numFmtId="164" fontId="0" fillId="20" borderId="0" xfId="0" applyNumberFormat="1" applyFont="1" applyFill="1" applyAlignment="1">
      <alignment horizontal="right"/>
    </xf>
    <xf numFmtId="164" fontId="10" fillId="0" borderId="0" xfId="0" applyNumberFormat="1" applyFont="1" applyAlignment="1">
      <alignment horizontal="right"/>
    </xf>
    <xf numFmtId="0" fontId="0" fillId="13" borderId="0" xfId="0" applyFont="1" applyFill="1" applyAlignment="1"/>
    <xf numFmtId="0" fontId="0" fillId="0" borderId="0" xfId="0" applyFont="1" applyAlignment="1"/>
    <xf numFmtId="14" fontId="0" fillId="0" borderId="0" xfId="0" applyNumberFormat="1" applyFont="1" applyAlignment="1">
      <alignment horizontal="right"/>
    </xf>
    <xf numFmtId="14" fontId="0" fillId="21" borderId="0" xfId="0" applyNumberFormat="1" applyFont="1" applyFill="1" applyAlignment="1">
      <alignment horizontal="right"/>
    </xf>
    <xf numFmtId="14" fontId="0" fillId="21" borderId="0" xfId="0" applyNumberFormat="1" applyFont="1" applyFill="1" applyAlignment="1">
      <alignment horizontal="right"/>
    </xf>
    <xf numFmtId="0" fontId="10" fillId="0" borderId="0" xfId="0" applyFont="1" applyAlignment="1"/>
    <xf numFmtId="14" fontId="0" fillId="13" borderId="0" xfId="0" applyNumberFormat="1" applyFont="1" applyFill="1" applyAlignment="1">
      <alignment horizontal="right"/>
    </xf>
    <xf numFmtId="164" fontId="12" fillId="13" borderId="0" xfId="0" applyNumberFormat="1" applyFont="1" applyFill="1" applyAlignment="1">
      <alignment horizontal="right"/>
    </xf>
    <xf numFmtId="164" fontId="10" fillId="13" borderId="0" xfId="0" applyNumberFormat="1" applyFont="1" applyFill="1" applyAlignment="1">
      <alignment horizontal="right"/>
    </xf>
    <xf numFmtId="164" fontId="10" fillId="20" borderId="7" xfId="0" applyNumberFormat="1" applyFont="1" applyFill="1" applyBorder="1" applyAlignment="1"/>
    <xf numFmtId="14" fontId="10" fillId="0" borderId="0" xfId="0" applyNumberFormat="1" applyFont="1" applyAlignment="1"/>
    <xf numFmtId="0" fontId="0" fillId="5" borderId="0" xfId="0" applyFont="1" applyFill="1" applyAlignment="1"/>
    <xf numFmtId="164" fontId="17" fillId="0" borderId="0" xfId="0" applyNumberFormat="1" applyFont="1" applyAlignment="1">
      <alignment horizontal="right"/>
    </xf>
    <xf numFmtId="166" fontId="0" fillId="0" borderId="0" xfId="0" applyNumberFormat="1" applyFont="1" applyAlignment="1">
      <alignment horizontal="right"/>
    </xf>
    <xf numFmtId="166" fontId="10" fillId="0" borderId="0" xfId="0" applyNumberFormat="1" applyFont="1" applyAlignment="1">
      <alignment horizontal="right"/>
    </xf>
    <xf numFmtId="164" fontId="0" fillId="20" borderId="7" xfId="0" applyNumberFormat="1" applyFont="1" applyFill="1" applyBorder="1" applyAlignment="1">
      <alignment horizontal="right"/>
    </xf>
    <xf numFmtId="4" fontId="10" fillId="13" borderId="0" xfId="0" applyNumberFormat="1" applyFont="1" applyFill="1" applyAlignment="1"/>
    <xf numFmtId="14" fontId="0" fillId="13" borderId="0" xfId="0" applyNumberFormat="1" applyFont="1" applyFill="1" applyAlignment="1">
      <alignment horizontal="right"/>
    </xf>
    <xf numFmtId="4" fontId="0" fillId="13" borderId="0" xfId="0" applyNumberFormat="1" applyFont="1" applyFill="1" applyAlignment="1">
      <alignment horizontal="right"/>
    </xf>
    <xf numFmtId="164" fontId="10" fillId="13" borderId="0" xfId="0" applyNumberFormat="1" applyFont="1" applyFill="1" applyAlignment="1">
      <alignment horizontal="right"/>
    </xf>
    <xf numFmtId="0" fontId="17" fillId="0" borderId="0" xfId="0" applyFont="1" applyAlignment="1"/>
    <xf numFmtId="4" fontId="0" fillId="13" borderId="0" xfId="0" applyNumberFormat="1" applyFont="1" applyFill="1" applyAlignment="1">
      <alignment horizontal="right"/>
    </xf>
    <xf numFmtId="0" fontId="0" fillId="0" borderId="0" xfId="0" applyFont="1" applyAlignment="1">
      <alignment horizontal="right"/>
    </xf>
    <xf numFmtId="0" fontId="18" fillId="0" borderId="0" xfId="0" applyFont="1" applyAlignment="1"/>
    <xf numFmtId="0" fontId="18" fillId="13" borderId="0" xfId="0" applyFont="1" applyFill="1" applyAlignment="1"/>
    <xf numFmtId="4" fontId="0" fillId="20" borderId="7" xfId="0" applyNumberFormat="1" applyFont="1" applyFill="1" applyBorder="1" applyAlignment="1">
      <alignment horizontal="right"/>
    </xf>
    <xf numFmtId="164" fontId="1" fillId="13" borderId="0" xfId="0" applyNumberFormat="1" applyFont="1" applyFill="1" applyAlignment="1">
      <alignment horizontal="right"/>
    </xf>
    <xf numFmtId="166" fontId="0" fillId="0" borderId="0" xfId="0" applyNumberFormat="1" applyFont="1" applyAlignment="1">
      <alignment horizontal="right"/>
    </xf>
    <xf numFmtId="0" fontId="19" fillId="13" borderId="0" xfId="0" applyFont="1" applyFill="1" applyAlignment="1"/>
    <xf numFmtId="14" fontId="10" fillId="0" borderId="0" xfId="0" applyNumberFormat="1" applyFont="1" applyAlignment="1">
      <alignment horizontal="right"/>
    </xf>
    <xf numFmtId="4" fontId="10" fillId="0" borderId="0" xfId="0" applyNumberFormat="1" applyFont="1" applyAlignment="1">
      <alignment horizontal="right"/>
    </xf>
    <xf numFmtId="164" fontId="0" fillId="0" borderId="0" xfId="0" applyNumberFormat="1" applyFont="1" applyAlignment="1">
      <alignment horizontal="right"/>
    </xf>
    <xf numFmtId="164" fontId="1" fillId="0" borderId="0" xfId="0" applyNumberFormat="1" applyFont="1" applyAlignment="1">
      <alignment horizontal="right"/>
    </xf>
    <xf numFmtId="2" fontId="10" fillId="0" borderId="0" xfId="0" applyNumberFormat="1" applyFont="1" applyAlignment="1"/>
    <xf numFmtId="0" fontId="12" fillId="13" borderId="0" xfId="0" applyFont="1" applyFill="1" applyAlignment="1">
      <alignment horizontal="right"/>
    </xf>
    <xf numFmtId="2" fontId="10" fillId="20" borderId="7" xfId="0" applyNumberFormat="1" applyFont="1" applyFill="1" applyBorder="1" applyAlignment="1"/>
    <xf numFmtId="2" fontId="0" fillId="20" borderId="7" xfId="0" applyNumberFormat="1" applyFont="1" applyFill="1" applyBorder="1" applyAlignment="1">
      <alignment horizontal="right"/>
    </xf>
    <xf numFmtId="4" fontId="10" fillId="20" borderId="7" xfId="0" applyNumberFormat="1" applyFont="1" applyFill="1" applyBorder="1" applyAlignment="1"/>
    <xf numFmtId="167" fontId="10" fillId="0" borderId="0" xfId="0" applyNumberFormat="1" applyFont="1" applyAlignment="1">
      <alignment horizontal="right"/>
    </xf>
    <xf numFmtId="164" fontId="12" fillId="22" borderId="0" xfId="0" applyNumberFormat="1" applyFont="1" applyFill="1" applyAlignment="1">
      <alignment horizontal="right"/>
    </xf>
    <xf numFmtId="164" fontId="10" fillId="22" borderId="0" xfId="0" applyNumberFormat="1" applyFont="1" applyFill="1" applyAlignment="1"/>
    <xf numFmtId="167" fontId="10" fillId="0" borderId="0" xfId="0" applyNumberFormat="1" applyFont="1" applyAlignment="1"/>
    <xf numFmtId="14" fontId="10" fillId="0" borderId="0" xfId="0" applyNumberFormat="1" applyFont="1" applyAlignment="1"/>
    <xf numFmtId="2" fontId="0" fillId="0" borderId="0" xfId="0" applyNumberFormat="1" applyFont="1" applyAlignment="1">
      <alignment horizontal="right"/>
    </xf>
    <xf numFmtId="4" fontId="20" fillId="13" borderId="0" xfId="0" applyNumberFormat="1" applyFont="1" applyFill="1" applyAlignment="1">
      <alignment horizontal="right"/>
    </xf>
    <xf numFmtId="0" fontId="12" fillId="0" borderId="0" xfId="0" applyFont="1" applyAlignment="1">
      <alignment horizontal="right"/>
    </xf>
    <xf numFmtId="4" fontId="12" fillId="13" borderId="0" xfId="0" applyNumberFormat="1" applyFont="1" applyFill="1" applyAlignment="1">
      <alignment horizontal="right"/>
    </xf>
    <xf numFmtId="4" fontId="10" fillId="13" borderId="0" xfId="0" applyNumberFormat="1" applyFont="1" applyFill="1" applyAlignment="1"/>
    <xf numFmtId="2" fontId="12" fillId="20" borderId="7" xfId="0" applyNumberFormat="1" applyFont="1" applyFill="1" applyBorder="1" applyAlignment="1">
      <alignment horizontal="right"/>
    </xf>
    <xf numFmtId="0" fontId="0" fillId="20" borderId="7" xfId="0" applyFont="1" applyFill="1" applyBorder="1" applyAlignment="1">
      <alignment horizontal="right"/>
    </xf>
    <xf numFmtId="166" fontId="10" fillId="0" borderId="0" xfId="0" applyNumberFormat="1" applyFont="1" applyAlignment="1"/>
    <xf numFmtId="168" fontId="0" fillId="0" borderId="0" xfId="0" applyNumberFormat="1" applyFont="1" applyAlignment="1">
      <alignment horizontal="right"/>
    </xf>
    <xf numFmtId="4" fontId="0" fillId="24" borderId="2" xfId="0" applyNumberFormat="1" applyFont="1" applyFill="1" applyBorder="1" applyAlignment="1">
      <alignment horizontal="right"/>
    </xf>
    <xf numFmtId="4" fontId="10" fillId="24" borderId="2" xfId="0" applyNumberFormat="1" applyFont="1" applyFill="1" applyBorder="1" applyAlignment="1"/>
    <xf numFmtId="4" fontId="10" fillId="0" borderId="2" xfId="0" applyNumberFormat="1" applyFont="1" applyBorder="1" applyAlignment="1"/>
    <xf numFmtId="4" fontId="10" fillId="0" borderId="0" xfId="0" applyNumberFormat="1" applyFont="1" applyAlignment="1"/>
    <xf numFmtId="0" fontId="4" fillId="0" borderId="0" xfId="0" applyFont="1" applyAlignment="1"/>
    <xf numFmtId="4" fontId="4" fillId="0" borderId="2" xfId="0" applyNumberFormat="1" applyFont="1" applyBorder="1"/>
    <xf numFmtId="4" fontId="4" fillId="0" borderId="0" xfId="0" applyNumberFormat="1" applyFont="1"/>
    <xf numFmtId="164" fontId="6" fillId="0" borderId="0" xfId="0" applyNumberFormat="1" applyFont="1" applyAlignment="1"/>
    <xf numFmtId="164" fontId="6" fillId="0" borderId="0" xfId="0" applyNumberFormat="1" applyFont="1" applyAlignment="1">
      <alignment horizontal="center"/>
    </xf>
    <xf numFmtId="164" fontId="6" fillId="0" borderId="0" xfId="0" applyNumberFormat="1" applyFont="1" applyAlignment="1">
      <alignment horizontal="right"/>
    </xf>
    <xf numFmtId="4" fontId="0" fillId="0" borderId="9" xfId="0" applyNumberFormat="1" applyFont="1" applyBorder="1" applyAlignment="1">
      <alignment horizontal="right"/>
    </xf>
    <xf numFmtId="164" fontId="11" fillId="0" borderId="0" xfId="0" applyNumberFormat="1" applyFont="1" applyAlignment="1">
      <alignment horizontal="right"/>
    </xf>
    <xf numFmtId="4" fontId="0" fillId="24" borderId="0" xfId="0" applyNumberFormat="1" applyFont="1" applyFill="1" applyAlignment="1">
      <alignment horizontal="right"/>
    </xf>
    <xf numFmtId="4" fontId="0" fillId="26" borderId="0" xfId="0" applyNumberFormat="1" applyFont="1" applyFill="1" applyAlignment="1">
      <alignment horizontal="right"/>
    </xf>
    <xf numFmtId="4" fontId="0" fillId="24" borderId="0" xfId="0" applyNumberFormat="1" applyFont="1" applyFill="1" applyAlignment="1">
      <alignment horizontal="right"/>
    </xf>
    <xf numFmtId="4" fontId="0" fillId="4" borderId="9" xfId="0" applyNumberFormat="1" applyFont="1" applyFill="1" applyBorder="1" applyAlignment="1">
      <alignment horizontal="right"/>
    </xf>
    <xf numFmtId="0" fontId="26" fillId="0" borderId="0" xfId="0" applyFont="1" applyAlignment="1"/>
    <xf numFmtId="0" fontId="26" fillId="0" borderId="11" xfId="0" applyFont="1" applyBorder="1" applyAlignment="1"/>
    <xf numFmtId="0" fontId="11" fillId="17" borderId="11" xfId="0" applyFont="1" applyFill="1" applyBorder="1" applyAlignment="1">
      <alignment horizontal="center" wrapText="1"/>
    </xf>
    <xf numFmtId="0" fontId="11" fillId="17" borderId="5" xfId="0" applyFont="1" applyFill="1" applyBorder="1" applyAlignment="1">
      <alignment horizontal="center" wrapText="1"/>
    </xf>
    <xf numFmtId="0" fontId="26" fillId="6" borderId="0" xfId="0" applyFont="1" applyFill="1" applyAlignment="1">
      <alignment horizontal="center"/>
    </xf>
    <xf numFmtId="164" fontId="0" fillId="17" borderId="11" xfId="0" applyNumberFormat="1" applyFont="1" applyFill="1" applyBorder="1" applyAlignment="1">
      <alignment horizontal="right"/>
    </xf>
    <xf numFmtId="164" fontId="0" fillId="17" borderId="10" xfId="0" applyNumberFormat="1" applyFont="1" applyFill="1" applyBorder="1" applyAlignment="1">
      <alignment horizontal="right"/>
    </xf>
    <xf numFmtId="165" fontId="0" fillId="17" borderId="0" xfId="0" applyNumberFormat="1" applyFont="1" applyFill="1" applyAlignment="1">
      <alignment horizontal="right"/>
    </xf>
    <xf numFmtId="165" fontId="0" fillId="17" borderId="10" xfId="0" applyNumberFormat="1" applyFont="1" applyFill="1" applyBorder="1" applyAlignment="1">
      <alignment horizontal="right"/>
    </xf>
    <xf numFmtId="0" fontId="11" fillId="0" borderId="0" xfId="0" applyFont="1" applyAlignment="1">
      <alignment horizontal="center"/>
    </xf>
    <xf numFmtId="0" fontId="26" fillId="13" borderId="0" xfId="0" applyFont="1" applyFill="1" applyAlignment="1"/>
    <xf numFmtId="0" fontId="26" fillId="0" borderId="12" xfId="0" applyFont="1" applyBorder="1" applyAlignment="1"/>
    <xf numFmtId="0" fontId="27" fillId="0" borderId="0" xfId="0" applyFont="1" applyAlignment="1">
      <alignment horizontal="center"/>
    </xf>
    <xf numFmtId="0" fontId="11" fillId="0" borderId="0" xfId="0" applyFont="1" applyAlignment="1"/>
    <xf numFmtId="0" fontId="28" fillId="13" borderId="0" xfId="0" applyFont="1" applyFill="1" applyAlignment="1">
      <alignment horizontal="center"/>
    </xf>
    <xf numFmtId="0" fontId="27" fillId="13" borderId="0" xfId="0" applyFont="1" applyFill="1" applyAlignment="1">
      <alignment horizontal="center"/>
    </xf>
    <xf numFmtId="0" fontId="11" fillId="0" borderId="9" xfId="0" applyFont="1" applyBorder="1" applyAlignment="1">
      <alignment horizontal="center"/>
    </xf>
    <xf numFmtId="0" fontId="11" fillId="0" borderId="12" xfId="0" applyFont="1" applyBorder="1" applyAlignment="1">
      <alignment horizontal="right"/>
    </xf>
    <xf numFmtId="0" fontId="28" fillId="0" borderId="0" xfId="0" applyFont="1" applyAlignment="1">
      <alignment horizontal="center"/>
    </xf>
    <xf numFmtId="0" fontId="15" fillId="13" borderId="0" xfId="0" applyFont="1" applyFill="1" applyAlignment="1">
      <alignment horizontal="center"/>
    </xf>
    <xf numFmtId="0" fontId="15" fillId="13" borderId="0" xfId="0" applyFont="1" applyFill="1" applyAlignment="1">
      <alignment horizontal="center"/>
    </xf>
    <xf numFmtId="10" fontId="11" fillId="0" borderId="9" xfId="0" applyNumberFormat="1" applyFont="1" applyBorder="1" applyAlignment="1">
      <alignment horizontal="center"/>
    </xf>
    <xf numFmtId="10" fontId="11" fillId="3" borderId="9" xfId="0" applyNumberFormat="1" applyFont="1" applyFill="1" applyBorder="1" applyAlignment="1">
      <alignment horizontal="center"/>
    </xf>
    <xf numFmtId="10" fontId="11" fillId="3" borderId="9" xfId="0" applyNumberFormat="1" applyFont="1" applyFill="1" applyBorder="1" applyAlignment="1">
      <alignment horizontal="center"/>
    </xf>
    <xf numFmtId="10" fontId="11" fillId="14" borderId="9" xfId="0" applyNumberFormat="1" applyFont="1" applyFill="1" applyBorder="1" applyAlignment="1">
      <alignment horizontal="center"/>
    </xf>
    <xf numFmtId="2" fontId="11" fillId="14" borderId="9" xfId="0" applyNumberFormat="1" applyFont="1" applyFill="1" applyBorder="1" applyAlignment="1">
      <alignment horizontal="center"/>
    </xf>
    <xf numFmtId="4" fontId="11" fillId="14" borderId="9" xfId="0" applyNumberFormat="1" applyFont="1" applyFill="1" applyBorder="1" applyAlignment="1">
      <alignment horizontal="center"/>
    </xf>
    <xf numFmtId="9" fontId="11" fillId="0" borderId="10" xfId="0" applyNumberFormat="1" applyFont="1" applyBorder="1" applyAlignment="1">
      <alignment horizontal="center"/>
    </xf>
    <xf numFmtId="0" fontId="26" fillId="19" borderId="0" xfId="0" applyFont="1" applyFill="1" applyAlignment="1"/>
    <xf numFmtId="0" fontId="0" fillId="0" borderId="0" xfId="0" applyFont="1" applyAlignment="1">
      <alignment horizontal="right"/>
    </xf>
    <xf numFmtId="0" fontId="0" fillId="0" borderId="0" xfId="0" applyFont="1" applyAlignment="1"/>
    <xf numFmtId="164" fontId="26" fillId="0" borderId="0" xfId="0" applyNumberFormat="1" applyFont="1" applyAlignment="1"/>
    <xf numFmtId="0" fontId="10" fillId="0" borderId="12" xfId="0" applyFont="1" applyBorder="1" applyAlignment="1">
      <alignment horizontal="right"/>
    </xf>
    <xf numFmtId="164" fontId="0" fillId="13" borderId="9" xfId="0" applyNumberFormat="1" applyFont="1" applyFill="1" applyBorder="1" applyAlignment="1">
      <alignment horizontal="right"/>
    </xf>
    <xf numFmtId="164" fontId="0" fillId="0" borderId="9" xfId="0" applyNumberFormat="1" applyFont="1" applyBorder="1" applyAlignment="1">
      <alignment horizontal="right"/>
    </xf>
    <xf numFmtId="164" fontId="26" fillId="0" borderId="9" xfId="0" applyNumberFormat="1" applyFont="1" applyBorder="1" applyAlignment="1"/>
    <xf numFmtId="164" fontId="0" fillId="20" borderId="2" xfId="0" applyNumberFormat="1" applyFont="1" applyFill="1" applyBorder="1" applyAlignment="1">
      <alignment horizontal="right"/>
    </xf>
    <xf numFmtId="164" fontId="0" fillId="20" borderId="9" xfId="0" applyNumberFormat="1" applyFont="1" applyFill="1" applyBorder="1" applyAlignment="1">
      <alignment horizontal="right"/>
    </xf>
    <xf numFmtId="164" fontId="10" fillId="29" borderId="0" xfId="0" applyNumberFormat="1" applyFont="1" applyFill="1" applyAlignment="1">
      <alignment horizontal="right"/>
    </xf>
    <xf numFmtId="164" fontId="10" fillId="29" borderId="0" xfId="0" applyNumberFormat="1" applyFont="1" applyFill="1" applyAlignment="1">
      <alignment horizontal="right"/>
    </xf>
    <xf numFmtId="0" fontId="10" fillId="0" borderId="0" xfId="0" applyFont="1" applyAlignment="1">
      <alignment horizontal="right"/>
    </xf>
    <xf numFmtId="164" fontId="26" fillId="13" borderId="0" xfId="0" applyNumberFormat="1" applyFont="1" applyFill="1" applyAlignment="1"/>
    <xf numFmtId="164" fontId="26" fillId="13" borderId="12" xfId="0" applyNumberFormat="1" applyFont="1" applyFill="1" applyBorder="1" applyAlignment="1"/>
    <xf numFmtId="0" fontId="0" fillId="13" borderId="0" xfId="0" applyFont="1" applyFill="1" applyAlignment="1"/>
    <xf numFmtId="164" fontId="0" fillId="21" borderId="0" xfId="0" applyNumberFormat="1" applyFont="1" applyFill="1" applyAlignment="1">
      <alignment horizontal="right"/>
    </xf>
    <xf numFmtId="0" fontId="4" fillId="0" borderId="0" xfId="0" applyFont="1" applyAlignment="1"/>
    <xf numFmtId="166" fontId="4" fillId="21" borderId="0" xfId="0" applyNumberFormat="1" applyFont="1" applyFill="1" applyAlignment="1">
      <alignment horizontal="right"/>
    </xf>
    <xf numFmtId="0" fontId="0" fillId="5" borderId="0" xfId="0" applyFont="1" applyFill="1" applyAlignment="1"/>
    <xf numFmtId="164" fontId="10" fillId="29" borderId="5" xfId="0" applyNumberFormat="1" applyFont="1" applyFill="1" applyBorder="1" applyAlignment="1">
      <alignment horizontal="right"/>
    </xf>
    <xf numFmtId="164" fontId="10" fillId="29" borderId="2" xfId="0" applyNumberFormat="1" applyFont="1" applyFill="1" applyBorder="1" applyAlignment="1">
      <alignment horizontal="right"/>
    </xf>
    <xf numFmtId="166" fontId="4" fillId="0" borderId="0" xfId="0" applyNumberFormat="1" applyFont="1" applyAlignment="1"/>
    <xf numFmtId="0" fontId="0" fillId="13" borderId="0" xfId="0" applyFont="1" applyFill="1" applyAlignment="1">
      <alignment horizontal="right"/>
    </xf>
    <xf numFmtId="164" fontId="26" fillId="13" borderId="0" xfId="0" applyNumberFormat="1" applyFont="1" applyFill="1" applyAlignment="1">
      <alignment horizontal="right"/>
    </xf>
    <xf numFmtId="0" fontId="10" fillId="13" borderId="12" xfId="0" applyFont="1" applyFill="1" applyBorder="1" applyAlignment="1">
      <alignment horizontal="right"/>
    </xf>
    <xf numFmtId="0" fontId="0" fillId="0" borderId="0" xfId="0" applyFont="1" applyAlignment="1"/>
    <xf numFmtId="0" fontId="29" fillId="0" borderId="0" xfId="0" applyFont="1" applyAlignment="1"/>
    <xf numFmtId="164" fontId="26" fillId="13" borderId="9" xfId="0" applyNumberFormat="1" applyFont="1" applyFill="1" applyBorder="1" applyAlignment="1"/>
    <xf numFmtId="164" fontId="10" fillId="29" borderId="10" xfId="0" applyNumberFormat="1" applyFont="1" applyFill="1" applyBorder="1" applyAlignment="1">
      <alignment horizontal="right"/>
    </xf>
    <xf numFmtId="14" fontId="26" fillId="0" borderId="0" xfId="0" applyNumberFormat="1" applyFont="1" applyAlignment="1"/>
    <xf numFmtId="164" fontId="0" fillId="0" borderId="0" xfId="0" applyNumberFormat="1" applyFont="1" applyAlignment="1">
      <alignment horizontal="right"/>
    </xf>
    <xf numFmtId="164" fontId="10" fillId="0" borderId="9" xfId="0" applyNumberFormat="1" applyFont="1" applyBorder="1" applyAlignment="1">
      <alignment horizontal="right"/>
    </xf>
    <xf numFmtId="164" fontId="0" fillId="13" borderId="9" xfId="0" applyNumberFormat="1" applyFont="1" applyFill="1" applyBorder="1" applyAlignment="1">
      <alignment horizontal="right"/>
    </xf>
    <xf numFmtId="164" fontId="0" fillId="0" borderId="9" xfId="0" applyNumberFormat="1" applyFont="1" applyBorder="1" applyAlignment="1">
      <alignment horizontal="right"/>
    </xf>
    <xf numFmtId="0" fontId="0" fillId="13" borderId="13" xfId="0" applyFont="1" applyFill="1" applyBorder="1" applyAlignment="1"/>
    <xf numFmtId="0" fontId="26" fillId="11" borderId="13" xfId="0" applyFont="1" applyFill="1" applyBorder="1" applyAlignment="1"/>
    <xf numFmtId="0" fontId="26" fillId="11" borderId="0" xfId="0" applyFont="1" applyFill="1" applyAlignment="1"/>
    <xf numFmtId="0" fontId="26" fillId="13" borderId="12" xfId="0" applyFont="1" applyFill="1" applyBorder="1" applyAlignment="1"/>
    <xf numFmtId="0" fontId="10" fillId="13" borderId="0" xfId="0" applyFont="1" applyFill="1" applyAlignment="1">
      <alignment horizontal="right"/>
    </xf>
    <xf numFmtId="166" fontId="4" fillId="21" borderId="0" xfId="0" applyNumberFormat="1" applyFont="1" applyFill="1" applyAlignment="1"/>
    <xf numFmtId="0" fontId="21" fillId="0" borderId="0" xfId="0" applyFont="1" applyAlignment="1"/>
    <xf numFmtId="0" fontId="0" fillId="12" borderId="0" xfId="0" applyFont="1" applyFill="1" applyAlignment="1"/>
    <xf numFmtId="164" fontId="10" fillId="30" borderId="0" xfId="0" applyNumberFormat="1" applyFont="1" applyFill="1" applyAlignment="1">
      <alignment horizontal="right"/>
    </xf>
    <xf numFmtId="164" fontId="10" fillId="12" borderId="0" xfId="0" applyNumberFormat="1" applyFont="1" applyFill="1" applyAlignment="1">
      <alignment horizontal="right"/>
    </xf>
    <xf numFmtId="164" fontId="10" fillId="30" borderId="0" xfId="0" applyNumberFormat="1" applyFont="1" applyFill="1" applyAlignment="1">
      <alignment horizontal="right"/>
    </xf>
    <xf numFmtId="164" fontId="0" fillId="31" borderId="0" xfId="0" applyNumberFormat="1" applyFont="1" applyFill="1" applyAlignment="1">
      <alignment horizontal="right"/>
    </xf>
    <xf numFmtId="164" fontId="0" fillId="31" borderId="0" xfId="0" applyNumberFormat="1" applyFont="1" applyFill="1" applyAlignment="1">
      <alignment horizontal="right"/>
    </xf>
    <xf numFmtId="164" fontId="10" fillId="31" borderId="0" xfId="0" applyNumberFormat="1" applyFont="1" applyFill="1" applyAlignment="1">
      <alignment horizontal="right"/>
    </xf>
    <xf numFmtId="164" fontId="26" fillId="31" borderId="0" xfId="0" applyNumberFormat="1" applyFont="1" applyFill="1" applyAlignment="1"/>
    <xf numFmtId="0" fontId="10" fillId="31" borderId="12" xfId="0" applyFont="1" applyFill="1" applyBorder="1" applyAlignment="1">
      <alignment horizontal="right"/>
    </xf>
    <xf numFmtId="0" fontId="29" fillId="13" borderId="0" xfId="0" applyFont="1" applyFill="1" applyAlignment="1"/>
    <xf numFmtId="4" fontId="0" fillId="13" borderId="9" xfId="0" applyNumberFormat="1" applyFont="1" applyFill="1" applyBorder="1" applyAlignment="1">
      <alignment horizontal="right"/>
    </xf>
    <xf numFmtId="0" fontId="26" fillId="0" borderId="9" xfId="0" applyFont="1" applyBorder="1" applyAlignment="1"/>
    <xf numFmtId="0" fontId="0" fillId="0" borderId="9" xfId="0" applyFont="1" applyBorder="1" applyAlignment="1">
      <alignment horizontal="right"/>
    </xf>
    <xf numFmtId="4" fontId="0" fillId="20" borderId="0" xfId="0" applyNumberFormat="1" applyFont="1" applyFill="1" applyAlignment="1">
      <alignment horizontal="right"/>
    </xf>
    <xf numFmtId="4" fontId="0" fillId="20" borderId="2" xfId="0" applyNumberFormat="1" applyFont="1" applyFill="1" applyBorder="1" applyAlignment="1">
      <alignment horizontal="right"/>
    </xf>
    <xf numFmtId="4" fontId="0" fillId="20" borderId="9" xfId="0" applyNumberFormat="1" applyFont="1" applyFill="1" applyBorder="1" applyAlignment="1">
      <alignment horizontal="right"/>
    </xf>
    <xf numFmtId="4" fontId="10" fillId="10" borderId="10" xfId="0" applyNumberFormat="1" applyFont="1" applyFill="1" applyBorder="1" applyAlignment="1">
      <alignment horizontal="right"/>
    </xf>
    <xf numFmtId="4" fontId="10" fillId="0" borderId="0" xfId="0" applyNumberFormat="1" applyFont="1" applyAlignment="1">
      <alignment horizontal="right"/>
    </xf>
    <xf numFmtId="4" fontId="10" fillId="29" borderId="0" xfId="0" applyNumberFormat="1" applyFont="1" applyFill="1" applyAlignment="1">
      <alignment horizontal="right"/>
    </xf>
    <xf numFmtId="0" fontId="26" fillId="32" borderId="12" xfId="0" applyFont="1" applyFill="1" applyBorder="1" applyAlignment="1"/>
    <xf numFmtId="164" fontId="30" fillId="33" borderId="0" xfId="0" applyNumberFormat="1" applyFont="1" applyFill="1" applyAlignment="1">
      <alignment horizontal="right"/>
    </xf>
    <xf numFmtId="4" fontId="10" fillId="0" borderId="9" xfId="0" applyNumberFormat="1" applyFont="1" applyBorder="1" applyAlignment="1">
      <alignment horizontal="right"/>
    </xf>
    <xf numFmtId="4" fontId="10" fillId="29" borderId="10" xfId="0" applyNumberFormat="1" applyFont="1" applyFill="1" applyBorder="1" applyAlignment="1">
      <alignment horizontal="right"/>
    </xf>
    <xf numFmtId="4" fontId="10" fillId="29" borderId="9" xfId="0" applyNumberFormat="1" applyFont="1" applyFill="1" applyBorder="1" applyAlignment="1">
      <alignment horizontal="right"/>
    </xf>
    <xf numFmtId="164" fontId="30" fillId="34" borderId="0" xfId="0" applyNumberFormat="1" applyFont="1" applyFill="1" applyAlignment="1">
      <alignment horizontal="right"/>
    </xf>
    <xf numFmtId="0" fontId="24" fillId="8" borderId="0" xfId="0" applyFont="1" applyFill="1" applyAlignment="1"/>
    <xf numFmtId="0" fontId="31" fillId="0" borderId="0" xfId="0" applyFont="1"/>
    <xf numFmtId="164" fontId="0" fillId="21" borderId="0" xfId="0" applyNumberFormat="1" applyFont="1" applyFill="1" applyAlignment="1">
      <alignment horizontal="right"/>
    </xf>
    <xf numFmtId="164" fontId="0" fillId="2" borderId="0" xfId="0" applyNumberFormat="1" applyFont="1" applyFill="1" applyAlignment="1">
      <alignment horizontal="right"/>
    </xf>
    <xf numFmtId="14" fontId="29" fillId="21" borderId="0" xfId="0" applyNumberFormat="1" applyFont="1" applyFill="1" applyAlignment="1">
      <alignment horizontal="right"/>
    </xf>
    <xf numFmtId="0" fontId="0" fillId="31" borderId="0" xfId="0" applyFont="1" applyFill="1" applyAlignment="1"/>
    <xf numFmtId="4" fontId="10" fillId="3" borderId="10" xfId="0" applyNumberFormat="1" applyFont="1" applyFill="1" applyBorder="1" applyAlignment="1">
      <alignment horizontal="right"/>
    </xf>
    <xf numFmtId="167" fontId="0" fillId="21" borderId="0" xfId="0" applyNumberFormat="1" applyFont="1" applyFill="1" applyAlignment="1">
      <alignment horizontal="right"/>
    </xf>
    <xf numFmtId="14" fontId="26" fillId="13" borderId="0" xfId="0" applyNumberFormat="1" applyFont="1" applyFill="1" applyAlignment="1"/>
    <xf numFmtId="0" fontId="0" fillId="13" borderId="9" xfId="0" applyFont="1" applyFill="1" applyBorder="1" applyAlignment="1">
      <alignment horizontal="right"/>
    </xf>
    <xf numFmtId="0" fontId="10" fillId="0" borderId="9" xfId="0" applyFont="1" applyBorder="1" applyAlignment="1">
      <alignment horizontal="right"/>
    </xf>
    <xf numFmtId="164" fontId="10" fillId="29" borderId="9" xfId="0" applyNumberFormat="1" applyFont="1" applyFill="1" applyBorder="1" applyAlignment="1">
      <alignment horizontal="right"/>
    </xf>
    <xf numFmtId="164" fontId="0" fillId="21" borderId="2" xfId="0" applyNumberFormat="1" applyFont="1" applyFill="1" applyBorder="1" applyAlignment="1">
      <alignment horizontal="right"/>
    </xf>
    <xf numFmtId="164" fontId="26" fillId="20" borderId="2" xfId="0" applyNumberFormat="1" applyFont="1" applyFill="1" applyBorder="1" applyAlignment="1"/>
    <xf numFmtId="0" fontId="10" fillId="0" borderId="0" xfId="0" applyFont="1" applyAlignment="1"/>
    <xf numFmtId="0" fontId="17" fillId="8" borderId="0" xfId="0" applyFont="1" applyFill="1" applyAlignment="1"/>
    <xf numFmtId="14" fontId="17" fillId="0" borderId="0" xfId="0" applyNumberFormat="1" applyFont="1" applyAlignment="1">
      <alignment horizontal="right"/>
    </xf>
    <xf numFmtId="0" fontId="0" fillId="13" borderId="9" xfId="0" applyFont="1" applyFill="1" applyBorder="1" applyAlignment="1">
      <alignment horizontal="right"/>
    </xf>
    <xf numFmtId="4" fontId="26" fillId="0" borderId="0" xfId="0" applyNumberFormat="1" applyFont="1" applyAlignment="1"/>
    <xf numFmtId="166" fontId="4" fillId="0" borderId="0" xfId="0" applyNumberFormat="1" applyFont="1" applyAlignment="1">
      <alignment horizontal="right"/>
    </xf>
    <xf numFmtId="166" fontId="29" fillId="13" borderId="0" xfId="0" applyNumberFormat="1" applyFont="1" applyFill="1" applyAlignment="1"/>
    <xf numFmtId="166" fontId="29" fillId="21" borderId="0" xfId="0" applyNumberFormat="1" applyFont="1" applyFill="1" applyAlignment="1"/>
    <xf numFmtId="164" fontId="0" fillId="3" borderId="0" xfId="0" applyNumberFormat="1" applyFont="1" applyFill="1" applyAlignment="1">
      <alignment horizontal="right"/>
    </xf>
    <xf numFmtId="166" fontId="21" fillId="0" borderId="0" xfId="0" applyNumberFormat="1" applyFont="1" applyAlignment="1">
      <alignment horizontal="right"/>
    </xf>
    <xf numFmtId="14" fontId="4" fillId="0" borderId="0" xfId="0" applyNumberFormat="1" applyFont="1" applyAlignment="1"/>
    <xf numFmtId="164" fontId="10" fillId="0" borderId="12" xfId="0" applyNumberFormat="1" applyFont="1" applyBorder="1" applyAlignment="1">
      <alignment horizontal="right"/>
    </xf>
    <xf numFmtId="0" fontId="26" fillId="0" borderId="12" xfId="0" applyFont="1" applyBorder="1" applyAlignment="1">
      <alignment horizontal="right"/>
    </xf>
    <xf numFmtId="166" fontId="29" fillId="21" borderId="0" xfId="0" applyNumberFormat="1" applyFont="1" applyFill="1" applyAlignment="1">
      <alignment horizontal="right"/>
    </xf>
    <xf numFmtId="0" fontId="24" fillId="8" borderId="0" xfId="0" applyFont="1" applyFill="1" applyAlignment="1"/>
    <xf numFmtId="166" fontId="29" fillId="0" borderId="0" xfId="0" applyNumberFormat="1" applyFont="1" applyAlignment="1">
      <alignment horizontal="right"/>
    </xf>
    <xf numFmtId="166" fontId="0" fillId="21" borderId="0" xfId="0" applyNumberFormat="1" applyFont="1" applyFill="1" applyAlignment="1">
      <alignment horizontal="right"/>
    </xf>
    <xf numFmtId="0" fontId="17" fillId="8" borderId="0" xfId="0" applyFont="1" applyFill="1" applyAlignment="1"/>
    <xf numFmtId="0" fontId="0" fillId="0" borderId="0" xfId="0" applyFont="1" applyAlignment="1"/>
    <xf numFmtId="0" fontId="17" fillId="0" borderId="0" xfId="0" applyFont="1" applyAlignment="1"/>
    <xf numFmtId="164" fontId="0" fillId="21" borderId="9" xfId="0" applyNumberFormat="1" applyFont="1" applyFill="1" applyBorder="1" applyAlignment="1">
      <alignment horizontal="right"/>
    </xf>
    <xf numFmtId="4" fontId="10" fillId="13" borderId="0" xfId="0" applyNumberFormat="1" applyFont="1" applyFill="1" applyAlignment="1">
      <alignment horizontal="right"/>
    </xf>
    <xf numFmtId="2" fontId="0" fillId="0" borderId="9" xfId="0" applyNumberFormat="1" applyFont="1" applyBorder="1" applyAlignment="1">
      <alignment horizontal="right"/>
    </xf>
    <xf numFmtId="4" fontId="26" fillId="13" borderId="0" xfId="0" applyNumberFormat="1" applyFont="1" applyFill="1" applyAlignment="1"/>
    <xf numFmtId="0" fontId="17" fillId="0" borderId="0" xfId="0" applyFont="1" applyAlignment="1"/>
    <xf numFmtId="0" fontId="32" fillId="0" borderId="0" xfId="0" applyFont="1" applyAlignment="1"/>
    <xf numFmtId="14" fontId="4" fillId="0" borderId="0" xfId="0" applyNumberFormat="1" applyFont="1" applyAlignment="1">
      <alignment horizontal="right"/>
    </xf>
    <xf numFmtId="0" fontId="26" fillId="13" borderId="9" xfId="0" applyFont="1" applyFill="1" applyBorder="1" applyAlignment="1"/>
    <xf numFmtId="2" fontId="0" fillId="20" borderId="9" xfId="0" applyNumberFormat="1" applyFont="1" applyFill="1" applyBorder="1" applyAlignment="1">
      <alignment horizontal="right"/>
    </xf>
    <xf numFmtId="0" fontId="26" fillId="20" borderId="9" xfId="0" applyFont="1" applyFill="1" applyBorder="1" applyAlignment="1"/>
    <xf numFmtId="0" fontId="0" fillId="2" borderId="0" xfId="0" applyFont="1" applyFill="1" applyAlignment="1"/>
    <xf numFmtId="0" fontId="0" fillId="2" borderId="0" xfId="0" applyFont="1" applyFill="1" applyAlignment="1"/>
    <xf numFmtId="0" fontId="0" fillId="2" borderId="13" xfId="0" applyFont="1" applyFill="1" applyBorder="1" applyAlignment="1"/>
    <xf numFmtId="0" fontId="26" fillId="2" borderId="13" xfId="0" applyFont="1" applyFill="1" applyBorder="1" applyAlignment="1"/>
    <xf numFmtId="0" fontId="26" fillId="22" borderId="0" xfId="0" applyFont="1" applyFill="1" applyAlignment="1"/>
    <xf numFmtId="164" fontId="26" fillId="22" borderId="0" xfId="0" applyNumberFormat="1" applyFont="1" applyFill="1" applyAlignment="1"/>
    <xf numFmtId="0" fontId="26" fillId="22" borderId="12" xfId="0" applyFont="1" applyFill="1" applyBorder="1" applyAlignment="1"/>
    <xf numFmtId="2" fontId="0" fillId="13" borderId="0" xfId="0" applyNumberFormat="1" applyFont="1" applyFill="1" applyAlignment="1">
      <alignment horizontal="right"/>
    </xf>
    <xf numFmtId="2" fontId="10" fillId="0" borderId="0" xfId="0" applyNumberFormat="1" applyFont="1" applyAlignment="1">
      <alignment horizontal="right"/>
    </xf>
    <xf numFmtId="4" fontId="26" fillId="13" borderId="9" xfId="0" applyNumberFormat="1" applyFont="1" applyFill="1" applyBorder="1" applyAlignment="1"/>
    <xf numFmtId="167" fontId="26" fillId="0" borderId="0" xfId="0" applyNumberFormat="1" applyFont="1" applyAlignment="1"/>
    <xf numFmtId="14" fontId="26" fillId="0" borderId="0" xfId="0" applyNumberFormat="1" applyFont="1" applyAlignment="1"/>
    <xf numFmtId="0" fontId="4" fillId="13" borderId="0" xfId="0" applyFont="1" applyFill="1" applyAlignment="1"/>
    <xf numFmtId="2" fontId="26" fillId="20" borderId="9" xfId="0" applyNumberFormat="1" applyFont="1" applyFill="1" applyBorder="1" applyAlignment="1"/>
    <xf numFmtId="2" fontId="10" fillId="0" borderId="9" xfId="0" applyNumberFormat="1" applyFont="1" applyBorder="1" applyAlignment="1">
      <alignment horizontal="right"/>
    </xf>
    <xf numFmtId="2" fontId="26" fillId="0" borderId="0" xfId="0" applyNumberFormat="1" applyFont="1" applyAlignment="1"/>
    <xf numFmtId="0" fontId="0" fillId="29" borderId="12" xfId="0" applyFont="1" applyFill="1" applyBorder="1" applyAlignment="1">
      <alignment horizontal="right"/>
    </xf>
    <xf numFmtId="164" fontId="12" fillId="0" borderId="0" xfId="0" applyNumberFormat="1" applyFont="1" applyAlignment="1">
      <alignment horizontal="right"/>
    </xf>
    <xf numFmtId="2" fontId="26" fillId="0" borderId="9" xfId="0" applyNumberFormat="1" applyFont="1" applyBorder="1" applyAlignment="1"/>
    <xf numFmtId="4" fontId="26" fillId="0" borderId="9" xfId="0" applyNumberFormat="1" applyFont="1" applyBorder="1" applyAlignment="1"/>
    <xf numFmtId="0" fontId="17" fillId="13" borderId="0" xfId="0" applyFont="1" applyFill="1" applyAlignment="1"/>
    <xf numFmtId="4" fontId="12" fillId="0" borderId="0" xfId="0" applyNumberFormat="1" applyFont="1" applyAlignment="1">
      <alignment horizontal="right"/>
    </xf>
    <xf numFmtId="0" fontId="18" fillId="0" borderId="0" xfId="0" applyFont="1" applyAlignment="1"/>
    <xf numFmtId="0" fontId="0" fillId="23" borderId="0" xfId="0" applyFont="1" applyFill="1" applyAlignment="1"/>
    <xf numFmtId="0" fontId="0" fillId="23" borderId="13" xfId="0" applyFont="1" applyFill="1" applyBorder="1" applyAlignment="1"/>
    <xf numFmtId="0" fontId="0" fillId="20" borderId="9" xfId="0" applyFont="1" applyFill="1" applyBorder="1" applyAlignment="1">
      <alignment horizontal="right"/>
    </xf>
    <xf numFmtId="164" fontId="26" fillId="20" borderId="9" xfId="0" applyNumberFormat="1" applyFont="1" applyFill="1" applyBorder="1" applyAlignment="1"/>
    <xf numFmtId="0" fontId="29" fillId="0" borderId="0" xfId="0" applyFont="1" applyAlignment="1">
      <alignment horizontal="right"/>
    </xf>
    <xf numFmtId="166" fontId="26" fillId="0" borderId="0" xfId="0" applyNumberFormat="1" applyFont="1" applyAlignment="1"/>
    <xf numFmtId="4" fontId="0" fillId="13" borderId="9" xfId="0" applyNumberFormat="1" applyFont="1" applyFill="1" applyBorder="1" applyAlignment="1">
      <alignment horizontal="right"/>
    </xf>
    <xf numFmtId="167" fontId="10" fillId="21" borderId="0" xfId="0" applyNumberFormat="1" applyFont="1" applyFill="1" applyAlignment="1">
      <alignment horizontal="right"/>
    </xf>
    <xf numFmtId="4" fontId="0" fillId="24" borderId="9" xfId="0" applyNumberFormat="1" applyFont="1" applyFill="1" applyBorder="1" applyAlignment="1">
      <alignment horizontal="right"/>
    </xf>
    <xf numFmtId="4" fontId="4" fillId="0" borderId="0" xfId="0" applyNumberFormat="1" applyFont="1" applyAlignment="1"/>
    <xf numFmtId="0" fontId="26" fillId="25" borderId="0" xfId="0" applyFont="1" applyFill="1" applyAlignment="1"/>
    <xf numFmtId="0" fontId="26" fillId="25" borderId="12" xfId="0" applyFont="1" applyFill="1" applyBorder="1" applyAlignment="1"/>
    <xf numFmtId="0" fontId="11" fillId="0" borderId="9" xfId="0" applyFont="1" applyBorder="1" applyAlignment="1">
      <alignment horizontal="center"/>
    </xf>
    <xf numFmtId="164" fontId="0" fillId="0" borderId="0" xfId="0" applyNumberFormat="1" applyFont="1" applyAlignment="1"/>
    <xf numFmtId="164" fontId="10" fillId="0" borderId="9" xfId="0" applyNumberFormat="1" applyFont="1" applyBorder="1" applyAlignment="1"/>
    <xf numFmtId="164" fontId="0" fillId="0" borderId="9" xfId="0" applyNumberFormat="1" applyFont="1" applyBorder="1" applyAlignment="1"/>
    <xf numFmtId="0" fontId="11" fillId="3" borderId="0" xfId="0" applyFont="1" applyFill="1" applyAlignment="1"/>
    <xf numFmtId="164" fontId="11" fillId="3" borderId="3" xfId="0" applyNumberFormat="1" applyFont="1" applyFill="1" applyBorder="1" applyAlignment="1">
      <alignment horizontal="right"/>
    </xf>
    <xf numFmtId="164" fontId="11" fillId="3" borderId="6" xfId="0" applyNumberFormat="1" applyFont="1" applyFill="1" applyBorder="1" applyAlignment="1">
      <alignment horizontal="right"/>
    </xf>
    <xf numFmtId="0" fontId="6" fillId="0" borderId="9" xfId="0" applyFont="1" applyBorder="1" applyAlignment="1"/>
    <xf numFmtId="0" fontId="10" fillId="0" borderId="9" xfId="0" applyFont="1" applyBorder="1" applyAlignment="1"/>
    <xf numFmtId="0" fontId="10" fillId="0" borderId="11" xfId="0" applyFont="1" applyBorder="1" applyAlignment="1"/>
    <xf numFmtId="49" fontId="0" fillId="13" borderId="9" xfId="0" applyNumberFormat="1" applyFont="1" applyFill="1" applyBorder="1" applyAlignment="1">
      <alignment horizontal="center"/>
    </xf>
    <xf numFmtId="0" fontId="10" fillId="13" borderId="11" xfId="0" applyFont="1" applyFill="1" applyBorder="1" applyAlignment="1"/>
    <xf numFmtId="49" fontId="0" fillId="0" borderId="9" xfId="0" applyNumberFormat="1" applyFont="1" applyBorder="1" applyAlignment="1">
      <alignment horizontal="center"/>
    </xf>
    <xf numFmtId="4" fontId="0" fillId="4" borderId="0" xfId="0" applyNumberFormat="1" applyFont="1" applyFill="1" applyAlignment="1">
      <alignment horizontal="right"/>
    </xf>
    <xf numFmtId="4" fontId="0" fillId="13" borderId="0" xfId="0" applyNumberFormat="1" applyFont="1" applyFill="1" applyAlignment="1"/>
    <xf numFmtId="4" fontId="10" fillId="13" borderId="11" xfId="0" applyNumberFormat="1" applyFont="1" applyFill="1" applyBorder="1" applyAlignment="1"/>
    <xf numFmtId="4" fontId="0" fillId="0" borderId="0" xfId="0" applyNumberFormat="1" applyFont="1" applyAlignment="1"/>
    <xf numFmtId="4" fontId="0" fillId="11" borderId="9" xfId="0" applyNumberFormat="1" applyFont="1" applyFill="1" applyBorder="1" applyAlignment="1">
      <alignment horizontal="right"/>
    </xf>
    <xf numFmtId="4" fontId="10" fillId="13" borderId="2" xfId="0" applyNumberFormat="1" applyFont="1" applyFill="1" applyBorder="1" applyAlignment="1"/>
    <xf numFmtId="0" fontId="0" fillId="24" borderId="13" xfId="0" applyFont="1" applyFill="1" applyBorder="1" applyAlignment="1"/>
    <xf numFmtId="0" fontId="0" fillId="24" borderId="11" xfId="0" applyFont="1" applyFill="1" applyBorder="1" applyAlignment="1"/>
    <xf numFmtId="4" fontId="0" fillId="26" borderId="3" xfId="0" applyNumberFormat="1" applyFont="1" applyFill="1" applyBorder="1" applyAlignment="1">
      <alignment horizontal="right"/>
    </xf>
    <xf numFmtId="0" fontId="3" fillId="27" borderId="0" xfId="0" applyFont="1" applyFill="1" applyAlignment="1">
      <alignment horizontal="center"/>
    </xf>
    <xf numFmtId="0" fontId="4" fillId="28" borderId="0" xfId="0" applyFont="1" applyFill="1"/>
    <xf numFmtId="0" fontId="8" fillId="28" borderId="0" xfId="0" applyFont="1" applyFill="1"/>
    <xf numFmtId="4" fontId="1" fillId="28" borderId="0" xfId="0" applyNumberFormat="1" applyFont="1" applyFill="1"/>
    <xf numFmtId="4" fontId="1" fillId="27" borderId="0" xfId="0" applyNumberFormat="1" applyFont="1" applyFill="1"/>
    <xf numFmtId="4" fontId="1" fillId="28" borderId="0" xfId="0" applyNumberFormat="1" applyFont="1" applyFill="1" applyAlignment="1">
      <alignment horizontal="right"/>
    </xf>
    <xf numFmtId="4" fontId="1" fillId="27" borderId="0" xfId="0" applyNumberFormat="1" applyFont="1" applyFill="1" applyAlignment="1">
      <alignment horizontal="right"/>
    </xf>
    <xf numFmtId="4" fontId="1" fillId="16" borderId="0" xfId="0" applyNumberFormat="1" applyFont="1" applyFill="1" applyAlignment="1">
      <alignment horizontal="right"/>
    </xf>
    <xf numFmtId="4" fontId="1" fillId="27" borderId="6" xfId="0" applyNumberFormat="1" applyFont="1" applyFill="1" applyBorder="1" applyAlignment="1">
      <alignment horizontal="right"/>
    </xf>
    <xf numFmtId="0" fontId="4" fillId="7" borderId="0" xfId="0" applyFont="1" applyFill="1"/>
    <xf numFmtId="0" fontId="4" fillId="8" borderId="0" xfId="0" applyFont="1" applyFill="1"/>
    <xf numFmtId="0" fontId="4" fillId="27" borderId="0" xfId="0" applyFont="1" applyFill="1"/>
    <xf numFmtId="0" fontId="26" fillId="0" borderId="0" xfId="0" applyFont="1"/>
    <xf numFmtId="4" fontId="26" fillId="7" borderId="0" xfId="0" applyNumberFormat="1" applyFont="1" applyFill="1"/>
    <xf numFmtId="4" fontId="26" fillId="8" borderId="0" xfId="0" applyNumberFormat="1" applyFont="1" applyFill="1"/>
    <xf numFmtId="4" fontId="26" fillId="0" borderId="0" xfId="0" applyNumberFormat="1" applyFont="1"/>
    <xf numFmtId="4" fontId="26" fillId="2" borderId="0" xfId="0" applyNumberFormat="1" applyFont="1" applyFill="1"/>
    <xf numFmtId="4" fontId="26" fillId="27" borderId="0" xfId="0" applyNumberFormat="1" applyFont="1" applyFill="1"/>
    <xf numFmtId="4" fontId="26" fillId="10" borderId="0" xfId="0" applyNumberFormat="1" applyFont="1" applyFill="1"/>
    <xf numFmtId="0" fontId="27" fillId="0" borderId="0" xfId="0" applyFont="1"/>
    <xf numFmtId="4" fontId="27" fillId="7" borderId="6" xfId="0" applyNumberFormat="1" applyFont="1" applyFill="1" applyBorder="1"/>
    <xf numFmtId="4" fontId="27" fillId="8" borderId="6" xfId="0" applyNumberFormat="1" applyFont="1" applyFill="1" applyBorder="1"/>
    <xf numFmtId="4" fontId="27" fillId="0" borderId="6" xfId="0" applyNumberFormat="1" applyFont="1" applyBorder="1"/>
    <xf numFmtId="4" fontId="27" fillId="2" borderId="6" xfId="0" applyNumberFormat="1" applyFont="1" applyFill="1" applyBorder="1"/>
    <xf numFmtId="4" fontId="27" fillId="27" borderId="6" xfId="0" applyNumberFormat="1" applyFont="1" applyFill="1" applyBorder="1"/>
    <xf numFmtId="4" fontId="27" fillId="10" borderId="6" xfId="0" applyNumberFormat="1" applyFont="1" applyFill="1" applyBorder="1"/>
    <xf numFmtId="4" fontId="27" fillId="7" borderId="14" xfId="0" applyNumberFormat="1" applyFont="1" applyFill="1" applyBorder="1"/>
    <xf numFmtId="4" fontId="27" fillId="8" borderId="14" xfId="0" applyNumberFormat="1" applyFont="1" applyFill="1" applyBorder="1"/>
    <xf numFmtId="4" fontId="4" fillId="7" borderId="0" xfId="0" applyNumberFormat="1" applyFont="1" applyFill="1"/>
    <xf numFmtId="4" fontId="4" fillId="2" borderId="0" xfId="0" applyNumberFormat="1" applyFont="1" applyFill="1"/>
    <xf numFmtId="4" fontId="4" fillId="27" borderId="0" xfId="0" applyNumberFormat="1" applyFont="1" applyFill="1"/>
    <xf numFmtId="4" fontId="4" fillId="10" borderId="0" xfId="0" applyNumberFormat="1" applyFont="1" applyFill="1"/>
    <xf numFmtId="0" fontId="12" fillId="0" borderId="0" xfId="0" applyFont="1"/>
    <xf numFmtId="0" fontId="25" fillId="0" borderId="0" xfId="0" applyFont="1"/>
    <xf numFmtId="4" fontId="27" fillId="7" borderId="15" xfId="0" applyNumberFormat="1" applyFont="1" applyFill="1" applyBorder="1"/>
    <xf numFmtId="4" fontId="27" fillId="8" borderId="15" xfId="0" applyNumberFormat="1" applyFont="1" applyFill="1" applyBorder="1"/>
    <xf numFmtId="0" fontId="11" fillId="0" borderId="19" xfId="0" applyFont="1" applyBorder="1" applyAlignment="1">
      <alignment horizontal="center" wrapText="1"/>
    </xf>
    <xf numFmtId="0" fontId="11" fillId="0" borderId="20" xfId="0" applyFont="1" applyBorder="1" applyAlignment="1">
      <alignment horizontal="center" wrapText="1"/>
    </xf>
    <xf numFmtId="0" fontId="0" fillId="0" borderId="21" xfId="0" applyFont="1" applyBorder="1" applyAlignment="1">
      <alignment wrapText="1"/>
    </xf>
    <xf numFmtId="4" fontId="0" fillId="0" borderId="0" xfId="0" applyNumberFormat="1" applyFont="1"/>
    <xf numFmtId="0" fontId="6" fillId="0" borderId="0" xfId="0" applyFont="1" applyAlignment="1">
      <alignment horizontal="center"/>
    </xf>
    <xf numFmtId="0" fontId="6" fillId="0" borderId="0" xfId="0" applyFont="1" applyAlignment="1"/>
    <xf numFmtId="164" fontId="6" fillId="0" borderId="9" xfId="0" applyNumberFormat="1" applyFont="1" applyBorder="1" applyAlignment="1">
      <alignment horizontal="right"/>
    </xf>
    <xf numFmtId="0" fontId="11" fillId="0" borderId="0" xfId="0" applyFont="1" applyAlignment="1"/>
    <xf numFmtId="4" fontId="0" fillId="0" borderId="22" xfId="0" applyNumberFormat="1" applyFont="1" applyBorder="1"/>
    <xf numFmtId="4" fontId="0" fillId="0" borderId="23" xfId="0" applyNumberFormat="1" applyFont="1" applyBorder="1"/>
    <xf numFmtId="0" fontId="0" fillId="0" borderId="0" xfId="0" applyFont="1" applyAlignment="1">
      <alignment wrapText="1"/>
    </xf>
    <xf numFmtId="0" fontId="10" fillId="0" borderId="2" xfId="0" applyFont="1" applyBorder="1" applyAlignment="1"/>
    <xf numFmtId="0" fontId="11" fillId="0" borderId="5" xfId="0" applyFont="1" applyBorder="1" applyAlignment="1"/>
    <xf numFmtId="0" fontId="11" fillId="0" borderId="5" xfId="0" applyFont="1" applyBorder="1" applyAlignment="1">
      <alignment horizontal="center" wrapText="1"/>
    </xf>
    <xf numFmtId="0" fontId="13" fillId="0" borderId="11" xfId="0" applyFont="1" applyBorder="1" applyAlignment="1">
      <alignment horizontal="right"/>
    </xf>
    <xf numFmtId="0" fontId="13" fillId="0" borderId="10" xfId="0" applyFont="1" applyBorder="1" applyAlignment="1">
      <alignment horizontal="right"/>
    </xf>
    <xf numFmtId="164" fontId="0" fillId="18" borderId="10" xfId="0" applyNumberFormat="1" applyFont="1" applyFill="1" applyBorder="1" applyAlignment="1">
      <alignment horizontal="right"/>
    </xf>
    <xf numFmtId="164" fontId="0" fillId="35" borderId="10" xfId="0" applyNumberFormat="1" applyFont="1" applyFill="1" applyBorder="1" applyAlignment="1">
      <alignment horizontal="right"/>
    </xf>
    <xf numFmtId="10" fontId="0" fillId="15" borderId="10" xfId="0" applyNumberFormat="1" applyFont="1" applyFill="1" applyBorder="1" applyAlignment="1">
      <alignment horizontal="right"/>
    </xf>
    <xf numFmtId="165" fontId="0" fillId="36" borderId="10" xfId="0" applyNumberFormat="1" applyFont="1" applyFill="1" applyBorder="1" applyAlignment="1">
      <alignment horizontal="right"/>
    </xf>
    <xf numFmtId="0" fontId="11" fillId="0" borderId="0" xfId="0" applyFont="1" applyAlignment="1">
      <alignment horizontal="right"/>
    </xf>
    <xf numFmtId="0" fontId="15" fillId="0" borderId="0" xfId="0" applyFont="1" applyAlignment="1">
      <alignment horizontal="center"/>
    </xf>
    <xf numFmtId="10" fontId="11" fillId="26" borderId="9" xfId="0" applyNumberFormat="1" applyFont="1" applyFill="1" applyBorder="1" applyAlignment="1">
      <alignment horizontal="center"/>
    </xf>
    <xf numFmtId="2" fontId="11" fillId="26" borderId="9" xfId="0" applyNumberFormat="1" applyFont="1" applyFill="1" applyBorder="1" applyAlignment="1">
      <alignment horizontal="center"/>
    </xf>
    <xf numFmtId="4" fontId="11" fillId="26" borderId="9" xfId="0" applyNumberFormat="1" applyFont="1" applyFill="1" applyBorder="1" applyAlignment="1">
      <alignment horizontal="center"/>
    </xf>
    <xf numFmtId="0" fontId="10" fillId="19" borderId="0" xfId="0" applyFont="1" applyFill="1" applyAlignment="1"/>
    <xf numFmtId="0" fontId="16" fillId="13" borderId="13" xfId="0" applyFont="1" applyFill="1" applyBorder="1" applyAlignment="1"/>
    <xf numFmtId="0" fontId="10" fillId="13" borderId="0" xfId="0" applyFont="1" applyFill="1" applyAlignment="1"/>
    <xf numFmtId="14" fontId="17" fillId="13" borderId="0" xfId="0" applyNumberFormat="1" applyFont="1" applyFill="1" applyAlignment="1">
      <alignment horizontal="right"/>
    </xf>
    <xf numFmtId="164" fontId="0" fillId="16" borderId="0" xfId="0" applyNumberFormat="1" applyFont="1" applyFill="1" applyAlignment="1">
      <alignment horizontal="right"/>
    </xf>
    <xf numFmtId="164" fontId="0" fillId="37" borderId="0" xfId="0" applyNumberFormat="1" applyFont="1" applyFill="1" applyAlignment="1">
      <alignment horizontal="right"/>
    </xf>
    <xf numFmtId="4" fontId="26" fillId="20" borderId="9" xfId="0" applyNumberFormat="1" applyFont="1" applyFill="1" applyBorder="1" applyAlignment="1"/>
    <xf numFmtId="0" fontId="0" fillId="32" borderId="0" xfId="0" applyFont="1" applyFill="1" applyAlignment="1">
      <alignment horizontal="right"/>
    </xf>
    <xf numFmtId="14" fontId="17" fillId="0" borderId="0" xfId="0" applyNumberFormat="1" applyFont="1" applyAlignment="1">
      <alignment horizontal="right"/>
    </xf>
    <xf numFmtId="0" fontId="0" fillId="38" borderId="0" xfId="0" applyFont="1" applyFill="1" applyAlignment="1"/>
    <xf numFmtId="14" fontId="0" fillId="38" borderId="0" xfId="0" applyNumberFormat="1" applyFont="1" applyFill="1" applyAlignment="1">
      <alignment horizontal="right"/>
    </xf>
    <xf numFmtId="164" fontId="27" fillId="20" borderId="9" xfId="0" applyNumberFormat="1" applyFont="1" applyFill="1" applyBorder="1" applyAlignment="1"/>
    <xf numFmtId="164" fontId="10" fillId="20" borderId="9" xfId="0" applyNumberFormat="1" applyFont="1" applyFill="1" applyBorder="1" applyAlignment="1"/>
    <xf numFmtId="0" fontId="17" fillId="16" borderId="0" xfId="0" applyFont="1" applyFill="1" applyAlignment="1"/>
    <xf numFmtId="0" fontId="18" fillId="0" borderId="0" xfId="0" applyFont="1" applyAlignment="1"/>
    <xf numFmtId="0" fontId="34" fillId="0" borderId="0" xfId="0" applyFont="1" applyAlignment="1"/>
    <xf numFmtId="164" fontId="0" fillId="8" borderId="0" xfId="0" applyNumberFormat="1" applyFont="1" applyFill="1" applyAlignment="1">
      <alignment horizontal="right"/>
    </xf>
    <xf numFmtId="4" fontId="10" fillId="3" borderId="13" xfId="0" applyNumberFormat="1" applyFont="1" applyFill="1" applyBorder="1" applyAlignment="1"/>
    <xf numFmtId="4" fontId="17" fillId="0" borderId="0" xfId="0" applyNumberFormat="1" applyFont="1" applyAlignment="1">
      <alignment horizontal="right"/>
    </xf>
    <xf numFmtId="4" fontId="35" fillId="39" borderId="0" xfId="0" applyNumberFormat="1" applyFont="1" applyFill="1" applyAlignment="1">
      <alignment horizontal="right"/>
    </xf>
    <xf numFmtId="0" fontId="0" fillId="3" borderId="0" xfId="0" applyFont="1" applyFill="1" applyAlignment="1"/>
    <xf numFmtId="0" fontId="10" fillId="20" borderId="9" xfId="0" applyFont="1" applyFill="1" applyBorder="1" applyAlignment="1"/>
    <xf numFmtId="0" fontId="17" fillId="2" borderId="0" xfId="0" applyFont="1" applyFill="1" applyAlignment="1"/>
    <xf numFmtId="0" fontId="10" fillId="2" borderId="13" xfId="0" applyFont="1" applyFill="1" applyBorder="1" applyAlignment="1"/>
    <xf numFmtId="0" fontId="10" fillId="22" borderId="0" xfId="0" applyFont="1" applyFill="1" applyAlignment="1"/>
    <xf numFmtId="4" fontId="26" fillId="22" borderId="0" xfId="0" applyNumberFormat="1" applyFont="1" applyFill="1" applyAlignment="1"/>
    <xf numFmtId="2" fontId="4" fillId="0" borderId="0" xfId="0" applyNumberFormat="1" applyFont="1"/>
    <xf numFmtId="169" fontId="10" fillId="0" borderId="0" xfId="0" applyNumberFormat="1" applyFont="1" applyAlignment="1"/>
    <xf numFmtId="169" fontId="26" fillId="0" borderId="0" xfId="0" applyNumberFormat="1" applyFont="1" applyAlignment="1"/>
    <xf numFmtId="0" fontId="0" fillId="29" borderId="0" xfId="0" applyFont="1" applyFill="1" applyAlignment="1">
      <alignment horizontal="right"/>
    </xf>
    <xf numFmtId="2" fontId="10" fillId="13" borderId="0" xfId="0" applyNumberFormat="1" applyFont="1" applyFill="1" applyAlignment="1">
      <alignment horizontal="right"/>
    </xf>
    <xf numFmtId="0" fontId="0" fillId="0" borderId="0" xfId="0" applyFont="1" applyAlignment="1">
      <alignment horizontal="center"/>
    </xf>
    <xf numFmtId="4" fontId="0" fillId="3" borderId="0" xfId="0" applyNumberFormat="1" applyFont="1" applyFill="1" applyAlignment="1">
      <alignment horizontal="right"/>
    </xf>
    <xf numFmtId="4" fontId="26" fillId="24" borderId="9" xfId="0" applyNumberFormat="1" applyFont="1" applyFill="1" applyBorder="1" applyAlignment="1"/>
    <xf numFmtId="0" fontId="4" fillId="13" borderId="0" xfId="0" applyFont="1" applyFill="1" applyAlignment="1">
      <alignment wrapText="1"/>
    </xf>
    <xf numFmtId="0" fontId="2" fillId="13" borderId="0" xfId="0" applyFont="1" applyFill="1"/>
    <xf numFmtId="0" fontId="4" fillId="13" borderId="0" xfId="0" applyFont="1" applyFill="1"/>
    <xf numFmtId="0" fontId="2" fillId="3" borderId="0" xfId="0" applyFont="1" applyFill="1"/>
    <xf numFmtId="0" fontId="4" fillId="0" borderId="0" xfId="0" applyFont="1" applyAlignment="1">
      <alignment wrapText="1"/>
    </xf>
    <xf numFmtId="0" fontId="3" fillId="0" borderId="0" xfId="0" applyFont="1" applyFill="1" applyAlignment="1">
      <alignment horizontal="center"/>
    </xf>
    <xf numFmtId="0" fontId="4" fillId="0" borderId="0" xfId="0" applyFont="1" applyFill="1"/>
    <xf numFmtId="14" fontId="3" fillId="0" borderId="0" xfId="0" applyNumberFormat="1" applyFont="1" applyFill="1" applyAlignment="1">
      <alignment horizontal="center"/>
    </xf>
    <xf numFmtId="4" fontId="1" fillId="0" borderId="0" xfId="0" applyNumberFormat="1" applyFont="1" applyFill="1" applyAlignment="1">
      <alignment horizontal="right"/>
    </xf>
    <xf numFmtId="4" fontId="1" fillId="0" borderId="2" xfId="0" applyNumberFormat="1" applyFont="1" applyFill="1" applyBorder="1" applyAlignment="1">
      <alignment horizontal="right"/>
    </xf>
    <xf numFmtId="4" fontId="1" fillId="0" borderId="0" xfId="0" applyNumberFormat="1" applyFont="1" applyFill="1" applyAlignment="1"/>
    <xf numFmtId="4" fontId="1" fillId="0" borderId="0" xfId="0" applyNumberFormat="1" applyFont="1" applyFill="1"/>
    <xf numFmtId="4" fontId="1" fillId="0" borderId="2" xfId="0" applyNumberFormat="1" applyFont="1" applyFill="1" applyBorder="1"/>
    <xf numFmtId="4" fontId="3" fillId="0" borderId="3" xfId="0" applyNumberFormat="1" applyFont="1" applyFill="1" applyBorder="1" applyAlignment="1">
      <alignment horizontal="right"/>
    </xf>
    <xf numFmtId="4" fontId="1" fillId="0" borderId="3" xfId="0" applyNumberFormat="1" applyFont="1" applyFill="1" applyBorder="1" applyAlignment="1">
      <alignment horizontal="right"/>
    </xf>
    <xf numFmtId="4" fontId="3" fillId="0" borderId="0" xfId="0" applyNumberFormat="1" applyFont="1" applyFill="1" applyAlignment="1">
      <alignment horizontal="right"/>
    </xf>
    <xf numFmtId="0" fontId="1" fillId="0" borderId="2" xfId="0" applyFont="1" applyFill="1" applyBorder="1" applyAlignment="1">
      <alignment horizontal="center"/>
    </xf>
    <xf numFmtId="4" fontId="1" fillId="0" borderId="1" xfId="0" applyNumberFormat="1" applyFont="1" applyFill="1" applyBorder="1" applyAlignment="1">
      <alignment horizontal="center" wrapText="1"/>
    </xf>
    <xf numFmtId="4" fontId="3" fillId="0" borderId="6" xfId="0" applyNumberFormat="1" applyFont="1" applyFill="1" applyBorder="1" applyAlignment="1">
      <alignment horizontal="right"/>
    </xf>
    <xf numFmtId="4" fontId="3" fillId="0" borderId="2" xfId="0" applyNumberFormat="1" applyFont="1" applyFill="1" applyBorder="1" applyAlignment="1">
      <alignment horizontal="right"/>
    </xf>
    <xf numFmtId="4" fontId="3" fillId="0" borderId="3" xfId="0" applyNumberFormat="1" applyFont="1" applyFill="1" applyBorder="1"/>
    <xf numFmtId="4" fontId="3" fillId="0" borderId="0" xfId="0" applyNumberFormat="1" applyFont="1" applyFill="1"/>
    <xf numFmtId="4" fontId="1" fillId="0" borderId="6" xfId="0" applyNumberFormat="1" applyFont="1" applyFill="1" applyBorder="1" applyAlignment="1">
      <alignment horizontal="right"/>
    </xf>
    <xf numFmtId="4" fontId="1" fillId="0" borderId="2" xfId="0" applyNumberFormat="1" applyFont="1" applyFill="1" applyBorder="1" applyAlignment="1"/>
    <xf numFmtId="4" fontId="1" fillId="0" borderId="6" xfId="0" applyNumberFormat="1" applyFont="1" applyFill="1" applyBorder="1"/>
    <xf numFmtId="4" fontId="1" fillId="0" borderId="7" xfId="0" applyNumberFormat="1" applyFont="1" applyFill="1" applyBorder="1"/>
    <xf numFmtId="4" fontId="1" fillId="0" borderId="6" xfId="0" applyNumberFormat="1" applyFont="1" applyFill="1" applyBorder="1" applyAlignment="1"/>
    <xf numFmtId="4" fontId="3" fillId="0" borderId="6" xfId="0" applyNumberFormat="1" applyFont="1" applyFill="1" applyBorder="1"/>
    <xf numFmtId="4" fontId="3" fillId="0" borderId="6" xfId="0" applyNumberFormat="1" applyFont="1" applyFill="1" applyBorder="1" applyAlignment="1"/>
    <xf numFmtId="4" fontId="1" fillId="0" borderId="8" xfId="0" applyNumberFormat="1" applyFont="1" applyFill="1" applyBorder="1"/>
    <xf numFmtId="4" fontId="1" fillId="0" borderId="8" xfId="0" applyNumberFormat="1" applyFont="1" applyFill="1" applyBorder="1" applyAlignment="1"/>
    <xf numFmtId="4" fontId="1" fillId="0" borderId="7" xfId="0" applyNumberFormat="1" applyFont="1" applyFill="1" applyBorder="1" applyAlignment="1">
      <alignment horizontal="right"/>
    </xf>
    <xf numFmtId="4" fontId="5" fillId="0" borderId="6" xfId="0" applyNumberFormat="1" applyFont="1" applyFill="1" applyBorder="1" applyAlignment="1">
      <alignment horizontal="right"/>
    </xf>
    <xf numFmtId="4" fontId="5" fillId="0" borderId="0" xfId="0" applyNumberFormat="1" applyFont="1" applyFill="1"/>
    <xf numFmtId="4" fontId="5" fillId="0" borderId="0" xfId="0" applyNumberFormat="1" applyFont="1" applyFill="1" applyAlignment="1"/>
    <xf numFmtId="0" fontId="0" fillId="0" borderId="0" xfId="0" applyFont="1" applyFill="1" applyAlignment="1"/>
    <xf numFmtId="0" fontId="3" fillId="40" borderId="0" xfId="0" applyFont="1" applyFill="1" applyAlignment="1">
      <alignment horizontal="center"/>
    </xf>
    <xf numFmtId="4" fontId="1" fillId="40" borderId="0" xfId="0" applyNumberFormat="1" applyFont="1" applyFill="1" applyAlignment="1">
      <alignment horizontal="right"/>
    </xf>
    <xf numFmtId="4" fontId="1" fillId="40" borderId="2" xfId="0" applyNumberFormat="1" applyFont="1" applyFill="1" applyBorder="1" applyAlignment="1">
      <alignment horizontal="right"/>
    </xf>
    <xf numFmtId="4" fontId="1" fillId="40" borderId="0" xfId="0" applyNumberFormat="1" applyFont="1" applyFill="1"/>
    <xf numFmtId="4" fontId="1" fillId="40" borderId="2" xfId="0" applyNumberFormat="1" applyFont="1" applyFill="1" applyBorder="1"/>
    <xf numFmtId="4" fontId="1" fillId="40" borderId="3" xfId="0" applyNumberFormat="1" applyFont="1" applyFill="1" applyBorder="1" applyAlignment="1">
      <alignment horizontal="right"/>
    </xf>
    <xf numFmtId="0" fontId="1" fillId="40" borderId="2" xfId="0" applyFont="1" applyFill="1" applyBorder="1" applyAlignment="1">
      <alignment horizontal="center"/>
    </xf>
    <xf numFmtId="4" fontId="1" fillId="40" borderId="1" xfId="0" applyNumberFormat="1" applyFont="1" applyFill="1" applyBorder="1" applyAlignment="1">
      <alignment horizontal="center" wrapText="1"/>
    </xf>
    <xf numFmtId="4" fontId="3" fillId="40" borderId="6" xfId="0" applyNumberFormat="1" applyFont="1" applyFill="1" applyBorder="1" applyAlignment="1">
      <alignment horizontal="right"/>
    </xf>
    <xf numFmtId="4" fontId="3" fillId="40" borderId="0" xfId="0" applyNumberFormat="1" applyFont="1" applyFill="1" applyAlignment="1">
      <alignment horizontal="right"/>
    </xf>
    <xf numFmtId="4" fontId="3" fillId="40" borderId="2" xfId="0" applyNumberFormat="1" applyFont="1" applyFill="1" applyBorder="1" applyAlignment="1">
      <alignment horizontal="right"/>
    </xf>
    <xf numFmtId="4" fontId="3" fillId="40" borderId="3" xfId="0" applyNumberFormat="1" applyFont="1" applyFill="1" applyBorder="1"/>
    <xf numFmtId="4" fontId="3" fillId="40" borderId="0" xfId="0" applyNumberFormat="1" applyFont="1" applyFill="1"/>
    <xf numFmtId="4" fontId="1" fillId="40" borderId="6" xfId="0" applyNumberFormat="1" applyFont="1" applyFill="1" applyBorder="1" applyAlignment="1">
      <alignment horizontal="right"/>
    </xf>
    <xf numFmtId="4" fontId="1" fillId="40" borderId="6" xfId="0" applyNumberFormat="1" applyFont="1" applyFill="1" applyBorder="1"/>
    <xf numFmtId="4" fontId="1" fillId="40" borderId="0" xfId="0" applyNumberFormat="1" applyFont="1" applyFill="1" applyAlignment="1"/>
    <xf numFmtId="4" fontId="1" fillId="40" borderId="7" xfId="0" applyNumberFormat="1" applyFont="1" applyFill="1" applyBorder="1"/>
    <xf numFmtId="4" fontId="3" fillId="40" borderId="6" xfId="0" applyNumberFormat="1" applyFont="1" applyFill="1" applyBorder="1"/>
    <xf numFmtId="4" fontId="1" fillId="40" borderId="8" xfId="0" applyNumberFormat="1" applyFont="1" applyFill="1" applyBorder="1"/>
    <xf numFmtId="4" fontId="1" fillId="40" borderId="7" xfId="0" applyNumberFormat="1" applyFont="1" applyFill="1" applyBorder="1" applyAlignment="1">
      <alignment horizontal="right"/>
    </xf>
    <xf numFmtId="4" fontId="5" fillId="40" borderId="6" xfId="0" applyNumberFormat="1" applyFont="1" applyFill="1" applyBorder="1" applyAlignment="1">
      <alignment horizontal="right"/>
    </xf>
    <xf numFmtId="4" fontId="5" fillId="40" borderId="0" xfId="0" applyNumberFormat="1" applyFont="1" applyFill="1"/>
    <xf numFmtId="0" fontId="0" fillId="40" borderId="0" xfId="0" applyFont="1" applyFill="1" applyAlignment="1"/>
    <xf numFmtId="49" fontId="16" fillId="13" borderId="0" xfId="0" applyNumberFormat="1" applyFont="1" applyFill="1" applyAlignment="1">
      <alignment horizontal="center"/>
    </xf>
    <xf numFmtId="164" fontId="0" fillId="41" borderId="0" xfId="0" applyNumberFormat="1" applyFont="1" applyFill="1" applyAlignment="1">
      <alignment horizontal="right"/>
    </xf>
    <xf numFmtId="4" fontId="10" fillId="42" borderId="24" xfId="0" applyNumberFormat="1" applyFont="1" applyFill="1" applyBorder="1" applyAlignment="1"/>
    <xf numFmtId="0" fontId="10" fillId="0" borderId="13" xfId="0" applyFont="1" applyBorder="1" applyAlignment="1"/>
    <xf numFmtId="0" fontId="23" fillId="0" borderId="0" xfId="0" applyFont="1" applyAlignment="1"/>
    <xf numFmtId="0" fontId="8" fillId="43" borderId="0" xfId="0" applyFont="1" applyFill="1"/>
    <xf numFmtId="0" fontId="36" fillId="43" borderId="0" xfId="0" applyFont="1" applyFill="1" applyAlignment="1"/>
    <xf numFmtId="0" fontId="1" fillId="43" borderId="0" xfId="0" applyFont="1" applyFill="1"/>
    <xf numFmtId="4" fontId="1" fillId="43" borderId="0" xfId="0" applyNumberFormat="1" applyFont="1" applyFill="1"/>
    <xf numFmtId="0" fontId="0" fillId="43" borderId="0" xfId="0" applyFont="1" applyFill="1" applyAlignment="1"/>
    <xf numFmtId="0" fontId="0" fillId="22" borderId="0" xfId="0" applyFont="1" applyFill="1" applyAlignment="1"/>
    <xf numFmtId="0" fontId="0" fillId="0" borderId="0" xfId="0" applyFont="1" applyAlignment="1"/>
    <xf numFmtId="0" fontId="37" fillId="0" borderId="13" xfId="0" applyFont="1" applyFill="1" applyBorder="1" applyAlignment="1">
      <alignment horizontal="center" vertical="center"/>
    </xf>
    <xf numFmtId="0" fontId="14" fillId="0" borderId="0" xfId="0" applyFont="1" applyAlignment="1"/>
    <xf numFmtId="0" fontId="11" fillId="3" borderId="0" xfId="0" applyFont="1" applyFill="1" applyAlignment="1">
      <alignment horizontal="center"/>
    </xf>
    <xf numFmtId="0" fontId="0" fillId="24" borderId="0" xfId="0" applyFont="1" applyFill="1" applyAlignment="1"/>
    <xf numFmtId="0" fontId="23" fillId="0" borderId="11" xfId="0" applyFont="1" applyBorder="1"/>
    <xf numFmtId="0" fontId="10" fillId="24" borderId="9" xfId="0" applyFont="1" applyFill="1" applyBorder="1" applyAlignment="1"/>
    <xf numFmtId="0" fontId="23" fillId="0" borderId="10" xfId="0" applyFont="1" applyBorder="1"/>
    <xf numFmtId="0" fontId="0" fillId="4" borderId="9" xfId="0" applyFont="1" applyFill="1" applyBorder="1" applyAlignment="1"/>
    <xf numFmtId="0" fontId="11" fillId="4" borderId="0" xfId="0" applyFont="1" applyFill="1" applyAlignment="1"/>
    <xf numFmtId="0" fontId="11" fillId="24" borderId="0" xfId="0" applyFont="1" applyFill="1" applyAlignment="1"/>
    <xf numFmtId="0" fontId="0" fillId="4" borderId="0" xfId="0" applyFont="1" applyFill="1" applyAlignment="1"/>
    <xf numFmtId="0" fontId="22" fillId="0" borderId="0" xfId="0" applyFont="1" applyAlignment="1">
      <alignment horizontal="center"/>
    </xf>
    <xf numFmtId="0" fontId="11" fillId="0" borderId="16" xfId="0" applyFont="1" applyBorder="1" applyAlignment="1">
      <alignment horizontal="center" wrapText="1"/>
    </xf>
    <xf numFmtId="0" fontId="23" fillId="0" borderId="17" xfId="0" applyFont="1" applyBorder="1"/>
    <xf numFmtId="0" fontId="23" fillId="0" borderId="18" xfId="0" applyFont="1" applyBorder="1"/>
    <xf numFmtId="0" fontId="33" fillId="0" borderId="0" xfId="0" applyFont="1" applyAlignment="1"/>
    <xf numFmtId="0" fontId="11" fillId="26" borderId="0" xfId="0" applyFont="1" applyFill="1" applyAlignment="1">
      <alignment horizontal="center"/>
    </xf>
    <xf numFmtId="0" fontId="0" fillId="11" borderId="0" xfId="0" applyFont="1" applyFill="1" applyAlignment="1"/>
  </cellXfs>
  <cellStyles count="1">
    <cellStyle name="Normal" xfId="0" builtinId="0"/>
  </cellStyles>
  <dxfs count="11">
    <dxf>
      <fill>
        <patternFill patternType="solid">
          <fgColor rgb="FFB7E1CD"/>
          <bgColor rgb="FFB7E1CD"/>
        </patternFill>
      </fill>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
      <fill>
        <patternFill patternType="solid">
          <fgColor rgb="FFA4C2F4"/>
          <bgColor rgb="FFA4C2F4"/>
        </patternFill>
      </fill>
    </dxf>
    <dxf>
      <fill>
        <patternFill patternType="solid">
          <fgColor rgb="FFC9DAF8"/>
          <bgColor rgb="FFC9DAF8"/>
        </patternFill>
      </fill>
    </dxf>
    <dxf>
      <fill>
        <patternFill patternType="solid">
          <fgColor rgb="FFA4C2F4"/>
          <bgColor rgb="FFA4C2F4"/>
        </patternFill>
      </fill>
    </dxf>
    <dxf>
      <fill>
        <patternFill patternType="solid">
          <fgColor rgb="FFF9CB9C"/>
          <bgColor rgb="FFF9CB9C"/>
        </patternFill>
      </fill>
    </dxf>
    <dxf>
      <fill>
        <patternFill patternType="solid">
          <fgColor rgb="FFF6B26B"/>
          <bgColor rgb="FFF6B26B"/>
        </patternFill>
      </fill>
    </dxf>
    <dxf>
      <fill>
        <patternFill patternType="solid">
          <fgColor rgb="FFCCA677"/>
          <bgColor rgb="FFCCA677"/>
        </patternFill>
      </fill>
    </dxf>
  </dxfs>
  <tableStyles count="2">
    <tableStyle name="2022 BUDGET -style" pivot="0" count="3">
      <tableStyleElement type="headerRow" dxfId="10"/>
      <tableStyleElement type="firstRowStripe" dxfId="9"/>
      <tableStyleElement type="secondRowStripe" dxfId="8"/>
    </tableStyle>
    <tableStyle name="2022 BUDGET -style 2" pivot="0" count="3">
      <tableStyleElement type="headerRow" dxfId="7"/>
      <tableStyleElement type="firstRowStripe" dxfId="6"/>
      <tableStyleElement type="secondRowStripe" dxfId="5"/>
    </tableStyle>
  </tableStyles>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_1" displayName="Table_1" ref="F3:F2665" headerRowCount="0" headerRowDxfId="4" dataDxfId="3" totalsRowDxfId="2">
  <tableColumns count="1">
    <tableColumn id="1" name="Column1" dataDxfId="1"/>
  </tableColumns>
  <tableStyleInfo name="2022 BUDGET -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52"/>
  <sheetViews>
    <sheetView tabSelected="1" workbookViewId="0">
      <selection activeCell="G9" sqref="G9"/>
    </sheetView>
  </sheetViews>
  <sheetFormatPr defaultColWidth="14.42578125" defaultRowHeight="15" customHeight="1" x14ac:dyDescent="0.25"/>
  <cols>
    <col min="1" max="1" width="7.28515625" customWidth="1"/>
    <col min="2" max="2" width="17.140625" customWidth="1"/>
    <col min="3" max="3" width="46.140625" customWidth="1"/>
    <col min="4" max="4" width="19.42578125" style="464" customWidth="1"/>
    <col min="5" max="5" width="18.28515625" style="464" customWidth="1"/>
    <col min="6" max="6" width="11" style="487" customWidth="1"/>
    <col min="7" max="9" width="18.28515625" style="464" customWidth="1"/>
    <col min="10" max="10" width="18.7109375" style="464" customWidth="1"/>
  </cols>
  <sheetData>
    <row r="1" spans="1:10" s="265" customFormat="1" ht="20.100000000000001" customHeight="1" x14ac:dyDescent="0.25">
      <c r="A1" s="500" t="s">
        <v>4319</v>
      </c>
      <c r="B1" s="500"/>
      <c r="C1" s="500"/>
      <c r="D1" s="500"/>
      <c r="E1" s="500"/>
      <c r="F1" s="464"/>
      <c r="G1" s="464"/>
      <c r="H1" s="464"/>
      <c r="I1" s="464"/>
      <c r="J1" s="464"/>
    </row>
    <row r="2" spans="1:10" s="265" customFormat="1" ht="18.95" customHeight="1" x14ac:dyDescent="0.25">
      <c r="A2" s="500"/>
      <c r="B2" s="500"/>
      <c r="C2" s="500"/>
      <c r="D2" s="500"/>
      <c r="E2" s="500"/>
      <c r="F2" s="464"/>
      <c r="G2" s="464"/>
      <c r="H2" s="464"/>
      <c r="I2" s="464"/>
      <c r="J2" s="464"/>
    </row>
    <row r="3" spans="1:10" ht="18" customHeight="1" x14ac:dyDescent="0.25">
      <c r="A3" s="1"/>
      <c r="B3" s="1"/>
      <c r="C3" s="9"/>
      <c r="D3" s="434">
        <v>2022</v>
      </c>
      <c r="E3" s="434">
        <v>2021</v>
      </c>
      <c r="F3" s="465" t="s">
        <v>1</v>
      </c>
      <c r="G3" s="434">
        <v>2021</v>
      </c>
      <c r="H3" s="434">
        <v>2020</v>
      </c>
      <c r="I3" s="434">
        <v>2019</v>
      </c>
      <c r="J3" s="434">
        <v>2018</v>
      </c>
    </row>
    <row r="4" spans="1:10" ht="19.5" customHeight="1" x14ac:dyDescent="0.25">
      <c r="A4" s="11"/>
      <c r="B4" s="12" t="s">
        <v>4</v>
      </c>
      <c r="C4" s="12" t="s">
        <v>5</v>
      </c>
      <c r="D4" s="434" t="s">
        <v>6</v>
      </c>
      <c r="E4" s="434" t="s">
        <v>7</v>
      </c>
      <c r="F4" s="465" t="s">
        <v>2</v>
      </c>
      <c r="G4" s="434" t="s">
        <v>6</v>
      </c>
      <c r="H4" s="434" t="s">
        <v>9</v>
      </c>
      <c r="I4" s="434" t="s">
        <v>9</v>
      </c>
      <c r="J4" s="434" t="s">
        <v>9</v>
      </c>
    </row>
    <row r="5" spans="1:10" ht="13.5" customHeight="1" x14ac:dyDescent="0.25">
      <c r="A5" s="1"/>
      <c r="B5" s="1"/>
      <c r="C5" s="1" t="s">
        <v>0</v>
      </c>
      <c r="D5" s="434" t="s">
        <v>10</v>
      </c>
      <c r="E5" s="436">
        <v>44377</v>
      </c>
      <c r="F5" s="465" t="s">
        <v>11</v>
      </c>
      <c r="G5" s="436" t="s">
        <v>10</v>
      </c>
      <c r="H5" s="436"/>
      <c r="I5" s="436"/>
      <c r="J5" s="434" t="s">
        <v>12</v>
      </c>
    </row>
    <row r="6" spans="1:10" ht="13.5" customHeight="1" x14ac:dyDescent="0.25">
      <c r="A6" s="14" t="s">
        <v>13</v>
      </c>
      <c r="B6" s="1"/>
      <c r="C6" s="14"/>
      <c r="D6" s="434"/>
      <c r="E6" s="434"/>
      <c r="F6" s="465"/>
      <c r="G6" s="434"/>
      <c r="H6" s="434"/>
      <c r="I6" s="434"/>
      <c r="J6" s="434"/>
    </row>
    <row r="7" spans="1:10" ht="13.5" customHeight="1" x14ac:dyDescent="0.25">
      <c r="A7" s="1"/>
      <c r="B7" s="1"/>
      <c r="C7" s="14" t="s">
        <v>14</v>
      </c>
      <c r="D7" s="434"/>
      <c r="E7" s="434"/>
      <c r="F7" s="465"/>
      <c r="G7" s="434"/>
      <c r="H7" s="434"/>
      <c r="I7" s="434"/>
      <c r="J7" s="434"/>
    </row>
    <row r="8" spans="1:10" ht="13.5" customHeight="1" x14ac:dyDescent="0.25">
      <c r="A8" s="1"/>
      <c r="B8" s="1" t="s">
        <v>15</v>
      </c>
      <c r="C8" s="1" t="s">
        <v>16</v>
      </c>
      <c r="D8" s="437">
        <v>-27921119</v>
      </c>
      <c r="E8" s="437">
        <v>-25377665.66</v>
      </c>
      <c r="F8" s="466">
        <f t="shared" ref="F8:F10" si="0">SUM(E8/G8)</f>
        <v>0.98847241933532382</v>
      </c>
      <c r="G8" s="437">
        <v>-25673620.390000001</v>
      </c>
      <c r="H8" s="437">
        <v>-24267938.870000001</v>
      </c>
      <c r="I8" s="437">
        <v>-22924926.469999999</v>
      </c>
      <c r="J8" s="437">
        <v>-22002526.829999998</v>
      </c>
    </row>
    <row r="9" spans="1:10" ht="13.5" customHeight="1" x14ac:dyDescent="0.25">
      <c r="A9" s="1"/>
      <c r="B9" s="1" t="s">
        <v>17</v>
      </c>
      <c r="C9" s="1" t="s">
        <v>18</v>
      </c>
      <c r="D9" s="437">
        <v>-620000</v>
      </c>
      <c r="E9" s="437">
        <v>-374813.5</v>
      </c>
      <c r="F9" s="466">
        <f t="shared" si="0"/>
        <v>0.60453790322580647</v>
      </c>
      <c r="G9" s="437">
        <v>-620000</v>
      </c>
      <c r="H9" s="437">
        <v>-562835.91</v>
      </c>
      <c r="I9" s="437">
        <v>-412405.04</v>
      </c>
      <c r="J9" s="437">
        <v>-486204.37</v>
      </c>
    </row>
    <row r="10" spans="1:10" ht="13.5" customHeight="1" x14ac:dyDescent="0.25">
      <c r="A10" s="1"/>
      <c r="B10" s="1" t="s">
        <v>19</v>
      </c>
      <c r="C10" s="1" t="s">
        <v>20</v>
      </c>
      <c r="D10" s="437">
        <v>-600000</v>
      </c>
      <c r="E10" s="437">
        <v>-429270.6</v>
      </c>
      <c r="F10" s="466">
        <f t="shared" si="0"/>
        <v>0.71545099999999995</v>
      </c>
      <c r="G10" s="437">
        <v>-600000</v>
      </c>
      <c r="H10" s="437">
        <v>-528617.77</v>
      </c>
      <c r="I10" s="437">
        <v>-436013.83</v>
      </c>
      <c r="J10" s="437">
        <v>-474175.08</v>
      </c>
    </row>
    <row r="11" spans="1:10" ht="13.5" customHeight="1" x14ac:dyDescent="0.25">
      <c r="A11" s="1"/>
      <c r="B11" s="1"/>
      <c r="C11" s="1"/>
      <c r="D11" s="438">
        <v>-29141119</v>
      </c>
      <c r="E11" s="438">
        <f t="shared" ref="E11" si="1">SUM(E8:E10)</f>
        <v>-26181749.760000002</v>
      </c>
      <c r="F11" s="467"/>
      <c r="G11" s="438">
        <f>SUM(G8:G10)</f>
        <v>-26893620.390000001</v>
      </c>
      <c r="H11" s="438">
        <f>SUM(H8:H10)</f>
        <v>-25359392.550000001</v>
      </c>
      <c r="I11" s="438">
        <f>SUM(I8:I10)</f>
        <v>-23773345.339999996</v>
      </c>
      <c r="J11" s="438">
        <f t="shared" ref="J11" si="2">SUM(J8:J10)</f>
        <v>-22962906.279999997</v>
      </c>
    </row>
    <row r="12" spans="1:10" ht="13.5" customHeight="1" x14ac:dyDescent="0.25">
      <c r="A12" s="1"/>
      <c r="B12" s="1"/>
      <c r="C12" s="1"/>
      <c r="D12" s="437"/>
      <c r="E12" s="437"/>
      <c r="F12" s="466"/>
      <c r="G12" s="437"/>
      <c r="H12" s="437"/>
      <c r="I12" s="437"/>
      <c r="J12" s="437"/>
    </row>
    <row r="13" spans="1:10" ht="13.5" customHeight="1" x14ac:dyDescent="0.25">
      <c r="A13" s="1"/>
      <c r="B13" s="1" t="s">
        <v>21</v>
      </c>
      <c r="C13" s="1" t="s">
        <v>22</v>
      </c>
      <c r="D13" s="437">
        <v>-12000</v>
      </c>
      <c r="E13" s="437">
        <v>-14284</v>
      </c>
      <c r="F13" s="466">
        <f t="shared" ref="F13:F14" si="3">SUM(E13/G13)</f>
        <v>1.1903333333333332</v>
      </c>
      <c r="G13" s="437">
        <v>-12000</v>
      </c>
      <c r="H13" s="437">
        <v>-18241</v>
      </c>
      <c r="I13" s="437">
        <v>-16530</v>
      </c>
      <c r="J13" s="437">
        <v>-20790</v>
      </c>
    </row>
    <row r="14" spans="1:10" ht="13.5" customHeight="1" x14ac:dyDescent="0.25">
      <c r="A14" s="1"/>
      <c r="B14" s="1" t="s">
        <v>23</v>
      </c>
      <c r="C14" s="1" t="s">
        <v>24</v>
      </c>
      <c r="D14" s="437">
        <v>-100000</v>
      </c>
      <c r="E14" s="437">
        <v>-73468.13</v>
      </c>
      <c r="F14" s="466">
        <f t="shared" si="3"/>
        <v>0.73468130000000009</v>
      </c>
      <c r="G14" s="437">
        <v>-100000</v>
      </c>
      <c r="H14" s="437">
        <v>-103841.73</v>
      </c>
      <c r="I14" s="437">
        <v>-125795.79</v>
      </c>
      <c r="J14" s="437">
        <v>-116034.58</v>
      </c>
    </row>
    <row r="15" spans="1:10" ht="13.5" customHeight="1" x14ac:dyDescent="0.25">
      <c r="A15" s="1"/>
      <c r="B15" s="1"/>
      <c r="C15" s="1"/>
      <c r="D15" s="438">
        <v>-112000</v>
      </c>
      <c r="E15" s="438">
        <f t="shared" ref="E15" si="4">SUM(E13:E14)</f>
        <v>-87752.13</v>
      </c>
      <c r="F15" s="467"/>
      <c r="G15" s="438">
        <f>SUM(G13:G14)</f>
        <v>-112000</v>
      </c>
      <c r="H15" s="438">
        <f>SUM(H13:H14)</f>
        <v>-122082.73</v>
      </c>
      <c r="I15" s="438">
        <f>SUM(I13:I14)</f>
        <v>-142325.78999999998</v>
      </c>
      <c r="J15" s="438">
        <f t="shared" ref="J15" si="5">SUM(J13:J14)</f>
        <v>-136824.58000000002</v>
      </c>
    </row>
    <row r="16" spans="1:10" ht="13.5" customHeight="1" x14ac:dyDescent="0.25">
      <c r="A16" s="1"/>
      <c r="B16" s="1"/>
      <c r="C16" s="1"/>
      <c r="D16" s="437"/>
      <c r="E16" s="437"/>
      <c r="F16" s="466"/>
      <c r="G16" s="437"/>
      <c r="H16" s="437"/>
      <c r="I16" s="437"/>
      <c r="J16" s="437"/>
    </row>
    <row r="17" spans="1:10" ht="13.5" customHeight="1" x14ac:dyDescent="0.25">
      <c r="A17" s="1"/>
      <c r="B17" s="22" t="s">
        <v>25</v>
      </c>
      <c r="C17" s="22" t="s">
        <v>26</v>
      </c>
      <c r="D17" s="437">
        <v>0</v>
      </c>
      <c r="E17" s="439">
        <v>0</v>
      </c>
      <c r="F17" s="466"/>
      <c r="G17" s="439">
        <v>0</v>
      </c>
      <c r="H17" s="439">
        <v>-46788</v>
      </c>
      <c r="I17" s="439">
        <v>0</v>
      </c>
      <c r="J17" s="437">
        <v>0</v>
      </c>
    </row>
    <row r="18" spans="1:10" ht="13.5" customHeight="1" x14ac:dyDescent="0.25">
      <c r="A18" s="1"/>
      <c r="B18" s="1" t="s">
        <v>28</v>
      </c>
      <c r="C18" s="1" t="s">
        <v>29</v>
      </c>
      <c r="D18" s="437">
        <v>-9500</v>
      </c>
      <c r="E18" s="439">
        <v>-2492.56</v>
      </c>
      <c r="F18" s="466">
        <f t="shared" ref="F18:F22" si="6">SUM(E18/G18)</f>
        <v>0.26237473684210527</v>
      </c>
      <c r="G18" s="440">
        <v>-9500</v>
      </c>
      <c r="H18" s="439">
        <v>-8459.14</v>
      </c>
      <c r="I18" s="439">
        <v>-7458.46</v>
      </c>
      <c r="J18" s="437">
        <v>-895.99</v>
      </c>
    </row>
    <row r="19" spans="1:10" ht="13.5" customHeight="1" x14ac:dyDescent="0.25">
      <c r="A19" s="1"/>
      <c r="B19" s="1" t="s">
        <v>30</v>
      </c>
      <c r="C19" s="1" t="s">
        <v>31</v>
      </c>
      <c r="D19" s="437">
        <v>-41000</v>
      </c>
      <c r="E19" s="439">
        <v>0</v>
      </c>
      <c r="F19" s="466">
        <f t="shared" si="6"/>
        <v>0</v>
      </c>
      <c r="G19" s="440">
        <v>-41000</v>
      </c>
      <c r="H19" s="439">
        <v>-104345.55</v>
      </c>
      <c r="I19" s="439">
        <v>-36471.19</v>
      </c>
      <c r="J19" s="437">
        <v>-22009.26</v>
      </c>
    </row>
    <row r="20" spans="1:10" ht="13.5" customHeight="1" x14ac:dyDescent="0.25">
      <c r="A20" s="1"/>
      <c r="B20" s="1" t="s">
        <v>32</v>
      </c>
      <c r="C20" s="1" t="s">
        <v>33</v>
      </c>
      <c r="D20" s="437">
        <v>-23390</v>
      </c>
      <c r="E20" s="437">
        <v>-10116.86</v>
      </c>
      <c r="F20" s="466">
        <f t="shared" si="6"/>
        <v>0.43252928601966656</v>
      </c>
      <c r="G20" s="437">
        <v>-23390</v>
      </c>
      <c r="H20" s="437">
        <v>-17824.509999999998</v>
      </c>
      <c r="I20" s="437">
        <v>-19972.59</v>
      </c>
      <c r="J20" s="437">
        <v>-17538.7</v>
      </c>
    </row>
    <row r="21" spans="1:10" ht="13.5" customHeight="1" x14ac:dyDescent="0.25">
      <c r="A21" s="1"/>
      <c r="B21" s="1" t="s">
        <v>34</v>
      </c>
      <c r="C21" s="1" t="s">
        <v>35</v>
      </c>
      <c r="D21" s="437">
        <v>-168000</v>
      </c>
      <c r="E21" s="437">
        <v>-84000</v>
      </c>
      <c r="F21" s="466">
        <f t="shared" si="6"/>
        <v>0.5</v>
      </c>
      <c r="G21" s="437">
        <v>-168000</v>
      </c>
      <c r="H21" s="437">
        <v>-168000</v>
      </c>
      <c r="I21" s="437">
        <v>-168000</v>
      </c>
      <c r="J21" s="437">
        <v>-168000</v>
      </c>
    </row>
    <row r="22" spans="1:10" ht="13.5" customHeight="1" x14ac:dyDescent="0.25">
      <c r="A22" s="1"/>
      <c r="B22" s="1" t="s">
        <v>36</v>
      </c>
      <c r="C22" s="1" t="s">
        <v>37</v>
      </c>
      <c r="D22" s="437">
        <v>-25200</v>
      </c>
      <c r="E22" s="437">
        <v>-10100</v>
      </c>
      <c r="F22" s="466">
        <f t="shared" si="6"/>
        <v>0.40079365079365081</v>
      </c>
      <c r="G22" s="437">
        <v>-25200</v>
      </c>
      <c r="H22" s="437">
        <v>-26101.26</v>
      </c>
      <c r="I22" s="437">
        <v>-26168.19</v>
      </c>
      <c r="J22" s="437">
        <v>-25200</v>
      </c>
    </row>
    <row r="23" spans="1:10" ht="13.5" customHeight="1" x14ac:dyDescent="0.25">
      <c r="A23" s="1"/>
      <c r="B23" s="1" t="s">
        <v>38</v>
      </c>
      <c r="C23" s="1" t="s">
        <v>39</v>
      </c>
      <c r="D23" s="437">
        <v>0</v>
      </c>
      <c r="E23" s="437">
        <v>0</v>
      </c>
      <c r="F23" s="466"/>
      <c r="G23" s="437">
        <v>0</v>
      </c>
      <c r="H23" s="437">
        <v>0</v>
      </c>
      <c r="I23" s="437">
        <v>-2955.68</v>
      </c>
      <c r="J23" s="437">
        <v>-4433.5200000000004</v>
      </c>
    </row>
    <row r="24" spans="1:10" ht="13.5" customHeight="1" x14ac:dyDescent="0.25">
      <c r="A24" s="1"/>
      <c r="B24" s="1" t="s">
        <v>40</v>
      </c>
      <c r="C24" s="1" t="s">
        <v>41</v>
      </c>
      <c r="D24" s="437">
        <v>-33680</v>
      </c>
      <c r="E24" s="437">
        <v>0</v>
      </c>
      <c r="F24" s="466">
        <f>SUM(E24/G24)</f>
        <v>0</v>
      </c>
      <c r="G24" s="437">
        <v>-33680</v>
      </c>
      <c r="H24" s="437">
        <v>-31751.16</v>
      </c>
      <c r="I24" s="437">
        <v>-32896.03</v>
      </c>
      <c r="J24" s="437">
        <v>-33535.96</v>
      </c>
    </row>
    <row r="25" spans="1:10" ht="13.5" customHeight="1" x14ac:dyDescent="0.25">
      <c r="A25" s="1"/>
      <c r="B25" s="22" t="s">
        <v>42</v>
      </c>
      <c r="C25" s="22" t="s">
        <v>43</v>
      </c>
      <c r="D25" s="437">
        <v>0</v>
      </c>
      <c r="E25" s="439">
        <v>-1903352</v>
      </c>
      <c r="F25" s="466"/>
      <c r="G25" s="439">
        <v>0</v>
      </c>
      <c r="H25" s="439">
        <v>-2379190</v>
      </c>
      <c r="I25" s="439">
        <v>0</v>
      </c>
      <c r="J25" s="437">
        <v>0</v>
      </c>
    </row>
    <row r="26" spans="1:10" ht="13.5" customHeight="1" x14ac:dyDescent="0.25">
      <c r="A26" s="1"/>
      <c r="B26" s="1" t="s">
        <v>44</v>
      </c>
      <c r="C26" s="1" t="s">
        <v>45</v>
      </c>
      <c r="D26" s="437">
        <v>-50000</v>
      </c>
      <c r="E26" s="439">
        <v>0</v>
      </c>
      <c r="F26" s="466">
        <f>SUM(E26/G26)</f>
        <v>0</v>
      </c>
      <c r="G26" s="440">
        <v>-35000</v>
      </c>
      <c r="H26" s="439">
        <v>-102463.33</v>
      </c>
      <c r="I26" s="439">
        <v>-133609.25</v>
      </c>
      <c r="J26" s="437">
        <v>-120246.25</v>
      </c>
    </row>
    <row r="27" spans="1:10" ht="13.5" customHeight="1" x14ac:dyDescent="0.25">
      <c r="A27" s="1"/>
      <c r="B27" s="1" t="s">
        <v>46</v>
      </c>
      <c r="C27" s="1" t="s">
        <v>47</v>
      </c>
      <c r="D27" s="437">
        <v>0</v>
      </c>
      <c r="E27" s="439">
        <v>-3549.9</v>
      </c>
      <c r="F27" s="466"/>
      <c r="G27" s="440">
        <v>0</v>
      </c>
      <c r="H27" s="439">
        <v>0</v>
      </c>
      <c r="I27" s="440">
        <v>0</v>
      </c>
      <c r="J27" s="440">
        <v>0</v>
      </c>
    </row>
    <row r="28" spans="1:10" ht="13.5" customHeight="1" x14ac:dyDescent="0.25">
      <c r="A28" s="1"/>
      <c r="B28" s="1" t="s">
        <v>48</v>
      </c>
      <c r="C28" s="1" t="s">
        <v>49</v>
      </c>
      <c r="D28" s="437">
        <v>-9900</v>
      </c>
      <c r="E28" s="437">
        <v>-8377.91</v>
      </c>
      <c r="F28" s="466">
        <f t="shared" ref="F28:F31" si="7">SUM(E28/G28)</f>
        <v>0.84625353535353531</v>
      </c>
      <c r="G28" s="437">
        <v>-9900</v>
      </c>
      <c r="H28" s="437">
        <v>-9408.09</v>
      </c>
      <c r="I28" s="437">
        <v>-9652.5</v>
      </c>
      <c r="J28" s="437">
        <v>-9820.94</v>
      </c>
    </row>
    <row r="29" spans="1:10" ht="13.5" customHeight="1" x14ac:dyDescent="0.25">
      <c r="A29" s="1"/>
      <c r="B29" s="1" t="s">
        <v>50</v>
      </c>
      <c r="C29" s="1" t="s">
        <v>51</v>
      </c>
      <c r="D29" s="437">
        <v>-3400</v>
      </c>
      <c r="E29" s="437">
        <v>-3212.6</v>
      </c>
      <c r="F29" s="466">
        <f t="shared" si="7"/>
        <v>0.9448823529411764</v>
      </c>
      <c r="G29" s="437">
        <v>-3400</v>
      </c>
      <c r="H29" s="437">
        <v>-3425.85</v>
      </c>
      <c r="I29" s="437">
        <v>-3407.6</v>
      </c>
      <c r="J29" s="437">
        <v>-3391.5</v>
      </c>
    </row>
    <row r="30" spans="1:10" ht="13.5" customHeight="1" x14ac:dyDescent="0.25">
      <c r="A30" s="1"/>
      <c r="B30" s="1" t="s">
        <v>52</v>
      </c>
      <c r="C30" s="1" t="s">
        <v>53</v>
      </c>
      <c r="D30" s="437">
        <v>-800</v>
      </c>
      <c r="E30" s="437">
        <v>-839.9</v>
      </c>
      <c r="F30" s="466">
        <f t="shared" si="7"/>
        <v>1.0498749999999999</v>
      </c>
      <c r="G30" s="437">
        <v>-800</v>
      </c>
      <c r="H30" s="437">
        <v>-907.97</v>
      </c>
      <c r="I30" s="437">
        <v>-853.18</v>
      </c>
      <c r="J30" s="437">
        <v>-794.77</v>
      </c>
    </row>
    <row r="31" spans="1:10" ht="13.5" customHeight="1" x14ac:dyDescent="0.25">
      <c r="A31" s="1"/>
      <c r="B31" s="1" t="s">
        <v>54</v>
      </c>
      <c r="C31" s="27" t="s">
        <v>55</v>
      </c>
      <c r="D31" s="437">
        <v>-100000</v>
      </c>
      <c r="E31" s="437">
        <v>-49892.29</v>
      </c>
      <c r="F31" s="466">
        <f t="shared" si="7"/>
        <v>0.4989229</v>
      </c>
      <c r="G31" s="437">
        <v>-100000</v>
      </c>
      <c r="H31" s="437">
        <v>-107358.66</v>
      </c>
      <c r="I31" s="437">
        <v>-91887.95</v>
      </c>
      <c r="J31" s="440">
        <v>0</v>
      </c>
    </row>
    <row r="32" spans="1:10" ht="13.5" customHeight="1" x14ac:dyDescent="0.25">
      <c r="A32" s="1"/>
      <c r="B32" s="22" t="s">
        <v>56</v>
      </c>
      <c r="C32" s="22" t="s">
        <v>57</v>
      </c>
      <c r="D32" s="437">
        <v>0</v>
      </c>
      <c r="E32" s="437">
        <v>-4642.78</v>
      </c>
      <c r="F32" s="466"/>
      <c r="G32" s="437">
        <v>0</v>
      </c>
      <c r="H32" s="437">
        <v>-18606.93</v>
      </c>
      <c r="I32" s="437">
        <v>-4654.72</v>
      </c>
      <c r="J32" s="437"/>
    </row>
    <row r="33" spans="1:10" ht="13.5" customHeight="1" x14ac:dyDescent="0.25">
      <c r="A33" s="1"/>
      <c r="B33" s="1" t="s">
        <v>58</v>
      </c>
      <c r="C33" s="1" t="s">
        <v>59</v>
      </c>
      <c r="D33" s="437">
        <v>-71000</v>
      </c>
      <c r="E33" s="437">
        <v>-17310.05</v>
      </c>
      <c r="F33" s="466">
        <f>SUM(E33/G33)</f>
        <v>0.24380352112676054</v>
      </c>
      <c r="G33" s="437">
        <v>-71000</v>
      </c>
      <c r="H33" s="437">
        <v>-72109.679999999993</v>
      </c>
      <c r="I33" s="437">
        <v>-65921.41</v>
      </c>
      <c r="J33" s="437">
        <v>-72671.31</v>
      </c>
    </row>
    <row r="34" spans="1:10" ht="13.5" customHeight="1" x14ac:dyDescent="0.25">
      <c r="A34" s="28"/>
      <c r="B34" s="1" t="s">
        <v>60</v>
      </c>
      <c r="C34" s="1" t="s">
        <v>61</v>
      </c>
      <c r="D34" s="437">
        <v>0</v>
      </c>
      <c r="E34" s="439">
        <v>0</v>
      </c>
      <c r="F34" s="466"/>
      <c r="G34" s="440">
        <v>0</v>
      </c>
      <c r="H34" s="439">
        <v>-16049</v>
      </c>
      <c r="I34" s="439">
        <v>-13260</v>
      </c>
      <c r="J34" s="437">
        <v>-8516</v>
      </c>
    </row>
    <row r="35" spans="1:10" ht="13.5" customHeight="1" x14ac:dyDescent="0.25">
      <c r="A35" s="1"/>
      <c r="B35" s="1" t="s">
        <v>62</v>
      </c>
      <c r="C35" s="1" t="s">
        <v>63</v>
      </c>
      <c r="D35" s="437">
        <v>0</v>
      </c>
      <c r="E35" s="439">
        <v>0</v>
      </c>
      <c r="F35" s="466"/>
      <c r="G35" s="440">
        <v>0</v>
      </c>
      <c r="H35" s="439">
        <v>-13278.91</v>
      </c>
      <c r="I35" s="440">
        <v>0</v>
      </c>
      <c r="J35" s="437">
        <v>-5400</v>
      </c>
    </row>
    <row r="36" spans="1:10" ht="13.5" customHeight="1" x14ac:dyDescent="0.25">
      <c r="A36" s="1"/>
      <c r="B36" s="1" t="s">
        <v>64</v>
      </c>
      <c r="C36" s="1" t="s">
        <v>65</v>
      </c>
      <c r="D36" s="437">
        <v>-84000</v>
      </c>
      <c r="E36" s="439">
        <v>0</v>
      </c>
      <c r="F36" s="466">
        <f>SUM(E36/G36)</f>
        <v>0</v>
      </c>
      <c r="G36" s="439">
        <v>-70000</v>
      </c>
      <c r="H36" s="439">
        <v>-84000</v>
      </c>
      <c r="I36" s="439">
        <v>-84000</v>
      </c>
      <c r="J36" s="437">
        <v>-70000</v>
      </c>
    </row>
    <row r="37" spans="1:10" ht="13.5" customHeight="1" x14ac:dyDescent="0.25">
      <c r="A37" s="1"/>
      <c r="B37" s="1" t="s">
        <v>66</v>
      </c>
      <c r="C37" s="1" t="s">
        <v>67</v>
      </c>
      <c r="D37" s="437">
        <v>0</v>
      </c>
      <c r="E37" s="439">
        <v>0</v>
      </c>
      <c r="F37" s="466"/>
      <c r="G37" s="440">
        <v>0</v>
      </c>
      <c r="H37" s="439">
        <v>-12448.91</v>
      </c>
      <c r="I37" s="439">
        <v>-2962.12</v>
      </c>
      <c r="J37" s="440">
        <v>0</v>
      </c>
    </row>
    <row r="38" spans="1:10" ht="13.5" customHeight="1" x14ac:dyDescent="0.25">
      <c r="A38" s="1"/>
      <c r="B38" s="22" t="s">
        <v>68</v>
      </c>
      <c r="C38" s="22" t="s">
        <v>69</v>
      </c>
      <c r="D38" s="437">
        <v>0</v>
      </c>
      <c r="E38" s="437">
        <v>0</v>
      </c>
      <c r="F38" s="466"/>
      <c r="G38" s="437">
        <v>0</v>
      </c>
      <c r="H38" s="437">
        <v>-120000</v>
      </c>
      <c r="I38" s="437">
        <v>0</v>
      </c>
      <c r="J38" s="437">
        <v>0</v>
      </c>
    </row>
    <row r="39" spans="1:10" ht="13.5" customHeight="1" x14ac:dyDescent="0.25">
      <c r="A39" s="1"/>
      <c r="B39" s="22" t="s">
        <v>70</v>
      </c>
      <c r="C39" s="22" t="s">
        <v>71</v>
      </c>
      <c r="D39" s="437">
        <v>0</v>
      </c>
      <c r="E39" s="437">
        <v>0</v>
      </c>
      <c r="F39" s="466"/>
      <c r="G39" s="437">
        <v>0</v>
      </c>
      <c r="H39" s="437">
        <v>-89302.3</v>
      </c>
      <c r="I39" s="437">
        <v>0</v>
      </c>
      <c r="J39" s="437">
        <v>0</v>
      </c>
    </row>
    <row r="40" spans="1:10" ht="13.5" customHeight="1" x14ac:dyDescent="0.25">
      <c r="A40" s="1"/>
      <c r="B40" s="1" t="s">
        <v>72</v>
      </c>
      <c r="C40" s="1" t="s">
        <v>73</v>
      </c>
      <c r="D40" s="437">
        <v>-14000</v>
      </c>
      <c r="E40" s="437">
        <v>-7078.33</v>
      </c>
      <c r="F40" s="466">
        <f t="shared" ref="F40:F41" si="8">SUM(E40/G40)</f>
        <v>1.1797216666666666</v>
      </c>
      <c r="G40" s="437">
        <v>-6000</v>
      </c>
      <c r="H40" s="437">
        <v>-30027.64</v>
      </c>
      <c r="I40" s="437">
        <v>-10794.17</v>
      </c>
      <c r="J40" s="437">
        <v>-6844.46</v>
      </c>
    </row>
    <row r="41" spans="1:10" ht="13.5" customHeight="1" x14ac:dyDescent="0.25">
      <c r="A41" s="1"/>
      <c r="B41" s="1" t="s">
        <v>74</v>
      </c>
      <c r="C41" s="1" t="s">
        <v>75</v>
      </c>
      <c r="D41" s="437">
        <v>-900000</v>
      </c>
      <c r="E41" s="437">
        <v>-924954.8</v>
      </c>
      <c r="F41" s="466">
        <f t="shared" si="8"/>
        <v>1.8121632542258972</v>
      </c>
      <c r="G41" s="437">
        <v>-510414.72</v>
      </c>
      <c r="H41" s="437">
        <v>-1217414.26</v>
      </c>
      <c r="I41" s="437">
        <v>-703897.12</v>
      </c>
      <c r="J41" s="437">
        <v>-673937.77</v>
      </c>
    </row>
    <row r="42" spans="1:10" ht="13.5" customHeight="1" x14ac:dyDescent="0.25">
      <c r="A42" s="1"/>
      <c r="B42" s="22" t="s">
        <v>76</v>
      </c>
      <c r="C42" s="22" t="s">
        <v>77</v>
      </c>
      <c r="D42" s="437">
        <v>0</v>
      </c>
      <c r="E42" s="439">
        <v>0</v>
      </c>
      <c r="F42" s="466"/>
      <c r="G42" s="440">
        <v>0</v>
      </c>
      <c r="H42" s="439">
        <v>-13454.18</v>
      </c>
      <c r="I42" s="439">
        <v>0</v>
      </c>
      <c r="J42" s="439">
        <v>0</v>
      </c>
    </row>
    <row r="43" spans="1:10" ht="13.5" customHeight="1" x14ac:dyDescent="0.25">
      <c r="A43" s="1"/>
      <c r="B43" s="1" t="s">
        <v>78</v>
      </c>
      <c r="C43" s="1" t="s">
        <v>79</v>
      </c>
      <c r="D43" s="437">
        <v>0</v>
      </c>
      <c r="E43" s="439">
        <v>0</v>
      </c>
      <c r="F43" s="466"/>
      <c r="G43" s="439">
        <v>0</v>
      </c>
      <c r="H43" s="439">
        <v>0</v>
      </c>
      <c r="I43" s="440">
        <v>0</v>
      </c>
      <c r="J43" s="440">
        <v>0</v>
      </c>
    </row>
    <row r="44" spans="1:10" ht="13.5" customHeight="1" x14ac:dyDescent="0.25">
      <c r="A44" s="1"/>
      <c r="B44" s="1" t="s">
        <v>80</v>
      </c>
      <c r="C44" s="1" t="s">
        <v>81</v>
      </c>
      <c r="D44" s="437">
        <v>0</v>
      </c>
      <c r="E44" s="437">
        <v>-273.33</v>
      </c>
      <c r="F44" s="466"/>
      <c r="G44" s="437">
        <v>0</v>
      </c>
      <c r="H44" s="437">
        <v>-85981.47</v>
      </c>
      <c r="I44" s="437">
        <v>-9137.99</v>
      </c>
      <c r="J44" s="437">
        <v>-64845.81</v>
      </c>
    </row>
    <row r="45" spans="1:10" ht="13.5" customHeight="1" x14ac:dyDescent="0.25">
      <c r="A45" s="1"/>
      <c r="B45" s="1" t="s">
        <v>82</v>
      </c>
      <c r="C45" s="1" t="s">
        <v>83</v>
      </c>
      <c r="D45" s="437">
        <v>-70000</v>
      </c>
      <c r="E45" s="437">
        <v>-52884</v>
      </c>
      <c r="F45" s="466">
        <f>SUM(E45/G45)</f>
        <v>0.75548571428571432</v>
      </c>
      <c r="G45" s="437">
        <v>-70000</v>
      </c>
      <c r="H45" s="437">
        <v>-71097</v>
      </c>
      <c r="I45" s="437">
        <v>-68888</v>
      </c>
      <c r="J45" s="437">
        <v>-72923</v>
      </c>
    </row>
    <row r="46" spans="1:10" ht="13.5" customHeight="1" x14ac:dyDescent="0.25">
      <c r="A46" s="1"/>
      <c r="B46" s="1" t="s">
        <v>84</v>
      </c>
      <c r="C46" s="1" t="s">
        <v>85</v>
      </c>
      <c r="D46" s="437">
        <v>0</v>
      </c>
      <c r="E46" s="439">
        <v>0</v>
      </c>
      <c r="F46" s="466"/>
      <c r="G46" s="440">
        <v>0</v>
      </c>
      <c r="H46" s="439">
        <v>0</v>
      </c>
      <c r="I46" s="440">
        <v>0</v>
      </c>
      <c r="J46" s="437">
        <v>-10093</v>
      </c>
    </row>
    <row r="47" spans="1:10" ht="13.5" customHeight="1" x14ac:dyDescent="0.25">
      <c r="A47" s="1"/>
      <c r="B47" s="1" t="s">
        <v>86</v>
      </c>
      <c r="C47" s="1" t="s">
        <v>87</v>
      </c>
      <c r="D47" s="437">
        <v>-12500</v>
      </c>
      <c r="E47" s="439">
        <v>-4318.78</v>
      </c>
      <c r="F47" s="466">
        <f t="shared" ref="F47:F51" si="9">SUM(E47/G47)</f>
        <v>0.34550239999999999</v>
      </c>
      <c r="G47" s="440">
        <v>-12500</v>
      </c>
      <c r="H47" s="439">
        <v>-6992.45</v>
      </c>
      <c r="I47" s="439">
        <v>-4951.45</v>
      </c>
      <c r="J47" s="437">
        <f>-7646.5-4117.95</f>
        <v>-11764.45</v>
      </c>
    </row>
    <row r="48" spans="1:10" ht="13.5" customHeight="1" x14ac:dyDescent="0.25">
      <c r="A48" s="1"/>
      <c r="B48" s="1" t="s">
        <v>88</v>
      </c>
      <c r="C48" s="1" t="s">
        <v>89</v>
      </c>
      <c r="D48" s="437">
        <v>-50000</v>
      </c>
      <c r="E48" s="439">
        <v>-47707.360000000001</v>
      </c>
      <c r="F48" s="466">
        <f t="shared" si="9"/>
        <v>1.1926840000000001</v>
      </c>
      <c r="G48" s="439">
        <v>-40000</v>
      </c>
      <c r="H48" s="439">
        <v>-112854.18</v>
      </c>
      <c r="I48" s="440">
        <v>-39868.32</v>
      </c>
      <c r="J48" s="437">
        <v>-95620.57</v>
      </c>
    </row>
    <row r="49" spans="1:10" ht="13.5" customHeight="1" x14ac:dyDescent="0.25">
      <c r="A49" s="1"/>
      <c r="B49" s="1" t="s">
        <v>90</v>
      </c>
      <c r="C49" s="1" t="s">
        <v>91</v>
      </c>
      <c r="D49" s="437">
        <v>-175000</v>
      </c>
      <c r="E49" s="437">
        <v>-179200.39</v>
      </c>
      <c r="F49" s="466">
        <f t="shared" si="9"/>
        <v>1.0240022285714288</v>
      </c>
      <c r="G49" s="437">
        <v>-175000</v>
      </c>
      <c r="H49" s="437">
        <v>-182529.77</v>
      </c>
      <c r="I49" s="437">
        <v>-166871.66</v>
      </c>
      <c r="J49" s="437">
        <v>-187491.59</v>
      </c>
    </row>
    <row r="50" spans="1:10" ht="13.5" customHeight="1" x14ac:dyDescent="0.25">
      <c r="A50" s="1"/>
      <c r="B50" s="1" t="s">
        <v>92</v>
      </c>
      <c r="C50" s="1" t="s">
        <v>93</v>
      </c>
      <c r="D50" s="437">
        <v>-80000</v>
      </c>
      <c r="E50" s="439">
        <v>-83595.649999999994</v>
      </c>
      <c r="F50" s="466">
        <f t="shared" si="9"/>
        <v>1.044945625</v>
      </c>
      <c r="G50" s="440">
        <v>-80000</v>
      </c>
      <c r="H50" s="439">
        <v>-80226.149999999994</v>
      </c>
      <c r="I50" s="440">
        <v>-80386.92</v>
      </c>
      <c r="J50" s="437">
        <v>-78964.94</v>
      </c>
    </row>
    <row r="51" spans="1:10" ht="13.5" customHeight="1" x14ac:dyDescent="0.25">
      <c r="A51" s="1"/>
      <c r="B51" s="22" t="s">
        <v>94</v>
      </c>
      <c r="C51" s="22" t="s">
        <v>95</v>
      </c>
      <c r="D51" s="437">
        <v>-65000</v>
      </c>
      <c r="E51" s="439">
        <v>-48750</v>
      </c>
      <c r="F51" s="466">
        <f t="shared" si="9"/>
        <v>0.75</v>
      </c>
      <c r="G51" s="440">
        <v>-65000</v>
      </c>
      <c r="H51" s="439">
        <v>-16250</v>
      </c>
      <c r="I51" s="439">
        <v>16250</v>
      </c>
      <c r="J51" s="437">
        <v>16250</v>
      </c>
    </row>
    <row r="52" spans="1:10" ht="13.5" customHeight="1" x14ac:dyDescent="0.25">
      <c r="A52" s="1"/>
      <c r="B52" s="1"/>
      <c r="C52" s="1"/>
      <c r="D52" s="438">
        <v>-1986370</v>
      </c>
      <c r="E52" s="438">
        <f t="shared" ref="E52" si="10">SUM(E17:E51)</f>
        <v>-3446649.4899999993</v>
      </c>
      <c r="F52" s="467"/>
      <c r="G52" s="438">
        <f>SUM(G17:G51)</f>
        <v>-1549784.72</v>
      </c>
      <c r="H52" s="438">
        <f t="shared" ref="H52" si="11">SUM(H17:H51)</f>
        <v>-5248646.3500000006</v>
      </c>
      <c r="I52" s="438">
        <f>SUM(I16:I51)</f>
        <v>-1772676.5</v>
      </c>
      <c r="J52" s="438">
        <f t="shared" ref="J52" si="12">SUM(J16:J51)</f>
        <v>-1748689.79</v>
      </c>
    </row>
    <row r="53" spans="1:10" ht="13.5" customHeight="1" x14ac:dyDescent="0.25">
      <c r="A53" s="1"/>
      <c r="B53" s="1"/>
      <c r="C53" s="1"/>
      <c r="D53" s="437"/>
      <c r="E53" s="440"/>
      <c r="F53" s="468"/>
      <c r="G53" s="440"/>
      <c r="H53" s="440"/>
      <c r="I53" s="440"/>
      <c r="J53" s="437"/>
    </row>
    <row r="54" spans="1:10" ht="13.5" customHeight="1" x14ac:dyDescent="0.25">
      <c r="A54" s="1"/>
      <c r="B54" s="1"/>
      <c r="C54" s="1"/>
      <c r="D54" s="437"/>
      <c r="E54" s="435"/>
      <c r="F54" s="468"/>
      <c r="G54" s="440"/>
      <c r="H54" s="440"/>
      <c r="I54" s="440"/>
      <c r="J54" s="437"/>
    </row>
    <row r="55" spans="1:10" ht="13.5" customHeight="1" x14ac:dyDescent="0.25">
      <c r="A55" s="1"/>
      <c r="B55" s="1"/>
      <c r="C55" s="1"/>
      <c r="D55" s="437"/>
      <c r="E55" s="440"/>
      <c r="F55" s="466"/>
      <c r="G55" s="437"/>
      <c r="H55" s="437"/>
      <c r="I55" s="437"/>
      <c r="J55" s="437"/>
    </row>
    <row r="56" spans="1:10" ht="13.5" customHeight="1" x14ac:dyDescent="0.25">
      <c r="A56" s="1"/>
      <c r="B56" s="1"/>
      <c r="C56" s="1"/>
      <c r="D56" s="437"/>
      <c r="E56" s="437"/>
      <c r="F56" s="466"/>
      <c r="G56" s="437"/>
      <c r="H56" s="437"/>
      <c r="I56" s="437"/>
      <c r="J56" s="437"/>
    </row>
    <row r="57" spans="1:10" ht="13.5" customHeight="1" x14ac:dyDescent="0.25">
      <c r="A57" s="1"/>
      <c r="B57" s="1" t="s">
        <v>96</v>
      </c>
      <c r="C57" s="1" t="s">
        <v>97</v>
      </c>
      <c r="D57" s="437">
        <v>-170000</v>
      </c>
      <c r="E57" s="437">
        <v>-88161.46</v>
      </c>
      <c r="F57" s="466">
        <f t="shared" ref="F57:F80" si="13">SUM(E57/G57)</f>
        <v>0.40073390909090911</v>
      </c>
      <c r="G57" s="437">
        <v>-220000</v>
      </c>
      <c r="H57" s="437">
        <v>-125153.52</v>
      </c>
      <c r="I57" s="437">
        <v>-181178.26</v>
      </c>
      <c r="J57" s="437">
        <v>-234739.54</v>
      </c>
    </row>
    <row r="58" spans="1:10" ht="13.5" customHeight="1" x14ac:dyDescent="0.25">
      <c r="A58" s="1"/>
      <c r="B58" s="1" t="s">
        <v>98</v>
      </c>
      <c r="C58" s="1" t="s">
        <v>99</v>
      </c>
      <c r="D58" s="437">
        <v>-2000</v>
      </c>
      <c r="E58" s="439">
        <v>-2279.5</v>
      </c>
      <c r="F58" s="466">
        <f t="shared" si="13"/>
        <v>1.13975</v>
      </c>
      <c r="G58" s="439">
        <v>-2000</v>
      </c>
      <c r="H58" s="439">
        <v>-985.5</v>
      </c>
      <c r="I58" s="439">
        <v>-2486</v>
      </c>
      <c r="J58" s="437">
        <v>-2687.5</v>
      </c>
    </row>
    <row r="59" spans="1:10" ht="13.5" customHeight="1" x14ac:dyDescent="0.25">
      <c r="A59" s="1"/>
      <c r="B59" s="1" t="s">
        <v>100</v>
      </c>
      <c r="C59" s="1" t="s">
        <v>101</v>
      </c>
      <c r="D59" s="437">
        <v>-6725</v>
      </c>
      <c r="E59" s="437">
        <v>-4786</v>
      </c>
      <c r="F59" s="466">
        <f t="shared" si="13"/>
        <v>0.47860000000000003</v>
      </c>
      <c r="G59" s="437">
        <v>-10000</v>
      </c>
      <c r="H59" s="437">
        <v>-6725</v>
      </c>
      <c r="I59" s="437">
        <v>-26175</v>
      </c>
      <c r="J59" s="440">
        <v>0</v>
      </c>
    </row>
    <row r="60" spans="1:10" ht="13.5" customHeight="1" x14ac:dyDescent="0.25">
      <c r="A60" s="1"/>
      <c r="B60" s="1" t="s">
        <v>102</v>
      </c>
      <c r="C60" s="1" t="s">
        <v>103</v>
      </c>
      <c r="D60" s="437">
        <v>-12000</v>
      </c>
      <c r="E60" s="437">
        <v>-5577.72</v>
      </c>
      <c r="F60" s="466">
        <f t="shared" si="13"/>
        <v>0.37184800000000001</v>
      </c>
      <c r="G60" s="437">
        <v>-15000</v>
      </c>
      <c r="H60" s="437">
        <v>-11271.87</v>
      </c>
      <c r="I60" s="437">
        <v>-13663.4</v>
      </c>
      <c r="J60" s="437">
        <v>-12839.23</v>
      </c>
    </row>
    <row r="61" spans="1:10" ht="13.5" customHeight="1" x14ac:dyDescent="0.25">
      <c r="A61" s="1"/>
      <c r="B61" s="1" t="s">
        <v>104</v>
      </c>
      <c r="C61" s="1" t="s">
        <v>105</v>
      </c>
      <c r="D61" s="437">
        <v>-100000</v>
      </c>
      <c r="E61" s="437">
        <v>-70692.81</v>
      </c>
      <c r="F61" s="466">
        <f t="shared" si="13"/>
        <v>0.70692809999999995</v>
      </c>
      <c r="G61" s="437">
        <v>-100000</v>
      </c>
      <c r="H61" s="437">
        <v>-100430.17</v>
      </c>
      <c r="I61" s="437">
        <v>-79501.25</v>
      </c>
      <c r="J61" s="437">
        <v>-84696.960000000006</v>
      </c>
    </row>
    <row r="62" spans="1:10" ht="13.5" customHeight="1" x14ac:dyDescent="0.25">
      <c r="A62" s="1"/>
      <c r="B62" s="1" t="s">
        <v>106</v>
      </c>
      <c r="C62" s="1" t="s">
        <v>107</v>
      </c>
      <c r="D62" s="437">
        <v>-575000</v>
      </c>
      <c r="E62" s="437">
        <v>-463035.78</v>
      </c>
      <c r="F62" s="466">
        <f t="shared" si="13"/>
        <v>0.80527961739130438</v>
      </c>
      <c r="G62" s="437">
        <v>-575000</v>
      </c>
      <c r="H62" s="437">
        <v>-573971.27</v>
      </c>
      <c r="I62" s="437">
        <v>-615165.49</v>
      </c>
      <c r="J62" s="437">
        <v>-573379.81000000006</v>
      </c>
    </row>
    <row r="63" spans="1:10" ht="13.5" customHeight="1" x14ac:dyDescent="0.25">
      <c r="A63" s="1"/>
      <c r="B63" s="1" t="s">
        <v>108</v>
      </c>
      <c r="C63" s="1" t="s">
        <v>109</v>
      </c>
      <c r="D63" s="437">
        <v>-7500</v>
      </c>
      <c r="E63" s="439">
        <v>-3560.76</v>
      </c>
      <c r="F63" s="466">
        <f t="shared" si="13"/>
        <v>0.356076</v>
      </c>
      <c r="G63" s="440">
        <v>-10000</v>
      </c>
      <c r="H63" s="439">
        <v>-6918.42</v>
      </c>
      <c r="I63" s="439">
        <v>-9798.52</v>
      </c>
      <c r="J63" s="437">
        <v>-15584.72</v>
      </c>
    </row>
    <row r="64" spans="1:10" ht="13.5" customHeight="1" x14ac:dyDescent="0.25">
      <c r="A64" s="1"/>
      <c r="B64" s="1" t="s">
        <v>110</v>
      </c>
      <c r="C64" s="1" t="s">
        <v>111</v>
      </c>
      <c r="D64" s="437">
        <v>-200000</v>
      </c>
      <c r="E64" s="437">
        <v>-121297</v>
      </c>
      <c r="F64" s="466">
        <f t="shared" si="13"/>
        <v>0.60648500000000005</v>
      </c>
      <c r="G64" s="437">
        <v>-200000</v>
      </c>
      <c r="H64" s="437">
        <v>-211242.5</v>
      </c>
      <c r="I64" s="437">
        <v>-179982</v>
      </c>
      <c r="J64" s="437">
        <v>-178456</v>
      </c>
    </row>
    <row r="65" spans="1:10" ht="13.5" customHeight="1" x14ac:dyDescent="0.25">
      <c r="A65" s="1"/>
      <c r="B65" s="1" t="s">
        <v>112</v>
      </c>
      <c r="C65" s="1" t="s">
        <v>113</v>
      </c>
      <c r="D65" s="437">
        <v>-3000</v>
      </c>
      <c r="E65" s="437">
        <v>-1366.48</v>
      </c>
      <c r="F65" s="466">
        <f t="shared" si="13"/>
        <v>0.45549333333333336</v>
      </c>
      <c r="G65" s="437">
        <v>-3000</v>
      </c>
      <c r="H65" s="437">
        <v>-2778.14</v>
      </c>
      <c r="I65" s="437">
        <v>-3504.42</v>
      </c>
      <c r="J65" s="437">
        <v>-2979.44</v>
      </c>
    </row>
    <row r="66" spans="1:10" ht="13.5" customHeight="1" x14ac:dyDescent="0.25">
      <c r="A66" s="1"/>
      <c r="B66" s="1" t="s">
        <v>114</v>
      </c>
      <c r="C66" s="1" t="s">
        <v>115</v>
      </c>
      <c r="D66" s="437">
        <v>-85000</v>
      </c>
      <c r="E66" s="437">
        <v>-81274.8</v>
      </c>
      <c r="F66" s="466">
        <f t="shared" si="13"/>
        <v>0.95617411764705884</v>
      </c>
      <c r="G66" s="437">
        <v>-85000</v>
      </c>
      <c r="H66" s="437">
        <v>-101114.22</v>
      </c>
      <c r="I66" s="437">
        <v>-92873.7</v>
      </c>
      <c r="J66" s="437">
        <v>-88831.34</v>
      </c>
    </row>
    <row r="67" spans="1:10" ht="13.5" customHeight="1" x14ac:dyDescent="0.25">
      <c r="A67" s="1"/>
      <c r="B67" s="1" t="s">
        <v>116</v>
      </c>
      <c r="C67" s="1" t="s">
        <v>117</v>
      </c>
      <c r="D67" s="437">
        <v>-127000</v>
      </c>
      <c r="E67" s="437">
        <v>-131583.65</v>
      </c>
      <c r="F67" s="466">
        <f t="shared" si="13"/>
        <v>1.0360917322834646</v>
      </c>
      <c r="G67" s="437">
        <v>-127000</v>
      </c>
      <c r="H67" s="437">
        <v>-128563.4</v>
      </c>
      <c r="I67" s="437">
        <v>-127467.15</v>
      </c>
      <c r="J67" s="437">
        <v>-109065.8</v>
      </c>
    </row>
    <row r="68" spans="1:10" ht="13.5" customHeight="1" x14ac:dyDescent="0.25">
      <c r="A68" s="1"/>
      <c r="B68" s="1" t="s">
        <v>118</v>
      </c>
      <c r="C68" s="1" t="s">
        <v>119</v>
      </c>
      <c r="D68" s="437">
        <v>-330000</v>
      </c>
      <c r="E68" s="437">
        <v>-188155.8</v>
      </c>
      <c r="F68" s="466">
        <f t="shared" si="13"/>
        <v>0.57016909090909085</v>
      </c>
      <c r="G68" s="437">
        <v>-330000</v>
      </c>
      <c r="H68" s="437">
        <v>-285044.42</v>
      </c>
      <c r="I68" s="437">
        <v>-324209.69</v>
      </c>
      <c r="J68" s="437">
        <v>-311236.45</v>
      </c>
    </row>
    <row r="69" spans="1:10" ht="13.5" customHeight="1" x14ac:dyDescent="0.25">
      <c r="A69" s="1"/>
      <c r="B69" s="1" t="s">
        <v>120</v>
      </c>
      <c r="C69" s="1" t="s">
        <v>121</v>
      </c>
      <c r="D69" s="437">
        <v>-350000</v>
      </c>
      <c r="E69" s="439">
        <v>-372539.96</v>
      </c>
      <c r="F69" s="466">
        <f t="shared" si="13"/>
        <v>1.0643998857142858</v>
      </c>
      <c r="G69" s="440">
        <v>-350000</v>
      </c>
      <c r="H69" s="439">
        <v>-378469.52</v>
      </c>
      <c r="I69" s="440">
        <v>-349941.15</v>
      </c>
      <c r="J69" s="437">
        <v>-350985.47</v>
      </c>
    </row>
    <row r="70" spans="1:10" ht="13.5" customHeight="1" x14ac:dyDescent="0.25">
      <c r="A70" s="1"/>
      <c r="B70" s="1" t="s">
        <v>122</v>
      </c>
      <c r="C70" s="1" t="s">
        <v>123</v>
      </c>
      <c r="D70" s="437">
        <v>-45000</v>
      </c>
      <c r="E70" s="437">
        <v>-33526.230000000003</v>
      </c>
      <c r="F70" s="466">
        <f t="shared" si="13"/>
        <v>0.74502733333333337</v>
      </c>
      <c r="G70" s="437">
        <v>-45000</v>
      </c>
      <c r="H70" s="437">
        <v>-51819.65</v>
      </c>
      <c r="I70" s="437">
        <v>-40091.199999999997</v>
      </c>
      <c r="J70" s="437">
        <v>-41830</v>
      </c>
    </row>
    <row r="71" spans="1:10" ht="13.5" customHeight="1" x14ac:dyDescent="0.25">
      <c r="A71" s="1"/>
      <c r="B71" s="1" t="s">
        <v>124</v>
      </c>
      <c r="C71" s="1" t="s">
        <v>125</v>
      </c>
      <c r="D71" s="437">
        <v>-175000</v>
      </c>
      <c r="E71" s="437">
        <v>-102610.26</v>
      </c>
      <c r="F71" s="466">
        <f t="shared" si="13"/>
        <v>0.4560456</v>
      </c>
      <c r="G71" s="437">
        <v>-225000</v>
      </c>
      <c r="H71" s="437">
        <v>-143588.42000000001</v>
      </c>
      <c r="I71" s="437">
        <v>-268414.15999999997</v>
      </c>
      <c r="J71" s="437">
        <v>-142910.35999999999</v>
      </c>
    </row>
    <row r="72" spans="1:10" ht="13.5" customHeight="1" x14ac:dyDescent="0.25">
      <c r="A72" s="1"/>
      <c r="B72" s="1" t="s">
        <v>126</v>
      </c>
      <c r="C72" s="1" t="s">
        <v>127</v>
      </c>
      <c r="D72" s="437">
        <v>-4000</v>
      </c>
      <c r="E72" s="439">
        <v>-2309.23</v>
      </c>
      <c r="F72" s="466">
        <f t="shared" si="13"/>
        <v>0.57730749999999997</v>
      </c>
      <c r="G72" s="440">
        <v>-4000</v>
      </c>
      <c r="H72" s="439">
        <v>-3430.39</v>
      </c>
      <c r="I72" s="439">
        <v>-4498.34</v>
      </c>
      <c r="J72" s="437">
        <v>-4678.66</v>
      </c>
    </row>
    <row r="73" spans="1:10" ht="13.5" customHeight="1" x14ac:dyDescent="0.25">
      <c r="A73" s="1"/>
      <c r="B73" s="1" t="s">
        <v>128</v>
      </c>
      <c r="C73" s="1" t="s">
        <v>129</v>
      </c>
      <c r="D73" s="437">
        <v>-6000</v>
      </c>
      <c r="E73" s="437">
        <v>-2337.77</v>
      </c>
      <c r="F73" s="466">
        <f t="shared" si="13"/>
        <v>0.38962833333333335</v>
      </c>
      <c r="G73" s="437">
        <v>-6000</v>
      </c>
      <c r="H73" s="437">
        <v>-2884.73</v>
      </c>
      <c r="I73" s="437">
        <v>-5323.61</v>
      </c>
      <c r="J73" s="437">
        <v>-4759.03</v>
      </c>
    </row>
    <row r="74" spans="1:10" ht="13.5" customHeight="1" x14ac:dyDescent="0.25">
      <c r="A74" s="1"/>
      <c r="B74" s="1" t="s">
        <v>130</v>
      </c>
      <c r="C74" s="1" t="s">
        <v>131</v>
      </c>
      <c r="D74" s="437">
        <v>-16000</v>
      </c>
      <c r="E74" s="437">
        <v>-7439.02</v>
      </c>
      <c r="F74" s="466">
        <f t="shared" si="13"/>
        <v>0.46493875000000001</v>
      </c>
      <c r="G74" s="437">
        <v>-16000</v>
      </c>
      <c r="H74" s="437">
        <v>-12951.68</v>
      </c>
      <c r="I74" s="437">
        <v>-13386.67</v>
      </c>
      <c r="J74" s="437">
        <v>-13525.63</v>
      </c>
    </row>
    <row r="75" spans="1:10" ht="13.5" customHeight="1" x14ac:dyDescent="0.25">
      <c r="A75" s="1"/>
      <c r="B75" s="1" t="s">
        <v>132</v>
      </c>
      <c r="C75" s="1" t="s">
        <v>133</v>
      </c>
      <c r="D75" s="437">
        <v>-3000</v>
      </c>
      <c r="E75" s="437">
        <v>-211.05</v>
      </c>
      <c r="F75" s="466">
        <f t="shared" si="13"/>
        <v>7.035000000000001E-2</v>
      </c>
      <c r="G75" s="437">
        <v>-3000</v>
      </c>
      <c r="H75" s="437">
        <v>-1217.6099999999999</v>
      </c>
      <c r="I75" s="437">
        <v>-3784.18</v>
      </c>
      <c r="J75" s="437">
        <v>-2893.12</v>
      </c>
    </row>
    <row r="76" spans="1:10" ht="13.5" customHeight="1" x14ac:dyDescent="0.25">
      <c r="A76" s="1"/>
      <c r="B76" s="1" t="s">
        <v>134</v>
      </c>
      <c r="C76" s="28" t="s">
        <v>135</v>
      </c>
      <c r="D76" s="437">
        <v>-12000</v>
      </c>
      <c r="E76" s="437">
        <v>-6538.98</v>
      </c>
      <c r="F76" s="466">
        <f t="shared" si="13"/>
        <v>0.36327666666666664</v>
      </c>
      <c r="G76" s="437">
        <v>-18000</v>
      </c>
      <c r="H76" s="437">
        <v>-9718.89</v>
      </c>
      <c r="I76" s="437">
        <v>-13172.15</v>
      </c>
      <c r="J76" s="437">
        <v>-18177.900000000001</v>
      </c>
    </row>
    <row r="77" spans="1:10" ht="13.5" customHeight="1" x14ac:dyDescent="0.25">
      <c r="A77" s="1"/>
      <c r="B77" s="1" t="s">
        <v>136</v>
      </c>
      <c r="C77" s="28" t="s">
        <v>137</v>
      </c>
      <c r="D77" s="437">
        <v>-22000</v>
      </c>
      <c r="E77" s="437">
        <v>-12387.19</v>
      </c>
      <c r="F77" s="466">
        <f t="shared" si="13"/>
        <v>0.56305409090909098</v>
      </c>
      <c r="G77" s="437">
        <v>-22000</v>
      </c>
      <c r="H77" s="437">
        <v>-21715.69</v>
      </c>
      <c r="I77" s="437">
        <v>-27596.36</v>
      </c>
      <c r="J77" s="437">
        <v>-26191.439999999999</v>
      </c>
    </row>
    <row r="78" spans="1:10" ht="13.5" customHeight="1" x14ac:dyDescent="0.25">
      <c r="A78" s="1"/>
      <c r="B78" s="1" t="s">
        <v>138</v>
      </c>
      <c r="C78" s="28" t="s">
        <v>139</v>
      </c>
      <c r="D78" s="437">
        <v>-13000</v>
      </c>
      <c r="E78" s="437">
        <v>-7687.11</v>
      </c>
      <c r="F78" s="466">
        <f t="shared" si="13"/>
        <v>0.59131615384615377</v>
      </c>
      <c r="G78" s="437">
        <v>-13000</v>
      </c>
      <c r="H78" s="437">
        <v>-9621.43</v>
      </c>
      <c r="I78" s="437">
        <v>-12333.49</v>
      </c>
      <c r="J78" s="437">
        <v>-9953.43</v>
      </c>
    </row>
    <row r="79" spans="1:10" ht="13.5" customHeight="1" x14ac:dyDescent="0.25">
      <c r="A79" s="1"/>
      <c r="B79" s="1" t="s">
        <v>140</v>
      </c>
      <c r="C79" s="28" t="s">
        <v>141</v>
      </c>
      <c r="D79" s="437">
        <v>-13000</v>
      </c>
      <c r="E79" s="437">
        <v>-7401.82</v>
      </c>
      <c r="F79" s="466">
        <f t="shared" si="13"/>
        <v>0.61681833333333336</v>
      </c>
      <c r="G79" s="437">
        <v>-12000</v>
      </c>
      <c r="H79" s="437">
        <v>-9639.34</v>
      </c>
      <c r="I79" s="437">
        <v>-11597.39</v>
      </c>
      <c r="J79" s="437">
        <v>-12127.76</v>
      </c>
    </row>
    <row r="80" spans="1:10" ht="13.5" customHeight="1" x14ac:dyDescent="0.25">
      <c r="A80" s="1"/>
      <c r="B80" s="1" t="s">
        <v>142</v>
      </c>
      <c r="C80" s="28" t="s">
        <v>143</v>
      </c>
      <c r="D80" s="437">
        <v>-12000</v>
      </c>
      <c r="E80" s="437">
        <v>-6154.78</v>
      </c>
      <c r="F80" s="466">
        <f t="shared" si="13"/>
        <v>0.43962714285714283</v>
      </c>
      <c r="G80" s="437">
        <v>-14000</v>
      </c>
      <c r="H80" s="437">
        <v>-11198.35</v>
      </c>
      <c r="I80" s="437">
        <v>-16692.8</v>
      </c>
      <c r="J80" s="437">
        <v>-13172.43</v>
      </c>
    </row>
    <row r="81" spans="1:10" ht="13.5" customHeight="1" x14ac:dyDescent="0.25">
      <c r="A81" s="1"/>
      <c r="B81" s="1" t="s">
        <v>144</v>
      </c>
      <c r="C81" s="1" t="s">
        <v>145</v>
      </c>
      <c r="D81" s="437">
        <v>0</v>
      </c>
      <c r="E81" s="439">
        <v>0</v>
      </c>
      <c r="F81" s="466"/>
      <c r="G81" s="440">
        <v>0</v>
      </c>
      <c r="H81" s="439">
        <v>0</v>
      </c>
      <c r="I81" s="439">
        <v>0</v>
      </c>
      <c r="J81" s="439">
        <v>0</v>
      </c>
    </row>
    <row r="82" spans="1:10" ht="13.5" customHeight="1" x14ac:dyDescent="0.25">
      <c r="A82" s="1"/>
      <c r="B82" s="1" t="s">
        <v>146</v>
      </c>
      <c r="C82" s="1" t="s">
        <v>147</v>
      </c>
      <c r="D82" s="437">
        <v>0</v>
      </c>
      <c r="E82" s="439">
        <v>-122</v>
      </c>
      <c r="F82" s="466"/>
      <c r="G82" s="440">
        <v>0</v>
      </c>
      <c r="H82" s="439">
        <v>-118</v>
      </c>
      <c r="I82" s="439">
        <v>-153.1</v>
      </c>
      <c r="J82" s="437">
        <v>-38.4</v>
      </c>
    </row>
    <row r="83" spans="1:10" ht="13.5" customHeight="1" x14ac:dyDescent="0.25">
      <c r="A83" s="1"/>
      <c r="B83" s="1" t="s">
        <v>148</v>
      </c>
      <c r="C83" s="1" t="s">
        <v>149</v>
      </c>
      <c r="D83" s="437">
        <v>-3000</v>
      </c>
      <c r="E83" s="437">
        <v>-1474.26</v>
      </c>
      <c r="F83" s="466">
        <f t="shared" ref="F83:F96" si="14">SUM(E83/G83)</f>
        <v>0.32761333333333331</v>
      </c>
      <c r="G83" s="437">
        <v>-4500</v>
      </c>
      <c r="H83" s="437">
        <v>-2290.2199999999998</v>
      </c>
      <c r="I83" s="437">
        <v>-3225.67</v>
      </c>
      <c r="J83" s="437">
        <v>-4799.57</v>
      </c>
    </row>
    <row r="84" spans="1:10" ht="13.5" customHeight="1" x14ac:dyDescent="0.25">
      <c r="A84" s="1"/>
      <c r="B84" s="1" t="s">
        <v>150</v>
      </c>
      <c r="C84" s="1" t="s">
        <v>151</v>
      </c>
      <c r="D84" s="437">
        <v>-1100</v>
      </c>
      <c r="E84" s="437">
        <v>-544.03</v>
      </c>
      <c r="F84" s="466">
        <f t="shared" si="14"/>
        <v>0.27201500000000001</v>
      </c>
      <c r="G84" s="437">
        <v>-2000</v>
      </c>
      <c r="H84" s="437">
        <v>-1142.3399999999999</v>
      </c>
      <c r="I84" s="437">
        <v>-1936.31</v>
      </c>
      <c r="J84" s="437">
        <v>-2408.91</v>
      </c>
    </row>
    <row r="85" spans="1:10" ht="13.5" customHeight="1" x14ac:dyDescent="0.25">
      <c r="A85" s="1"/>
      <c r="B85" s="1" t="s">
        <v>152</v>
      </c>
      <c r="C85" s="1" t="s">
        <v>153</v>
      </c>
      <c r="D85" s="437">
        <v>-2200</v>
      </c>
      <c r="E85" s="437">
        <v>-1125.28</v>
      </c>
      <c r="F85" s="466">
        <f t="shared" si="14"/>
        <v>0.45011200000000001</v>
      </c>
      <c r="G85" s="437">
        <v>-2500</v>
      </c>
      <c r="H85" s="437">
        <v>-1312.15</v>
      </c>
      <c r="I85" s="437">
        <v>-1413.42</v>
      </c>
      <c r="J85" s="437">
        <v>-1524.82</v>
      </c>
    </row>
    <row r="86" spans="1:10" ht="13.5" customHeight="1" x14ac:dyDescent="0.25">
      <c r="A86" s="1"/>
      <c r="B86" s="1" t="s">
        <v>154</v>
      </c>
      <c r="C86" s="1" t="s">
        <v>155</v>
      </c>
      <c r="D86" s="437">
        <v>-1900</v>
      </c>
      <c r="E86" s="437">
        <v>-926.41</v>
      </c>
      <c r="F86" s="466">
        <f t="shared" si="14"/>
        <v>0.7720083333333333</v>
      </c>
      <c r="G86" s="437">
        <v>-1200</v>
      </c>
      <c r="H86" s="437">
        <v>-1047.68</v>
      </c>
      <c r="I86" s="437">
        <v>-913.39</v>
      </c>
      <c r="J86" s="437">
        <v>-2039.15</v>
      </c>
    </row>
    <row r="87" spans="1:10" ht="13.5" customHeight="1" x14ac:dyDescent="0.25">
      <c r="A87" s="1"/>
      <c r="B87" s="1" t="s">
        <v>156</v>
      </c>
      <c r="C87" s="1" t="s">
        <v>157</v>
      </c>
      <c r="D87" s="437">
        <v>-1000</v>
      </c>
      <c r="E87" s="437">
        <v>-536.97</v>
      </c>
      <c r="F87" s="466">
        <f t="shared" si="14"/>
        <v>0.35798000000000002</v>
      </c>
      <c r="G87" s="437">
        <v>-1500</v>
      </c>
      <c r="H87" s="437">
        <v>-669.76</v>
      </c>
      <c r="I87" s="437">
        <v>-1512.88</v>
      </c>
      <c r="J87" s="437">
        <v>-1679.49</v>
      </c>
    </row>
    <row r="88" spans="1:10" ht="13.5" customHeight="1" x14ac:dyDescent="0.25">
      <c r="A88" s="1"/>
      <c r="B88" s="1" t="s">
        <v>158</v>
      </c>
      <c r="C88" s="1" t="s">
        <v>159</v>
      </c>
      <c r="D88" s="437">
        <v>-2500</v>
      </c>
      <c r="E88" s="437">
        <v>-1422.39</v>
      </c>
      <c r="F88" s="466">
        <f t="shared" si="14"/>
        <v>0.56895600000000002</v>
      </c>
      <c r="G88" s="437">
        <v>-2500</v>
      </c>
      <c r="H88" s="437">
        <v>-2503.98</v>
      </c>
      <c r="I88" s="437">
        <v>-2715.97</v>
      </c>
      <c r="J88" s="437">
        <v>-3883.85</v>
      </c>
    </row>
    <row r="89" spans="1:10" ht="13.5" customHeight="1" x14ac:dyDescent="0.25">
      <c r="A89" s="1"/>
      <c r="B89" s="1" t="s">
        <v>160</v>
      </c>
      <c r="C89" s="1" t="s">
        <v>161</v>
      </c>
      <c r="D89" s="437">
        <v>-10000</v>
      </c>
      <c r="E89" s="439">
        <v>-7896.91</v>
      </c>
      <c r="F89" s="466">
        <f t="shared" si="14"/>
        <v>0.35097377777777777</v>
      </c>
      <c r="G89" s="440">
        <v>-22500</v>
      </c>
      <c r="H89" s="439">
        <v>-10934.96</v>
      </c>
      <c r="I89" s="439">
        <v>-23507.51</v>
      </c>
      <c r="J89" s="437">
        <v>-39814.94</v>
      </c>
    </row>
    <row r="90" spans="1:10" ht="13.5" customHeight="1" x14ac:dyDescent="0.25">
      <c r="A90" s="1"/>
      <c r="B90" s="1" t="s">
        <v>162</v>
      </c>
      <c r="C90" s="1" t="s">
        <v>163</v>
      </c>
      <c r="D90" s="437">
        <v>-35000</v>
      </c>
      <c r="E90" s="437">
        <v>-21376.25</v>
      </c>
      <c r="F90" s="466">
        <f t="shared" si="14"/>
        <v>0.61075000000000002</v>
      </c>
      <c r="G90" s="437">
        <v>-35000</v>
      </c>
      <c r="H90" s="437">
        <v>-35900.410000000003</v>
      </c>
      <c r="I90" s="437">
        <v>-32374.58</v>
      </c>
      <c r="J90" s="437">
        <v>-73227.039999999994</v>
      </c>
    </row>
    <row r="91" spans="1:10" ht="13.5" customHeight="1" x14ac:dyDescent="0.25">
      <c r="A91" s="1"/>
      <c r="B91" s="1" t="s">
        <v>164</v>
      </c>
      <c r="C91" s="1" t="s">
        <v>165</v>
      </c>
      <c r="D91" s="437">
        <v>-10000</v>
      </c>
      <c r="E91" s="437">
        <v>-3699.73</v>
      </c>
      <c r="F91" s="466">
        <f t="shared" si="14"/>
        <v>0.369973</v>
      </c>
      <c r="G91" s="437">
        <v>-10000</v>
      </c>
      <c r="H91" s="437">
        <v>-4739.59</v>
      </c>
      <c r="I91" s="437">
        <v>-5776.55</v>
      </c>
      <c r="J91" s="437">
        <v>-9561.9599999999991</v>
      </c>
    </row>
    <row r="92" spans="1:10" ht="13.5" customHeight="1" x14ac:dyDescent="0.25">
      <c r="A92" s="1"/>
      <c r="B92" s="1" t="s">
        <v>166</v>
      </c>
      <c r="C92" s="1" t="s">
        <v>167</v>
      </c>
      <c r="D92" s="437">
        <v>-9600</v>
      </c>
      <c r="E92" s="437">
        <v>-4860.32</v>
      </c>
      <c r="F92" s="466">
        <f t="shared" si="14"/>
        <v>0.32402133333333333</v>
      </c>
      <c r="G92" s="437">
        <v>-15000</v>
      </c>
      <c r="H92" s="437">
        <v>-7793.64</v>
      </c>
      <c r="I92" s="437">
        <v>-13209.39</v>
      </c>
      <c r="J92" s="437">
        <v>-14307.76</v>
      </c>
    </row>
    <row r="93" spans="1:10" ht="13.5" customHeight="1" x14ac:dyDescent="0.25">
      <c r="A93" s="1"/>
      <c r="B93" s="1" t="s">
        <v>168</v>
      </c>
      <c r="C93" s="1" t="s">
        <v>169</v>
      </c>
      <c r="D93" s="437">
        <v>-17500</v>
      </c>
      <c r="E93" s="437">
        <v>-9930</v>
      </c>
      <c r="F93" s="466">
        <f t="shared" si="14"/>
        <v>0.45136363636363636</v>
      </c>
      <c r="G93" s="437">
        <v>-22000</v>
      </c>
      <c r="H93" s="437">
        <v>-21450.61</v>
      </c>
      <c r="I93" s="437">
        <v>-23985.32</v>
      </c>
      <c r="J93" s="437">
        <v>-26110.62</v>
      </c>
    </row>
    <row r="94" spans="1:10" ht="13.5" customHeight="1" x14ac:dyDescent="0.25">
      <c r="A94" s="1"/>
      <c r="B94" s="1" t="s">
        <v>170</v>
      </c>
      <c r="C94" s="1" t="s">
        <v>171</v>
      </c>
      <c r="D94" s="437">
        <v>-5700</v>
      </c>
      <c r="E94" s="437">
        <v>-3635</v>
      </c>
      <c r="F94" s="466">
        <f t="shared" si="14"/>
        <v>0.45437499999999997</v>
      </c>
      <c r="G94" s="437">
        <v>-8000</v>
      </c>
      <c r="H94" s="437">
        <v>-7470</v>
      </c>
      <c r="I94" s="437">
        <v>-7365</v>
      </c>
      <c r="J94" s="437">
        <v>-8594.69</v>
      </c>
    </row>
    <row r="95" spans="1:10" ht="13.5" customHeight="1" x14ac:dyDescent="0.25">
      <c r="A95" s="1"/>
      <c r="B95" s="1" t="s">
        <v>172</v>
      </c>
      <c r="C95" s="1" t="s">
        <v>173</v>
      </c>
      <c r="D95" s="437">
        <v>-4300</v>
      </c>
      <c r="E95" s="437">
        <v>-2505</v>
      </c>
      <c r="F95" s="466">
        <f t="shared" si="14"/>
        <v>0.29470588235294115</v>
      </c>
      <c r="G95" s="437">
        <v>-8500</v>
      </c>
      <c r="H95" s="437">
        <v>-7685</v>
      </c>
      <c r="I95" s="437">
        <v>-7175</v>
      </c>
      <c r="J95" s="437">
        <v>-8569.73</v>
      </c>
    </row>
    <row r="96" spans="1:10" ht="13.5" customHeight="1" x14ac:dyDescent="0.25">
      <c r="A96" s="1"/>
      <c r="B96" s="1" t="s">
        <v>174</v>
      </c>
      <c r="C96" s="1" t="s">
        <v>175</v>
      </c>
      <c r="D96" s="437">
        <v>-9200</v>
      </c>
      <c r="E96" s="437">
        <v>-4450</v>
      </c>
      <c r="F96" s="466">
        <f t="shared" si="14"/>
        <v>0.52352941176470591</v>
      </c>
      <c r="G96" s="437">
        <v>-8500</v>
      </c>
      <c r="H96" s="437">
        <v>-8920.1200000000008</v>
      </c>
      <c r="I96" s="437">
        <v>-7880</v>
      </c>
      <c r="J96" s="437">
        <v>-10469.75</v>
      </c>
    </row>
    <row r="97" spans="1:10" ht="13.5" customHeight="1" x14ac:dyDescent="0.25">
      <c r="A97" s="1"/>
      <c r="B97" s="1"/>
      <c r="C97" s="1"/>
      <c r="D97" s="438">
        <v>-2402225</v>
      </c>
      <c r="E97" s="438">
        <f t="shared" ref="E97" si="15">SUM(E57:E96)</f>
        <v>-1787419.71</v>
      </c>
      <c r="F97" s="467"/>
      <c r="G97" s="438">
        <f>SUM(G57:G96)</f>
        <v>-2548700</v>
      </c>
      <c r="H97" s="438">
        <f>SUM(H57:H96)</f>
        <v>-2324432.5900000003</v>
      </c>
      <c r="I97" s="438">
        <f>SUM(I57:I96)</f>
        <v>-2555980.4699999993</v>
      </c>
      <c r="J97" s="438">
        <f t="shared" ref="J97" si="16">SUM(J57:J96)</f>
        <v>-2462732.6999999997</v>
      </c>
    </row>
    <row r="98" spans="1:10" ht="13.5" customHeight="1" x14ac:dyDescent="0.25">
      <c r="A98" s="1"/>
      <c r="B98" s="1"/>
      <c r="C98" s="1"/>
      <c r="D98" s="437"/>
      <c r="E98" s="437"/>
      <c r="F98" s="466"/>
      <c r="G98" s="437"/>
      <c r="H98" s="437"/>
      <c r="I98" s="437"/>
      <c r="J98" s="437"/>
    </row>
    <row r="99" spans="1:10" ht="13.5" customHeight="1" x14ac:dyDescent="0.25">
      <c r="A99" s="1"/>
      <c r="B99" s="1"/>
      <c r="C99" s="1"/>
      <c r="D99" s="437"/>
      <c r="E99" s="437"/>
      <c r="F99" s="466"/>
      <c r="G99" s="437"/>
      <c r="H99" s="437"/>
      <c r="I99" s="437"/>
      <c r="J99" s="437"/>
    </row>
    <row r="100" spans="1:10" ht="13.5" customHeight="1" x14ac:dyDescent="0.25">
      <c r="A100" s="1"/>
      <c r="B100" s="1" t="s">
        <v>176</v>
      </c>
      <c r="C100" s="1" t="s">
        <v>177</v>
      </c>
      <c r="D100" s="437">
        <v>-3100</v>
      </c>
      <c r="E100" s="437">
        <v>-2016</v>
      </c>
      <c r="F100" s="466">
        <f t="shared" ref="F100:F109" si="17">SUM(E100/G100)</f>
        <v>0.504</v>
      </c>
      <c r="G100" s="437">
        <v>-4000</v>
      </c>
      <c r="H100" s="437">
        <v>-2723.82</v>
      </c>
      <c r="I100" s="437">
        <v>-4056</v>
      </c>
      <c r="J100" s="437">
        <v>-7069.13</v>
      </c>
    </row>
    <row r="101" spans="1:10" ht="13.5" customHeight="1" x14ac:dyDescent="0.25">
      <c r="A101" s="1"/>
      <c r="B101" s="1" t="s">
        <v>178</v>
      </c>
      <c r="C101" s="1" t="s">
        <v>179</v>
      </c>
      <c r="D101" s="437">
        <v>-76000</v>
      </c>
      <c r="E101" s="437">
        <v>-35423</v>
      </c>
      <c r="F101" s="466">
        <f t="shared" si="17"/>
        <v>0.4427875</v>
      </c>
      <c r="G101" s="437">
        <v>-80000</v>
      </c>
      <c r="H101" s="437">
        <v>-67231.149999999994</v>
      </c>
      <c r="I101" s="437">
        <v>-84544.72</v>
      </c>
      <c r="J101" s="437">
        <v>-67718.39</v>
      </c>
    </row>
    <row r="102" spans="1:10" ht="13.5" customHeight="1" x14ac:dyDescent="0.25">
      <c r="A102" s="1"/>
      <c r="B102" s="1" t="s">
        <v>180</v>
      </c>
      <c r="C102" s="1" t="s">
        <v>181</v>
      </c>
      <c r="D102" s="437">
        <v>-90000</v>
      </c>
      <c r="E102" s="437">
        <v>-46432.01</v>
      </c>
      <c r="F102" s="466">
        <f t="shared" si="17"/>
        <v>0.58040012500000004</v>
      </c>
      <c r="G102" s="437">
        <v>-80000</v>
      </c>
      <c r="H102" s="437">
        <v>-71869.87</v>
      </c>
      <c r="I102" s="437">
        <v>-65227.54</v>
      </c>
      <c r="J102" s="437">
        <v>-68845.2</v>
      </c>
    </row>
    <row r="103" spans="1:10" ht="13.5" customHeight="1" x14ac:dyDescent="0.25">
      <c r="A103" s="1"/>
      <c r="B103" s="1" t="s">
        <v>182</v>
      </c>
      <c r="C103" s="1" t="s">
        <v>183</v>
      </c>
      <c r="D103" s="437">
        <v>-95000</v>
      </c>
      <c r="E103" s="437">
        <v>-55016.4</v>
      </c>
      <c r="F103" s="466">
        <f t="shared" si="17"/>
        <v>0.61129333333333336</v>
      </c>
      <c r="G103" s="437">
        <v>-90000</v>
      </c>
      <c r="H103" s="437">
        <v>-81531.14</v>
      </c>
      <c r="I103" s="437">
        <v>-79614.399999999994</v>
      </c>
      <c r="J103" s="437">
        <v>-64188.09</v>
      </c>
    </row>
    <row r="104" spans="1:10" ht="13.5" customHeight="1" x14ac:dyDescent="0.25">
      <c r="A104" s="1"/>
      <c r="B104" s="1" t="s">
        <v>184</v>
      </c>
      <c r="C104" s="1" t="s">
        <v>185</v>
      </c>
      <c r="D104" s="437">
        <v>-143000</v>
      </c>
      <c r="E104" s="437">
        <v>-82888.02</v>
      </c>
      <c r="F104" s="466">
        <f t="shared" si="17"/>
        <v>0.55258680000000004</v>
      </c>
      <c r="G104" s="437">
        <v>-150000</v>
      </c>
      <c r="H104" s="437">
        <v>-101163.82</v>
      </c>
      <c r="I104" s="437">
        <v>-135469.72</v>
      </c>
      <c r="J104" s="437">
        <v>-182338.06</v>
      </c>
    </row>
    <row r="105" spans="1:10" ht="13.5" customHeight="1" x14ac:dyDescent="0.25">
      <c r="A105" s="1"/>
      <c r="B105" s="1" t="s">
        <v>186</v>
      </c>
      <c r="C105" s="1" t="s">
        <v>187</v>
      </c>
      <c r="D105" s="437">
        <v>-50000</v>
      </c>
      <c r="E105" s="437">
        <v>-34641.5</v>
      </c>
      <c r="F105" s="466">
        <f t="shared" si="17"/>
        <v>0.46188666666666667</v>
      </c>
      <c r="G105" s="437">
        <v>-75000</v>
      </c>
      <c r="H105" s="437">
        <v>-39085.870000000003</v>
      </c>
      <c r="I105" s="437">
        <v>-77183.899999999994</v>
      </c>
      <c r="J105" s="437">
        <v>-78386.2</v>
      </c>
    </row>
    <row r="106" spans="1:10" ht="13.5" customHeight="1" x14ac:dyDescent="0.25">
      <c r="A106" s="1"/>
      <c r="B106" s="1" t="s">
        <v>188</v>
      </c>
      <c r="C106" s="1" t="s">
        <v>189</v>
      </c>
      <c r="D106" s="437">
        <v>-65000</v>
      </c>
      <c r="E106" s="437">
        <v>-49995.91</v>
      </c>
      <c r="F106" s="466">
        <f t="shared" si="17"/>
        <v>0.90901654545454547</v>
      </c>
      <c r="G106" s="437">
        <v>-55000</v>
      </c>
      <c r="H106" s="437">
        <v>-50556.23</v>
      </c>
      <c r="I106" s="437">
        <v>-49713.67</v>
      </c>
      <c r="J106" s="437">
        <v>-49659.51</v>
      </c>
    </row>
    <row r="107" spans="1:10" ht="13.5" customHeight="1" x14ac:dyDescent="0.25">
      <c r="A107" s="1"/>
      <c r="B107" s="1" t="s">
        <v>190</v>
      </c>
      <c r="C107" s="1" t="s">
        <v>191</v>
      </c>
      <c r="D107" s="437">
        <v>-65000</v>
      </c>
      <c r="E107" s="437">
        <v>-45933.61</v>
      </c>
      <c r="F107" s="466">
        <f t="shared" si="17"/>
        <v>0.65619442857142862</v>
      </c>
      <c r="G107" s="437">
        <v>-70000</v>
      </c>
      <c r="H107" s="437">
        <v>-33056.75</v>
      </c>
      <c r="I107" s="437">
        <v>-35949.040000000001</v>
      </c>
      <c r="J107" s="437">
        <v>-76404.23</v>
      </c>
    </row>
    <row r="108" spans="1:10" ht="13.5" customHeight="1" x14ac:dyDescent="0.25">
      <c r="A108" s="1"/>
      <c r="B108" s="1" t="s">
        <v>192</v>
      </c>
      <c r="C108" s="1" t="s">
        <v>193</v>
      </c>
      <c r="D108" s="437">
        <v>-22000</v>
      </c>
      <c r="E108" s="437">
        <v>-13884.13</v>
      </c>
      <c r="F108" s="466">
        <f t="shared" si="17"/>
        <v>0.2776826</v>
      </c>
      <c r="G108" s="437">
        <v>-50000</v>
      </c>
      <c r="H108" s="437">
        <v>-23273.37</v>
      </c>
      <c r="I108" s="437">
        <v>-53832.77</v>
      </c>
      <c r="J108" s="437">
        <v>-52459.13</v>
      </c>
    </row>
    <row r="109" spans="1:10" ht="13.5" customHeight="1" x14ac:dyDescent="0.25">
      <c r="A109" s="1"/>
      <c r="B109" s="1" t="s">
        <v>194</v>
      </c>
      <c r="C109" s="1" t="s">
        <v>195</v>
      </c>
      <c r="D109" s="437">
        <v>-30000</v>
      </c>
      <c r="E109" s="437">
        <v>-15167.84</v>
      </c>
      <c r="F109" s="466">
        <f t="shared" si="17"/>
        <v>0.50559466666666664</v>
      </c>
      <c r="G109" s="437">
        <v>-30000</v>
      </c>
      <c r="H109" s="437">
        <v>-15967.15</v>
      </c>
      <c r="I109" s="437">
        <v>-38410.199999999997</v>
      </c>
      <c r="J109" s="437">
        <v>-35263.33</v>
      </c>
    </row>
    <row r="110" spans="1:10" ht="13.5" customHeight="1" x14ac:dyDescent="0.25">
      <c r="A110" s="1"/>
      <c r="B110" s="1"/>
      <c r="C110" s="1"/>
      <c r="D110" s="438">
        <v>-639100</v>
      </c>
      <c r="E110" s="438">
        <f>SUM(E100:E109)</f>
        <v>-381398.42</v>
      </c>
      <c r="F110" s="467"/>
      <c r="G110" s="438">
        <f>SUM(G100:G109)</f>
        <v>-684000</v>
      </c>
      <c r="H110" s="438">
        <f>SUM(H100:H109)</f>
        <v>-486459.17</v>
      </c>
      <c r="I110" s="438">
        <f>SUM(I99:I109)</f>
        <v>-624001.96</v>
      </c>
      <c r="J110" s="438">
        <f t="shared" ref="J110" si="18">SUM(J99:J109)</f>
        <v>-682331.27</v>
      </c>
    </row>
    <row r="111" spans="1:10" ht="13.5" customHeight="1" x14ac:dyDescent="0.25">
      <c r="A111" s="1"/>
      <c r="B111" s="1"/>
      <c r="C111" s="1"/>
      <c r="D111" s="437"/>
      <c r="E111" s="437"/>
      <c r="F111" s="466"/>
      <c r="G111" s="437"/>
      <c r="H111" s="437"/>
      <c r="I111" s="437"/>
      <c r="J111" s="437"/>
    </row>
    <row r="112" spans="1:10" ht="13.5" customHeight="1" x14ac:dyDescent="0.25">
      <c r="A112" s="1"/>
      <c r="B112" s="1" t="s">
        <v>196</v>
      </c>
      <c r="C112" s="1" t="s">
        <v>197</v>
      </c>
      <c r="D112" s="437">
        <v>-300000</v>
      </c>
      <c r="E112" s="437">
        <v>-131858.25</v>
      </c>
      <c r="F112" s="466">
        <f t="shared" ref="F112:F113" si="19">SUM(E112/G112)</f>
        <v>0.43952750000000002</v>
      </c>
      <c r="G112" s="437">
        <v>-300000</v>
      </c>
      <c r="H112" s="437">
        <v>-268978.28000000003</v>
      </c>
      <c r="I112" s="437">
        <v>-597922.53</v>
      </c>
      <c r="J112" s="437">
        <v>-480354.28</v>
      </c>
    </row>
    <row r="113" spans="1:10" ht="13.5" customHeight="1" x14ac:dyDescent="0.25">
      <c r="A113" s="1"/>
      <c r="B113" s="1" t="s">
        <v>198</v>
      </c>
      <c r="C113" s="1" t="s">
        <v>199</v>
      </c>
      <c r="D113" s="437">
        <v>-14465</v>
      </c>
      <c r="E113" s="439">
        <v>0</v>
      </c>
      <c r="F113" s="466">
        <f t="shared" si="19"/>
        <v>0</v>
      </c>
      <c r="G113" s="440">
        <v>-14465</v>
      </c>
      <c r="H113" s="439">
        <v>-55837.79</v>
      </c>
      <c r="I113" s="439">
        <v>-20764.650000000001</v>
      </c>
      <c r="J113" s="437">
        <v>-15043.15</v>
      </c>
    </row>
    <row r="114" spans="1:10" ht="13.5" customHeight="1" x14ac:dyDescent="0.25">
      <c r="A114" s="1"/>
      <c r="B114" s="1"/>
      <c r="C114" s="1"/>
      <c r="D114" s="438">
        <v>-314465</v>
      </c>
      <c r="E114" s="438">
        <f t="shared" ref="E114" si="20">SUM(E112:E113)</f>
        <v>-131858.25</v>
      </c>
      <c r="F114" s="467"/>
      <c r="G114" s="438">
        <f>SUM(G112:G113)</f>
        <v>-314465</v>
      </c>
      <c r="H114" s="438">
        <f>SUM(H112:H113)</f>
        <v>-324816.07</v>
      </c>
      <c r="I114" s="438">
        <f>SUM(I112:I113)</f>
        <v>-618687.18000000005</v>
      </c>
      <c r="J114" s="438">
        <f t="shared" ref="J114" si="21">SUM(J112:J113)</f>
        <v>-495397.43000000005</v>
      </c>
    </row>
    <row r="115" spans="1:10" ht="13.5" customHeight="1" x14ac:dyDescent="0.25">
      <c r="A115" s="1"/>
      <c r="B115" s="1"/>
      <c r="C115" s="1"/>
      <c r="D115" s="437"/>
      <c r="E115" s="440"/>
      <c r="F115" s="468"/>
      <c r="G115" s="440"/>
      <c r="H115" s="440"/>
      <c r="I115" s="440"/>
      <c r="J115" s="437"/>
    </row>
    <row r="116" spans="1:10" ht="13.5" customHeight="1" x14ac:dyDescent="0.25">
      <c r="A116" s="1"/>
      <c r="B116" s="1" t="s">
        <v>200</v>
      </c>
      <c r="C116" s="1" t="s">
        <v>201</v>
      </c>
      <c r="D116" s="437">
        <v>0</v>
      </c>
      <c r="E116" s="439">
        <v>0</v>
      </c>
      <c r="F116" s="466"/>
      <c r="G116" s="440">
        <v>0</v>
      </c>
      <c r="H116" s="439">
        <v>-67472.22</v>
      </c>
      <c r="I116" s="439">
        <v>-200</v>
      </c>
      <c r="J116" s="437">
        <v>-22610.66</v>
      </c>
    </row>
    <row r="117" spans="1:10" ht="13.5" customHeight="1" x14ac:dyDescent="0.25">
      <c r="A117" s="1"/>
      <c r="B117" s="1" t="s">
        <v>202</v>
      </c>
      <c r="C117" s="1" t="s">
        <v>203</v>
      </c>
      <c r="D117" s="439">
        <v>0</v>
      </c>
      <c r="E117" s="439">
        <v>0</v>
      </c>
      <c r="F117" s="466"/>
      <c r="G117" s="439">
        <v>0</v>
      </c>
      <c r="H117" s="439">
        <v>-783.55</v>
      </c>
      <c r="I117" s="439">
        <v>-11334.06</v>
      </c>
      <c r="J117" s="437">
        <v>-658.52</v>
      </c>
    </row>
    <row r="118" spans="1:10" ht="13.5" customHeight="1" x14ac:dyDescent="0.25">
      <c r="A118" s="1"/>
      <c r="B118" s="1" t="s">
        <v>204</v>
      </c>
      <c r="C118" s="1" t="s">
        <v>205</v>
      </c>
      <c r="D118" s="439">
        <v>0</v>
      </c>
      <c r="E118" s="439">
        <v>0</v>
      </c>
      <c r="F118" s="466"/>
      <c r="G118" s="439">
        <v>0</v>
      </c>
      <c r="H118" s="439">
        <v>0</v>
      </c>
      <c r="I118" s="440">
        <v>0</v>
      </c>
      <c r="J118" s="439">
        <v>0</v>
      </c>
    </row>
    <row r="119" spans="1:10" ht="13.5" customHeight="1" x14ac:dyDescent="0.25">
      <c r="A119" s="1"/>
      <c r="B119" s="1" t="s">
        <v>206</v>
      </c>
      <c r="C119" s="1" t="s">
        <v>207</v>
      </c>
      <c r="D119" s="437">
        <v>-300000</v>
      </c>
      <c r="E119" s="437">
        <v>-164079.31</v>
      </c>
      <c r="F119" s="466">
        <f>SUM(E119/G119)</f>
        <v>1.2621485384615385</v>
      </c>
      <c r="G119" s="437">
        <v>-130000</v>
      </c>
      <c r="H119" s="437">
        <v>-190526.19</v>
      </c>
      <c r="I119" s="437">
        <v>-187919.46</v>
      </c>
      <c r="J119" s="437">
        <v>-109657.8</v>
      </c>
    </row>
    <row r="120" spans="1:10" ht="13.5" customHeight="1" x14ac:dyDescent="0.25">
      <c r="A120" s="1"/>
      <c r="B120" s="22" t="s">
        <v>208</v>
      </c>
      <c r="C120" s="22" t="s">
        <v>209</v>
      </c>
      <c r="D120" s="437">
        <v>0</v>
      </c>
      <c r="E120" s="437">
        <v>-3216.07</v>
      </c>
      <c r="F120" s="466"/>
      <c r="G120" s="437">
        <v>0</v>
      </c>
      <c r="H120" s="437">
        <v>-4950.71</v>
      </c>
      <c r="I120" s="437">
        <v>-16637.32</v>
      </c>
      <c r="J120" s="437">
        <v>0</v>
      </c>
    </row>
    <row r="121" spans="1:10" ht="13.5" customHeight="1" x14ac:dyDescent="0.25">
      <c r="A121" s="1"/>
      <c r="B121" s="1" t="s">
        <v>210</v>
      </c>
      <c r="C121" s="1" t="s">
        <v>211</v>
      </c>
      <c r="D121" s="437">
        <v>-25000</v>
      </c>
      <c r="E121" s="437">
        <v>-10182.469999999999</v>
      </c>
      <c r="F121" s="466">
        <f t="shared" ref="F121:F128" si="22">SUM(E121/G121)</f>
        <v>0.40729879999999996</v>
      </c>
      <c r="G121" s="437">
        <v>-25000</v>
      </c>
      <c r="H121" s="437">
        <v>-29192.78</v>
      </c>
      <c r="I121" s="437">
        <v>-35972.86</v>
      </c>
      <c r="J121" s="437">
        <v>-2304.1</v>
      </c>
    </row>
    <row r="122" spans="1:10" ht="13.5" customHeight="1" x14ac:dyDescent="0.25">
      <c r="A122" s="1"/>
      <c r="B122" s="1" t="s">
        <v>212</v>
      </c>
      <c r="C122" s="1" t="s">
        <v>213</v>
      </c>
      <c r="D122" s="437">
        <v>-3000</v>
      </c>
      <c r="E122" s="437">
        <v>-1050</v>
      </c>
      <c r="F122" s="466">
        <f t="shared" si="22"/>
        <v>0.35</v>
      </c>
      <c r="G122" s="437">
        <v>-3000</v>
      </c>
      <c r="H122" s="437">
        <v>-300</v>
      </c>
      <c r="I122" s="437">
        <v>-2550</v>
      </c>
      <c r="J122" s="437">
        <v>-2650</v>
      </c>
    </row>
    <row r="123" spans="1:10" ht="13.5" customHeight="1" x14ac:dyDescent="0.25">
      <c r="A123" s="1"/>
      <c r="B123" s="1" t="s">
        <v>214</v>
      </c>
      <c r="C123" s="1" t="s">
        <v>215</v>
      </c>
      <c r="D123" s="437">
        <v>-11700</v>
      </c>
      <c r="E123" s="437">
        <v>-6825</v>
      </c>
      <c r="F123" s="466">
        <f t="shared" si="22"/>
        <v>0.58333333333333337</v>
      </c>
      <c r="G123" s="437">
        <v>-11700</v>
      </c>
      <c r="H123" s="437">
        <v>-11700</v>
      </c>
      <c r="I123" s="437">
        <v>-11700</v>
      </c>
      <c r="J123" s="437">
        <v>-11700</v>
      </c>
    </row>
    <row r="124" spans="1:10" ht="13.5" customHeight="1" x14ac:dyDescent="0.25">
      <c r="A124" s="1"/>
      <c r="B124" s="1" t="s">
        <v>216</v>
      </c>
      <c r="C124" s="1" t="s">
        <v>217</v>
      </c>
      <c r="D124" s="437">
        <v>-500</v>
      </c>
      <c r="E124" s="437">
        <v>-333.35</v>
      </c>
      <c r="F124" s="466">
        <f t="shared" si="22"/>
        <v>0.66670000000000007</v>
      </c>
      <c r="G124" s="437">
        <v>-500</v>
      </c>
      <c r="H124" s="437">
        <v>-160.61000000000001</v>
      </c>
      <c r="I124" s="437">
        <v>-357.39</v>
      </c>
      <c r="J124" s="437">
        <v>-571.15</v>
      </c>
    </row>
    <row r="125" spans="1:10" ht="13.5" customHeight="1" x14ac:dyDescent="0.25">
      <c r="A125" s="1"/>
      <c r="B125" s="1" t="s">
        <v>218</v>
      </c>
      <c r="C125" s="1" t="s">
        <v>219</v>
      </c>
      <c r="D125" s="437">
        <v>-100</v>
      </c>
      <c r="E125" s="437">
        <v>-109.5</v>
      </c>
      <c r="F125" s="466">
        <f t="shared" si="22"/>
        <v>1.095</v>
      </c>
      <c r="G125" s="437">
        <v>-100</v>
      </c>
      <c r="H125" s="437">
        <v>0</v>
      </c>
      <c r="I125" s="437">
        <v>-1875.75</v>
      </c>
      <c r="J125" s="437">
        <v>-90</v>
      </c>
    </row>
    <row r="126" spans="1:10" ht="13.5" customHeight="1" x14ac:dyDescent="0.25">
      <c r="A126" s="1"/>
      <c r="B126" s="1" t="s">
        <v>220</v>
      </c>
      <c r="C126" s="1" t="s">
        <v>221</v>
      </c>
      <c r="D126" s="437">
        <v>-4000</v>
      </c>
      <c r="E126" s="437">
        <v>-3000</v>
      </c>
      <c r="F126" s="466">
        <f t="shared" si="22"/>
        <v>0.75</v>
      </c>
      <c r="G126" s="437">
        <v>-4000</v>
      </c>
      <c r="H126" s="437">
        <v>-4000</v>
      </c>
      <c r="I126" s="437">
        <v>-4000</v>
      </c>
      <c r="J126" s="437">
        <v>-4000</v>
      </c>
    </row>
    <row r="127" spans="1:10" ht="13.5" customHeight="1" x14ac:dyDescent="0.25">
      <c r="A127" s="1"/>
      <c r="B127" s="1" t="s">
        <v>222</v>
      </c>
      <c r="C127" s="1" t="s">
        <v>223</v>
      </c>
      <c r="D127" s="437">
        <v>-4500</v>
      </c>
      <c r="E127" s="437">
        <v>-3218.93</v>
      </c>
      <c r="F127" s="466">
        <f t="shared" si="22"/>
        <v>0.71531777777777772</v>
      </c>
      <c r="G127" s="437">
        <v>-4500</v>
      </c>
      <c r="H127" s="437">
        <v>-5010.29</v>
      </c>
      <c r="I127" s="437">
        <v>-3638.32</v>
      </c>
      <c r="J127" s="437">
        <v>-3995.51</v>
      </c>
    </row>
    <row r="128" spans="1:10" ht="13.5" customHeight="1" x14ac:dyDescent="0.25">
      <c r="A128" s="1"/>
      <c r="B128" s="1" t="s">
        <v>224</v>
      </c>
      <c r="C128" s="1" t="s">
        <v>225</v>
      </c>
      <c r="D128" s="437">
        <v>-40000</v>
      </c>
      <c r="E128" s="437">
        <v>-34754.839999999997</v>
      </c>
      <c r="F128" s="466">
        <f t="shared" si="22"/>
        <v>0.43443549999999997</v>
      </c>
      <c r="G128" s="437">
        <v>-80000</v>
      </c>
      <c r="H128" s="437">
        <v>-84466.46</v>
      </c>
      <c r="I128" s="437">
        <v>-70381.7</v>
      </c>
      <c r="J128" s="437">
        <v>-35633.97</v>
      </c>
    </row>
    <row r="129" spans="1:10" ht="13.5" customHeight="1" x14ac:dyDescent="0.25">
      <c r="A129" s="1"/>
      <c r="B129" s="1" t="s">
        <v>226</v>
      </c>
      <c r="C129" s="1" t="s">
        <v>227</v>
      </c>
      <c r="D129" s="440">
        <v>0</v>
      </c>
      <c r="E129" s="437">
        <v>0</v>
      </c>
      <c r="F129" s="466"/>
      <c r="G129" s="437">
        <v>0</v>
      </c>
      <c r="H129" s="437">
        <v>0</v>
      </c>
      <c r="I129" s="437">
        <v>0</v>
      </c>
      <c r="J129" s="439">
        <v>0</v>
      </c>
    </row>
    <row r="130" spans="1:10" ht="13.5" customHeight="1" x14ac:dyDescent="0.25">
      <c r="A130" s="1"/>
      <c r="B130" s="1"/>
      <c r="C130" s="1"/>
      <c r="D130" s="441">
        <v>-388800</v>
      </c>
      <c r="E130" s="441">
        <f t="shared" ref="E130" si="23">SUM(E116:E129)</f>
        <v>-226769.47</v>
      </c>
      <c r="F130" s="469"/>
      <c r="G130" s="441">
        <f>SUM(G116:G129)</f>
        <v>-258800</v>
      </c>
      <c r="H130" s="441">
        <f>SUM(H116:H129)</f>
        <v>-398562.81000000006</v>
      </c>
      <c r="I130" s="441">
        <f>SUM(I116:I129)</f>
        <v>-346566.86000000004</v>
      </c>
      <c r="J130" s="441">
        <f t="shared" ref="J130" si="24">SUM(J116:J129)</f>
        <v>-193871.71000000002</v>
      </c>
    </row>
    <row r="131" spans="1:10" ht="13.5" customHeight="1" x14ac:dyDescent="0.25">
      <c r="A131" s="1"/>
      <c r="B131" s="1"/>
      <c r="C131" s="1"/>
      <c r="D131" s="440"/>
      <c r="E131" s="437"/>
      <c r="F131" s="466"/>
      <c r="G131" s="437"/>
      <c r="H131" s="437"/>
      <c r="I131" s="437"/>
      <c r="J131" s="440"/>
    </row>
    <row r="132" spans="1:10" ht="13.5" customHeight="1" x14ac:dyDescent="0.25">
      <c r="A132" s="1"/>
      <c r="B132" s="1" t="s">
        <v>228</v>
      </c>
      <c r="C132" s="1" t="s">
        <v>229</v>
      </c>
      <c r="D132" s="437">
        <v>-2182101</v>
      </c>
      <c r="E132" s="437">
        <v>91800</v>
      </c>
      <c r="F132" s="466">
        <f>SUM(E132/G132)</f>
        <v>-3.4804367606915375E-2</v>
      </c>
      <c r="G132" s="437">
        <v>-2637600</v>
      </c>
      <c r="H132" s="437">
        <v>135579.78</v>
      </c>
      <c r="I132" s="437">
        <v>275331.71999999997</v>
      </c>
      <c r="J132" s="437">
        <v>282800</v>
      </c>
    </row>
    <row r="133" spans="1:10" ht="13.5" customHeight="1" x14ac:dyDescent="0.25">
      <c r="A133" s="1"/>
      <c r="B133" s="1"/>
      <c r="C133" s="1"/>
      <c r="D133" s="438">
        <v>-2182101</v>
      </c>
      <c r="E133" s="438">
        <f t="shared" ref="E133" si="25">SUM(E132)</f>
        <v>91800</v>
      </c>
      <c r="F133" s="467"/>
      <c r="G133" s="438">
        <f t="shared" ref="G133" si="26">SUM(G132)</f>
        <v>-2637600</v>
      </c>
      <c r="H133" s="438">
        <f>SUM(H132)</f>
        <v>135579.78</v>
      </c>
      <c r="I133" s="438">
        <f>SUM(I132)</f>
        <v>275331.71999999997</v>
      </c>
      <c r="J133" s="438">
        <f t="shared" ref="J133" si="27">SUM(J132)</f>
        <v>282800</v>
      </c>
    </row>
    <row r="134" spans="1:10" ht="13.5" customHeight="1" x14ac:dyDescent="0.25">
      <c r="A134" s="1"/>
      <c r="B134" s="1"/>
      <c r="C134" s="1"/>
      <c r="D134" s="437"/>
      <c r="E134" s="437"/>
      <c r="F134" s="466"/>
      <c r="G134" s="437"/>
      <c r="H134" s="437"/>
      <c r="I134" s="437"/>
      <c r="J134" s="437"/>
    </row>
    <row r="135" spans="1:10" ht="13.5" customHeight="1" thickBot="1" x14ac:dyDescent="0.3">
      <c r="A135" s="28"/>
      <c r="B135" s="28"/>
      <c r="C135" s="30" t="s">
        <v>230</v>
      </c>
      <c r="D135" s="442">
        <v>-37166180</v>
      </c>
      <c r="E135" s="442">
        <f t="shared" ref="E135" si="28">SUM(E11+E15+E52+E97+E110+E114+E130+E133)</f>
        <v>-32151797.23</v>
      </c>
      <c r="F135" s="470">
        <f>SUM(E135/G135)</f>
        <v>0.9186498096643565</v>
      </c>
      <c r="G135" s="442">
        <f t="shared" ref="G135:H135" si="29">SUM(G11+G15+G52+G97+G110+G114+G130+G133)</f>
        <v>-34998970.109999999</v>
      </c>
      <c r="H135" s="442">
        <f t="shared" si="29"/>
        <v>-34128812.490000002</v>
      </c>
      <c r="I135" s="442">
        <f>SUM(I11+I15+I52+I97+I110+I114+I130+I133)</f>
        <v>-29558252.379999995</v>
      </c>
      <c r="J135" s="442">
        <f t="shared" ref="J135" si="30">SUM(J11+J15+J52+J97+J110+J114+J130+J133)</f>
        <v>-28399953.759999994</v>
      </c>
    </row>
    <row r="136" spans="1:10" ht="13.5" customHeight="1" thickTop="1" x14ac:dyDescent="0.25">
      <c r="A136" s="1"/>
      <c r="B136" s="1"/>
      <c r="C136" s="1"/>
      <c r="D136" s="437"/>
      <c r="E136" s="437"/>
      <c r="F136" s="466"/>
      <c r="G136" s="444"/>
      <c r="H136" s="437"/>
      <c r="I136" s="437"/>
      <c r="J136" s="437"/>
    </row>
    <row r="137" spans="1:10" ht="42" customHeight="1" x14ac:dyDescent="0.25">
      <c r="A137" s="1"/>
      <c r="B137" s="1"/>
      <c r="C137" s="1"/>
      <c r="D137" s="435"/>
      <c r="E137" s="437"/>
      <c r="F137" s="466"/>
      <c r="G137" s="437"/>
      <c r="H137" s="437"/>
      <c r="I137" s="437"/>
      <c r="J137" s="437"/>
    </row>
    <row r="138" spans="1:10" ht="33" customHeight="1" x14ac:dyDescent="0.25">
      <c r="A138" s="35"/>
      <c r="B138" s="36" t="s">
        <v>231</v>
      </c>
      <c r="C138" s="37"/>
      <c r="D138" s="445"/>
      <c r="E138" s="445"/>
      <c r="F138" s="471"/>
      <c r="G138" s="445"/>
      <c r="H138" s="445"/>
      <c r="I138" s="445"/>
      <c r="J138" s="445"/>
    </row>
    <row r="139" spans="1:10" ht="19.5" customHeight="1" x14ac:dyDescent="0.25">
      <c r="A139" s="1"/>
      <c r="B139" s="1"/>
      <c r="C139" s="1"/>
      <c r="D139" s="437"/>
      <c r="E139" s="437"/>
      <c r="F139" s="466"/>
      <c r="G139" s="437"/>
      <c r="H139" s="437"/>
      <c r="I139" s="437"/>
      <c r="J139" s="437"/>
    </row>
    <row r="140" spans="1:10" ht="13.5" customHeight="1" x14ac:dyDescent="0.25">
      <c r="A140" s="1"/>
      <c r="B140" s="38" t="s">
        <v>232</v>
      </c>
      <c r="C140" s="38" t="s">
        <v>233</v>
      </c>
      <c r="D140" s="446" t="s">
        <v>234</v>
      </c>
      <c r="E140" s="446" t="s">
        <v>235</v>
      </c>
      <c r="F140" s="472"/>
      <c r="G140" s="446" t="s">
        <v>236</v>
      </c>
      <c r="H140" s="446" t="s">
        <v>237</v>
      </c>
      <c r="I140" s="446" t="s">
        <v>238</v>
      </c>
      <c r="J140" s="446" t="s">
        <v>239</v>
      </c>
    </row>
    <row r="141" spans="1:10" ht="13.5" customHeight="1" x14ac:dyDescent="0.25">
      <c r="A141" s="14" t="s">
        <v>240</v>
      </c>
      <c r="B141" s="1"/>
      <c r="C141" s="1"/>
      <c r="D141" s="437"/>
      <c r="E141" s="437"/>
      <c r="F141" s="466"/>
      <c r="G141" s="437"/>
      <c r="H141" s="437"/>
      <c r="I141" s="437"/>
      <c r="J141" s="437"/>
    </row>
    <row r="142" spans="1:10" ht="13.5" customHeight="1" x14ac:dyDescent="0.25">
      <c r="A142" s="1"/>
      <c r="B142" s="1"/>
      <c r="C142" s="14" t="s">
        <v>241</v>
      </c>
      <c r="D142" s="437"/>
      <c r="E142" s="437"/>
      <c r="F142" s="466"/>
      <c r="G142" s="437"/>
      <c r="H142" s="437"/>
      <c r="I142" s="437"/>
      <c r="J142" s="437"/>
    </row>
    <row r="143" spans="1:10" ht="13.5" customHeight="1" x14ac:dyDescent="0.25">
      <c r="A143" s="1"/>
      <c r="B143" s="1" t="s">
        <v>242</v>
      </c>
      <c r="C143" s="1" t="s">
        <v>243</v>
      </c>
      <c r="D143" s="437">
        <v>87540</v>
      </c>
      <c r="E143" s="437">
        <v>38101.449999999997</v>
      </c>
      <c r="F143" s="466">
        <f t="shared" ref="F143:F145" si="31">SUM(E143/G143)</f>
        <v>0.46538964211554901</v>
      </c>
      <c r="G143" s="437">
        <v>81870</v>
      </c>
      <c r="H143" s="437">
        <v>82500.649999999994</v>
      </c>
      <c r="I143" s="437">
        <v>75357.91</v>
      </c>
      <c r="J143" s="437">
        <v>73626.740000000005</v>
      </c>
    </row>
    <row r="144" spans="1:10" ht="13.5" customHeight="1" x14ac:dyDescent="0.25">
      <c r="A144" s="1"/>
      <c r="B144" s="1" t="s">
        <v>244</v>
      </c>
      <c r="C144" s="1" t="s">
        <v>245</v>
      </c>
      <c r="D144" s="437">
        <v>90967</v>
      </c>
      <c r="E144" s="437">
        <v>39592.65</v>
      </c>
      <c r="F144" s="466">
        <f t="shared" si="31"/>
        <v>0.46538524831031447</v>
      </c>
      <c r="G144" s="437">
        <v>85075</v>
      </c>
      <c r="H144" s="437">
        <v>85751.97</v>
      </c>
      <c r="I144" s="437">
        <v>76827.69</v>
      </c>
      <c r="J144" s="437">
        <v>59265.93</v>
      </c>
    </row>
    <row r="145" spans="1:10" ht="13.5" customHeight="1" x14ac:dyDescent="0.25">
      <c r="A145" s="1"/>
      <c r="B145" s="1" t="s">
        <v>246</v>
      </c>
      <c r="C145" s="1" t="s">
        <v>247</v>
      </c>
      <c r="D145" s="437">
        <v>0</v>
      </c>
      <c r="E145" s="439">
        <v>0</v>
      </c>
      <c r="F145" s="466">
        <f t="shared" si="31"/>
        <v>0</v>
      </c>
      <c r="G145" s="440">
        <v>1000</v>
      </c>
      <c r="H145" s="439">
        <v>0</v>
      </c>
      <c r="I145" s="439">
        <v>0</v>
      </c>
      <c r="J145" s="440" t="s">
        <v>12</v>
      </c>
    </row>
    <row r="146" spans="1:10" ht="13.5" customHeight="1" x14ac:dyDescent="0.25">
      <c r="A146" s="1"/>
      <c r="B146" s="1" t="s">
        <v>248</v>
      </c>
      <c r="C146" s="1" t="s">
        <v>249</v>
      </c>
      <c r="D146" s="437">
        <v>0</v>
      </c>
      <c r="E146" s="437">
        <v>0</v>
      </c>
      <c r="F146" s="466"/>
      <c r="G146" s="437">
        <v>0</v>
      </c>
      <c r="H146" s="437">
        <v>0</v>
      </c>
      <c r="I146" s="437">
        <v>11232.08</v>
      </c>
      <c r="J146" s="437">
        <v>5582.26</v>
      </c>
    </row>
    <row r="147" spans="1:10" ht="13.5" customHeight="1" x14ac:dyDescent="0.25">
      <c r="A147" s="1"/>
      <c r="B147" s="1" t="s">
        <v>250</v>
      </c>
      <c r="C147" s="1" t="s">
        <v>251</v>
      </c>
      <c r="D147" s="437">
        <v>1000</v>
      </c>
      <c r="E147" s="439">
        <v>0</v>
      </c>
      <c r="F147" s="466">
        <f t="shared" ref="F147:F149" si="32">SUM(E147/G147)</f>
        <v>0</v>
      </c>
      <c r="G147" s="440">
        <v>1000</v>
      </c>
      <c r="H147" s="439">
        <v>0</v>
      </c>
      <c r="I147" s="440">
        <v>0</v>
      </c>
      <c r="J147" s="440" t="s">
        <v>12</v>
      </c>
    </row>
    <row r="148" spans="1:10" ht="13.5" customHeight="1" x14ac:dyDescent="0.25">
      <c r="A148" s="1"/>
      <c r="B148" s="1" t="s">
        <v>252</v>
      </c>
      <c r="C148" s="1" t="s">
        <v>253</v>
      </c>
      <c r="D148" s="437">
        <v>9000</v>
      </c>
      <c r="E148" s="437">
        <v>4499.95</v>
      </c>
      <c r="F148" s="466">
        <f t="shared" si="32"/>
        <v>0.49999444444444441</v>
      </c>
      <c r="G148" s="437">
        <v>9000</v>
      </c>
      <c r="H148" s="437">
        <v>8999.9</v>
      </c>
      <c r="I148" s="437">
        <v>9000.15</v>
      </c>
      <c r="J148" s="437">
        <v>8999.9</v>
      </c>
    </row>
    <row r="149" spans="1:10" ht="13.5" customHeight="1" x14ac:dyDescent="0.25">
      <c r="A149" s="1"/>
      <c r="B149" s="1" t="s">
        <v>254</v>
      </c>
      <c r="C149" s="1" t="s">
        <v>255</v>
      </c>
      <c r="D149" s="437">
        <v>25200</v>
      </c>
      <c r="E149" s="437">
        <v>12599.99</v>
      </c>
      <c r="F149" s="466">
        <f t="shared" si="32"/>
        <v>0.49999960317460318</v>
      </c>
      <c r="G149" s="437">
        <v>25200</v>
      </c>
      <c r="H149" s="437">
        <v>25199.98</v>
      </c>
      <c r="I149" s="437">
        <v>25200.35</v>
      </c>
      <c r="J149" s="437">
        <v>25199.98</v>
      </c>
    </row>
    <row r="150" spans="1:10" ht="13.5" customHeight="1" x14ac:dyDescent="0.25">
      <c r="A150" s="1"/>
      <c r="B150" s="1"/>
      <c r="C150" s="1"/>
      <c r="D150" s="438">
        <v>213707</v>
      </c>
      <c r="E150" s="438">
        <f t="shared" ref="E150" si="33">SUM(E143:E149)</f>
        <v>94794.040000000008</v>
      </c>
      <c r="F150" s="467"/>
      <c r="G150" s="438">
        <f>SUM(G143:G149)</f>
        <v>203145</v>
      </c>
      <c r="H150" s="438">
        <f>SUM(H143:H149)</f>
        <v>202452.5</v>
      </c>
      <c r="I150" s="438">
        <f>SUM(I143:I149)</f>
        <v>197618.18</v>
      </c>
      <c r="J150" s="438">
        <f t="shared" ref="J150" si="34">SUM(J143:J149)</f>
        <v>172674.81000000003</v>
      </c>
    </row>
    <row r="151" spans="1:10" ht="13.5" customHeight="1" x14ac:dyDescent="0.25">
      <c r="A151" s="1"/>
      <c r="B151" s="1"/>
      <c r="C151" s="1"/>
      <c r="D151" s="437"/>
      <c r="E151" s="437"/>
      <c r="F151" s="466"/>
      <c r="G151" s="437"/>
      <c r="H151" s="437"/>
      <c r="I151" s="437"/>
      <c r="J151" s="437"/>
    </row>
    <row r="152" spans="1:10" ht="13.5" customHeight="1" x14ac:dyDescent="0.25">
      <c r="A152" s="1"/>
      <c r="B152" s="1" t="s">
        <v>256</v>
      </c>
      <c r="C152" s="1" t="s">
        <v>257</v>
      </c>
      <c r="D152" s="437">
        <v>16348.585500000001</v>
      </c>
      <c r="E152" s="437">
        <v>6566.44</v>
      </c>
      <c r="F152" s="466">
        <f t="shared" ref="F152:F156" si="35">SUM(E152/G152)</f>
        <v>0.42462498203499488</v>
      </c>
      <c r="G152" s="437">
        <v>15464.092500000001</v>
      </c>
      <c r="H152" s="437">
        <v>14120.81</v>
      </c>
      <c r="I152" s="437">
        <v>13893.97</v>
      </c>
      <c r="J152" s="437">
        <v>11906.53</v>
      </c>
    </row>
    <row r="153" spans="1:10" ht="13.5" customHeight="1" x14ac:dyDescent="0.25">
      <c r="A153" s="1"/>
      <c r="B153" s="1" t="s">
        <v>258</v>
      </c>
      <c r="C153" s="1" t="s">
        <v>259</v>
      </c>
      <c r="D153" s="437">
        <v>31382.654400000003</v>
      </c>
      <c r="E153" s="437">
        <v>15652.92</v>
      </c>
      <c r="F153" s="466">
        <f t="shared" si="35"/>
        <v>0.49865467994890145</v>
      </c>
      <c r="G153" s="437">
        <v>31390.3</v>
      </c>
      <c r="H153" s="437">
        <v>31147.82</v>
      </c>
      <c r="I153" s="437">
        <v>29548.67</v>
      </c>
      <c r="J153" s="437">
        <v>25349.75</v>
      </c>
    </row>
    <row r="154" spans="1:10" ht="13.5" customHeight="1" x14ac:dyDescent="0.25">
      <c r="A154" s="1"/>
      <c r="B154" s="1" t="s">
        <v>260</v>
      </c>
      <c r="C154" s="1" t="s">
        <v>261</v>
      </c>
      <c r="D154" s="437">
        <v>32098.791400000002</v>
      </c>
      <c r="E154" s="437">
        <v>14060.24</v>
      </c>
      <c r="F154" s="466">
        <f t="shared" si="35"/>
        <v>0.4630840078018113</v>
      </c>
      <c r="G154" s="437">
        <v>30362.18</v>
      </c>
      <c r="H154" s="437">
        <v>30447.88</v>
      </c>
      <c r="I154" s="437">
        <v>28731.97</v>
      </c>
      <c r="J154" s="437">
        <v>25076.880000000001</v>
      </c>
    </row>
    <row r="155" spans="1:10" ht="13.5" customHeight="1" x14ac:dyDescent="0.25">
      <c r="A155" s="1"/>
      <c r="B155" s="1" t="s">
        <v>262</v>
      </c>
      <c r="C155" s="1" t="s">
        <v>263</v>
      </c>
      <c r="D155" s="437">
        <v>341.93119999999999</v>
      </c>
      <c r="E155" s="437">
        <v>149.79</v>
      </c>
      <c r="F155" s="466">
        <f t="shared" si="35"/>
        <v>0.46312671597120875</v>
      </c>
      <c r="G155" s="437">
        <v>323.43200000000002</v>
      </c>
      <c r="H155" s="437">
        <v>324.33999999999997</v>
      </c>
      <c r="I155" s="437">
        <v>316.3</v>
      </c>
      <c r="J155" s="437">
        <v>316.54000000000002</v>
      </c>
    </row>
    <row r="156" spans="1:10" ht="13.5" customHeight="1" x14ac:dyDescent="0.25">
      <c r="A156" s="1"/>
      <c r="B156" s="1" t="s">
        <v>264</v>
      </c>
      <c r="C156" s="1" t="s">
        <v>265</v>
      </c>
      <c r="D156" s="437">
        <v>1124.6399999999999</v>
      </c>
      <c r="E156" s="437">
        <v>526.67999999999995</v>
      </c>
      <c r="F156" s="466">
        <f t="shared" si="35"/>
        <v>0.5</v>
      </c>
      <c r="G156" s="437">
        <v>1053.3599999999999</v>
      </c>
      <c r="H156" s="437">
        <v>1011.96</v>
      </c>
      <c r="I156" s="437">
        <v>940.79</v>
      </c>
      <c r="J156" s="437">
        <v>729.46</v>
      </c>
    </row>
    <row r="157" spans="1:10" ht="13.5" customHeight="1" x14ac:dyDescent="0.25">
      <c r="A157" s="1"/>
      <c r="B157" s="1"/>
      <c r="C157" s="1"/>
      <c r="D157" s="438">
        <v>81296.602500000008</v>
      </c>
      <c r="E157" s="438">
        <f t="shared" ref="E157" si="36">SUM(E152:E156)</f>
        <v>36956.07</v>
      </c>
      <c r="F157" s="467"/>
      <c r="G157" s="438">
        <f>SUM(G152:G156)</f>
        <v>78593.364500000011</v>
      </c>
      <c r="H157" s="438">
        <f>SUM(H152:H156)</f>
        <v>77052.81</v>
      </c>
      <c r="I157" s="438">
        <f>SUM(I152:I156)</f>
        <v>73431.7</v>
      </c>
      <c r="J157" s="438">
        <f t="shared" ref="J157" si="37">SUM(J152:J156)</f>
        <v>63379.16</v>
      </c>
    </row>
    <row r="158" spans="1:10" ht="13.5" customHeight="1" x14ac:dyDescent="0.25">
      <c r="A158" s="1"/>
      <c r="B158" s="1"/>
      <c r="C158" s="1"/>
      <c r="D158" s="437"/>
      <c r="E158" s="440"/>
      <c r="F158" s="468"/>
      <c r="G158" s="440"/>
      <c r="H158" s="440"/>
      <c r="I158" s="440"/>
      <c r="J158" s="437"/>
    </row>
    <row r="159" spans="1:10" ht="13.5" customHeight="1" x14ac:dyDescent="0.25">
      <c r="A159" s="1"/>
      <c r="B159" s="1" t="s">
        <v>266</v>
      </c>
      <c r="C159" s="1" t="s">
        <v>267</v>
      </c>
      <c r="D159" s="437">
        <v>1500</v>
      </c>
      <c r="E159" s="437">
        <v>69.67</v>
      </c>
      <c r="F159" s="466">
        <f t="shared" ref="F159:F162" si="38">SUM(E159/G159)</f>
        <v>4.6446666666666671E-2</v>
      </c>
      <c r="G159" s="437">
        <v>1500</v>
      </c>
      <c r="H159" s="437">
        <v>364.51</v>
      </c>
      <c r="I159" s="437">
        <v>927.98</v>
      </c>
      <c r="J159" s="437">
        <v>372.35</v>
      </c>
    </row>
    <row r="160" spans="1:10" ht="13.5" customHeight="1" x14ac:dyDescent="0.25">
      <c r="A160" s="1"/>
      <c r="B160" s="1" t="s">
        <v>268</v>
      </c>
      <c r="C160" s="1" t="s">
        <v>269</v>
      </c>
      <c r="D160" s="437">
        <v>400</v>
      </c>
      <c r="E160" s="437">
        <v>6.71</v>
      </c>
      <c r="F160" s="466">
        <f t="shared" si="38"/>
        <v>1.6774999999999998E-2</v>
      </c>
      <c r="G160" s="437">
        <v>400</v>
      </c>
      <c r="H160" s="437">
        <v>72.8</v>
      </c>
      <c r="I160" s="437">
        <v>69.63</v>
      </c>
      <c r="J160" s="437">
        <v>268.99</v>
      </c>
    </row>
    <row r="161" spans="1:10" ht="13.5" customHeight="1" x14ac:dyDescent="0.25">
      <c r="A161" s="1"/>
      <c r="B161" s="1" t="s">
        <v>270</v>
      </c>
      <c r="C161" s="1" t="s">
        <v>271</v>
      </c>
      <c r="D161" s="437">
        <v>100</v>
      </c>
      <c r="E161" s="439">
        <v>0</v>
      </c>
      <c r="F161" s="466">
        <f t="shared" si="38"/>
        <v>0</v>
      </c>
      <c r="G161" s="440">
        <v>100</v>
      </c>
      <c r="H161" s="439">
        <v>0</v>
      </c>
      <c r="I161" s="439">
        <v>145</v>
      </c>
      <c r="J161" s="437">
        <v>65</v>
      </c>
    </row>
    <row r="162" spans="1:10" ht="13.5" customHeight="1" x14ac:dyDescent="0.25">
      <c r="A162" s="1"/>
      <c r="B162" s="1" t="s">
        <v>272</v>
      </c>
      <c r="C162" s="1" t="s">
        <v>273</v>
      </c>
      <c r="D162" s="437">
        <v>1200</v>
      </c>
      <c r="E162" s="439">
        <v>0</v>
      </c>
      <c r="F162" s="466">
        <f t="shared" si="38"/>
        <v>0</v>
      </c>
      <c r="G162" s="440">
        <v>1200</v>
      </c>
      <c r="H162" s="439">
        <v>0</v>
      </c>
      <c r="I162" s="440">
        <v>0</v>
      </c>
      <c r="J162" s="440">
        <v>0</v>
      </c>
    </row>
    <row r="163" spans="1:10" ht="13.5" customHeight="1" x14ac:dyDescent="0.25">
      <c r="A163" s="1"/>
      <c r="B163" s="1" t="s">
        <v>274</v>
      </c>
      <c r="C163" s="1" t="s">
        <v>275</v>
      </c>
      <c r="D163" s="437">
        <v>0</v>
      </c>
      <c r="E163" s="439">
        <v>0</v>
      </c>
      <c r="F163" s="466"/>
      <c r="G163" s="440">
        <v>0</v>
      </c>
      <c r="H163" s="439">
        <v>333.16</v>
      </c>
      <c r="I163" s="440">
        <v>0</v>
      </c>
      <c r="J163" s="437">
        <v>1575.98</v>
      </c>
    </row>
    <row r="164" spans="1:10" ht="13.5" customHeight="1" x14ac:dyDescent="0.25">
      <c r="A164" s="1"/>
      <c r="B164" s="1"/>
      <c r="C164" s="1"/>
      <c r="D164" s="441">
        <v>3200</v>
      </c>
      <c r="E164" s="441">
        <f t="shared" ref="E164" si="39">SUM(E159:E163)</f>
        <v>76.38</v>
      </c>
      <c r="F164" s="469"/>
      <c r="G164" s="441">
        <f>SUM(G159:G163)</f>
        <v>3200</v>
      </c>
      <c r="H164" s="441">
        <f>SUM(H159:H163)</f>
        <v>770.47</v>
      </c>
      <c r="I164" s="441">
        <f>SUM(I159:I163)</f>
        <v>1142.6100000000001</v>
      </c>
      <c r="J164" s="441">
        <f t="shared" ref="J164" si="40">SUM(J159:J163)</f>
        <v>2282.3200000000002</v>
      </c>
    </row>
    <row r="165" spans="1:10" ht="13.5" customHeight="1" x14ac:dyDescent="0.25">
      <c r="A165" s="1"/>
      <c r="B165" s="1"/>
      <c r="C165" s="1"/>
      <c r="D165" s="440"/>
      <c r="E165" s="440"/>
      <c r="F165" s="468"/>
      <c r="G165" s="440"/>
      <c r="H165" s="440"/>
      <c r="I165" s="440"/>
      <c r="J165" s="437"/>
    </row>
    <row r="166" spans="1:10" ht="13.5" customHeight="1" x14ac:dyDescent="0.25">
      <c r="A166" s="1"/>
      <c r="B166" s="1" t="s">
        <v>276</v>
      </c>
      <c r="C166" s="1" t="s">
        <v>277</v>
      </c>
      <c r="D166" s="437">
        <v>3500</v>
      </c>
      <c r="E166" s="437">
        <v>1140</v>
      </c>
      <c r="F166" s="466">
        <f t="shared" ref="F166:F167" si="41">SUM(E166/G166)</f>
        <v>0.32571428571428573</v>
      </c>
      <c r="G166" s="437">
        <v>3500</v>
      </c>
      <c r="H166" s="437">
        <v>3135</v>
      </c>
      <c r="I166" s="437">
        <v>1710</v>
      </c>
      <c r="J166" s="437">
        <v>1140</v>
      </c>
    </row>
    <row r="167" spans="1:10" ht="13.5" customHeight="1" x14ac:dyDescent="0.25">
      <c r="A167" s="1"/>
      <c r="B167" s="1" t="s">
        <v>278</v>
      </c>
      <c r="C167" s="1" t="s">
        <v>279</v>
      </c>
      <c r="D167" s="437">
        <v>2500</v>
      </c>
      <c r="E167" s="439">
        <v>0</v>
      </c>
      <c r="F167" s="466">
        <f t="shared" si="41"/>
        <v>0</v>
      </c>
      <c r="G167" s="440">
        <v>2500</v>
      </c>
      <c r="H167" s="439">
        <v>0</v>
      </c>
      <c r="I167" s="440">
        <v>0</v>
      </c>
      <c r="J167" s="440">
        <v>0</v>
      </c>
    </row>
    <row r="168" spans="1:10" ht="13.5" customHeight="1" x14ac:dyDescent="0.25">
      <c r="A168" s="1"/>
      <c r="B168" s="1" t="s">
        <v>280</v>
      </c>
      <c r="C168" s="1" t="s">
        <v>281</v>
      </c>
      <c r="D168" s="437">
        <v>0</v>
      </c>
      <c r="E168" s="439">
        <v>0</v>
      </c>
      <c r="F168" s="466"/>
      <c r="G168" s="440">
        <v>0</v>
      </c>
      <c r="H168" s="439">
        <v>0</v>
      </c>
      <c r="I168" s="440">
        <v>0</v>
      </c>
      <c r="J168" s="437">
        <v>148.35</v>
      </c>
    </row>
    <row r="169" spans="1:10" ht="13.5" customHeight="1" x14ac:dyDescent="0.25">
      <c r="A169" s="1"/>
      <c r="B169" s="1" t="s">
        <v>282</v>
      </c>
      <c r="C169" s="1" t="s">
        <v>283</v>
      </c>
      <c r="D169" s="437">
        <v>5000</v>
      </c>
      <c r="E169" s="437">
        <v>595</v>
      </c>
      <c r="F169" s="466">
        <f t="shared" ref="F169:F172" si="42">SUM(E169/G169)</f>
        <v>0.11899999999999999</v>
      </c>
      <c r="G169" s="437">
        <v>5000</v>
      </c>
      <c r="H169" s="437">
        <v>135</v>
      </c>
      <c r="I169" s="437">
        <v>1980.46</v>
      </c>
      <c r="J169" s="437">
        <v>3766.72</v>
      </c>
    </row>
    <row r="170" spans="1:10" ht="13.5" customHeight="1" x14ac:dyDescent="0.25">
      <c r="A170" s="1"/>
      <c r="B170" s="1" t="s">
        <v>284</v>
      </c>
      <c r="C170" s="1" t="s">
        <v>285</v>
      </c>
      <c r="D170" s="437">
        <v>531</v>
      </c>
      <c r="E170" s="437">
        <v>375</v>
      </c>
      <c r="F170" s="466">
        <f t="shared" si="42"/>
        <v>0.70621468926553677</v>
      </c>
      <c r="G170" s="437">
        <v>531</v>
      </c>
      <c r="H170" s="437">
        <v>673.83</v>
      </c>
      <c r="I170" s="437">
        <v>873.83</v>
      </c>
      <c r="J170" s="437">
        <v>873.83</v>
      </c>
    </row>
    <row r="171" spans="1:10" ht="13.5" customHeight="1" x14ac:dyDescent="0.25">
      <c r="A171" s="1"/>
      <c r="B171" s="1" t="s">
        <v>286</v>
      </c>
      <c r="C171" s="1" t="s">
        <v>287</v>
      </c>
      <c r="D171" s="437">
        <v>320</v>
      </c>
      <c r="E171" s="437">
        <v>0</v>
      </c>
      <c r="F171" s="466">
        <f t="shared" si="42"/>
        <v>0</v>
      </c>
      <c r="G171" s="437">
        <v>320</v>
      </c>
      <c r="H171" s="437">
        <v>0</v>
      </c>
      <c r="I171" s="437">
        <v>1242.5</v>
      </c>
      <c r="J171" s="437">
        <v>71</v>
      </c>
    </row>
    <row r="172" spans="1:10" ht="13.5" customHeight="1" x14ac:dyDescent="0.25">
      <c r="A172" s="1"/>
      <c r="B172" s="1" t="s">
        <v>288</v>
      </c>
      <c r="C172" s="1" t="s">
        <v>289</v>
      </c>
      <c r="D172" s="437">
        <v>3480</v>
      </c>
      <c r="E172" s="437">
        <v>506.51</v>
      </c>
      <c r="F172" s="466">
        <f t="shared" si="42"/>
        <v>0.14554885057471265</v>
      </c>
      <c r="G172" s="437">
        <v>3480</v>
      </c>
      <c r="H172" s="437">
        <v>2236.25</v>
      </c>
      <c r="I172" s="437">
        <v>2620.4</v>
      </c>
      <c r="J172" s="437">
        <v>2566.65</v>
      </c>
    </row>
    <row r="173" spans="1:10" ht="13.5" customHeight="1" x14ac:dyDescent="0.25">
      <c r="A173" s="1"/>
      <c r="B173" s="1"/>
      <c r="C173" s="1"/>
      <c r="D173" s="438">
        <v>15331</v>
      </c>
      <c r="E173" s="438">
        <f t="shared" ref="E173" si="43">SUM(E166:E172)</f>
        <v>2616.5100000000002</v>
      </c>
      <c r="F173" s="467"/>
      <c r="G173" s="438">
        <v>15331</v>
      </c>
      <c r="H173" s="438">
        <f>SUM(H166:H172)</f>
        <v>6180.08</v>
      </c>
      <c r="I173" s="438">
        <f>SUM(I166:I172)</f>
        <v>8427.19</v>
      </c>
      <c r="J173" s="438">
        <f t="shared" ref="J173" si="44">SUM(J166:J172)</f>
        <v>8566.5499999999993</v>
      </c>
    </row>
    <row r="174" spans="1:10" ht="13.5" customHeight="1" thickBot="1" x14ac:dyDescent="0.3">
      <c r="A174" s="39"/>
      <c r="B174" s="39"/>
      <c r="C174" s="39" t="s">
        <v>290</v>
      </c>
      <c r="D174" s="447">
        <v>313534.60250000004</v>
      </c>
      <c r="E174" s="447">
        <f t="shared" ref="E174" si="45">SUM(E150+E157+E164+E173)</f>
        <v>134443.00000000003</v>
      </c>
      <c r="F174" s="473"/>
      <c r="G174" s="447">
        <v>300269.37</v>
      </c>
      <c r="H174" s="447">
        <f>SUM(H150+H157+H164+H173)</f>
        <v>286455.86</v>
      </c>
      <c r="I174" s="447">
        <f>SUM(I150+I157+I164+I173)</f>
        <v>280619.68</v>
      </c>
      <c r="J174" s="447">
        <f t="shared" ref="J174" si="46">SUM(J150+J157+J164+J173)</f>
        <v>246902.84000000003</v>
      </c>
    </row>
    <row r="175" spans="1:10" ht="13.5" customHeight="1" thickTop="1" x14ac:dyDescent="0.25">
      <c r="A175" s="1"/>
      <c r="B175" s="1"/>
      <c r="C175" s="1"/>
      <c r="D175" s="437"/>
      <c r="E175" s="437"/>
      <c r="F175" s="466"/>
      <c r="G175" s="437"/>
      <c r="H175" s="437"/>
      <c r="I175" s="437"/>
      <c r="J175" s="437"/>
    </row>
    <row r="176" spans="1:10" ht="13.5" customHeight="1" x14ac:dyDescent="0.25">
      <c r="A176" s="1"/>
      <c r="B176" s="1"/>
      <c r="C176" s="14" t="s">
        <v>291</v>
      </c>
      <c r="D176" s="437"/>
      <c r="E176" s="437"/>
      <c r="F176" s="466"/>
      <c r="G176" s="437"/>
      <c r="H176" s="437"/>
      <c r="I176" s="437"/>
      <c r="J176" s="437"/>
    </row>
    <row r="177" spans="1:10" ht="13.5" customHeight="1" x14ac:dyDescent="0.25">
      <c r="A177" s="1"/>
      <c r="B177" s="1" t="s">
        <v>292</v>
      </c>
      <c r="C177" s="1" t="s">
        <v>293</v>
      </c>
      <c r="D177" s="437">
        <v>130000</v>
      </c>
      <c r="E177" s="437">
        <v>69456</v>
      </c>
      <c r="F177" s="466">
        <f t="shared" ref="F177:F179" si="47">SUM(E177/G177)</f>
        <v>0.53427692307692309</v>
      </c>
      <c r="G177" s="437">
        <v>130000</v>
      </c>
      <c r="H177" s="437">
        <v>109300</v>
      </c>
      <c r="I177" s="437">
        <v>103194.96</v>
      </c>
      <c r="J177" s="437">
        <v>117425.72</v>
      </c>
    </row>
    <row r="178" spans="1:10" ht="13.5" customHeight="1" x14ac:dyDescent="0.25">
      <c r="A178" s="1"/>
      <c r="B178" s="1" t="s">
        <v>294</v>
      </c>
      <c r="C178" s="1" t="s">
        <v>295</v>
      </c>
      <c r="D178" s="437">
        <v>21500</v>
      </c>
      <c r="E178" s="437">
        <v>2095.85</v>
      </c>
      <c r="F178" s="466">
        <f t="shared" si="47"/>
        <v>9.7481395348837208E-2</v>
      </c>
      <c r="G178" s="437">
        <v>21500</v>
      </c>
      <c r="H178" s="437">
        <v>51674.239999999998</v>
      </c>
      <c r="I178" s="437">
        <v>12461.05</v>
      </c>
      <c r="J178" s="437">
        <v>13820.21</v>
      </c>
    </row>
    <row r="179" spans="1:10" ht="13.5" customHeight="1" x14ac:dyDescent="0.25">
      <c r="A179" s="1"/>
      <c r="B179" s="1" t="s">
        <v>296</v>
      </c>
      <c r="C179" s="1" t="s">
        <v>297</v>
      </c>
      <c r="D179" s="437">
        <v>145000</v>
      </c>
      <c r="E179" s="437">
        <v>50971.08</v>
      </c>
      <c r="F179" s="466">
        <f t="shared" si="47"/>
        <v>0.31236873069569054</v>
      </c>
      <c r="G179" s="437">
        <v>163176</v>
      </c>
      <c r="H179" s="437">
        <v>108591.84</v>
      </c>
      <c r="I179" s="437">
        <v>95521.29</v>
      </c>
      <c r="J179" s="437">
        <v>65395.75</v>
      </c>
    </row>
    <row r="180" spans="1:10" ht="13.5" customHeight="1" x14ac:dyDescent="0.25">
      <c r="A180" s="1"/>
      <c r="B180" s="22" t="s">
        <v>298</v>
      </c>
      <c r="C180" s="22" t="s">
        <v>299</v>
      </c>
      <c r="D180" s="437">
        <v>0</v>
      </c>
      <c r="E180" s="437">
        <v>30</v>
      </c>
      <c r="F180" s="466"/>
      <c r="G180" s="437">
        <v>0</v>
      </c>
      <c r="H180" s="437">
        <v>1640.06</v>
      </c>
      <c r="I180" s="437">
        <v>0</v>
      </c>
      <c r="J180" s="437">
        <v>0</v>
      </c>
    </row>
    <row r="181" spans="1:10" ht="13.5" customHeight="1" x14ac:dyDescent="0.25">
      <c r="A181" s="1"/>
      <c r="B181" s="1"/>
      <c r="C181" s="1"/>
      <c r="D181" s="438">
        <v>296500</v>
      </c>
      <c r="E181" s="438">
        <f t="shared" ref="E181" si="48">SUM(E177:E180)</f>
        <v>122552.93000000001</v>
      </c>
      <c r="F181" s="467"/>
      <c r="G181" s="438">
        <v>314676</v>
      </c>
      <c r="H181" s="438">
        <f>SUM(H177:H180)</f>
        <v>271206.13999999996</v>
      </c>
      <c r="I181" s="438">
        <f>SUM(I177:I180)</f>
        <v>211177.3</v>
      </c>
      <c r="J181" s="438">
        <f t="shared" ref="J181" si="49">SUM(J177:J180)</f>
        <v>196641.68</v>
      </c>
    </row>
    <row r="182" spans="1:10" ht="13.5" customHeight="1" x14ac:dyDescent="0.25">
      <c r="A182" s="1"/>
      <c r="B182" s="1"/>
      <c r="C182" s="1"/>
      <c r="D182" s="437"/>
      <c r="E182" s="437"/>
      <c r="F182" s="466"/>
      <c r="G182" s="437"/>
      <c r="H182" s="437"/>
      <c r="I182" s="437"/>
      <c r="J182" s="437"/>
    </row>
    <row r="183" spans="1:10" ht="13.5" customHeight="1" x14ac:dyDescent="0.25">
      <c r="A183" s="1"/>
      <c r="B183" s="1" t="s">
        <v>300</v>
      </c>
      <c r="C183" s="1" t="s">
        <v>267</v>
      </c>
      <c r="D183" s="437">
        <v>2000</v>
      </c>
      <c r="E183" s="437">
        <v>522.07000000000005</v>
      </c>
      <c r="F183" s="466">
        <f t="shared" ref="F183:F184" si="50">SUM(E183/G183)</f>
        <v>0.26103500000000002</v>
      </c>
      <c r="G183" s="437">
        <v>2000</v>
      </c>
      <c r="H183" s="437">
        <v>2542.4299999999998</v>
      </c>
      <c r="I183" s="437">
        <v>2495.2399999999998</v>
      </c>
      <c r="J183" s="437">
        <v>958.84</v>
      </c>
    </row>
    <row r="184" spans="1:10" ht="13.5" customHeight="1" x14ac:dyDescent="0.25">
      <c r="A184" s="1"/>
      <c r="B184" s="1" t="s">
        <v>301</v>
      </c>
      <c r="C184" s="1" t="s">
        <v>269</v>
      </c>
      <c r="D184" s="437">
        <v>15000</v>
      </c>
      <c r="E184" s="437">
        <v>9270.93</v>
      </c>
      <c r="F184" s="466">
        <f t="shared" si="50"/>
        <v>0.618062</v>
      </c>
      <c r="G184" s="437">
        <v>15000</v>
      </c>
      <c r="H184" s="437">
        <v>3958.06</v>
      </c>
      <c r="I184" s="437">
        <v>14309.12</v>
      </c>
      <c r="J184" s="437">
        <v>12483.56</v>
      </c>
    </row>
    <row r="185" spans="1:10" ht="13.5" customHeight="1" x14ac:dyDescent="0.25">
      <c r="A185" s="1"/>
      <c r="B185" s="22" t="s">
        <v>302</v>
      </c>
      <c r="C185" s="22" t="s">
        <v>303</v>
      </c>
      <c r="D185" s="437">
        <v>0</v>
      </c>
      <c r="E185" s="437">
        <v>0</v>
      </c>
      <c r="F185" s="466"/>
      <c r="G185" s="437">
        <v>0</v>
      </c>
      <c r="H185" s="437">
        <v>11764.99</v>
      </c>
      <c r="I185" s="437">
        <v>0</v>
      </c>
      <c r="J185" s="437">
        <v>0</v>
      </c>
    </row>
    <row r="186" spans="1:10" ht="13.5" customHeight="1" x14ac:dyDescent="0.25">
      <c r="A186" s="1"/>
      <c r="B186" s="1" t="s">
        <v>304</v>
      </c>
      <c r="C186" s="22" t="s">
        <v>305</v>
      </c>
      <c r="D186" s="437">
        <v>0</v>
      </c>
      <c r="E186" s="437">
        <v>0</v>
      </c>
      <c r="F186" s="466"/>
      <c r="G186" s="437">
        <v>0</v>
      </c>
      <c r="H186" s="437">
        <v>164.96</v>
      </c>
      <c r="I186" s="437">
        <v>0</v>
      </c>
      <c r="J186" s="437">
        <v>0</v>
      </c>
    </row>
    <row r="187" spans="1:10" ht="13.5" customHeight="1" x14ac:dyDescent="0.25">
      <c r="A187" s="1"/>
      <c r="B187" s="1"/>
      <c r="C187" s="1"/>
      <c r="D187" s="438">
        <v>17000</v>
      </c>
      <c r="E187" s="438">
        <f t="shared" ref="E187" si="51">SUM(E183:E186)</f>
        <v>9793</v>
      </c>
      <c r="F187" s="467"/>
      <c r="G187" s="438">
        <v>17000</v>
      </c>
      <c r="H187" s="438">
        <f>SUM(H183:H186)</f>
        <v>18430.439999999999</v>
      </c>
      <c r="I187" s="438">
        <f>SUM(I183:I186)</f>
        <v>16804.36</v>
      </c>
      <c r="J187" s="438">
        <f t="shared" ref="J187" si="52">SUM(J183:J186)</f>
        <v>13442.4</v>
      </c>
    </row>
    <row r="188" spans="1:10" ht="13.5" customHeight="1" x14ac:dyDescent="0.25">
      <c r="A188" s="1"/>
      <c r="B188" s="1"/>
      <c r="C188" s="1"/>
      <c r="D188" s="437"/>
      <c r="E188" s="437"/>
      <c r="F188" s="466"/>
      <c r="G188" s="437"/>
      <c r="H188" s="437"/>
      <c r="I188" s="437"/>
      <c r="J188" s="437"/>
    </row>
    <row r="189" spans="1:10" ht="13.5" customHeight="1" x14ac:dyDescent="0.25">
      <c r="A189" s="1"/>
      <c r="B189" s="1" t="s">
        <v>306</v>
      </c>
      <c r="C189" s="1" t="s">
        <v>307</v>
      </c>
      <c r="D189" s="437">
        <v>14000</v>
      </c>
      <c r="E189" s="437">
        <v>500</v>
      </c>
      <c r="F189" s="466">
        <f t="shared" ref="F189:F198" si="53">SUM(E189/G189)</f>
        <v>3.5714285714285712E-2</v>
      </c>
      <c r="G189" s="437">
        <v>14000</v>
      </c>
      <c r="H189" s="437">
        <v>11200</v>
      </c>
      <c r="I189" s="437">
        <v>1200</v>
      </c>
      <c r="J189" s="437">
        <v>1200</v>
      </c>
    </row>
    <row r="190" spans="1:10" ht="13.5" customHeight="1" x14ac:dyDescent="0.25">
      <c r="A190" s="1"/>
      <c r="B190" s="1" t="s">
        <v>308</v>
      </c>
      <c r="C190" s="1" t="s">
        <v>309</v>
      </c>
      <c r="D190" s="437">
        <v>29000</v>
      </c>
      <c r="E190" s="439">
        <v>20000</v>
      </c>
      <c r="F190" s="466">
        <f t="shared" si="53"/>
        <v>0.68965517241379315</v>
      </c>
      <c r="G190" s="440">
        <v>29000</v>
      </c>
      <c r="H190" s="439">
        <v>30600</v>
      </c>
      <c r="I190" s="439">
        <v>30600</v>
      </c>
      <c r="J190" s="437">
        <v>30600</v>
      </c>
    </row>
    <row r="191" spans="1:10" ht="13.5" customHeight="1" x14ac:dyDescent="0.25">
      <c r="A191" s="1"/>
      <c r="B191" s="1" t="s">
        <v>310</v>
      </c>
      <c r="C191" s="1" t="s">
        <v>311</v>
      </c>
      <c r="D191" s="437">
        <v>60000</v>
      </c>
      <c r="E191" s="437">
        <v>8427.75</v>
      </c>
      <c r="F191" s="466">
        <f t="shared" si="53"/>
        <v>7.0231249999999995E-2</v>
      </c>
      <c r="G191" s="437">
        <v>120000</v>
      </c>
      <c r="H191" s="437">
        <v>73262.64</v>
      </c>
      <c r="I191" s="437">
        <v>79573.320000000007</v>
      </c>
      <c r="J191" s="437">
        <v>67824.36</v>
      </c>
    </row>
    <row r="192" spans="1:10" ht="13.5" customHeight="1" x14ac:dyDescent="0.25">
      <c r="A192" s="1"/>
      <c r="B192" s="1" t="s">
        <v>312</v>
      </c>
      <c r="C192" s="1" t="s">
        <v>313</v>
      </c>
      <c r="D192" s="437">
        <v>23000</v>
      </c>
      <c r="E192" s="437">
        <v>1727</v>
      </c>
      <c r="F192" s="466">
        <f t="shared" si="53"/>
        <v>7.5086956521739134E-2</v>
      </c>
      <c r="G192" s="437">
        <v>23000</v>
      </c>
      <c r="H192" s="437">
        <v>11618.75</v>
      </c>
      <c r="I192" s="437">
        <v>28332.5</v>
      </c>
      <c r="J192" s="437">
        <v>26610</v>
      </c>
    </row>
    <row r="193" spans="1:10" ht="13.5" customHeight="1" x14ac:dyDescent="0.25">
      <c r="A193" s="1"/>
      <c r="B193" s="1" t="s">
        <v>314</v>
      </c>
      <c r="C193" s="1" t="s">
        <v>315</v>
      </c>
      <c r="D193" s="437">
        <v>800000</v>
      </c>
      <c r="E193" s="437">
        <v>287006.2</v>
      </c>
      <c r="F193" s="466">
        <f t="shared" si="53"/>
        <v>0.35875775000000004</v>
      </c>
      <c r="G193" s="437">
        <v>800000</v>
      </c>
      <c r="H193" s="437">
        <v>677305.95</v>
      </c>
      <c r="I193" s="437">
        <v>755467.92</v>
      </c>
      <c r="J193" s="437">
        <v>711438.47</v>
      </c>
    </row>
    <row r="194" spans="1:10" ht="13.5" customHeight="1" x14ac:dyDescent="0.25">
      <c r="A194" s="1"/>
      <c r="B194" s="1" t="s">
        <v>316</v>
      </c>
      <c r="C194" s="1" t="s">
        <v>317</v>
      </c>
      <c r="D194" s="437">
        <v>1200</v>
      </c>
      <c r="E194" s="439">
        <v>0</v>
      </c>
      <c r="F194" s="466">
        <f t="shared" si="53"/>
        <v>0</v>
      </c>
      <c r="G194" s="440">
        <v>1200</v>
      </c>
      <c r="H194" s="439">
        <v>72.5</v>
      </c>
      <c r="I194" s="439">
        <v>70</v>
      </c>
      <c r="J194" s="440">
        <v>0</v>
      </c>
    </row>
    <row r="195" spans="1:10" ht="13.5" customHeight="1" x14ac:dyDescent="0.25">
      <c r="A195" s="1"/>
      <c r="B195" s="1" t="s">
        <v>318</v>
      </c>
      <c r="C195" s="1" t="s">
        <v>319</v>
      </c>
      <c r="D195" s="437">
        <v>752645</v>
      </c>
      <c r="E195" s="437">
        <v>517578.75</v>
      </c>
      <c r="F195" s="466">
        <f t="shared" si="53"/>
        <v>0.75</v>
      </c>
      <c r="G195" s="437">
        <v>690105</v>
      </c>
      <c r="H195" s="437">
        <v>486549</v>
      </c>
      <c r="I195" s="437">
        <v>516346</v>
      </c>
      <c r="J195" s="437">
        <v>542151.11</v>
      </c>
    </row>
    <row r="196" spans="1:10" ht="13.5" customHeight="1" x14ac:dyDescent="0.25">
      <c r="A196" s="1"/>
      <c r="B196" s="1" t="s">
        <v>320</v>
      </c>
      <c r="C196" s="1" t="s">
        <v>321</v>
      </c>
      <c r="D196" s="437">
        <v>300000</v>
      </c>
      <c r="E196" s="437">
        <v>156002.45000000001</v>
      </c>
      <c r="F196" s="466">
        <f t="shared" si="53"/>
        <v>0.52000816666666672</v>
      </c>
      <c r="G196" s="437">
        <v>300000</v>
      </c>
      <c r="H196" s="437">
        <v>275058.08</v>
      </c>
      <c r="I196" s="437">
        <v>314080.82</v>
      </c>
      <c r="J196" s="437">
        <v>274050.51</v>
      </c>
    </row>
    <row r="197" spans="1:10" ht="13.5" customHeight="1" x14ac:dyDescent="0.25">
      <c r="A197" s="1"/>
      <c r="B197" s="1" t="s">
        <v>322</v>
      </c>
      <c r="C197" s="1" t="s">
        <v>277</v>
      </c>
      <c r="D197" s="437">
        <v>3380</v>
      </c>
      <c r="E197" s="439">
        <v>0</v>
      </c>
      <c r="F197" s="466">
        <f t="shared" si="53"/>
        <v>0</v>
      </c>
      <c r="G197" s="440">
        <v>3380</v>
      </c>
      <c r="H197" s="439">
        <v>0</v>
      </c>
      <c r="I197" s="440">
        <v>0</v>
      </c>
      <c r="J197" s="440">
        <v>0</v>
      </c>
    </row>
    <row r="198" spans="1:10" ht="13.5" customHeight="1" x14ac:dyDescent="0.25">
      <c r="A198" s="1"/>
      <c r="B198" s="1" t="s">
        <v>323</v>
      </c>
      <c r="C198" s="1" t="s">
        <v>324</v>
      </c>
      <c r="D198" s="437">
        <v>2000</v>
      </c>
      <c r="E198" s="439">
        <v>42.56</v>
      </c>
      <c r="F198" s="466">
        <f t="shared" si="53"/>
        <v>2.128E-2</v>
      </c>
      <c r="G198" s="440">
        <v>2000</v>
      </c>
      <c r="H198" s="439">
        <v>219.98</v>
      </c>
      <c r="I198" s="439">
        <v>855.91</v>
      </c>
      <c r="J198" s="437">
        <v>9268.39</v>
      </c>
    </row>
    <row r="199" spans="1:10" ht="13.5" customHeight="1" x14ac:dyDescent="0.25">
      <c r="A199" s="1"/>
      <c r="B199" s="22" t="s">
        <v>325</v>
      </c>
      <c r="C199" s="22" t="s">
        <v>326</v>
      </c>
      <c r="D199" s="437">
        <v>45000</v>
      </c>
      <c r="E199" s="437">
        <v>22810.71</v>
      </c>
      <c r="F199" s="466"/>
      <c r="G199" s="437">
        <v>0</v>
      </c>
      <c r="H199" s="437">
        <v>16183.95</v>
      </c>
      <c r="I199" s="437">
        <v>0</v>
      </c>
      <c r="J199" s="437">
        <v>0</v>
      </c>
    </row>
    <row r="200" spans="1:10" ht="13.5" customHeight="1" x14ac:dyDescent="0.25">
      <c r="A200" s="1"/>
      <c r="B200" s="1" t="s">
        <v>327</v>
      </c>
      <c r="C200" s="1" t="s">
        <v>279</v>
      </c>
      <c r="D200" s="437">
        <v>60000</v>
      </c>
      <c r="E200" s="437">
        <v>17011.29</v>
      </c>
      <c r="F200" s="466">
        <f t="shared" ref="F200:F201" si="54">SUM(E200/G200)</f>
        <v>0.28352150000000004</v>
      </c>
      <c r="G200" s="437">
        <v>60000</v>
      </c>
      <c r="H200" s="437">
        <v>50692.25</v>
      </c>
      <c r="I200" s="437">
        <v>52751</v>
      </c>
      <c r="J200" s="437">
        <v>52456.01</v>
      </c>
    </row>
    <row r="201" spans="1:10" ht="13.5" customHeight="1" x14ac:dyDescent="0.25">
      <c r="A201" s="1"/>
      <c r="B201" s="1" t="s">
        <v>328</v>
      </c>
      <c r="C201" s="1" t="s">
        <v>329</v>
      </c>
      <c r="D201" s="437">
        <v>100000</v>
      </c>
      <c r="E201" s="437">
        <v>35620.21</v>
      </c>
      <c r="F201" s="466">
        <f t="shared" si="54"/>
        <v>0.35620209999999997</v>
      </c>
      <c r="G201" s="437">
        <v>100000</v>
      </c>
      <c r="H201" s="437">
        <v>58612.12</v>
      </c>
      <c r="I201" s="437">
        <v>49738.46</v>
      </c>
      <c r="J201" s="437">
        <v>48009.7</v>
      </c>
    </row>
    <row r="202" spans="1:10" ht="13.5" customHeight="1" x14ac:dyDescent="0.25">
      <c r="A202" s="1"/>
      <c r="B202" s="1" t="s">
        <v>330</v>
      </c>
      <c r="C202" s="1" t="s">
        <v>331</v>
      </c>
      <c r="D202" s="437">
        <v>0</v>
      </c>
      <c r="E202" s="439">
        <v>0</v>
      </c>
      <c r="F202" s="466"/>
      <c r="G202" s="440">
        <v>0</v>
      </c>
      <c r="H202" s="439">
        <v>0</v>
      </c>
      <c r="I202" s="440">
        <v>0</v>
      </c>
      <c r="J202" s="440">
        <v>0</v>
      </c>
    </row>
    <row r="203" spans="1:10" ht="13.5" customHeight="1" x14ac:dyDescent="0.25">
      <c r="A203" s="1"/>
      <c r="B203" s="1" t="s">
        <v>332</v>
      </c>
      <c r="C203" s="1" t="s">
        <v>333</v>
      </c>
      <c r="D203" s="437">
        <v>500</v>
      </c>
      <c r="E203" s="439">
        <v>0</v>
      </c>
      <c r="F203" s="466">
        <f t="shared" ref="F203:F205" si="55">SUM(E203/G203)</f>
        <v>0</v>
      </c>
      <c r="G203" s="440">
        <v>500</v>
      </c>
      <c r="H203" s="439">
        <v>0</v>
      </c>
      <c r="I203" s="440">
        <v>0</v>
      </c>
      <c r="J203" s="440">
        <v>0</v>
      </c>
    </row>
    <row r="204" spans="1:10" ht="13.5" customHeight="1" x14ac:dyDescent="0.25">
      <c r="A204" s="1"/>
      <c r="B204" s="1" t="s">
        <v>334</v>
      </c>
      <c r="C204" s="1" t="s">
        <v>335</v>
      </c>
      <c r="D204" s="437">
        <v>4000</v>
      </c>
      <c r="E204" s="437">
        <v>3960</v>
      </c>
      <c r="F204" s="466">
        <f t="shared" si="55"/>
        <v>0.99</v>
      </c>
      <c r="G204" s="437">
        <v>4000</v>
      </c>
      <c r="H204" s="437">
        <v>3736</v>
      </c>
      <c r="I204" s="437">
        <v>3600</v>
      </c>
      <c r="J204" s="437">
        <v>3600</v>
      </c>
    </row>
    <row r="205" spans="1:10" ht="13.5" customHeight="1" x14ac:dyDescent="0.25">
      <c r="A205" s="1"/>
      <c r="B205" s="1" t="s">
        <v>336</v>
      </c>
      <c r="C205" s="1" t="s">
        <v>337</v>
      </c>
      <c r="D205" s="437">
        <v>1600</v>
      </c>
      <c r="E205" s="437">
        <v>2782</v>
      </c>
      <c r="F205" s="466">
        <f t="shared" si="55"/>
        <v>1.73875</v>
      </c>
      <c r="G205" s="437">
        <v>1600</v>
      </c>
      <c r="H205" s="437">
        <v>4960.22</v>
      </c>
      <c r="I205" s="437">
        <v>2803.49</v>
      </c>
      <c r="J205" s="437">
        <v>2338.75</v>
      </c>
    </row>
    <row r="206" spans="1:10" ht="13.5" customHeight="1" x14ac:dyDescent="0.25">
      <c r="A206" s="1"/>
      <c r="B206" s="22" t="s">
        <v>338</v>
      </c>
      <c r="C206" s="22" t="s">
        <v>339</v>
      </c>
      <c r="D206" s="437">
        <v>24000</v>
      </c>
      <c r="E206" s="437">
        <v>4000</v>
      </c>
      <c r="F206" s="466"/>
      <c r="G206" s="437">
        <v>0</v>
      </c>
      <c r="H206" s="437">
        <v>0</v>
      </c>
      <c r="I206" s="437">
        <v>0</v>
      </c>
      <c r="J206" s="437">
        <v>0</v>
      </c>
    </row>
    <row r="207" spans="1:10" ht="13.5" customHeight="1" x14ac:dyDescent="0.25">
      <c r="A207" s="1"/>
      <c r="B207" s="27" t="s">
        <v>340</v>
      </c>
      <c r="C207" s="27" t="s">
        <v>341</v>
      </c>
      <c r="D207" s="437">
        <v>300000</v>
      </c>
      <c r="E207" s="437">
        <v>0</v>
      </c>
      <c r="F207" s="466"/>
      <c r="G207" s="437">
        <v>0</v>
      </c>
      <c r="H207" s="437">
        <v>0</v>
      </c>
      <c r="I207" s="437">
        <v>0</v>
      </c>
      <c r="J207" s="437">
        <v>0</v>
      </c>
    </row>
    <row r="208" spans="1:10" ht="13.5" customHeight="1" x14ac:dyDescent="0.25">
      <c r="A208" s="1"/>
      <c r="B208" s="1" t="s">
        <v>342</v>
      </c>
      <c r="C208" s="1" t="s">
        <v>343</v>
      </c>
      <c r="D208" s="437">
        <v>340000</v>
      </c>
      <c r="E208" s="437">
        <v>339756</v>
      </c>
      <c r="F208" s="466">
        <f t="shared" ref="F208:F211" si="56">SUM(E208/G208)</f>
        <v>1.0295636363636365</v>
      </c>
      <c r="G208" s="437">
        <v>330000</v>
      </c>
      <c r="H208" s="437">
        <v>319626.5</v>
      </c>
      <c r="I208" s="437">
        <v>290003</v>
      </c>
      <c r="J208" s="437">
        <v>270034</v>
      </c>
    </row>
    <row r="209" spans="1:10" ht="13.5" customHeight="1" x14ac:dyDescent="0.25">
      <c r="A209" s="1"/>
      <c r="B209" s="1" t="s">
        <v>344</v>
      </c>
      <c r="C209" s="1" t="s">
        <v>345</v>
      </c>
      <c r="D209" s="437">
        <v>15000</v>
      </c>
      <c r="E209" s="437">
        <v>13709.46</v>
      </c>
      <c r="F209" s="466">
        <f t="shared" si="56"/>
        <v>0.91396399999999989</v>
      </c>
      <c r="G209" s="437">
        <v>15000</v>
      </c>
      <c r="H209" s="437">
        <v>55060.05</v>
      </c>
      <c r="I209" s="437">
        <v>43730.76</v>
      </c>
      <c r="J209" s="437">
        <v>58906.7</v>
      </c>
    </row>
    <row r="210" spans="1:10" ht="13.5" customHeight="1" x14ac:dyDescent="0.25">
      <c r="A210" s="1"/>
      <c r="B210" s="1" t="s">
        <v>346</v>
      </c>
      <c r="C210" s="1" t="s">
        <v>287</v>
      </c>
      <c r="D210" s="437">
        <v>584</v>
      </c>
      <c r="E210" s="437">
        <v>228.32</v>
      </c>
      <c r="F210" s="466">
        <f t="shared" si="56"/>
        <v>0.39095890410958906</v>
      </c>
      <c r="G210" s="437">
        <v>584</v>
      </c>
      <c r="H210" s="437">
        <v>228.32</v>
      </c>
      <c r="I210" s="437">
        <v>405.82</v>
      </c>
      <c r="J210" s="437">
        <v>228.32</v>
      </c>
    </row>
    <row r="211" spans="1:10" ht="13.5" customHeight="1" x14ac:dyDescent="0.25">
      <c r="A211" s="1"/>
      <c r="B211" s="1" t="s">
        <v>347</v>
      </c>
      <c r="C211" s="1" t="s">
        <v>348</v>
      </c>
      <c r="D211" s="437">
        <v>19200</v>
      </c>
      <c r="E211" s="437">
        <v>12800</v>
      </c>
      <c r="F211" s="466">
        <f t="shared" si="56"/>
        <v>0.66666666666666663</v>
      </c>
      <c r="G211" s="437">
        <v>19200</v>
      </c>
      <c r="H211" s="437">
        <v>19200</v>
      </c>
      <c r="I211" s="437">
        <v>19200</v>
      </c>
      <c r="J211" s="437">
        <v>19200</v>
      </c>
    </row>
    <row r="212" spans="1:10" ht="13.5" customHeight="1" x14ac:dyDescent="0.25">
      <c r="A212" s="1"/>
      <c r="B212" s="39"/>
      <c r="C212" s="1"/>
      <c r="D212" s="438">
        <v>2895109</v>
      </c>
      <c r="E212" s="438">
        <f t="shared" ref="E212" si="57">SUM(E189:E211)</f>
        <v>1443962.7</v>
      </c>
      <c r="F212" s="467"/>
      <c r="G212" s="438">
        <v>2513569</v>
      </c>
      <c r="H212" s="438">
        <f>SUM(H189:H211)</f>
        <v>2094186.31</v>
      </c>
      <c r="I212" s="438">
        <f>SUM(I189:I211)</f>
        <v>2188758.9999999995</v>
      </c>
      <c r="J212" s="438">
        <f t="shared" ref="J212" si="58">SUM(J189:J211)</f>
        <v>2117916.3199999998</v>
      </c>
    </row>
    <row r="213" spans="1:10" ht="13.5" customHeight="1" x14ac:dyDescent="0.25">
      <c r="A213" s="1"/>
      <c r="B213" s="1"/>
      <c r="C213" s="1"/>
      <c r="D213" s="437"/>
      <c r="E213" s="444"/>
      <c r="F213" s="474"/>
      <c r="G213" s="444"/>
      <c r="H213" s="444"/>
      <c r="I213" s="444"/>
      <c r="J213" s="440"/>
    </row>
    <row r="214" spans="1:10" ht="13.5" customHeight="1" x14ac:dyDescent="0.25">
      <c r="A214" s="1"/>
      <c r="B214" s="22" t="s">
        <v>349</v>
      </c>
      <c r="C214" s="27" t="s">
        <v>350</v>
      </c>
      <c r="D214" s="437">
        <v>0</v>
      </c>
      <c r="E214" s="444"/>
      <c r="F214" s="474"/>
      <c r="G214" s="444"/>
      <c r="H214" s="444"/>
      <c r="I214" s="444"/>
      <c r="J214" s="440"/>
    </row>
    <row r="215" spans="1:10" ht="13.5" customHeight="1" x14ac:dyDescent="0.25">
      <c r="A215" s="1"/>
      <c r="B215" s="1" t="s">
        <v>351</v>
      </c>
      <c r="C215" s="1" t="s">
        <v>352</v>
      </c>
      <c r="D215" s="437">
        <v>0</v>
      </c>
      <c r="E215" s="444">
        <v>0</v>
      </c>
      <c r="F215" s="474"/>
      <c r="G215" s="444">
        <v>0</v>
      </c>
      <c r="H215" s="444">
        <v>0</v>
      </c>
      <c r="I215" s="444">
        <v>650426.19999999995</v>
      </c>
      <c r="J215" s="440">
        <v>0</v>
      </c>
    </row>
    <row r="216" spans="1:10" ht="13.5" customHeight="1" x14ac:dyDescent="0.25">
      <c r="A216" s="1"/>
      <c r="B216" s="1"/>
      <c r="C216" s="1"/>
      <c r="D216" s="441">
        <v>0</v>
      </c>
      <c r="E216" s="441">
        <f t="shared" ref="E216" si="59">SUM(E214:E215)</f>
        <v>0</v>
      </c>
      <c r="F216" s="469"/>
      <c r="G216" s="441">
        <v>0</v>
      </c>
      <c r="H216" s="441">
        <f>SUM(H215)</f>
        <v>0</v>
      </c>
      <c r="I216" s="441">
        <f>SUM(I215)</f>
        <v>650426.19999999995</v>
      </c>
      <c r="J216" s="441">
        <f t="shared" ref="J216" si="60">SUM(J215)</f>
        <v>0</v>
      </c>
    </row>
    <row r="217" spans="1:10" ht="13.5" customHeight="1" x14ac:dyDescent="0.25">
      <c r="A217" s="1"/>
      <c r="C217" s="1"/>
      <c r="D217" s="440"/>
      <c r="E217" s="437"/>
      <c r="F217" s="466"/>
      <c r="G217" s="437"/>
      <c r="H217" s="437"/>
      <c r="I217" s="437"/>
      <c r="J217" s="440"/>
    </row>
    <row r="218" spans="1:10" ht="13.5" customHeight="1" x14ac:dyDescent="0.25">
      <c r="A218" s="1"/>
      <c r="B218" s="1" t="s">
        <v>353</v>
      </c>
      <c r="C218" s="1" t="s">
        <v>354</v>
      </c>
      <c r="D218" s="437">
        <v>260000</v>
      </c>
      <c r="E218" s="437">
        <v>137648.25</v>
      </c>
      <c r="F218" s="466">
        <f t="shared" ref="F218:F219" si="61">SUM(E218/G218)</f>
        <v>0.61177000000000004</v>
      </c>
      <c r="G218" s="437">
        <v>225000</v>
      </c>
      <c r="H218" s="437">
        <v>268836.25</v>
      </c>
      <c r="I218" s="437">
        <v>250868.26</v>
      </c>
      <c r="J218" s="437">
        <v>257767.2</v>
      </c>
    </row>
    <row r="219" spans="1:10" ht="13.5" customHeight="1" x14ac:dyDescent="0.25">
      <c r="A219" s="1"/>
      <c r="B219" s="1" t="s">
        <v>355</v>
      </c>
      <c r="C219" s="1" t="s">
        <v>356</v>
      </c>
      <c r="D219" s="437">
        <v>1000</v>
      </c>
      <c r="E219" s="439">
        <v>0</v>
      </c>
      <c r="F219" s="466">
        <f t="shared" si="61"/>
        <v>0</v>
      </c>
      <c r="G219" s="440">
        <v>1000</v>
      </c>
      <c r="H219" s="439">
        <v>0</v>
      </c>
      <c r="I219" s="440">
        <v>0</v>
      </c>
      <c r="J219" s="440">
        <v>0</v>
      </c>
    </row>
    <row r="220" spans="1:10" ht="13.5" customHeight="1" x14ac:dyDescent="0.25">
      <c r="A220" s="1"/>
      <c r="B220" s="1" t="s">
        <v>357</v>
      </c>
      <c r="C220" s="1" t="s">
        <v>358</v>
      </c>
      <c r="D220" s="437">
        <v>0</v>
      </c>
      <c r="E220" s="439">
        <v>0</v>
      </c>
      <c r="F220" s="466"/>
      <c r="G220" s="440">
        <v>0</v>
      </c>
      <c r="H220" s="439">
        <v>0</v>
      </c>
      <c r="I220" s="440">
        <v>0</v>
      </c>
      <c r="J220" s="437">
        <v>16688.490000000002</v>
      </c>
    </row>
    <row r="221" spans="1:10" ht="13.5" customHeight="1" x14ac:dyDescent="0.25">
      <c r="A221" s="1"/>
      <c r="B221" s="1" t="s">
        <v>359</v>
      </c>
      <c r="C221" s="1" t="s">
        <v>360</v>
      </c>
      <c r="D221" s="437">
        <v>80000</v>
      </c>
      <c r="E221" s="437">
        <v>0</v>
      </c>
      <c r="F221" s="466">
        <f t="shared" ref="F221:F231" si="62">SUM(E221/G221)</f>
        <v>0</v>
      </c>
      <c r="G221" s="437">
        <v>80000</v>
      </c>
      <c r="H221" s="437">
        <v>9752.24</v>
      </c>
      <c r="I221" s="437">
        <v>56530.82</v>
      </c>
      <c r="J221" s="437">
        <v>13393.21</v>
      </c>
    </row>
    <row r="222" spans="1:10" ht="13.5" customHeight="1" x14ac:dyDescent="0.25">
      <c r="A222" s="1"/>
      <c r="B222" s="1" t="s">
        <v>361</v>
      </c>
      <c r="C222" s="1" t="s">
        <v>362</v>
      </c>
      <c r="D222" s="437">
        <v>20000</v>
      </c>
      <c r="E222" s="437">
        <v>2557.19</v>
      </c>
      <c r="F222" s="466">
        <f t="shared" si="62"/>
        <v>0.12785950000000001</v>
      </c>
      <c r="G222" s="437">
        <v>20000</v>
      </c>
      <c r="H222" s="437">
        <v>9913.16</v>
      </c>
      <c r="I222" s="437">
        <v>18592.849999999999</v>
      </c>
      <c r="J222" s="437">
        <v>29233.58</v>
      </c>
    </row>
    <row r="223" spans="1:10" ht="13.5" customHeight="1" x14ac:dyDescent="0.25">
      <c r="A223" s="1"/>
      <c r="B223" s="1" t="s">
        <v>363</v>
      </c>
      <c r="C223" s="1" t="s">
        <v>364</v>
      </c>
      <c r="D223" s="437">
        <v>150000</v>
      </c>
      <c r="E223" s="437">
        <v>15630.46</v>
      </c>
      <c r="F223" s="466">
        <f t="shared" si="62"/>
        <v>0.10420306666666666</v>
      </c>
      <c r="G223" s="437">
        <v>150000</v>
      </c>
      <c r="H223" s="437">
        <v>22444.67</v>
      </c>
      <c r="I223" s="437">
        <v>69212.05</v>
      </c>
      <c r="J223" s="437">
        <v>188996.99</v>
      </c>
    </row>
    <row r="224" spans="1:10" ht="13.5" customHeight="1" x14ac:dyDescent="0.25">
      <c r="A224" s="1"/>
      <c r="B224" s="1" t="s">
        <v>365</v>
      </c>
      <c r="C224" s="1" t="s">
        <v>366</v>
      </c>
      <c r="D224" s="437">
        <v>40000</v>
      </c>
      <c r="E224" s="437">
        <v>2174.94</v>
      </c>
      <c r="F224" s="466">
        <f t="shared" si="62"/>
        <v>5.4373499999999998E-2</v>
      </c>
      <c r="G224" s="437">
        <v>40000</v>
      </c>
      <c r="H224" s="437">
        <v>11790.88</v>
      </c>
      <c r="I224" s="437">
        <v>29918.39</v>
      </c>
      <c r="J224" s="437">
        <v>55313.06</v>
      </c>
    </row>
    <row r="225" spans="1:10" ht="13.5" customHeight="1" x14ac:dyDescent="0.25">
      <c r="A225" s="1"/>
      <c r="B225" s="1" t="s">
        <v>367</v>
      </c>
      <c r="C225" s="1" t="s">
        <v>368</v>
      </c>
      <c r="D225" s="437">
        <v>12000</v>
      </c>
      <c r="E225" s="437">
        <v>0</v>
      </c>
      <c r="F225" s="466">
        <f t="shared" si="62"/>
        <v>0</v>
      </c>
      <c r="G225" s="437">
        <v>12000</v>
      </c>
      <c r="H225" s="437">
        <v>4118.95</v>
      </c>
      <c r="I225" s="437">
        <v>7713.58</v>
      </c>
      <c r="J225" s="437">
        <v>16968</v>
      </c>
    </row>
    <row r="226" spans="1:10" ht="13.5" customHeight="1" x14ac:dyDescent="0.25">
      <c r="A226" s="1"/>
      <c r="B226" s="1" t="s">
        <v>369</v>
      </c>
      <c r="C226" s="1" t="s">
        <v>370</v>
      </c>
      <c r="D226" s="437">
        <v>15000</v>
      </c>
      <c r="E226" s="437">
        <v>1897</v>
      </c>
      <c r="F226" s="466">
        <f t="shared" si="62"/>
        <v>0.12646666666666667</v>
      </c>
      <c r="G226" s="437">
        <v>15000</v>
      </c>
      <c r="H226" s="437">
        <v>5756</v>
      </c>
      <c r="I226" s="437">
        <v>4106</v>
      </c>
      <c r="J226" s="437">
        <v>7350</v>
      </c>
    </row>
    <row r="227" spans="1:10" ht="13.5" customHeight="1" x14ac:dyDescent="0.25">
      <c r="A227" s="1"/>
      <c r="B227" s="1" t="s">
        <v>371</v>
      </c>
      <c r="C227" s="1" t="s">
        <v>372</v>
      </c>
      <c r="D227" s="437">
        <v>42000</v>
      </c>
      <c r="E227" s="437">
        <v>8115</v>
      </c>
      <c r="F227" s="466">
        <f t="shared" si="62"/>
        <v>0.19321428571428573</v>
      </c>
      <c r="G227" s="437">
        <v>42000</v>
      </c>
      <c r="H227" s="437">
        <v>40215.760000000002</v>
      </c>
      <c r="I227" s="437">
        <v>42726.95</v>
      </c>
      <c r="J227" s="437">
        <v>18825.62</v>
      </c>
    </row>
    <row r="228" spans="1:10" ht="13.5" customHeight="1" x14ac:dyDescent="0.25">
      <c r="A228" s="1"/>
      <c r="B228" s="1" t="s">
        <v>373</v>
      </c>
      <c r="C228" s="1" t="s">
        <v>374</v>
      </c>
      <c r="D228" s="437">
        <v>3000</v>
      </c>
      <c r="E228" s="439">
        <v>1500</v>
      </c>
      <c r="F228" s="466">
        <f t="shared" si="62"/>
        <v>0.5</v>
      </c>
      <c r="G228" s="440">
        <v>3000</v>
      </c>
      <c r="H228" s="439">
        <v>4385</v>
      </c>
      <c r="I228" s="439">
        <v>1000</v>
      </c>
      <c r="J228" s="437">
        <v>2000</v>
      </c>
    </row>
    <row r="229" spans="1:10" ht="13.5" customHeight="1" x14ac:dyDescent="0.25">
      <c r="A229" s="1"/>
      <c r="B229" s="1" t="s">
        <v>375</v>
      </c>
      <c r="C229" s="1" t="s">
        <v>376</v>
      </c>
      <c r="D229" s="437">
        <v>50000</v>
      </c>
      <c r="E229" s="439">
        <v>0</v>
      </c>
      <c r="F229" s="466">
        <f t="shared" si="62"/>
        <v>0</v>
      </c>
      <c r="G229" s="440">
        <v>35000</v>
      </c>
      <c r="H229" s="439">
        <v>35000</v>
      </c>
      <c r="I229" s="440">
        <v>35000</v>
      </c>
      <c r="J229" s="437">
        <v>35000</v>
      </c>
    </row>
    <row r="230" spans="1:10" ht="13.5" customHeight="1" x14ac:dyDescent="0.25">
      <c r="A230" s="1" t="s">
        <v>0</v>
      </c>
      <c r="B230" s="1" t="s">
        <v>377</v>
      </c>
      <c r="C230" s="1" t="s">
        <v>378</v>
      </c>
      <c r="D230" s="437">
        <v>252500</v>
      </c>
      <c r="E230" s="437">
        <v>241428</v>
      </c>
      <c r="F230" s="466">
        <f t="shared" si="62"/>
        <v>0.956150495049505</v>
      </c>
      <c r="G230" s="437">
        <v>252500</v>
      </c>
      <c r="H230" s="437">
        <v>235894</v>
      </c>
      <c r="I230" s="437">
        <v>252501</v>
      </c>
      <c r="J230" s="437">
        <v>252499.85</v>
      </c>
    </row>
    <row r="231" spans="1:10" ht="13.5" customHeight="1" x14ac:dyDescent="0.25">
      <c r="A231" s="1"/>
      <c r="B231" s="1" t="s">
        <v>379</v>
      </c>
      <c r="C231" s="1" t="s">
        <v>380</v>
      </c>
      <c r="D231" s="437">
        <v>80000</v>
      </c>
      <c r="E231" s="439">
        <v>83595.69</v>
      </c>
      <c r="F231" s="466">
        <f t="shared" si="62"/>
        <v>1.0449461250000001</v>
      </c>
      <c r="G231" s="440">
        <v>80000</v>
      </c>
      <c r="H231" s="439">
        <v>80226.179999999993</v>
      </c>
      <c r="I231" s="439">
        <v>83836.990000000005</v>
      </c>
      <c r="J231" s="437">
        <v>78964.88</v>
      </c>
    </row>
    <row r="232" spans="1:10" ht="13.5" customHeight="1" x14ac:dyDescent="0.25">
      <c r="A232" s="1"/>
      <c r="B232" s="22" t="s">
        <v>381</v>
      </c>
      <c r="C232" s="22" t="s">
        <v>382</v>
      </c>
      <c r="D232" s="437">
        <v>0</v>
      </c>
      <c r="E232" s="437">
        <v>9500</v>
      </c>
      <c r="F232" s="466"/>
      <c r="G232" s="437"/>
      <c r="H232" s="437"/>
      <c r="I232" s="437"/>
      <c r="J232" s="437"/>
    </row>
    <row r="233" spans="1:10" ht="13.5" customHeight="1" x14ac:dyDescent="0.25">
      <c r="A233" s="1"/>
      <c r="B233" s="1" t="s">
        <v>383</v>
      </c>
      <c r="C233" s="1" t="s">
        <v>384</v>
      </c>
      <c r="D233" s="437">
        <v>72500</v>
      </c>
      <c r="E233" s="437">
        <v>72500</v>
      </c>
      <c r="F233" s="466">
        <f t="shared" ref="F233:F239" si="63">SUM(E233/G233)</f>
        <v>1</v>
      </c>
      <c r="G233" s="437">
        <v>72500</v>
      </c>
      <c r="H233" s="437">
        <v>72500</v>
      </c>
      <c r="I233" s="437">
        <v>72500</v>
      </c>
      <c r="J233" s="437">
        <v>62276</v>
      </c>
    </row>
    <row r="234" spans="1:10" ht="13.5" customHeight="1" x14ac:dyDescent="0.25">
      <c r="A234" s="1"/>
      <c r="B234" s="1" t="s">
        <v>385</v>
      </c>
      <c r="C234" s="1" t="s">
        <v>386</v>
      </c>
      <c r="D234" s="437">
        <v>44700</v>
      </c>
      <c r="E234" s="437">
        <v>29800</v>
      </c>
      <c r="F234" s="466">
        <f t="shared" si="63"/>
        <v>0.66666666666666663</v>
      </c>
      <c r="G234" s="437">
        <v>44700</v>
      </c>
      <c r="H234" s="437">
        <v>44700</v>
      </c>
      <c r="I234" s="437">
        <v>44700</v>
      </c>
      <c r="J234" s="437">
        <v>44700</v>
      </c>
    </row>
    <row r="235" spans="1:10" ht="13.5" customHeight="1" x14ac:dyDescent="0.25">
      <c r="A235" s="1"/>
      <c r="B235" s="1" t="s">
        <v>387</v>
      </c>
      <c r="C235" s="1" t="s">
        <v>388</v>
      </c>
      <c r="D235" s="437">
        <v>12000</v>
      </c>
      <c r="E235" s="439">
        <v>0</v>
      </c>
      <c r="F235" s="466">
        <f t="shared" si="63"/>
        <v>0</v>
      </c>
      <c r="G235" s="440">
        <v>12000</v>
      </c>
      <c r="H235" s="439">
        <v>0</v>
      </c>
      <c r="I235" s="439">
        <v>0</v>
      </c>
      <c r="J235" s="437">
        <v>15000</v>
      </c>
    </row>
    <row r="236" spans="1:10" ht="13.5" customHeight="1" x14ac:dyDescent="0.25">
      <c r="A236" s="1"/>
      <c r="B236" s="1" t="s">
        <v>389</v>
      </c>
      <c r="C236" s="1" t="s">
        <v>390</v>
      </c>
      <c r="D236" s="437">
        <v>2000</v>
      </c>
      <c r="E236" s="437">
        <v>1500</v>
      </c>
      <c r="F236" s="466">
        <f t="shared" si="63"/>
        <v>0.75</v>
      </c>
      <c r="G236" s="437">
        <v>2000</v>
      </c>
      <c r="H236" s="437">
        <v>1500</v>
      </c>
      <c r="I236" s="437">
        <v>2000</v>
      </c>
      <c r="J236" s="437">
        <v>2000</v>
      </c>
    </row>
    <row r="237" spans="1:10" ht="13.5" customHeight="1" x14ac:dyDescent="0.25">
      <c r="A237" s="1"/>
      <c r="B237" s="1" t="s">
        <v>391</v>
      </c>
      <c r="C237" s="22" t="s">
        <v>392</v>
      </c>
      <c r="D237" s="437">
        <v>15000</v>
      </c>
      <c r="E237" s="437">
        <v>2048.5</v>
      </c>
      <c r="F237" s="466">
        <f t="shared" si="63"/>
        <v>0.13656666666666667</v>
      </c>
      <c r="G237" s="437">
        <v>15000</v>
      </c>
      <c r="H237" s="437">
        <v>3715.5</v>
      </c>
      <c r="I237" s="437">
        <v>3020.7</v>
      </c>
      <c r="J237" s="437">
        <v>7044.3</v>
      </c>
    </row>
    <row r="238" spans="1:10" ht="13.5" customHeight="1" x14ac:dyDescent="0.25">
      <c r="A238" s="1"/>
      <c r="B238" s="1" t="s">
        <v>393</v>
      </c>
      <c r="C238" s="1" t="s">
        <v>394</v>
      </c>
      <c r="D238" s="437">
        <v>11800</v>
      </c>
      <c r="E238" s="437">
        <v>11780</v>
      </c>
      <c r="F238" s="466">
        <f t="shared" si="63"/>
        <v>0.99830508474576274</v>
      </c>
      <c r="G238" s="437">
        <v>11800</v>
      </c>
      <c r="H238" s="437">
        <v>11780</v>
      </c>
      <c r="I238" s="437">
        <v>11780</v>
      </c>
      <c r="J238" s="437">
        <v>11780</v>
      </c>
    </row>
    <row r="239" spans="1:10" ht="13.5" customHeight="1" x14ac:dyDescent="0.25">
      <c r="A239" s="1"/>
      <c r="B239" s="1" t="s">
        <v>395</v>
      </c>
      <c r="C239" s="22" t="s">
        <v>396</v>
      </c>
      <c r="D239" s="437">
        <v>346000</v>
      </c>
      <c r="E239" s="437">
        <v>258496.36</v>
      </c>
      <c r="F239" s="466">
        <f t="shared" si="63"/>
        <v>0.74709930635838151</v>
      </c>
      <c r="G239" s="437">
        <v>346000</v>
      </c>
      <c r="H239" s="437">
        <v>264500.03999999998</v>
      </c>
      <c r="I239" s="437">
        <v>20000.04</v>
      </c>
      <c r="J239" s="437">
        <v>20000.04</v>
      </c>
    </row>
    <row r="240" spans="1:10" ht="13.5" customHeight="1" x14ac:dyDescent="0.25">
      <c r="A240" s="1"/>
      <c r="B240" s="22" t="s">
        <v>397</v>
      </c>
      <c r="C240" s="22" t="s">
        <v>398</v>
      </c>
      <c r="D240" s="437">
        <v>2000</v>
      </c>
      <c r="E240" s="439">
        <v>0</v>
      </c>
      <c r="F240" s="466"/>
      <c r="G240" s="439">
        <v>0</v>
      </c>
      <c r="H240" s="439">
        <v>0</v>
      </c>
      <c r="I240" s="439">
        <v>0</v>
      </c>
      <c r="J240" s="437">
        <v>0</v>
      </c>
    </row>
    <row r="241" spans="1:10" ht="13.5" customHeight="1" x14ac:dyDescent="0.25">
      <c r="A241" s="1"/>
      <c r="B241" s="1" t="s">
        <v>399</v>
      </c>
      <c r="C241" s="1" t="s">
        <v>400</v>
      </c>
      <c r="D241" s="437">
        <v>3667</v>
      </c>
      <c r="E241" s="439">
        <v>0</v>
      </c>
      <c r="F241" s="466">
        <f t="shared" ref="F241:F244" si="64">SUM(E241/G241)</f>
        <v>0</v>
      </c>
      <c r="G241" s="440">
        <v>3667</v>
      </c>
      <c r="H241" s="439">
        <v>3888.91</v>
      </c>
      <c r="I241" s="439">
        <v>3888.91</v>
      </c>
      <c r="J241" s="437">
        <v>3888.91</v>
      </c>
    </row>
    <row r="242" spans="1:10" ht="13.5" customHeight="1" x14ac:dyDescent="0.25">
      <c r="A242" s="1"/>
      <c r="B242" s="1" t="s">
        <v>401</v>
      </c>
      <c r="C242" s="1" t="s">
        <v>402</v>
      </c>
      <c r="D242" s="437">
        <v>22500</v>
      </c>
      <c r="E242" s="437">
        <v>22500</v>
      </c>
      <c r="F242" s="466">
        <f t="shared" si="64"/>
        <v>1</v>
      </c>
      <c r="G242" s="437">
        <v>22500</v>
      </c>
      <c r="H242" s="437">
        <v>22500</v>
      </c>
      <c r="I242" s="437">
        <v>22500</v>
      </c>
      <c r="J242" s="437">
        <v>22500</v>
      </c>
    </row>
    <row r="243" spans="1:10" ht="13.5" customHeight="1" x14ac:dyDescent="0.25">
      <c r="A243" s="1"/>
      <c r="B243" s="1" t="s">
        <v>403</v>
      </c>
      <c r="C243" s="1" t="s">
        <v>404</v>
      </c>
      <c r="D243" s="437">
        <v>1000</v>
      </c>
      <c r="E243" s="437">
        <v>2103.9299999999998</v>
      </c>
      <c r="F243" s="466">
        <f t="shared" si="64"/>
        <v>2.1039299999999996</v>
      </c>
      <c r="G243" s="437">
        <v>1000</v>
      </c>
      <c r="H243" s="437">
        <v>335.38</v>
      </c>
      <c r="I243" s="437">
        <v>345.78</v>
      </c>
      <c r="J243" s="440">
        <v>0</v>
      </c>
    </row>
    <row r="244" spans="1:10" ht="13.5" customHeight="1" x14ac:dyDescent="0.25">
      <c r="A244" s="1"/>
      <c r="B244" s="1" t="s">
        <v>405</v>
      </c>
      <c r="C244" s="22" t="s">
        <v>406</v>
      </c>
      <c r="D244" s="437">
        <v>5403</v>
      </c>
      <c r="E244" s="437">
        <v>0</v>
      </c>
      <c r="F244" s="466">
        <f t="shared" si="64"/>
        <v>0</v>
      </c>
      <c r="G244" s="437">
        <v>5403</v>
      </c>
      <c r="H244" s="437">
        <v>5403</v>
      </c>
      <c r="I244" s="437">
        <v>5403</v>
      </c>
      <c r="J244" s="437">
        <v>5403</v>
      </c>
    </row>
    <row r="245" spans="1:10" ht="13.5" customHeight="1" x14ac:dyDescent="0.25">
      <c r="A245" s="1"/>
      <c r="B245" s="22" t="s">
        <v>407</v>
      </c>
      <c r="C245" s="22" t="s">
        <v>408</v>
      </c>
      <c r="D245" s="437">
        <v>5000</v>
      </c>
      <c r="E245" s="437">
        <v>3198.49</v>
      </c>
      <c r="F245" s="466"/>
      <c r="G245" s="437">
        <v>0</v>
      </c>
      <c r="H245" s="437">
        <v>64358.78</v>
      </c>
      <c r="I245" s="437">
        <v>0</v>
      </c>
      <c r="J245" s="437">
        <v>0</v>
      </c>
    </row>
    <row r="246" spans="1:10" ht="13.5" customHeight="1" x14ac:dyDescent="0.25">
      <c r="A246" s="1"/>
      <c r="B246" s="1"/>
      <c r="C246" s="1"/>
      <c r="D246" s="438">
        <v>1549070</v>
      </c>
      <c r="E246" s="438">
        <f t="shared" ref="E246" si="65">SUM(E218:E245)</f>
        <v>907973.81</v>
      </c>
      <c r="F246" s="467"/>
      <c r="G246" s="438">
        <v>1492070</v>
      </c>
      <c r="H246" s="438">
        <f>SUM(H218:H245)</f>
        <v>1223514.6999999997</v>
      </c>
      <c r="I246" s="438">
        <f>SUM(I218:I245)</f>
        <v>1038145.3200000001</v>
      </c>
      <c r="J246" s="438">
        <f t="shared" ref="J246" si="66">SUM(J218:J245)</f>
        <v>1167593.1299999999</v>
      </c>
    </row>
    <row r="247" spans="1:10" ht="13.5" customHeight="1" x14ac:dyDescent="0.25">
      <c r="A247" s="1"/>
      <c r="B247" s="1"/>
      <c r="D247" s="437"/>
      <c r="E247" s="437"/>
      <c r="F247" s="466"/>
      <c r="G247" s="437"/>
      <c r="H247" s="437"/>
      <c r="I247" s="437"/>
      <c r="J247" s="437"/>
    </row>
    <row r="248" spans="1:10" ht="13.5" customHeight="1" x14ac:dyDescent="0.25">
      <c r="A248" s="1"/>
      <c r="B248" s="1" t="s">
        <v>409</v>
      </c>
      <c r="C248" s="22" t="s">
        <v>410</v>
      </c>
      <c r="D248" s="437">
        <v>0</v>
      </c>
      <c r="E248" s="439">
        <v>0</v>
      </c>
      <c r="F248" s="466"/>
      <c r="G248" s="439">
        <v>0</v>
      </c>
      <c r="H248" s="439">
        <v>0</v>
      </c>
      <c r="I248" s="439">
        <v>0</v>
      </c>
      <c r="J248" s="439">
        <v>0</v>
      </c>
    </row>
    <row r="249" spans="1:10" ht="13.5" customHeight="1" x14ac:dyDescent="0.25">
      <c r="A249" s="1"/>
      <c r="B249" s="1" t="s">
        <v>411</v>
      </c>
      <c r="C249" s="22" t="s">
        <v>412</v>
      </c>
      <c r="D249" s="437">
        <v>1950000</v>
      </c>
      <c r="E249" s="439">
        <v>0</v>
      </c>
      <c r="F249" s="466">
        <f>SUM(E249/G249)</f>
        <v>0</v>
      </c>
      <c r="G249" s="439">
        <v>2400000</v>
      </c>
      <c r="H249" s="439">
        <v>0</v>
      </c>
      <c r="I249" s="440">
        <v>0</v>
      </c>
      <c r="J249" s="440">
        <v>0</v>
      </c>
    </row>
    <row r="250" spans="1:10" ht="13.5" customHeight="1" x14ac:dyDescent="0.25">
      <c r="A250" s="1"/>
      <c r="B250" s="1"/>
      <c r="C250" s="1"/>
      <c r="D250" s="438">
        <v>1950000</v>
      </c>
      <c r="E250" s="438">
        <f t="shared" ref="E250" si="67">SUM(E248:E249)</f>
        <v>0</v>
      </c>
      <c r="F250" s="467"/>
      <c r="G250" s="438">
        <v>2400000</v>
      </c>
      <c r="H250" s="438">
        <f t="shared" ref="H250:I250" si="68">SUM(H248:H249)</f>
        <v>0</v>
      </c>
      <c r="I250" s="438">
        <f t="shared" si="68"/>
        <v>0</v>
      </c>
      <c r="J250" s="438">
        <f t="shared" ref="J250" si="69">SUM(J248:J249)</f>
        <v>0</v>
      </c>
    </row>
    <row r="251" spans="1:10" ht="13.5" customHeight="1" thickBot="1" x14ac:dyDescent="0.3">
      <c r="A251" s="39"/>
      <c r="B251" s="39"/>
      <c r="C251" s="39" t="s">
        <v>413</v>
      </c>
      <c r="D251" s="447">
        <v>6707679</v>
      </c>
      <c r="E251" s="447">
        <f t="shared" ref="E251" si="70">SUM(E181+E187+E212+E216+E246+E250)</f>
        <v>2484282.44</v>
      </c>
      <c r="F251" s="473"/>
      <c r="G251" s="447">
        <v>6737315</v>
      </c>
      <c r="H251" s="447">
        <f t="shared" ref="H251:I251" si="71">SUM(H181+H187+H212+H216+H246+H250)</f>
        <v>3607337.59</v>
      </c>
      <c r="I251" s="447">
        <f t="shared" si="71"/>
        <v>4105312.1799999997</v>
      </c>
      <c r="J251" s="447">
        <f t="shared" ref="J251" si="72">SUM(J181+J187+J212+J216+J246+J250)</f>
        <v>3495593.53</v>
      </c>
    </row>
    <row r="252" spans="1:10" ht="13.5" customHeight="1" thickTop="1" x14ac:dyDescent="0.25">
      <c r="A252" s="1"/>
      <c r="B252" s="1"/>
      <c r="C252" s="1"/>
      <c r="D252" s="437"/>
      <c r="E252" s="440"/>
      <c r="F252" s="468"/>
      <c r="G252" s="440"/>
      <c r="H252" s="440"/>
      <c r="I252" s="440"/>
      <c r="J252" s="440"/>
    </row>
    <row r="253" spans="1:10" ht="13.5" customHeight="1" x14ac:dyDescent="0.25">
      <c r="A253" s="1"/>
      <c r="B253" s="1"/>
      <c r="C253" s="1"/>
      <c r="D253" s="437"/>
      <c r="E253" s="440"/>
      <c r="F253" s="468"/>
      <c r="G253" s="440"/>
      <c r="H253" s="440"/>
      <c r="I253" s="440"/>
      <c r="J253" s="440"/>
    </row>
    <row r="254" spans="1:10" ht="13.5" customHeight="1" x14ac:dyDescent="0.25">
      <c r="A254" s="1"/>
      <c r="B254" s="1"/>
      <c r="C254" s="39" t="s">
        <v>414</v>
      </c>
      <c r="D254" s="437"/>
      <c r="E254" s="440"/>
      <c r="F254" s="468"/>
      <c r="G254" s="440"/>
      <c r="H254" s="440"/>
      <c r="I254" s="440"/>
      <c r="J254" s="440"/>
    </row>
    <row r="255" spans="1:10" ht="13.5" customHeight="1" x14ac:dyDescent="0.25">
      <c r="A255" s="1"/>
      <c r="B255" s="1" t="s">
        <v>415</v>
      </c>
      <c r="C255" s="1" t="s">
        <v>416</v>
      </c>
      <c r="D255" s="437">
        <v>30000</v>
      </c>
      <c r="E255" s="437">
        <v>17927.5</v>
      </c>
      <c r="F255" s="466">
        <f t="shared" ref="F255:F256" si="73">SUM(E255/G255)</f>
        <v>0.59758333333333336</v>
      </c>
      <c r="G255" s="437">
        <v>30000</v>
      </c>
      <c r="H255" s="437">
        <v>8906.25</v>
      </c>
      <c r="I255" s="437">
        <v>22381.25</v>
      </c>
      <c r="J255" s="437">
        <v>13600</v>
      </c>
    </row>
    <row r="256" spans="1:10" ht="13.5" customHeight="1" x14ac:dyDescent="0.25">
      <c r="A256" s="1"/>
      <c r="B256" s="1" t="s">
        <v>417</v>
      </c>
      <c r="C256" s="1" t="s">
        <v>418</v>
      </c>
      <c r="D256" s="437">
        <v>230000</v>
      </c>
      <c r="E256" s="437">
        <v>74055</v>
      </c>
      <c r="F256" s="466">
        <f t="shared" si="73"/>
        <v>0.32197826086956521</v>
      </c>
      <c r="G256" s="437">
        <v>230000</v>
      </c>
      <c r="H256" s="437">
        <v>230158.97</v>
      </c>
      <c r="I256" s="437">
        <v>194014.44</v>
      </c>
      <c r="J256" s="437">
        <v>181626.41</v>
      </c>
    </row>
    <row r="257" spans="1:10" ht="13.5" customHeight="1" x14ac:dyDescent="0.25">
      <c r="A257" s="1"/>
      <c r="B257" s="1"/>
      <c r="C257" s="39" t="s">
        <v>419</v>
      </c>
      <c r="D257" s="448">
        <v>260000</v>
      </c>
      <c r="E257" s="448">
        <f t="shared" ref="E257" si="74">SUM(E255:E256)</f>
        <v>91982.5</v>
      </c>
      <c r="F257" s="475"/>
      <c r="G257" s="448">
        <f>SUM(G255:G256)</f>
        <v>260000</v>
      </c>
      <c r="H257" s="448">
        <f>SUM(H255:H256)</f>
        <v>239065.22</v>
      </c>
      <c r="I257" s="448">
        <f>SUM(I255:I256)</f>
        <v>216395.69</v>
      </c>
      <c r="J257" s="448">
        <f t="shared" ref="J257" si="75">SUM(J255:J256)</f>
        <v>195226.41</v>
      </c>
    </row>
    <row r="258" spans="1:10" ht="13.5" customHeight="1" x14ac:dyDescent="0.25">
      <c r="A258" s="1"/>
      <c r="B258" s="1"/>
      <c r="C258" s="39"/>
      <c r="D258" s="444"/>
      <c r="E258" s="444"/>
      <c r="F258" s="474"/>
      <c r="G258" s="444"/>
      <c r="H258" s="444"/>
      <c r="I258" s="444"/>
      <c r="J258" s="444"/>
    </row>
    <row r="259" spans="1:10" ht="13.5" customHeight="1" x14ac:dyDescent="0.25">
      <c r="A259" s="1"/>
      <c r="B259" s="1"/>
      <c r="C259" s="39"/>
      <c r="D259" s="444"/>
      <c r="E259" s="444"/>
      <c r="F259" s="474"/>
      <c r="G259" s="444"/>
      <c r="H259" s="444"/>
      <c r="I259" s="444"/>
      <c r="J259" s="444"/>
    </row>
    <row r="260" spans="1:10" ht="13.5" customHeight="1" x14ac:dyDescent="0.25">
      <c r="A260" s="1"/>
      <c r="B260" s="1"/>
      <c r="C260" s="14" t="s">
        <v>420</v>
      </c>
      <c r="D260" s="437"/>
      <c r="E260" s="437"/>
      <c r="F260" s="466"/>
      <c r="G260" s="437"/>
      <c r="H260" s="437"/>
      <c r="I260" s="437"/>
      <c r="J260" s="437"/>
    </row>
    <row r="261" spans="1:10" ht="13.5" customHeight="1" x14ac:dyDescent="0.25">
      <c r="A261" s="1"/>
      <c r="B261" s="1" t="s">
        <v>421</v>
      </c>
      <c r="C261" s="1" t="s">
        <v>273</v>
      </c>
      <c r="D261" s="437">
        <v>750</v>
      </c>
      <c r="E261" s="439">
        <v>14632.87</v>
      </c>
      <c r="F261" s="466">
        <f t="shared" ref="F261:F262" si="76">SUM(E261/G261)</f>
        <v>19.510493333333333</v>
      </c>
      <c r="G261" s="440">
        <v>750</v>
      </c>
      <c r="H261" s="439">
        <v>9722.02</v>
      </c>
      <c r="I261" s="439">
        <v>11060.67</v>
      </c>
      <c r="J261" s="437">
        <v>749.99</v>
      </c>
    </row>
    <row r="262" spans="1:10" ht="13.5" customHeight="1" x14ac:dyDescent="0.25">
      <c r="A262" s="1"/>
      <c r="B262" s="1" t="s">
        <v>422</v>
      </c>
      <c r="C262" s="1" t="s">
        <v>275</v>
      </c>
      <c r="D262" s="437">
        <v>4650</v>
      </c>
      <c r="E262" s="437">
        <v>4869.16</v>
      </c>
      <c r="F262" s="466">
        <f t="shared" si="76"/>
        <v>1.0471311827956988</v>
      </c>
      <c r="G262" s="437">
        <v>4650</v>
      </c>
      <c r="H262" s="437">
        <v>8863.93</v>
      </c>
      <c r="I262" s="437">
        <v>3199.03</v>
      </c>
      <c r="J262" s="437">
        <v>3954.26</v>
      </c>
    </row>
    <row r="263" spans="1:10" ht="13.5" customHeight="1" x14ac:dyDescent="0.25">
      <c r="A263" s="1"/>
      <c r="B263" s="1"/>
      <c r="C263" s="1"/>
      <c r="D263" s="438">
        <v>5400</v>
      </c>
      <c r="E263" s="438">
        <f t="shared" ref="E263" si="77">SUM(E261:E262)</f>
        <v>19502.03</v>
      </c>
      <c r="F263" s="467"/>
      <c r="G263" s="438">
        <v>5400</v>
      </c>
      <c r="H263" s="438">
        <f>SUM(H261:H262)</f>
        <v>18585.95</v>
      </c>
      <c r="I263" s="438">
        <f>SUM(I261:I262)</f>
        <v>14259.7</v>
      </c>
      <c r="J263" s="438">
        <f t="shared" ref="J263" si="78">SUM(J261:J262)</f>
        <v>4704.25</v>
      </c>
    </row>
    <row r="264" spans="1:10" ht="13.5" customHeight="1" x14ac:dyDescent="0.25">
      <c r="A264" s="1"/>
      <c r="B264" s="1"/>
      <c r="C264" s="1"/>
      <c r="D264" s="437"/>
      <c r="E264" s="437"/>
      <c r="F264" s="466"/>
      <c r="G264" s="437"/>
      <c r="H264" s="437"/>
      <c r="I264" s="437"/>
      <c r="J264" s="437"/>
    </row>
    <row r="265" spans="1:10" ht="13.5" customHeight="1" x14ac:dyDescent="0.25">
      <c r="A265" s="1"/>
      <c r="B265" s="1" t="s">
        <v>423</v>
      </c>
      <c r="C265" s="1" t="s">
        <v>279</v>
      </c>
      <c r="D265" s="437">
        <v>2500</v>
      </c>
      <c r="E265" s="439">
        <v>0</v>
      </c>
      <c r="F265" s="466">
        <f>SUM(E265/G265)</f>
        <v>0</v>
      </c>
      <c r="G265" s="440">
        <v>2500</v>
      </c>
      <c r="H265" s="439">
        <v>200</v>
      </c>
      <c r="I265" s="439">
        <v>750</v>
      </c>
      <c r="J265" s="440">
        <v>0</v>
      </c>
    </row>
    <row r="266" spans="1:10" ht="13.5" customHeight="1" x14ac:dyDescent="0.25">
      <c r="A266" s="1"/>
      <c r="B266" s="1" t="s">
        <v>424</v>
      </c>
      <c r="C266" s="1" t="s">
        <v>333</v>
      </c>
      <c r="D266" s="437">
        <v>0</v>
      </c>
      <c r="E266" s="439">
        <v>0</v>
      </c>
      <c r="F266" s="466"/>
      <c r="G266" s="440">
        <v>0</v>
      </c>
      <c r="H266" s="439">
        <v>475.41</v>
      </c>
      <c r="I266" s="439">
        <v>347.83</v>
      </c>
      <c r="J266" s="437">
        <v>566.25</v>
      </c>
    </row>
    <row r="267" spans="1:10" ht="13.5" customHeight="1" x14ac:dyDescent="0.25">
      <c r="A267" s="1"/>
      <c r="B267" s="1" t="s">
        <v>425</v>
      </c>
      <c r="C267" s="1" t="s">
        <v>426</v>
      </c>
      <c r="D267" s="437">
        <v>2000</v>
      </c>
      <c r="E267" s="439">
        <v>0</v>
      </c>
      <c r="F267" s="466">
        <f>SUM(E267/G267)</f>
        <v>0</v>
      </c>
      <c r="G267" s="440">
        <v>2000</v>
      </c>
      <c r="H267" s="439">
        <v>29.47</v>
      </c>
      <c r="I267" s="439">
        <v>0</v>
      </c>
      <c r="J267" s="440">
        <v>0</v>
      </c>
    </row>
    <row r="268" spans="1:10" ht="13.5" customHeight="1" x14ac:dyDescent="0.25">
      <c r="A268" s="1"/>
      <c r="B268" s="22" t="s">
        <v>427</v>
      </c>
      <c r="C268" s="22" t="s">
        <v>285</v>
      </c>
      <c r="D268" s="437">
        <v>0</v>
      </c>
      <c r="E268" s="439">
        <v>0</v>
      </c>
      <c r="F268" s="466"/>
      <c r="G268" s="440"/>
      <c r="H268" s="439">
        <v>396.16</v>
      </c>
      <c r="I268" s="439">
        <v>0</v>
      </c>
      <c r="J268" s="437">
        <v>0</v>
      </c>
    </row>
    <row r="269" spans="1:10" ht="13.5" customHeight="1" x14ac:dyDescent="0.25">
      <c r="A269" s="1"/>
      <c r="B269" s="1" t="s">
        <v>428</v>
      </c>
      <c r="C269" s="1" t="s">
        <v>429</v>
      </c>
      <c r="D269" s="437">
        <v>135000</v>
      </c>
      <c r="E269" s="439">
        <v>15229.65</v>
      </c>
      <c r="F269" s="466">
        <f t="shared" ref="F269:F271" si="79">SUM(E269/G269)</f>
        <v>0.1257432895464716</v>
      </c>
      <c r="G269" s="439">
        <v>121117</v>
      </c>
      <c r="H269" s="439">
        <v>43322.78</v>
      </c>
      <c r="I269" s="439">
        <v>95611.12</v>
      </c>
      <c r="J269" s="437">
        <v>7686.47</v>
      </c>
    </row>
    <row r="270" spans="1:10" ht="13.5" customHeight="1" x14ac:dyDescent="0.25">
      <c r="A270" s="1"/>
      <c r="B270" s="1" t="s">
        <v>430</v>
      </c>
      <c r="C270" s="1" t="s">
        <v>431</v>
      </c>
      <c r="D270" s="437">
        <v>500000</v>
      </c>
      <c r="E270" s="437">
        <v>573928.76</v>
      </c>
      <c r="F270" s="466">
        <f t="shared" si="79"/>
        <v>1.319376459770115</v>
      </c>
      <c r="G270" s="437">
        <v>435000</v>
      </c>
      <c r="H270" s="437">
        <v>208681.91</v>
      </c>
      <c r="I270" s="437">
        <v>415810.33</v>
      </c>
      <c r="J270" s="437">
        <v>438525.75</v>
      </c>
    </row>
    <row r="271" spans="1:10" ht="13.5" customHeight="1" x14ac:dyDescent="0.25">
      <c r="A271" s="1"/>
      <c r="B271" s="1" t="s">
        <v>432</v>
      </c>
      <c r="C271" s="1" t="s">
        <v>433</v>
      </c>
      <c r="D271" s="437">
        <v>61676</v>
      </c>
      <c r="E271" s="437">
        <v>29128.59</v>
      </c>
      <c r="F271" s="466">
        <f t="shared" si="79"/>
        <v>0.48006773683169623</v>
      </c>
      <c r="G271" s="437">
        <v>60676</v>
      </c>
      <c r="H271" s="437">
        <v>47935.09</v>
      </c>
      <c r="I271" s="437">
        <v>54737.8</v>
      </c>
      <c r="J271" s="437">
        <v>42966.54</v>
      </c>
    </row>
    <row r="272" spans="1:10" ht="13.5" customHeight="1" x14ac:dyDescent="0.25">
      <c r="A272" s="1"/>
      <c r="B272" s="1"/>
      <c r="C272" s="1"/>
      <c r="D272" s="438">
        <v>701176</v>
      </c>
      <c r="E272" s="438">
        <f t="shared" ref="E272" si="80">SUM(E265:E271)</f>
        <v>618287</v>
      </c>
      <c r="F272" s="467"/>
      <c r="G272" s="438">
        <v>636176</v>
      </c>
      <c r="H272" s="438">
        <f t="shared" ref="H272:I272" si="81">SUM(H265:H271)</f>
        <v>301040.82</v>
      </c>
      <c r="I272" s="438">
        <f t="shared" si="81"/>
        <v>567257.08000000007</v>
      </c>
      <c r="J272" s="438">
        <f t="shared" ref="J272" si="82">SUM(J265:J271)</f>
        <v>489745.00999999995</v>
      </c>
    </row>
    <row r="273" spans="1:10" ht="13.5" customHeight="1" thickBot="1" x14ac:dyDescent="0.3">
      <c r="A273" s="39"/>
      <c r="B273" s="39"/>
      <c r="C273" s="39" t="s">
        <v>434</v>
      </c>
      <c r="D273" s="449">
        <v>706576</v>
      </c>
      <c r="E273" s="449">
        <f t="shared" ref="E273" si="83">SUM(E263+E272)</f>
        <v>637789.03</v>
      </c>
      <c r="F273" s="476"/>
      <c r="G273" s="449">
        <v>641576</v>
      </c>
      <c r="H273" s="449">
        <f t="shared" ref="H273" si="84">SUM(H263+H272)</f>
        <v>319626.77</v>
      </c>
      <c r="I273" s="449">
        <f>SUM(I263+I272)</f>
        <v>581516.78</v>
      </c>
      <c r="J273" s="449">
        <f t="shared" ref="J273" si="85">SUM(J263+J272)</f>
        <v>494449.25999999995</v>
      </c>
    </row>
    <row r="274" spans="1:10" ht="13.5" customHeight="1" thickTop="1" x14ac:dyDescent="0.25">
      <c r="A274" s="39"/>
      <c r="B274" s="39"/>
      <c r="C274" s="39"/>
      <c r="D274" s="450"/>
      <c r="E274" s="450"/>
      <c r="F274" s="477"/>
      <c r="G274" s="450"/>
      <c r="H274" s="450"/>
      <c r="I274" s="450"/>
      <c r="J274" s="450"/>
    </row>
    <row r="275" spans="1:10" ht="13.5" customHeight="1" x14ac:dyDescent="0.25">
      <c r="A275" s="39"/>
      <c r="B275" s="39"/>
      <c r="C275" s="39"/>
      <c r="D275" s="450"/>
      <c r="E275" s="450"/>
      <c r="F275" s="477"/>
      <c r="G275" s="450"/>
      <c r="H275" s="450"/>
      <c r="I275" s="450"/>
      <c r="J275" s="450"/>
    </row>
    <row r="276" spans="1:10" ht="13.5" customHeight="1" x14ac:dyDescent="0.25">
      <c r="A276" s="1"/>
      <c r="B276" s="1"/>
      <c r="C276" s="14" t="s">
        <v>435</v>
      </c>
      <c r="D276" s="440"/>
      <c r="E276" s="440"/>
      <c r="F276" s="468"/>
      <c r="G276" s="440"/>
      <c r="H276" s="440"/>
      <c r="I276" s="440"/>
      <c r="J276" s="440"/>
    </row>
    <row r="277" spans="1:10" ht="13.5" customHeight="1" x14ac:dyDescent="0.25">
      <c r="A277" s="1"/>
      <c r="B277" s="1" t="s">
        <v>436</v>
      </c>
      <c r="C277" s="1" t="s">
        <v>437</v>
      </c>
      <c r="D277" s="437">
        <v>61368</v>
      </c>
      <c r="E277" s="437">
        <v>31124.62</v>
      </c>
      <c r="F277" s="466">
        <f t="shared" ref="F277:F279" si="86">SUM(E277/G277)</f>
        <v>0.54230690153851513</v>
      </c>
      <c r="G277" s="437">
        <v>57393</v>
      </c>
      <c r="H277" s="437">
        <v>57834.41</v>
      </c>
      <c r="I277" s="437">
        <v>54724.35</v>
      </c>
      <c r="J277" s="437">
        <v>53522.83</v>
      </c>
    </row>
    <row r="278" spans="1:10" ht="13.5" customHeight="1" x14ac:dyDescent="0.25">
      <c r="A278" s="1"/>
      <c r="B278" s="1" t="s">
        <v>438</v>
      </c>
      <c r="C278" s="1" t="s">
        <v>439</v>
      </c>
      <c r="D278" s="437">
        <v>476702</v>
      </c>
      <c r="E278" s="437">
        <v>231896.86</v>
      </c>
      <c r="F278" s="466">
        <f t="shared" si="86"/>
        <v>0.50883810434942878</v>
      </c>
      <c r="G278" s="437">
        <v>455738</v>
      </c>
      <c r="H278" s="437">
        <v>432628.67</v>
      </c>
      <c r="I278" s="437">
        <v>414514.63</v>
      </c>
      <c r="J278" s="437">
        <v>400981.43</v>
      </c>
    </row>
    <row r="279" spans="1:10" ht="13.5" customHeight="1" x14ac:dyDescent="0.25">
      <c r="A279" s="1"/>
      <c r="B279" s="1" t="s">
        <v>440</v>
      </c>
      <c r="C279" s="1" t="s">
        <v>441</v>
      </c>
      <c r="D279" s="437">
        <v>6000</v>
      </c>
      <c r="E279" s="439">
        <v>0</v>
      </c>
      <c r="F279" s="466">
        <f t="shared" si="86"/>
        <v>0</v>
      </c>
      <c r="G279" s="440">
        <v>6000</v>
      </c>
      <c r="H279" s="439">
        <v>0</v>
      </c>
      <c r="I279" s="440">
        <v>0</v>
      </c>
      <c r="J279" s="437">
        <v>36.869999999999997</v>
      </c>
    </row>
    <row r="280" spans="1:10" ht="13.5" customHeight="1" x14ac:dyDescent="0.25">
      <c r="A280" s="1"/>
      <c r="B280" s="1" t="s">
        <v>442</v>
      </c>
      <c r="C280" s="1" t="s">
        <v>443</v>
      </c>
      <c r="D280" s="437">
        <v>0</v>
      </c>
      <c r="E280" s="437">
        <v>0</v>
      </c>
      <c r="F280" s="466"/>
      <c r="G280" s="437">
        <v>0</v>
      </c>
      <c r="H280" s="437">
        <v>0</v>
      </c>
      <c r="I280" s="437">
        <v>27549.07</v>
      </c>
      <c r="J280" s="437">
        <v>27376.03</v>
      </c>
    </row>
    <row r="281" spans="1:10" ht="13.5" customHeight="1" x14ac:dyDescent="0.25">
      <c r="A281" s="1"/>
      <c r="B281" s="1" t="s">
        <v>444</v>
      </c>
      <c r="C281" s="1" t="s">
        <v>445</v>
      </c>
      <c r="D281" s="437">
        <v>0</v>
      </c>
      <c r="E281" s="437">
        <v>0</v>
      </c>
      <c r="F281" s="466"/>
      <c r="G281" s="437">
        <v>0</v>
      </c>
      <c r="H281" s="437">
        <v>37.69</v>
      </c>
      <c r="I281" s="437" t="s">
        <v>0</v>
      </c>
      <c r="J281" s="437" t="s">
        <v>0</v>
      </c>
    </row>
    <row r="282" spans="1:10" ht="13.5" customHeight="1" x14ac:dyDescent="0.25">
      <c r="A282" s="1"/>
      <c r="B282" s="1" t="s">
        <v>446</v>
      </c>
      <c r="C282" s="1" t="s">
        <v>251</v>
      </c>
      <c r="D282" s="437">
        <v>6000</v>
      </c>
      <c r="E282" s="437">
        <v>26.28</v>
      </c>
      <c r="F282" s="466">
        <f>SUM(E282/G282)</f>
        <v>4.3800000000000002E-3</v>
      </c>
      <c r="G282" s="437">
        <v>6000</v>
      </c>
      <c r="H282" s="437">
        <v>0</v>
      </c>
      <c r="I282" s="437">
        <f>118.29+15.12</f>
        <v>133.41</v>
      </c>
      <c r="J282" s="437">
        <f>1392.95+648.93</f>
        <v>2041.88</v>
      </c>
    </row>
    <row r="283" spans="1:10" ht="13.5" customHeight="1" x14ac:dyDescent="0.25">
      <c r="A283" s="1"/>
      <c r="B283" s="1"/>
      <c r="C283" s="1"/>
      <c r="D283" s="438">
        <v>550070</v>
      </c>
      <c r="E283" s="438">
        <f t="shared" ref="E283" si="87">SUM(E277:E282)</f>
        <v>263047.76</v>
      </c>
      <c r="F283" s="467"/>
      <c r="G283" s="438">
        <v>525131</v>
      </c>
      <c r="H283" s="438">
        <f>SUM(H277:H282)</f>
        <v>490500.76999999996</v>
      </c>
      <c r="I283" s="438">
        <f>SUM(I277:I282)</f>
        <v>496921.45999999996</v>
      </c>
      <c r="J283" s="438">
        <f t="shared" ref="J283" si="88">SUM(J277:J282)</f>
        <v>483959.04000000004</v>
      </c>
    </row>
    <row r="284" spans="1:10" ht="13.5" customHeight="1" x14ac:dyDescent="0.25">
      <c r="A284" s="1"/>
      <c r="B284" s="1"/>
      <c r="C284" s="1"/>
      <c r="D284" s="437"/>
      <c r="E284" s="437"/>
      <c r="F284" s="466"/>
      <c r="G284" s="437"/>
      <c r="H284" s="437"/>
      <c r="I284" s="437"/>
      <c r="J284" s="437"/>
    </row>
    <row r="285" spans="1:10" ht="13.5" customHeight="1" x14ac:dyDescent="0.25">
      <c r="A285" s="1"/>
      <c r="B285" s="1" t="s">
        <v>447</v>
      </c>
      <c r="C285" s="1" t="s">
        <v>257</v>
      </c>
      <c r="D285" s="437">
        <v>42080.354999999989</v>
      </c>
      <c r="E285" s="437">
        <v>17810.98</v>
      </c>
      <c r="F285" s="466">
        <f t="shared" ref="F285:F289" si="89">SUM(E285/G285)</f>
        <v>0.44336227849286031</v>
      </c>
      <c r="G285" s="437">
        <v>40172.519999999997</v>
      </c>
      <c r="H285" s="437">
        <v>34132.639999999999</v>
      </c>
      <c r="I285" s="437">
        <v>33976.82</v>
      </c>
      <c r="J285" s="437">
        <v>32423.52</v>
      </c>
    </row>
    <row r="286" spans="1:10" ht="13.5" customHeight="1" x14ac:dyDescent="0.25">
      <c r="A286" s="1"/>
      <c r="B286" s="1" t="s">
        <v>448</v>
      </c>
      <c r="C286" s="1" t="s">
        <v>259</v>
      </c>
      <c r="D286" s="437">
        <v>146452.38720000003</v>
      </c>
      <c r="E286" s="437">
        <v>75819.14</v>
      </c>
      <c r="F286" s="466">
        <f t="shared" si="89"/>
        <v>0.51757886938112174</v>
      </c>
      <c r="G286" s="437">
        <v>146488.09</v>
      </c>
      <c r="H286" s="437">
        <v>133723.04</v>
      </c>
      <c r="I286" s="437">
        <v>137901.82999999999</v>
      </c>
      <c r="J286" s="437">
        <v>130994.88</v>
      </c>
    </row>
    <row r="287" spans="1:10" ht="13.5" customHeight="1" x14ac:dyDescent="0.25">
      <c r="A287" s="1"/>
      <c r="B287" s="1" t="s">
        <v>449</v>
      </c>
      <c r="C287" s="1" t="s">
        <v>261</v>
      </c>
      <c r="D287" s="437">
        <v>82620.513999999981</v>
      </c>
      <c r="E287" s="437">
        <v>39509.800000000003</v>
      </c>
      <c r="F287" s="466">
        <f t="shared" si="89"/>
        <v>0.50091867250681721</v>
      </c>
      <c r="G287" s="437">
        <v>78874.679999999993</v>
      </c>
      <c r="H287" s="437">
        <v>73673.210000000006</v>
      </c>
      <c r="I287" s="437">
        <v>72199.5</v>
      </c>
      <c r="J287" s="437">
        <v>70064.13</v>
      </c>
    </row>
    <row r="288" spans="1:10" ht="13.5" customHeight="1" x14ac:dyDescent="0.25">
      <c r="A288" s="1"/>
      <c r="B288" s="1" t="s">
        <v>450</v>
      </c>
      <c r="C288" s="1" t="s">
        <v>263</v>
      </c>
      <c r="D288" s="437">
        <v>880.11200000000019</v>
      </c>
      <c r="E288" s="437">
        <v>420.91</v>
      </c>
      <c r="F288" s="466">
        <f t="shared" si="89"/>
        <v>0.50095809380988088</v>
      </c>
      <c r="G288" s="437">
        <v>840.21</v>
      </c>
      <c r="H288" s="437">
        <v>784.78</v>
      </c>
      <c r="I288" s="437">
        <v>794.81</v>
      </c>
      <c r="J288" s="437">
        <v>885.1</v>
      </c>
    </row>
    <row r="289" spans="1:10" ht="13.5" customHeight="1" x14ac:dyDescent="0.25">
      <c r="A289" s="1"/>
      <c r="B289" s="1" t="s">
        <v>451</v>
      </c>
      <c r="C289" s="1" t="s">
        <v>265</v>
      </c>
      <c r="D289" s="437">
        <v>5248.3200000000006</v>
      </c>
      <c r="E289" s="437">
        <v>2545.62</v>
      </c>
      <c r="F289" s="466">
        <f t="shared" si="89"/>
        <v>0.51785714285714279</v>
      </c>
      <c r="G289" s="437">
        <v>4915.68</v>
      </c>
      <c r="H289" s="437">
        <v>4329.3999999999996</v>
      </c>
      <c r="I289" s="437">
        <v>4390.6099999999997</v>
      </c>
      <c r="J289" s="437">
        <v>4280.66</v>
      </c>
    </row>
    <row r="290" spans="1:10" ht="13.5" customHeight="1" x14ac:dyDescent="0.25">
      <c r="A290" s="1"/>
      <c r="B290" s="1"/>
      <c r="C290" s="1"/>
      <c r="D290" s="438">
        <v>277281.68820000003</v>
      </c>
      <c r="E290" s="438">
        <f t="shared" ref="E290" si="90">SUM(E285:E289)</f>
        <v>136106.44999999998</v>
      </c>
      <c r="F290" s="467"/>
      <c r="G290" s="438">
        <v>271291.17</v>
      </c>
      <c r="H290" s="438">
        <f>SUM(H285:H289)</f>
        <v>246643.07</v>
      </c>
      <c r="I290" s="438">
        <f>SUM(I285:I289)</f>
        <v>249263.56999999998</v>
      </c>
      <c r="J290" s="438">
        <f t="shared" ref="J290" si="91">SUM(J285:J289)</f>
        <v>238648.29</v>
      </c>
    </row>
    <row r="291" spans="1:10" ht="13.5" customHeight="1" x14ac:dyDescent="0.25">
      <c r="A291" s="1"/>
      <c r="B291" s="1"/>
      <c r="C291" s="1"/>
      <c r="D291" s="437"/>
      <c r="E291" s="437"/>
      <c r="F291" s="466"/>
      <c r="G291" s="437"/>
      <c r="H291" s="437"/>
      <c r="I291" s="437"/>
      <c r="J291" s="437"/>
    </row>
    <row r="292" spans="1:10" ht="13.5" customHeight="1" x14ac:dyDescent="0.25">
      <c r="A292" s="1"/>
      <c r="B292" s="1" t="s">
        <v>452</v>
      </c>
      <c r="C292" s="1" t="s">
        <v>267</v>
      </c>
      <c r="D292" s="437">
        <v>14495</v>
      </c>
      <c r="E292" s="437">
        <v>6275.3</v>
      </c>
      <c r="F292" s="466">
        <f t="shared" ref="F292:F295" si="92">SUM(E292/G292)</f>
        <v>0.43292859606760953</v>
      </c>
      <c r="G292" s="437">
        <v>14495</v>
      </c>
      <c r="H292" s="437">
        <v>13182.02</v>
      </c>
      <c r="I292" s="437">
        <v>13264.95</v>
      </c>
      <c r="J292" s="437">
        <v>10097.67</v>
      </c>
    </row>
    <row r="293" spans="1:10" ht="13.5" customHeight="1" x14ac:dyDescent="0.25">
      <c r="A293" s="1"/>
      <c r="B293" s="1" t="s">
        <v>453</v>
      </c>
      <c r="C293" s="1" t="s">
        <v>269</v>
      </c>
      <c r="D293" s="437">
        <v>5218</v>
      </c>
      <c r="E293" s="437">
        <v>1788.01</v>
      </c>
      <c r="F293" s="466">
        <f t="shared" si="92"/>
        <v>0.34266193944039863</v>
      </c>
      <c r="G293" s="437">
        <v>5218</v>
      </c>
      <c r="H293" s="437">
        <v>4456.1000000000004</v>
      </c>
      <c r="I293" s="437">
        <v>5345.44</v>
      </c>
      <c r="J293" s="437">
        <v>4551.83</v>
      </c>
    </row>
    <row r="294" spans="1:10" ht="13.5" customHeight="1" x14ac:dyDescent="0.25">
      <c r="A294" s="1"/>
      <c r="B294" s="1" t="s">
        <v>454</v>
      </c>
      <c r="C294" s="1" t="s">
        <v>455</v>
      </c>
      <c r="D294" s="437">
        <v>120</v>
      </c>
      <c r="E294" s="439">
        <v>0</v>
      </c>
      <c r="F294" s="466">
        <f t="shared" si="92"/>
        <v>0</v>
      </c>
      <c r="G294" s="440">
        <v>120</v>
      </c>
      <c r="H294" s="439">
        <v>0</v>
      </c>
      <c r="I294" s="439">
        <v>1190.6300000000001</v>
      </c>
      <c r="J294" s="437">
        <v>359.97</v>
      </c>
    </row>
    <row r="295" spans="1:10" ht="13.5" customHeight="1" x14ac:dyDescent="0.25">
      <c r="A295" s="1"/>
      <c r="B295" s="1" t="s">
        <v>456</v>
      </c>
      <c r="C295" s="1" t="s">
        <v>275</v>
      </c>
      <c r="D295" s="437">
        <v>600</v>
      </c>
      <c r="E295" s="439">
        <v>147.69999999999999</v>
      </c>
      <c r="F295" s="466">
        <f t="shared" si="92"/>
        <v>0.24616666666666664</v>
      </c>
      <c r="G295" s="440">
        <v>600</v>
      </c>
      <c r="H295" s="439">
        <v>281.01</v>
      </c>
      <c r="I295" s="439">
        <v>29.99</v>
      </c>
      <c r="J295" s="437">
        <v>470.64</v>
      </c>
    </row>
    <row r="296" spans="1:10" ht="13.5" customHeight="1" x14ac:dyDescent="0.25">
      <c r="A296" s="1"/>
      <c r="B296" s="1"/>
      <c r="C296" s="1"/>
      <c r="D296" s="438">
        <v>20433</v>
      </c>
      <c r="E296" s="438">
        <f t="shared" ref="E296" si="93">SUM(E292:E295)</f>
        <v>8211.01</v>
      </c>
      <c r="F296" s="467"/>
      <c r="G296" s="438">
        <v>20433</v>
      </c>
      <c r="H296" s="438">
        <f>SUM(H292:H295)</f>
        <v>17919.13</v>
      </c>
      <c r="I296" s="438">
        <f>SUM(I292:I295)</f>
        <v>19831.010000000002</v>
      </c>
      <c r="J296" s="438">
        <f t="shared" ref="J296" si="94">SUM(J292:J295)</f>
        <v>15480.109999999999</v>
      </c>
    </row>
    <row r="297" spans="1:10" ht="13.5" customHeight="1" x14ac:dyDescent="0.25">
      <c r="A297" s="1"/>
      <c r="B297" s="1"/>
      <c r="C297" s="1"/>
      <c r="D297" s="437"/>
      <c r="E297" s="440"/>
      <c r="F297" s="468"/>
      <c r="G297" s="440"/>
      <c r="H297" s="440"/>
      <c r="I297" s="440"/>
      <c r="J297" s="437"/>
    </row>
    <row r="298" spans="1:10" ht="13.5" customHeight="1" x14ac:dyDescent="0.25">
      <c r="A298" s="1"/>
      <c r="B298" s="1" t="s">
        <v>457</v>
      </c>
      <c r="C298" s="1" t="s">
        <v>333</v>
      </c>
      <c r="D298" s="437">
        <v>200</v>
      </c>
      <c r="E298" s="439">
        <v>0</v>
      </c>
      <c r="F298" s="466">
        <f t="shared" ref="F298:F303" si="95">SUM(E298/G298)</f>
        <v>0</v>
      </c>
      <c r="G298" s="440">
        <v>200</v>
      </c>
      <c r="H298" s="439">
        <v>0</v>
      </c>
      <c r="I298" s="440">
        <v>0</v>
      </c>
      <c r="J298" s="440">
        <v>0</v>
      </c>
    </row>
    <row r="299" spans="1:10" ht="13.5" customHeight="1" x14ac:dyDescent="0.25">
      <c r="A299" s="1"/>
      <c r="B299" s="1" t="s">
        <v>458</v>
      </c>
      <c r="C299" s="1" t="s">
        <v>426</v>
      </c>
      <c r="D299" s="437">
        <v>6000</v>
      </c>
      <c r="E299" s="437">
        <v>682.3</v>
      </c>
      <c r="F299" s="466">
        <f t="shared" si="95"/>
        <v>0.11371666666666666</v>
      </c>
      <c r="G299" s="437">
        <v>6000</v>
      </c>
      <c r="H299" s="437">
        <v>2182.7600000000002</v>
      </c>
      <c r="I299" s="437">
        <v>4848.34</v>
      </c>
      <c r="J299" s="437">
        <v>6930.66</v>
      </c>
    </row>
    <row r="300" spans="1:10" ht="13.5" customHeight="1" x14ac:dyDescent="0.25">
      <c r="A300" s="1"/>
      <c r="B300" s="1" t="s">
        <v>459</v>
      </c>
      <c r="C300" s="1" t="s">
        <v>285</v>
      </c>
      <c r="D300" s="437">
        <v>150</v>
      </c>
      <c r="E300" s="439">
        <v>125</v>
      </c>
      <c r="F300" s="466">
        <f t="shared" si="95"/>
        <v>0.83333333333333337</v>
      </c>
      <c r="G300" s="440">
        <v>150</v>
      </c>
      <c r="H300" s="439">
        <v>0</v>
      </c>
      <c r="I300" s="439">
        <v>125</v>
      </c>
      <c r="J300" s="437">
        <v>125</v>
      </c>
    </row>
    <row r="301" spans="1:10" ht="13.5" customHeight="1" x14ac:dyDescent="0.25">
      <c r="A301" s="1"/>
      <c r="B301" s="1" t="s">
        <v>460</v>
      </c>
      <c r="C301" s="1" t="s">
        <v>461</v>
      </c>
      <c r="D301" s="437">
        <v>500</v>
      </c>
      <c r="E301" s="439">
        <v>0</v>
      </c>
      <c r="F301" s="466">
        <f t="shared" si="95"/>
        <v>0</v>
      </c>
      <c r="G301" s="440">
        <v>500</v>
      </c>
      <c r="H301" s="439">
        <v>0</v>
      </c>
      <c r="I301" s="440">
        <v>0</v>
      </c>
      <c r="J301" s="437">
        <v>280</v>
      </c>
    </row>
    <row r="302" spans="1:10" ht="13.5" customHeight="1" x14ac:dyDescent="0.25">
      <c r="A302" s="1"/>
      <c r="B302" s="1" t="s">
        <v>462</v>
      </c>
      <c r="C302" s="1" t="s">
        <v>287</v>
      </c>
      <c r="D302" s="437">
        <v>200</v>
      </c>
      <c r="E302" s="437">
        <v>0</v>
      </c>
      <c r="F302" s="466">
        <f t="shared" si="95"/>
        <v>0</v>
      </c>
      <c r="G302" s="437">
        <v>200</v>
      </c>
      <c r="H302" s="437">
        <v>0</v>
      </c>
      <c r="I302" s="437">
        <v>3106.25</v>
      </c>
      <c r="J302" s="440">
        <v>0</v>
      </c>
    </row>
    <row r="303" spans="1:10" ht="13.5" customHeight="1" x14ac:dyDescent="0.25">
      <c r="A303" s="1"/>
      <c r="B303" s="1" t="s">
        <v>463</v>
      </c>
      <c r="C303" s="1" t="s">
        <v>289</v>
      </c>
      <c r="D303" s="437">
        <v>7250</v>
      </c>
      <c r="E303" s="437">
        <v>3116.98</v>
      </c>
      <c r="F303" s="466">
        <f t="shared" si="95"/>
        <v>0.42992827586206894</v>
      </c>
      <c r="G303" s="437">
        <v>7250</v>
      </c>
      <c r="H303" s="437">
        <v>8392.7199999999993</v>
      </c>
      <c r="I303" s="437">
        <v>7001.92</v>
      </c>
      <c r="J303" s="437">
        <v>6936.36</v>
      </c>
    </row>
    <row r="304" spans="1:10" ht="13.5" customHeight="1" x14ac:dyDescent="0.25">
      <c r="A304" s="1"/>
      <c r="B304" s="1"/>
      <c r="C304" s="1"/>
      <c r="D304" s="438">
        <v>14300</v>
      </c>
      <c r="E304" s="438">
        <f t="shared" ref="E304" si="96">SUM(E298:E303)</f>
        <v>3924.2799999999997</v>
      </c>
      <c r="F304" s="467"/>
      <c r="G304" s="438">
        <v>14300</v>
      </c>
      <c r="H304" s="438">
        <f>SUM(H298:H303)</f>
        <v>10575.48</v>
      </c>
      <c r="I304" s="438">
        <f>SUM(I298:I303)</f>
        <v>15081.51</v>
      </c>
      <c r="J304" s="438">
        <f t="shared" ref="J304" si="97">SUM(J298:J303)</f>
        <v>14272.02</v>
      </c>
    </row>
    <row r="305" spans="1:10" ht="13.5" customHeight="1" thickBot="1" x14ac:dyDescent="0.3">
      <c r="A305" s="1"/>
      <c r="B305" s="1"/>
      <c r="C305" s="39" t="s">
        <v>464</v>
      </c>
      <c r="D305" s="451">
        <v>862084.68819999998</v>
      </c>
      <c r="E305" s="451">
        <f t="shared" ref="E305" si="98">SUM(E283+E290+E296+E304)</f>
        <v>411289.5</v>
      </c>
      <c r="F305" s="478"/>
      <c r="G305" s="451">
        <v>831155.17</v>
      </c>
      <c r="H305" s="451">
        <f>SUM(H283+H290+H296+H304)</f>
        <v>765638.45</v>
      </c>
      <c r="I305" s="451">
        <f>SUM(I283+I290+I296+I304)</f>
        <v>781097.54999999993</v>
      </c>
      <c r="J305" s="451">
        <f t="shared" ref="J305" si="99">SUM(J283+J290+J296+J304)</f>
        <v>752359.46000000008</v>
      </c>
    </row>
    <row r="306" spans="1:10" ht="13.5" customHeight="1" thickTop="1" x14ac:dyDescent="0.25">
      <c r="A306" s="1"/>
      <c r="B306" s="1"/>
      <c r="C306" s="1"/>
      <c r="D306" s="437"/>
      <c r="E306" s="437"/>
      <c r="F306" s="466"/>
      <c r="G306" s="437"/>
      <c r="H306" s="437"/>
      <c r="I306" s="437"/>
      <c r="J306" s="437"/>
    </row>
    <row r="307" spans="1:10" ht="13.5" customHeight="1" x14ac:dyDescent="0.25">
      <c r="A307" s="1"/>
      <c r="B307" s="1"/>
      <c r="C307" s="14" t="s">
        <v>465</v>
      </c>
      <c r="D307" s="437"/>
      <c r="E307" s="437"/>
      <c r="F307" s="466"/>
      <c r="G307" s="437"/>
      <c r="H307" s="437"/>
      <c r="I307" s="437"/>
      <c r="J307" s="437"/>
    </row>
    <row r="308" spans="1:10" ht="13.5" customHeight="1" x14ac:dyDescent="0.25">
      <c r="A308" s="1"/>
      <c r="B308" s="1" t="s">
        <v>466</v>
      </c>
      <c r="C308" s="1" t="s">
        <v>455</v>
      </c>
      <c r="D308" s="437">
        <v>500</v>
      </c>
      <c r="E308" s="439">
        <v>0</v>
      </c>
      <c r="F308" s="466">
        <f t="shared" ref="F308:F311" si="100">SUM(E308/G308)</f>
        <v>0</v>
      </c>
      <c r="G308" s="440">
        <v>500</v>
      </c>
      <c r="H308" s="439">
        <v>0</v>
      </c>
      <c r="I308" s="440">
        <v>0</v>
      </c>
      <c r="J308" s="440">
        <v>0</v>
      </c>
    </row>
    <row r="309" spans="1:10" ht="13.5" customHeight="1" x14ac:dyDescent="0.25">
      <c r="A309" s="1"/>
      <c r="B309" s="1" t="s">
        <v>467</v>
      </c>
      <c r="C309" s="1" t="s">
        <v>275</v>
      </c>
      <c r="D309" s="437">
        <v>500</v>
      </c>
      <c r="E309" s="439">
        <v>0</v>
      </c>
      <c r="F309" s="466">
        <f t="shared" si="100"/>
        <v>0</v>
      </c>
      <c r="G309" s="440">
        <v>500</v>
      </c>
      <c r="H309" s="439">
        <v>0</v>
      </c>
      <c r="I309" s="440">
        <v>0</v>
      </c>
      <c r="J309" s="440">
        <v>0</v>
      </c>
    </row>
    <row r="310" spans="1:10" ht="13.5" customHeight="1" x14ac:dyDescent="0.25">
      <c r="A310" s="1"/>
      <c r="B310" s="1" t="s">
        <v>468</v>
      </c>
      <c r="C310" s="1" t="s">
        <v>469</v>
      </c>
      <c r="D310" s="437">
        <v>20000</v>
      </c>
      <c r="E310" s="439">
        <v>0</v>
      </c>
      <c r="F310" s="466">
        <f t="shared" si="100"/>
        <v>0</v>
      </c>
      <c r="G310" s="440">
        <v>20000</v>
      </c>
      <c r="H310" s="439">
        <v>0</v>
      </c>
      <c r="I310" s="440">
        <v>0</v>
      </c>
      <c r="J310" s="437">
        <v>6300</v>
      </c>
    </row>
    <row r="311" spans="1:10" ht="13.5" customHeight="1" x14ac:dyDescent="0.25">
      <c r="A311" s="1"/>
      <c r="B311" s="1" t="s">
        <v>470</v>
      </c>
      <c r="C311" s="1" t="s">
        <v>289</v>
      </c>
      <c r="D311" s="437">
        <v>5531</v>
      </c>
      <c r="E311" s="437">
        <v>2304.4</v>
      </c>
      <c r="F311" s="466">
        <f t="shared" si="100"/>
        <v>0.41663352015910327</v>
      </c>
      <c r="G311" s="437">
        <v>5531</v>
      </c>
      <c r="H311" s="437">
        <v>5530.56</v>
      </c>
      <c r="I311" s="437">
        <v>5530.56</v>
      </c>
      <c r="J311" s="437">
        <v>5530.56</v>
      </c>
    </row>
    <row r="312" spans="1:10" ht="13.5" customHeight="1" x14ac:dyDescent="0.25">
      <c r="A312" s="1"/>
      <c r="B312" s="1"/>
      <c r="C312" s="39" t="s">
        <v>471</v>
      </c>
      <c r="D312" s="438">
        <v>26531</v>
      </c>
      <c r="E312" s="438">
        <f t="shared" ref="E312" si="101">SUM(E308:E311)</f>
        <v>2304.4</v>
      </c>
      <c r="F312" s="467"/>
      <c r="G312" s="438">
        <v>26531</v>
      </c>
      <c r="H312" s="438">
        <f>SUM(H308:H311)</f>
        <v>5530.56</v>
      </c>
      <c r="I312" s="438">
        <f>SUM(I308:I311)</f>
        <v>5530.56</v>
      </c>
      <c r="J312" s="438">
        <f t="shared" ref="J312" si="102">SUM(J308:J311)</f>
        <v>11830.560000000001</v>
      </c>
    </row>
    <row r="313" spans="1:10" ht="13.5" customHeight="1" x14ac:dyDescent="0.25">
      <c r="A313" s="1"/>
      <c r="B313" s="1"/>
      <c r="C313" s="1"/>
      <c r="D313" s="437"/>
      <c r="E313" s="437"/>
      <c r="F313" s="466"/>
      <c r="G313" s="437"/>
      <c r="H313" s="437"/>
      <c r="I313" s="437"/>
      <c r="J313" s="437"/>
    </row>
    <row r="314" spans="1:10" ht="13.5" customHeight="1" x14ac:dyDescent="0.25">
      <c r="A314" s="1"/>
      <c r="B314" s="1"/>
      <c r="C314" s="1"/>
      <c r="D314" s="437"/>
      <c r="E314" s="437"/>
      <c r="F314" s="466"/>
      <c r="G314" s="437"/>
      <c r="H314" s="437"/>
      <c r="I314" s="437"/>
      <c r="J314" s="437"/>
    </row>
    <row r="315" spans="1:10" ht="13.5" customHeight="1" x14ac:dyDescent="0.25">
      <c r="A315" s="1"/>
      <c r="B315" s="1"/>
      <c r="C315" s="14" t="s">
        <v>472</v>
      </c>
      <c r="D315" s="437"/>
      <c r="E315" s="437"/>
      <c r="F315" s="466"/>
      <c r="G315" s="437"/>
      <c r="H315" s="437"/>
      <c r="I315" s="437"/>
      <c r="J315" s="437"/>
    </row>
    <row r="316" spans="1:10" ht="13.5" customHeight="1" x14ac:dyDescent="0.25">
      <c r="A316" s="1"/>
      <c r="B316" s="1" t="s">
        <v>473</v>
      </c>
      <c r="C316" s="1" t="s">
        <v>439</v>
      </c>
      <c r="D316" s="437">
        <v>199969</v>
      </c>
      <c r="E316" s="437">
        <v>93502.12</v>
      </c>
      <c r="F316" s="466">
        <f t="shared" ref="F316:F317" si="103">SUM(E316/G316)</f>
        <v>0.48025661044110696</v>
      </c>
      <c r="G316" s="437">
        <v>194692</v>
      </c>
      <c r="H316" s="437">
        <v>186910.07999999999</v>
      </c>
      <c r="I316" s="437">
        <v>125530.35</v>
      </c>
      <c r="J316" s="437">
        <v>130688.52</v>
      </c>
    </row>
    <row r="317" spans="1:10" ht="13.5" customHeight="1" x14ac:dyDescent="0.25">
      <c r="A317" s="1"/>
      <c r="B317" s="1" t="s">
        <v>474</v>
      </c>
      <c r="C317" s="1" t="s">
        <v>475</v>
      </c>
      <c r="D317" s="437">
        <v>60000</v>
      </c>
      <c r="E317" s="437">
        <v>13751.11</v>
      </c>
      <c r="F317" s="466">
        <f t="shared" si="103"/>
        <v>0.22918516666666669</v>
      </c>
      <c r="G317" s="437">
        <v>60000</v>
      </c>
      <c r="H317" s="437">
        <v>131216.82</v>
      </c>
      <c r="I317" s="437">
        <v>61703.78</v>
      </c>
      <c r="J317" s="437">
        <v>83688.27</v>
      </c>
    </row>
    <row r="318" spans="1:10" ht="13.5" customHeight="1" x14ac:dyDescent="0.25">
      <c r="A318" s="1"/>
      <c r="B318" s="1" t="s">
        <v>476</v>
      </c>
      <c r="C318" s="1" t="s">
        <v>443</v>
      </c>
      <c r="D318" s="437">
        <v>0</v>
      </c>
      <c r="E318" s="437">
        <v>0</v>
      </c>
      <c r="F318" s="466"/>
      <c r="G318" s="437">
        <v>0</v>
      </c>
      <c r="H318" s="437">
        <v>0</v>
      </c>
      <c r="I318" s="437">
        <v>4876.42</v>
      </c>
      <c r="J318" s="437">
        <v>7788.75</v>
      </c>
    </row>
    <row r="319" spans="1:10" ht="13.5" customHeight="1" x14ac:dyDescent="0.25">
      <c r="A319" s="1"/>
      <c r="B319" s="1" t="s">
        <v>477</v>
      </c>
      <c r="C319" s="1" t="s">
        <v>445</v>
      </c>
      <c r="D319" s="437">
        <v>0</v>
      </c>
      <c r="E319" s="439">
        <v>0</v>
      </c>
      <c r="F319" s="466"/>
      <c r="G319" s="440">
        <v>0</v>
      </c>
      <c r="H319" s="439">
        <v>268.51</v>
      </c>
      <c r="I319" s="440">
        <v>0</v>
      </c>
      <c r="J319" s="437">
        <v>964.71</v>
      </c>
    </row>
    <row r="320" spans="1:10" ht="13.5" customHeight="1" x14ac:dyDescent="0.25">
      <c r="A320" s="1"/>
      <c r="B320" s="1" t="s">
        <v>478</v>
      </c>
      <c r="C320" s="1" t="s">
        <v>479</v>
      </c>
      <c r="D320" s="437">
        <v>15000</v>
      </c>
      <c r="E320" s="437">
        <v>6757.55</v>
      </c>
      <c r="F320" s="466">
        <f>SUM(E320/G320)</f>
        <v>0.45050333333333337</v>
      </c>
      <c r="G320" s="437">
        <v>15000</v>
      </c>
      <c r="H320" s="437">
        <v>73446.559999999998</v>
      </c>
      <c r="I320" s="437">
        <v>21154.52</v>
      </c>
      <c r="J320" s="437">
        <v>28186.36</v>
      </c>
    </row>
    <row r="321" spans="1:10" ht="13.5" customHeight="1" x14ac:dyDescent="0.25">
      <c r="A321" s="1"/>
      <c r="B321" s="1"/>
      <c r="C321" s="1"/>
      <c r="D321" s="438">
        <v>274969</v>
      </c>
      <c r="E321" s="438">
        <f t="shared" ref="E321" si="104">SUM(E316:E320)</f>
        <v>114010.78</v>
      </c>
      <c r="F321" s="467"/>
      <c r="G321" s="438">
        <v>269692</v>
      </c>
      <c r="H321" s="438">
        <f>SUM(H316:H320)</f>
        <v>391841.97000000003</v>
      </c>
      <c r="I321" s="438">
        <f>SUM(I316:I320)</f>
        <v>213265.07</v>
      </c>
      <c r="J321" s="438">
        <f t="shared" ref="J321" si="105">SUM(J316:J320)</f>
        <v>251316.61</v>
      </c>
    </row>
    <row r="322" spans="1:10" ht="13.5" customHeight="1" x14ac:dyDescent="0.25">
      <c r="A322" s="1"/>
      <c r="B322" s="1"/>
      <c r="C322" s="1"/>
      <c r="D322" s="437"/>
      <c r="E322" s="437"/>
      <c r="F322" s="466"/>
      <c r="G322" s="437"/>
      <c r="H322" s="437"/>
      <c r="I322" s="437"/>
      <c r="J322" s="437"/>
    </row>
    <row r="323" spans="1:10" ht="13.5" customHeight="1" x14ac:dyDescent="0.25">
      <c r="A323" s="1"/>
      <c r="B323" s="1" t="s">
        <v>480</v>
      </c>
      <c r="C323" s="1" t="s">
        <v>257</v>
      </c>
      <c r="D323" s="437">
        <v>21035.128500000003</v>
      </c>
      <c r="E323" s="437">
        <v>8144.25</v>
      </c>
      <c r="F323" s="466">
        <f t="shared" ref="F323:F327" si="106">SUM(E323/G323)</f>
        <v>0.39474946974132685</v>
      </c>
      <c r="G323" s="437">
        <v>20631.439999999999</v>
      </c>
      <c r="H323" s="437">
        <v>28830.3</v>
      </c>
      <c r="I323" s="437">
        <v>15234.29</v>
      </c>
      <c r="J323" s="437">
        <v>17298.43</v>
      </c>
    </row>
    <row r="324" spans="1:10" ht="13.5" customHeight="1" x14ac:dyDescent="0.25">
      <c r="A324" s="1"/>
      <c r="B324" s="1" t="s">
        <v>481</v>
      </c>
      <c r="C324" s="1" t="s">
        <v>259</v>
      </c>
      <c r="D324" s="437">
        <v>52304.423999999999</v>
      </c>
      <c r="E324" s="437">
        <v>25985.14</v>
      </c>
      <c r="F324" s="466">
        <f t="shared" si="106"/>
        <v>0.49668474040166927</v>
      </c>
      <c r="G324" s="437">
        <v>52317.17</v>
      </c>
      <c r="H324" s="437">
        <v>44524.33</v>
      </c>
      <c r="I324" s="437">
        <v>31821.32</v>
      </c>
      <c r="J324" s="437">
        <v>34645</v>
      </c>
    </row>
    <row r="325" spans="1:10" ht="13.5" customHeight="1" x14ac:dyDescent="0.25">
      <c r="A325" s="1"/>
      <c r="B325" s="1" t="s">
        <v>482</v>
      </c>
      <c r="C325" s="1" t="s">
        <v>261</v>
      </c>
      <c r="D325" s="437">
        <v>32288.343799999995</v>
      </c>
      <c r="E325" s="437">
        <v>14464.69</v>
      </c>
      <c r="F325" s="466">
        <f t="shared" si="106"/>
        <v>0.45925861719711936</v>
      </c>
      <c r="G325" s="437">
        <v>31495.74</v>
      </c>
      <c r="H325" s="437">
        <v>35160.239999999998</v>
      </c>
      <c r="I325" s="437">
        <v>22377.66</v>
      </c>
      <c r="J325" s="437">
        <v>23011</v>
      </c>
    </row>
    <row r="326" spans="1:10" ht="13.5" customHeight="1" x14ac:dyDescent="0.25">
      <c r="A326" s="1"/>
      <c r="B326" s="1" t="s">
        <v>483</v>
      </c>
      <c r="C326" s="1" t="s">
        <v>263</v>
      </c>
      <c r="D326" s="437">
        <v>343.9504</v>
      </c>
      <c r="E326" s="437">
        <v>154.07</v>
      </c>
      <c r="F326" s="466">
        <f t="shared" si="106"/>
        <v>0.45921134988524931</v>
      </c>
      <c r="G326" s="437">
        <v>335.51</v>
      </c>
      <c r="H326" s="437">
        <v>374.56</v>
      </c>
      <c r="I326" s="437">
        <v>246.38</v>
      </c>
      <c r="J326" s="437">
        <v>290.58999999999997</v>
      </c>
    </row>
    <row r="327" spans="1:10" ht="13.5" customHeight="1" x14ac:dyDescent="0.25">
      <c r="A327" s="1"/>
      <c r="B327" s="1" t="s">
        <v>484</v>
      </c>
      <c r="C327" s="1" t="s">
        <v>265</v>
      </c>
      <c r="D327" s="437">
        <v>1874.4</v>
      </c>
      <c r="E327" s="437">
        <v>877.8</v>
      </c>
      <c r="F327" s="466">
        <f t="shared" si="106"/>
        <v>0.5</v>
      </c>
      <c r="G327" s="437">
        <v>1755.6</v>
      </c>
      <c r="H327" s="437">
        <v>1446.85</v>
      </c>
      <c r="I327" s="437">
        <v>1013.9</v>
      </c>
      <c r="J327" s="437">
        <v>1069.52</v>
      </c>
    </row>
    <row r="328" spans="1:10" ht="13.5" customHeight="1" x14ac:dyDescent="0.25">
      <c r="A328" s="1"/>
      <c r="B328" s="1"/>
      <c r="C328" s="1"/>
      <c r="D328" s="438">
        <v>107846.23669999999</v>
      </c>
      <c r="E328" s="438">
        <f t="shared" ref="E328" si="107">SUM(E323:E327)</f>
        <v>49625.950000000004</v>
      </c>
      <c r="F328" s="467"/>
      <c r="G328" s="438">
        <v>106535.46</v>
      </c>
      <c r="H328" s="438">
        <f>SUM(H323:H327)</f>
        <v>110336.28</v>
      </c>
      <c r="I328" s="438">
        <f>SUM(I323:I327)</f>
        <v>70693.55</v>
      </c>
      <c r="J328" s="438">
        <f t="shared" ref="J328" si="108">SUM(J323:J327)</f>
        <v>76314.539999999994</v>
      </c>
    </row>
    <row r="329" spans="1:10" ht="13.5" customHeight="1" x14ac:dyDescent="0.25">
      <c r="A329" s="1"/>
      <c r="B329" s="1"/>
      <c r="C329" s="1"/>
      <c r="D329" s="437"/>
      <c r="E329" s="437"/>
      <c r="F329" s="466"/>
      <c r="G329" s="437"/>
      <c r="H329" s="437"/>
      <c r="I329" s="437"/>
      <c r="J329" s="437"/>
    </row>
    <row r="330" spans="1:10" ht="13.5" customHeight="1" x14ac:dyDescent="0.25">
      <c r="A330" s="1"/>
      <c r="B330" s="1" t="s">
        <v>485</v>
      </c>
      <c r="C330" s="1" t="s">
        <v>267</v>
      </c>
      <c r="D330" s="437">
        <v>2500</v>
      </c>
      <c r="E330" s="437">
        <v>750.73</v>
      </c>
      <c r="F330" s="466">
        <f t="shared" ref="F330:F334" si="109">SUM(E330/G330)</f>
        <v>0.300292</v>
      </c>
      <c r="G330" s="437">
        <v>2500</v>
      </c>
      <c r="H330" s="437">
        <v>2311.46</v>
      </c>
      <c r="I330" s="437">
        <v>2433.6999999999998</v>
      </c>
      <c r="J330" s="437">
        <v>2480.75</v>
      </c>
    </row>
    <row r="331" spans="1:10" ht="13.5" customHeight="1" x14ac:dyDescent="0.25">
      <c r="A331" s="1"/>
      <c r="B331" s="1" t="s">
        <v>486</v>
      </c>
      <c r="C331" s="1" t="s">
        <v>269</v>
      </c>
      <c r="D331" s="437">
        <v>12500</v>
      </c>
      <c r="E331" s="437">
        <v>1234.1400000000001</v>
      </c>
      <c r="F331" s="466">
        <f t="shared" si="109"/>
        <v>9.8731200000000005E-2</v>
      </c>
      <c r="G331" s="437">
        <v>12500</v>
      </c>
      <c r="H331" s="437">
        <v>12253.17</v>
      </c>
      <c r="I331" s="437">
        <v>23318.58</v>
      </c>
      <c r="J331" s="437">
        <v>11425.13</v>
      </c>
    </row>
    <row r="332" spans="1:10" ht="13.5" customHeight="1" x14ac:dyDescent="0.25">
      <c r="A332" s="1"/>
      <c r="B332" s="1" t="s">
        <v>487</v>
      </c>
      <c r="C332" s="1" t="s">
        <v>488</v>
      </c>
      <c r="D332" s="437">
        <v>750</v>
      </c>
      <c r="E332" s="437">
        <v>132.52000000000001</v>
      </c>
      <c r="F332" s="466">
        <f t="shared" si="109"/>
        <v>0.17669333333333334</v>
      </c>
      <c r="G332" s="437">
        <v>750</v>
      </c>
      <c r="H332" s="437">
        <v>1000.18</v>
      </c>
      <c r="I332" s="437">
        <v>741.14</v>
      </c>
      <c r="J332" s="437">
        <v>744.7</v>
      </c>
    </row>
    <row r="333" spans="1:10" ht="13.5" customHeight="1" x14ac:dyDescent="0.25">
      <c r="A333" s="1"/>
      <c r="B333" s="1" t="s">
        <v>489</v>
      </c>
      <c r="C333" s="1" t="s">
        <v>490</v>
      </c>
      <c r="D333" s="437">
        <v>400</v>
      </c>
      <c r="E333" s="439">
        <v>0</v>
      </c>
      <c r="F333" s="466">
        <f t="shared" si="109"/>
        <v>0</v>
      </c>
      <c r="G333" s="440">
        <v>400</v>
      </c>
      <c r="H333" s="439">
        <v>0</v>
      </c>
      <c r="I333" s="440">
        <v>557.32000000000005</v>
      </c>
      <c r="J333" s="440">
        <v>0</v>
      </c>
    </row>
    <row r="334" spans="1:10" ht="13.5" customHeight="1" x14ac:dyDescent="0.25">
      <c r="A334" s="1"/>
      <c r="B334" s="1" t="s">
        <v>491</v>
      </c>
      <c r="C334" s="1" t="s">
        <v>492</v>
      </c>
      <c r="D334" s="437">
        <v>150</v>
      </c>
      <c r="E334" s="439">
        <v>0</v>
      </c>
      <c r="F334" s="466">
        <f t="shared" si="109"/>
        <v>0</v>
      </c>
      <c r="G334" s="440">
        <v>150</v>
      </c>
      <c r="H334" s="439">
        <v>0</v>
      </c>
      <c r="I334" s="439">
        <v>151.55000000000001</v>
      </c>
      <c r="J334" s="440">
        <v>0</v>
      </c>
    </row>
    <row r="335" spans="1:10" ht="13.5" customHeight="1" x14ac:dyDescent="0.25">
      <c r="A335" s="1"/>
      <c r="B335" s="1" t="s">
        <v>493</v>
      </c>
      <c r="C335" s="1" t="s">
        <v>273</v>
      </c>
      <c r="D335" s="437">
        <v>0</v>
      </c>
      <c r="E335" s="439">
        <v>0</v>
      </c>
      <c r="F335" s="466"/>
      <c r="G335" s="440">
        <v>0</v>
      </c>
      <c r="H335" s="439">
        <v>1264.99</v>
      </c>
      <c r="I335" s="439">
        <v>0</v>
      </c>
      <c r="J335" s="437">
        <v>361.08</v>
      </c>
    </row>
    <row r="336" spans="1:10" ht="13.5" customHeight="1" x14ac:dyDescent="0.25">
      <c r="A336" s="1"/>
      <c r="B336" s="1" t="s">
        <v>494</v>
      </c>
      <c r="C336" s="1" t="s">
        <v>455</v>
      </c>
      <c r="D336" s="437">
        <v>0</v>
      </c>
      <c r="E336" s="439">
        <v>539.41</v>
      </c>
      <c r="F336" s="466"/>
      <c r="G336" s="440">
        <v>0</v>
      </c>
      <c r="H336" s="439">
        <v>89.91</v>
      </c>
      <c r="I336" s="439">
        <v>173.18</v>
      </c>
      <c r="J336" s="437">
        <v>89.99</v>
      </c>
    </row>
    <row r="337" spans="1:10" ht="13.5" customHeight="1" x14ac:dyDescent="0.25">
      <c r="A337" s="1"/>
      <c r="B337" s="1" t="s">
        <v>495</v>
      </c>
      <c r="C337" s="1" t="s">
        <v>275</v>
      </c>
      <c r="D337" s="437">
        <v>0</v>
      </c>
      <c r="E337" s="439">
        <v>0</v>
      </c>
      <c r="F337" s="468"/>
      <c r="G337" s="440">
        <v>0</v>
      </c>
      <c r="H337" s="439">
        <v>360.51</v>
      </c>
      <c r="I337" s="439">
        <v>1366.2</v>
      </c>
      <c r="J337" s="440">
        <v>0</v>
      </c>
    </row>
    <row r="338" spans="1:10" ht="13.5" customHeight="1" x14ac:dyDescent="0.25">
      <c r="A338" s="1"/>
      <c r="B338" s="1"/>
      <c r="C338" s="1"/>
      <c r="D338" s="441">
        <v>16300</v>
      </c>
      <c r="E338" s="441">
        <f t="shared" ref="E338" si="110">SUM(E330:E337)</f>
        <v>2656.8</v>
      </c>
      <c r="F338" s="469"/>
      <c r="G338" s="441">
        <v>16300</v>
      </c>
      <c r="H338" s="441">
        <f>SUM(H330:H337)</f>
        <v>17280.22</v>
      </c>
      <c r="I338" s="441">
        <f>SUM(I330:I337)</f>
        <v>28741.670000000002</v>
      </c>
      <c r="J338" s="441">
        <f t="shared" ref="J338" si="111">SUM(J330:J337)</f>
        <v>15101.65</v>
      </c>
    </row>
    <row r="339" spans="1:10" ht="13.5" customHeight="1" x14ac:dyDescent="0.25">
      <c r="A339" s="1"/>
      <c r="B339" s="1"/>
      <c r="C339" s="1"/>
      <c r="D339" s="440"/>
      <c r="E339" s="440"/>
      <c r="F339" s="468"/>
      <c r="G339" s="440"/>
      <c r="H339" s="440"/>
      <c r="I339" s="440"/>
      <c r="J339" s="440"/>
    </row>
    <row r="340" spans="1:10" ht="13.5" customHeight="1" x14ac:dyDescent="0.25">
      <c r="A340" s="1"/>
      <c r="B340" s="22" t="s">
        <v>496</v>
      </c>
      <c r="C340" s="22" t="s">
        <v>497</v>
      </c>
      <c r="D340" s="437">
        <v>0</v>
      </c>
      <c r="E340" s="437">
        <v>0</v>
      </c>
      <c r="F340" s="466"/>
      <c r="G340" s="437">
        <v>0</v>
      </c>
      <c r="H340" s="437">
        <v>8564.2199999999993</v>
      </c>
      <c r="I340" s="437">
        <v>0</v>
      </c>
      <c r="J340" s="437">
        <v>0</v>
      </c>
    </row>
    <row r="341" spans="1:10" ht="13.5" customHeight="1" x14ac:dyDescent="0.25">
      <c r="A341" s="1"/>
      <c r="B341" s="1" t="s">
        <v>498</v>
      </c>
      <c r="C341" s="1" t="s">
        <v>329</v>
      </c>
      <c r="D341" s="437">
        <v>400</v>
      </c>
      <c r="E341" s="437">
        <v>139.58000000000001</v>
      </c>
      <c r="F341" s="466">
        <f t="shared" ref="F341:F349" si="112">SUM(E341/G341)</f>
        <v>0.34895000000000004</v>
      </c>
      <c r="G341" s="437">
        <v>400</v>
      </c>
      <c r="H341" s="437">
        <v>375.77</v>
      </c>
      <c r="I341" s="437">
        <v>388.36</v>
      </c>
      <c r="J341" s="437">
        <v>412</v>
      </c>
    </row>
    <row r="342" spans="1:10" ht="13.5" customHeight="1" x14ac:dyDescent="0.25">
      <c r="A342" s="1"/>
      <c r="B342" s="1" t="s">
        <v>499</v>
      </c>
      <c r="C342" s="1" t="s">
        <v>281</v>
      </c>
      <c r="D342" s="437">
        <v>600</v>
      </c>
      <c r="E342" s="439">
        <v>0</v>
      </c>
      <c r="F342" s="466">
        <f t="shared" si="112"/>
        <v>0</v>
      </c>
      <c r="G342" s="440">
        <v>600</v>
      </c>
      <c r="H342" s="439">
        <v>540</v>
      </c>
      <c r="I342" s="439">
        <v>369.99</v>
      </c>
      <c r="J342" s="437">
        <v>474.74</v>
      </c>
    </row>
    <row r="343" spans="1:10" ht="13.5" customHeight="1" x14ac:dyDescent="0.25">
      <c r="A343" s="1"/>
      <c r="B343" s="1" t="s">
        <v>500</v>
      </c>
      <c r="C343" s="1" t="s">
        <v>283</v>
      </c>
      <c r="D343" s="437">
        <v>4000</v>
      </c>
      <c r="E343" s="437">
        <v>3923.3</v>
      </c>
      <c r="F343" s="466">
        <f t="shared" si="112"/>
        <v>0.98082500000000006</v>
      </c>
      <c r="G343" s="437">
        <v>4000</v>
      </c>
      <c r="H343" s="437">
        <v>2693.59</v>
      </c>
      <c r="I343" s="437">
        <v>1115.17</v>
      </c>
      <c r="J343" s="437">
        <v>2315.9</v>
      </c>
    </row>
    <row r="344" spans="1:10" ht="13.5" customHeight="1" x14ac:dyDescent="0.25">
      <c r="A344" s="1"/>
      <c r="B344" s="1" t="s">
        <v>501</v>
      </c>
      <c r="C344" s="1" t="s">
        <v>502</v>
      </c>
      <c r="D344" s="437">
        <v>1000</v>
      </c>
      <c r="E344" s="437">
        <v>550</v>
      </c>
      <c r="F344" s="466">
        <f t="shared" si="112"/>
        <v>0.55000000000000004</v>
      </c>
      <c r="G344" s="437">
        <v>1000</v>
      </c>
      <c r="H344" s="437">
        <v>450</v>
      </c>
      <c r="I344" s="437">
        <v>250</v>
      </c>
      <c r="J344" s="437">
        <v>650</v>
      </c>
    </row>
    <row r="345" spans="1:10" ht="13.5" customHeight="1" x14ac:dyDescent="0.25">
      <c r="A345" s="1"/>
      <c r="B345" s="1" t="s">
        <v>503</v>
      </c>
      <c r="C345" s="1" t="s">
        <v>504</v>
      </c>
      <c r="D345" s="437">
        <v>600</v>
      </c>
      <c r="E345" s="439">
        <v>0</v>
      </c>
      <c r="F345" s="466">
        <f t="shared" si="112"/>
        <v>0</v>
      </c>
      <c r="G345" s="440">
        <v>600</v>
      </c>
      <c r="H345" s="439">
        <v>0</v>
      </c>
      <c r="I345" s="440">
        <v>0</v>
      </c>
      <c r="J345" s="440">
        <v>0</v>
      </c>
    </row>
    <row r="346" spans="1:10" ht="13.5" customHeight="1" x14ac:dyDescent="0.25">
      <c r="A346" s="1"/>
      <c r="B346" s="1" t="s">
        <v>505</v>
      </c>
      <c r="C346" s="1" t="s">
        <v>492</v>
      </c>
      <c r="D346" s="437">
        <v>150</v>
      </c>
      <c r="E346" s="439">
        <v>0</v>
      </c>
      <c r="F346" s="466">
        <f t="shared" si="112"/>
        <v>0</v>
      </c>
      <c r="G346" s="440">
        <v>150</v>
      </c>
      <c r="H346" s="439">
        <v>0</v>
      </c>
      <c r="I346" s="440">
        <v>0</v>
      </c>
      <c r="J346" s="440">
        <v>0</v>
      </c>
    </row>
    <row r="347" spans="1:10" ht="13.5" customHeight="1" x14ac:dyDescent="0.25">
      <c r="A347" s="1"/>
      <c r="B347" s="1" t="s">
        <v>506</v>
      </c>
      <c r="C347" s="1" t="s">
        <v>507</v>
      </c>
      <c r="D347" s="437">
        <v>1200</v>
      </c>
      <c r="E347" s="439">
        <v>0</v>
      </c>
      <c r="F347" s="466">
        <f t="shared" si="112"/>
        <v>0</v>
      </c>
      <c r="G347" s="440">
        <v>1200</v>
      </c>
      <c r="H347" s="439">
        <v>0</v>
      </c>
      <c r="I347" s="440">
        <v>0</v>
      </c>
      <c r="J347" s="437">
        <v>2202.37</v>
      </c>
    </row>
    <row r="348" spans="1:10" ht="13.5" customHeight="1" x14ac:dyDescent="0.25">
      <c r="A348" s="1"/>
      <c r="B348" s="1" t="s">
        <v>508</v>
      </c>
      <c r="C348" s="1" t="s">
        <v>509</v>
      </c>
      <c r="D348" s="437">
        <v>250</v>
      </c>
      <c r="E348" s="439">
        <v>7.5</v>
      </c>
      <c r="F348" s="466">
        <f t="shared" si="112"/>
        <v>0.03</v>
      </c>
      <c r="G348" s="440">
        <v>250</v>
      </c>
      <c r="H348" s="439">
        <v>540.41999999999996</v>
      </c>
      <c r="I348" s="440">
        <v>44.93</v>
      </c>
      <c r="J348" s="437">
        <v>501.08</v>
      </c>
    </row>
    <row r="349" spans="1:10" ht="13.5" customHeight="1" x14ac:dyDescent="0.25">
      <c r="A349" s="1"/>
      <c r="B349" s="1" t="s">
        <v>510</v>
      </c>
      <c r="C349" s="1" t="s">
        <v>431</v>
      </c>
      <c r="D349" s="437">
        <v>97194</v>
      </c>
      <c r="E349" s="439">
        <v>55649.99</v>
      </c>
      <c r="F349" s="466">
        <f t="shared" si="112"/>
        <v>0.57256610490359483</v>
      </c>
      <c r="G349" s="439">
        <v>97194</v>
      </c>
      <c r="H349" s="439">
        <v>80972.009999999995</v>
      </c>
      <c r="I349" s="439">
        <v>34618.46</v>
      </c>
      <c r="J349" s="437">
        <v>85962.39</v>
      </c>
    </row>
    <row r="350" spans="1:10" ht="13.5" customHeight="1" x14ac:dyDescent="0.25">
      <c r="A350" s="1"/>
      <c r="B350" s="1" t="s">
        <v>511</v>
      </c>
      <c r="C350" s="1" t="s">
        <v>512</v>
      </c>
      <c r="D350" s="437">
        <v>0</v>
      </c>
      <c r="E350" s="439">
        <v>0</v>
      </c>
      <c r="F350" s="466"/>
      <c r="G350" s="440">
        <v>0</v>
      </c>
      <c r="H350" s="439">
        <v>5274.7</v>
      </c>
      <c r="I350" s="439">
        <v>24103.599999999999</v>
      </c>
      <c r="J350" s="437">
        <v>4750</v>
      </c>
    </row>
    <row r="351" spans="1:10" ht="13.5" customHeight="1" x14ac:dyDescent="0.25">
      <c r="A351" s="1"/>
      <c r="B351" s="22" t="s">
        <v>513</v>
      </c>
      <c r="C351" s="22" t="s">
        <v>514</v>
      </c>
      <c r="D351" s="437">
        <v>0</v>
      </c>
      <c r="E351" s="437">
        <v>0</v>
      </c>
      <c r="F351" s="466"/>
      <c r="G351" s="437">
        <v>0</v>
      </c>
      <c r="H351" s="437">
        <v>10866.72</v>
      </c>
      <c r="I351" s="437"/>
      <c r="J351" s="437"/>
    </row>
    <row r="352" spans="1:10" ht="13.5" customHeight="1" x14ac:dyDescent="0.25">
      <c r="A352" s="1"/>
      <c r="B352" s="1" t="s">
        <v>515</v>
      </c>
      <c r="C352" s="1" t="s">
        <v>516</v>
      </c>
      <c r="D352" s="437">
        <v>45000</v>
      </c>
      <c r="E352" s="437">
        <v>13429.89</v>
      </c>
      <c r="F352" s="466">
        <f t="shared" ref="F352:F354" si="113">SUM(E352/G352)</f>
        <v>0.29844199999999999</v>
      </c>
      <c r="G352" s="437">
        <v>45000</v>
      </c>
      <c r="H352" s="437">
        <v>62148.04</v>
      </c>
      <c r="I352" s="437">
        <v>44398.86</v>
      </c>
      <c r="J352" s="437">
        <v>15941.82</v>
      </c>
    </row>
    <row r="353" spans="1:10" ht="13.5" customHeight="1" x14ac:dyDescent="0.25">
      <c r="A353" s="1"/>
      <c r="B353" s="1" t="s">
        <v>517</v>
      </c>
      <c r="C353" s="1" t="s">
        <v>287</v>
      </c>
      <c r="D353" s="437">
        <v>50</v>
      </c>
      <c r="E353" s="437">
        <v>50</v>
      </c>
      <c r="F353" s="466">
        <f t="shared" si="113"/>
        <v>1</v>
      </c>
      <c r="G353" s="437">
        <v>50</v>
      </c>
      <c r="H353" s="437">
        <v>50</v>
      </c>
      <c r="I353" s="437">
        <v>50</v>
      </c>
      <c r="J353" s="437">
        <v>121</v>
      </c>
    </row>
    <row r="354" spans="1:10" ht="13.5" customHeight="1" x14ac:dyDescent="0.25">
      <c r="A354" s="1"/>
      <c r="B354" s="1" t="s">
        <v>518</v>
      </c>
      <c r="C354" s="1" t="s">
        <v>289</v>
      </c>
      <c r="D354" s="437">
        <v>1200</v>
      </c>
      <c r="E354" s="437">
        <v>778.29</v>
      </c>
      <c r="F354" s="466">
        <f t="shared" si="113"/>
        <v>0.64857500000000001</v>
      </c>
      <c r="G354" s="437">
        <v>1200</v>
      </c>
      <c r="H354" s="437">
        <v>1781.16</v>
      </c>
      <c r="I354" s="437">
        <v>1566.85</v>
      </c>
      <c r="J354" s="437">
        <v>1492.47</v>
      </c>
    </row>
    <row r="355" spans="1:10" ht="13.5" customHeight="1" x14ac:dyDescent="0.25">
      <c r="A355" s="1"/>
      <c r="B355" s="1"/>
      <c r="C355" s="1"/>
      <c r="D355" s="438">
        <v>151644</v>
      </c>
      <c r="E355" s="438">
        <f t="shared" ref="E355" si="114">SUM(E340:E354)</f>
        <v>74528.549999999988</v>
      </c>
      <c r="F355" s="467"/>
      <c r="G355" s="438">
        <v>151644</v>
      </c>
      <c r="H355" s="438">
        <f>SUM(H340:H354)</f>
        <v>174256.63</v>
      </c>
      <c r="I355" s="438">
        <f>SUM(I340:I354)</f>
        <v>106906.22</v>
      </c>
      <c r="J355" s="438">
        <f t="shared" ref="J355" si="115">SUM(J340:J354)</f>
        <v>114823.76999999999</v>
      </c>
    </row>
    <row r="356" spans="1:10" ht="13.5" customHeight="1" x14ac:dyDescent="0.25">
      <c r="A356" s="1"/>
      <c r="B356" s="1"/>
      <c r="C356" s="1"/>
      <c r="D356" s="437"/>
      <c r="E356" s="437"/>
      <c r="F356" s="466"/>
      <c r="G356" s="437"/>
      <c r="H356" s="437"/>
      <c r="I356" s="437"/>
      <c r="J356" s="437"/>
    </row>
    <row r="357" spans="1:10" ht="13.5" customHeight="1" x14ac:dyDescent="0.25">
      <c r="A357" s="1"/>
      <c r="B357" s="1" t="s">
        <v>519</v>
      </c>
      <c r="C357" s="1" t="s">
        <v>352</v>
      </c>
      <c r="D357" s="437">
        <v>31000</v>
      </c>
      <c r="E357" s="439">
        <v>0</v>
      </c>
      <c r="F357" s="466">
        <f>SUM(E357/G357)</f>
        <v>0</v>
      </c>
      <c r="G357" s="439">
        <v>31000</v>
      </c>
      <c r="H357" s="439">
        <v>112327.51</v>
      </c>
      <c r="I357" s="439">
        <v>26825</v>
      </c>
      <c r="J357" s="440">
        <v>0</v>
      </c>
    </row>
    <row r="358" spans="1:10" ht="13.5" customHeight="1" x14ac:dyDescent="0.25">
      <c r="A358" s="1"/>
      <c r="B358" s="1"/>
      <c r="C358" s="1"/>
      <c r="D358" s="438">
        <v>31000</v>
      </c>
      <c r="E358" s="438">
        <f t="shared" ref="E358" si="116">SUM(E357)</f>
        <v>0</v>
      </c>
      <c r="F358" s="467"/>
      <c r="G358" s="438">
        <v>31000</v>
      </c>
      <c r="H358" s="438">
        <f>SUM(H357)</f>
        <v>112327.51</v>
      </c>
      <c r="I358" s="438">
        <f>SUM(I357)</f>
        <v>26825</v>
      </c>
      <c r="J358" s="438">
        <f t="shared" ref="J358" si="117">SUM(J357)</f>
        <v>0</v>
      </c>
    </row>
    <row r="359" spans="1:10" ht="13.5" customHeight="1" thickBot="1" x14ac:dyDescent="0.3">
      <c r="A359" s="1"/>
      <c r="B359" s="1"/>
      <c r="C359" s="39" t="s">
        <v>520</v>
      </c>
      <c r="D359" s="451">
        <v>581759.23670000001</v>
      </c>
      <c r="E359" s="451">
        <f t="shared" ref="E359" si="118">SUM(E321+E328+E338+E355+E358)</f>
        <v>240822.08</v>
      </c>
      <c r="F359" s="478"/>
      <c r="G359" s="451">
        <v>575171.46</v>
      </c>
      <c r="H359" s="451">
        <f>SUM(H321+H328+H338+H355+H358)</f>
        <v>806042.61</v>
      </c>
      <c r="I359" s="451">
        <f>SUM(I321+I328+I338+I355+I358)</f>
        <v>446431.51</v>
      </c>
      <c r="J359" s="451">
        <f t="shared" ref="J359" si="119">SUM(J321+J328+J338+J355+J358)</f>
        <v>457556.56999999995</v>
      </c>
    </row>
    <row r="360" spans="1:10" ht="13.5" customHeight="1" thickTop="1" x14ac:dyDescent="0.25">
      <c r="A360" s="1"/>
      <c r="B360" s="1"/>
      <c r="C360" s="1"/>
      <c r="D360" s="437"/>
      <c r="E360" s="437"/>
      <c r="F360" s="466"/>
      <c r="G360" s="437"/>
      <c r="H360" s="437"/>
      <c r="I360" s="437"/>
      <c r="J360" s="437"/>
    </row>
    <row r="361" spans="1:10" ht="13.5" customHeight="1" x14ac:dyDescent="0.25">
      <c r="A361" s="1"/>
      <c r="B361" s="1"/>
      <c r="C361" s="1"/>
      <c r="D361" s="437"/>
      <c r="E361" s="437"/>
      <c r="F361" s="466"/>
      <c r="G361" s="437"/>
      <c r="H361" s="437"/>
      <c r="I361" s="437"/>
      <c r="J361" s="437"/>
    </row>
    <row r="362" spans="1:10" ht="13.5" customHeight="1" x14ac:dyDescent="0.25">
      <c r="A362" s="1"/>
      <c r="B362" s="1"/>
      <c r="C362" s="14" t="s">
        <v>521</v>
      </c>
      <c r="D362" s="440"/>
      <c r="E362" s="437"/>
      <c r="F362" s="466"/>
      <c r="G362" s="437"/>
      <c r="H362" s="437"/>
      <c r="I362" s="437"/>
      <c r="J362" s="440"/>
    </row>
    <row r="363" spans="1:10" ht="13.5" customHeight="1" x14ac:dyDescent="0.25">
      <c r="A363" s="1"/>
      <c r="B363" s="1" t="s">
        <v>522</v>
      </c>
      <c r="C363" s="1" t="s">
        <v>475</v>
      </c>
      <c r="D363" s="437">
        <v>16500</v>
      </c>
      <c r="E363" s="437">
        <v>7715.5</v>
      </c>
      <c r="F363" s="466">
        <f>SUM(E363/G363)</f>
        <v>0.46760606060606058</v>
      </c>
      <c r="G363" s="437">
        <v>16500</v>
      </c>
      <c r="H363" s="437">
        <v>14825.2</v>
      </c>
      <c r="I363" s="437">
        <v>6195.8</v>
      </c>
      <c r="J363" s="437">
        <v>11377</v>
      </c>
    </row>
    <row r="364" spans="1:10" ht="13.5" customHeight="1" x14ac:dyDescent="0.25">
      <c r="A364" s="1"/>
      <c r="B364" s="1"/>
      <c r="C364" s="1"/>
      <c r="D364" s="438">
        <v>16500</v>
      </c>
      <c r="E364" s="438">
        <f>SUM(E363)</f>
        <v>7715.5</v>
      </c>
      <c r="F364" s="467"/>
      <c r="G364" s="438">
        <v>16500</v>
      </c>
      <c r="H364" s="438">
        <f>SUM(H361:H363)</f>
        <v>14825.2</v>
      </c>
      <c r="I364" s="438">
        <f>SUM(I361:I363)</f>
        <v>6195.8</v>
      </c>
      <c r="J364" s="438">
        <f t="shared" ref="J364" si="120">SUM(J361:J363)</f>
        <v>11377</v>
      </c>
    </row>
    <row r="365" spans="1:10" ht="13.5" customHeight="1" x14ac:dyDescent="0.25">
      <c r="A365" s="1"/>
      <c r="B365" s="1"/>
      <c r="C365" s="1"/>
      <c r="D365" s="437"/>
      <c r="E365" s="437"/>
      <c r="F365" s="466"/>
      <c r="G365" s="437"/>
      <c r="H365" s="437"/>
      <c r="I365" s="437"/>
      <c r="J365" s="437"/>
    </row>
    <row r="366" spans="1:10" ht="13.5" customHeight="1" x14ac:dyDescent="0.25">
      <c r="A366" s="1"/>
      <c r="B366" s="1" t="s">
        <v>523</v>
      </c>
      <c r="C366" s="1" t="s">
        <v>257</v>
      </c>
      <c r="D366" s="437">
        <v>1262.25</v>
      </c>
      <c r="E366" s="437">
        <v>587.04</v>
      </c>
      <c r="F366" s="466">
        <f t="shared" ref="F366:F368" si="121">SUM(E366/G366)</f>
        <v>0.46507427213309566</v>
      </c>
      <c r="G366" s="437">
        <v>1262.25</v>
      </c>
      <c r="H366" s="437">
        <v>1137.31</v>
      </c>
      <c r="I366" s="437">
        <v>473.99</v>
      </c>
      <c r="J366" s="437">
        <v>870.33</v>
      </c>
    </row>
    <row r="367" spans="1:10" ht="13.5" customHeight="1" x14ac:dyDescent="0.25">
      <c r="A367" s="1"/>
      <c r="B367" s="1" t="s">
        <v>524</v>
      </c>
      <c r="C367" s="1" t="s">
        <v>261</v>
      </c>
      <c r="D367" s="437">
        <v>2478.3000000000002</v>
      </c>
      <c r="E367" s="437">
        <v>1152.6199999999999</v>
      </c>
      <c r="F367" s="466">
        <f t="shared" si="121"/>
        <v>0.46508493725537658</v>
      </c>
      <c r="G367" s="437">
        <v>2478.3000000000002</v>
      </c>
      <c r="H367" s="437">
        <v>2232.9899999999998</v>
      </c>
      <c r="I367" s="437">
        <v>869.07</v>
      </c>
      <c r="J367" s="437">
        <v>1647.42</v>
      </c>
    </row>
    <row r="368" spans="1:10" ht="13.5" customHeight="1" x14ac:dyDescent="0.25">
      <c r="A368" s="1"/>
      <c r="B368" s="1" t="s">
        <v>525</v>
      </c>
      <c r="C368" s="1" t="s">
        <v>263</v>
      </c>
      <c r="D368" s="437">
        <v>26.400000000000002</v>
      </c>
      <c r="E368" s="437">
        <v>12.28</v>
      </c>
      <c r="F368" s="466">
        <f t="shared" si="121"/>
        <v>0.46515151515151509</v>
      </c>
      <c r="G368" s="437">
        <v>26.400000000000002</v>
      </c>
      <c r="H368" s="437">
        <v>23.8</v>
      </c>
      <c r="I368" s="437">
        <v>9.5399999999999991</v>
      </c>
      <c r="J368" s="437">
        <v>21</v>
      </c>
    </row>
    <row r="369" spans="1:10" ht="13.5" customHeight="1" x14ac:dyDescent="0.25">
      <c r="A369" s="1"/>
      <c r="B369" s="1"/>
      <c r="C369" s="1"/>
      <c r="D369" s="438">
        <v>3766.9500000000003</v>
      </c>
      <c r="E369" s="438">
        <f t="shared" ref="E369" si="122">SUM(E366:E368)</f>
        <v>1751.9399999999998</v>
      </c>
      <c r="F369" s="467"/>
      <c r="G369" s="438">
        <v>3766.9500000000003</v>
      </c>
      <c r="H369" s="438">
        <f>SUM(H366:H368)</f>
        <v>3394.1</v>
      </c>
      <c r="I369" s="438">
        <f>SUM(I366:I368)</f>
        <v>1352.6</v>
      </c>
      <c r="J369" s="438">
        <f t="shared" ref="J369" si="123">SUM(J366:J368)</f>
        <v>2538.75</v>
      </c>
    </row>
    <row r="370" spans="1:10" ht="13.5" customHeight="1" x14ac:dyDescent="0.25">
      <c r="A370" s="1"/>
      <c r="B370" s="1"/>
      <c r="C370" s="1"/>
      <c r="D370" s="437"/>
      <c r="E370" s="437"/>
      <c r="F370" s="466"/>
      <c r="G370" s="437"/>
      <c r="H370" s="437"/>
      <c r="I370" s="437"/>
      <c r="J370" s="437"/>
    </row>
    <row r="371" spans="1:10" ht="13.5" customHeight="1" x14ac:dyDescent="0.25">
      <c r="A371" s="1"/>
      <c r="B371" s="1" t="s">
        <v>526</v>
      </c>
      <c r="C371" s="1" t="s">
        <v>267</v>
      </c>
      <c r="D371" s="437">
        <v>300</v>
      </c>
      <c r="E371" s="437">
        <v>102.76</v>
      </c>
      <c r="F371" s="466">
        <f t="shared" ref="F371:F373" si="124">SUM(E371/G371)</f>
        <v>0.34253333333333336</v>
      </c>
      <c r="G371" s="437">
        <v>300</v>
      </c>
      <c r="H371" s="437">
        <v>200.86</v>
      </c>
      <c r="I371" s="437">
        <v>37.94</v>
      </c>
      <c r="J371" s="437">
        <v>260.48</v>
      </c>
    </row>
    <row r="372" spans="1:10" ht="13.5" customHeight="1" x14ac:dyDescent="0.25">
      <c r="A372" s="1"/>
      <c r="B372" s="1" t="s">
        <v>527</v>
      </c>
      <c r="C372" s="1" t="s">
        <v>269</v>
      </c>
      <c r="D372" s="437">
        <v>300</v>
      </c>
      <c r="E372" s="437">
        <v>0</v>
      </c>
      <c r="F372" s="466">
        <f t="shared" si="124"/>
        <v>0</v>
      </c>
      <c r="G372" s="437">
        <v>300</v>
      </c>
      <c r="H372" s="437">
        <v>0</v>
      </c>
      <c r="I372" s="437">
        <v>16.55</v>
      </c>
      <c r="J372" s="437">
        <v>107.18</v>
      </c>
    </row>
    <row r="373" spans="1:10" ht="13.5" customHeight="1" x14ac:dyDescent="0.25">
      <c r="A373" s="1"/>
      <c r="B373" s="1" t="s">
        <v>528</v>
      </c>
      <c r="C373" s="1" t="s">
        <v>492</v>
      </c>
      <c r="D373" s="437">
        <v>250</v>
      </c>
      <c r="E373" s="439">
        <v>0</v>
      </c>
      <c r="F373" s="466">
        <f t="shared" si="124"/>
        <v>0</v>
      </c>
      <c r="G373" s="440">
        <v>250</v>
      </c>
      <c r="H373" s="439">
        <v>0</v>
      </c>
      <c r="I373" s="440">
        <v>0</v>
      </c>
      <c r="J373" s="440">
        <v>0</v>
      </c>
    </row>
    <row r="374" spans="1:10" ht="13.5" customHeight="1" x14ac:dyDescent="0.25">
      <c r="A374" s="1"/>
      <c r="B374" s="1" t="s">
        <v>529</v>
      </c>
      <c r="C374" s="1" t="s">
        <v>273</v>
      </c>
      <c r="D374" s="437">
        <v>0</v>
      </c>
      <c r="E374" s="439">
        <v>0</v>
      </c>
      <c r="F374" s="466"/>
      <c r="G374" s="440">
        <v>0</v>
      </c>
      <c r="H374" s="439">
        <v>0</v>
      </c>
      <c r="I374" s="440">
        <v>0</v>
      </c>
      <c r="J374" s="437">
        <v>0</v>
      </c>
    </row>
    <row r="375" spans="1:10" ht="13.5" customHeight="1" x14ac:dyDescent="0.25">
      <c r="A375" s="1"/>
      <c r="B375" s="1" t="s">
        <v>530</v>
      </c>
      <c r="C375" s="1" t="s">
        <v>455</v>
      </c>
      <c r="D375" s="437">
        <v>0</v>
      </c>
      <c r="E375" s="439">
        <v>0</v>
      </c>
      <c r="F375" s="466"/>
      <c r="G375" s="440">
        <v>0</v>
      </c>
      <c r="H375" s="439">
        <v>0</v>
      </c>
      <c r="I375" s="440">
        <v>0</v>
      </c>
      <c r="J375" s="440">
        <v>0</v>
      </c>
    </row>
    <row r="376" spans="1:10" ht="13.5" customHeight="1" x14ac:dyDescent="0.25">
      <c r="A376" s="1"/>
      <c r="B376" s="1" t="s">
        <v>531</v>
      </c>
      <c r="C376" s="1" t="s">
        <v>275</v>
      </c>
      <c r="D376" s="437">
        <v>200</v>
      </c>
      <c r="E376" s="439">
        <v>0</v>
      </c>
      <c r="F376" s="466">
        <f>SUM(E376/G376)</f>
        <v>0</v>
      </c>
      <c r="G376" s="440">
        <v>200</v>
      </c>
      <c r="H376" s="439">
        <v>16.989999999999998</v>
      </c>
      <c r="I376" s="440">
        <v>0</v>
      </c>
      <c r="J376" s="440">
        <v>0</v>
      </c>
    </row>
    <row r="377" spans="1:10" ht="13.5" customHeight="1" x14ac:dyDescent="0.25">
      <c r="A377" s="1"/>
      <c r="B377" s="1"/>
      <c r="C377" s="1"/>
      <c r="D377" s="441">
        <v>1050</v>
      </c>
      <c r="E377" s="441">
        <f t="shared" ref="E377" si="125">SUM(E371:E376)</f>
        <v>102.76</v>
      </c>
      <c r="F377" s="469"/>
      <c r="G377" s="441">
        <v>1050</v>
      </c>
      <c r="H377" s="441">
        <f>SUM(H371:H376)</f>
        <v>217.85000000000002</v>
      </c>
      <c r="I377" s="441">
        <f>SUM(I371:I376)</f>
        <v>54.489999999999995</v>
      </c>
      <c r="J377" s="441">
        <f t="shared" ref="J377" si="126">SUM(J371:J376)</f>
        <v>367.66</v>
      </c>
    </row>
    <row r="378" spans="1:10" ht="13.5" customHeight="1" x14ac:dyDescent="0.25">
      <c r="A378" s="1"/>
      <c r="B378" s="1"/>
      <c r="C378" s="1"/>
      <c r="D378" s="440"/>
      <c r="E378" s="440"/>
      <c r="F378" s="468"/>
      <c r="G378" s="440"/>
      <c r="H378" s="440"/>
      <c r="I378" s="440"/>
      <c r="J378" s="440"/>
    </row>
    <row r="379" spans="1:10" ht="13.5" customHeight="1" x14ac:dyDescent="0.25">
      <c r="A379" s="1"/>
      <c r="B379" s="1" t="s">
        <v>532</v>
      </c>
      <c r="C379" s="1" t="s">
        <v>281</v>
      </c>
      <c r="D379" s="437">
        <v>280</v>
      </c>
      <c r="E379" s="439">
        <v>0</v>
      </c>
      <c r="F379" s="466"/>
      <c r="G379" s="439">
        <v>280</v>
      </c>
      <c r="H379" s="439">
        <v>269.10000000000002</v>
      </c>
      <c r="I379" s="440">
        <v>0</v>
      </c>
      <c r="J379" s="437">
        <v>0</v>
      </c>
    </row>
    <row r="380" spans="1:10" ht="13.5" customHeight="1" x14ac:dyDescent="0.25">
      <c r="A380" s="1"/>
      <c r="B380" s="1" t="s">
        <v>533</v>
      </c>
      <c r="C380" s="1" t="s">
        <v>283</v>
      </c>
      <c r="D380" s="437">
        <v>1100</v>
      </c>
      <c r="E380" s="437">
        <v>0</v>
      </c>
      <c r="F380" s="466">
        <f>SUM(E380/G380)</f>
        <v>0</v>
      </c>
      <c r="G380" s="437">
        <v>1100</v>
      </c>
      <c r="H380" s="437">
        <v>0</v>
      </c>
      <c r="I380" s="437">
        <v>647.32000000000005</v>
      </c>
      <c r="J380" s="437">
        <v>1073.05</v>
      </c>
    </row>
    <row r="381" spans="1:10" ht="13.5" customHeight="1" x14ac:dyDescent="0.25">
      <c r="A381" s="1"/>
      <c r="B381" s="1" t="s">
        <v>534</v>
      </c>
      <c r="C381" s="1" t="s">
        <v>502</v>
      </c>
      <c r="D381" s="437">
        <v>450</v>
      </c>
      <c r="E381" s="437">
        <v>0</v>
      </c>
      <c r="F381" s="466"/>
      <c r="G381" s="437">
        <v>450</v>
      </c>
      <c r="H381" s="437">
        <v>0</v>
      </c>
      <c r="I381" s="437">
        <v>0</v>
      </c>
      <c r="J381" s="437">
        <v>0</v>
      </c>
    </row>
    <row r="382" spans="1:10" ht="13.5" customHeight="1" x14ac:dyDescent="0.25">
      <c r="A382" s="1"/>
      <c r="B382" s="1" t="s">
        <v>535</v>
      </c>
      <c r="C382" s="1" t="s">
        <v>504</v>
      </c>
      <c r="D382" s="437">
        <v>0</v>
      </c>
      <c r="E382" s="439">
        <v>0</v>
      </c>
      <c r="F382" s="466"/>
      <c r="G382" s="440">
        <v>0</v>
      </c>
      <c r="H382" s="439">
        <v>0</v>
      </c>
      <c r="I382" s="440">
        <v>0</v>
      </c>
      <c r="J382" s="437">
        <v>0</v>
      </c>
    </row>
    <row r="383" spans="1:10" ht="13.5" customHeight="1" x14ac:dyDescent="0.25">
      <c r="A383" s="1"/>
      <c r="B383" s="1" t="s">
        <v>536</v>
      </c>
      <c r="C383" s="1" t="s">
        <v>492</v>
      </c>
      <c r="D383" s="437">
        <v>0</v>
      </c>
      <c r="E383" s="439">
        <v>0</v>
      </c>
      <c r="F383" s="466"/>
      <c r="G383" s="440">
        <v>0</v>
      </c>
      <c r="H383" s="439">
        <v>0</v>
      </c>
      <c r="I383" s="440">
        <v>0</v>
      </c>
      <c r="J383" s="437">
        <v>0</v>
      </c>
    </row>
    <row r="384" spans="1:10" ht="13.5" customHeight="1" x14ac:dyDescent="0.25">
      <c r="A384" s="1"/>
      <c r="B384" s="1" t="s">
        <v>537</v>
      </c>
      <c r="C384" s="1" t="s">
        <v>287</v>
      </c>
      <c r="D384" s="437">
        <v>0</v>
      </c>
      <c r="E384" s="437">
        <v>0</v>
      </c>
      <c r="F384" s="466"/>
      <c r="G384" s="437">
        <v>0</v>
      </c>
      <c r="H384" s="437">
        <v>0</v>
      </c>
      <c r="I384" s="437">
        <v>0</v>
      </c>
      <c r="J384" s="437">
        <v>0</v>
      </c>
    </row>
    <row r="385" spans="1:10" ht="13.5" customHeight="1" x14ac:dyDescent="0.25">
      <c r="A385" s="1"/>
      <c r="B385" s="1" t="s">
        <v>538</v>
      </c>
      <c r="C385" s="1" t="s">
        <v>289</v>
      </c>
      <c r="D385" s="437">
        <v>565</v>
      </c>
      <c r="E385" s="437">
        <v>243.32</v>
      </c>
      <c r="F385" s="466">
        <f>SUM(E385/G385)</f>
        <v>0.43065486725663715</v>
      </c>
      <c r="G385" s="437">
        <v>565</v>
      </c>
      <c r="H385" s="437">
        <v>362.03</v>
      </c>
      <c r="I385" s="437">
        <v>0</v>
      </c>
      <c r="J385" s="437">
        <v>0</v>
      </c>
    </row>
    <row r="386" spans="1:10" ht="13.5" customHeight="1" x14ac:dyDescent="0.25">
      <c r="A386" s="1"/>
      <c r="B386" s="1"/>
      <c r="C386" s="1"/>
      <c r="D386" s="438">
        <v>2395</v>
      </c>
      <c r="E386" s="438">
        <f t="shared" ref="E386" si="127">SUM(E379:E385)</f>
        <v>243.32</v>
      </c>
      <c r="F386" s="467"/>
      <c r="G386" s="438">
        <v>2395</v>
      </c>
      <c r="H386" s="438">
        <f>SUM(H379:H385)</f>
        <v>631.13</v>
      </c>
      <c r="I386" s="438">
        <f>SUM(I379:I385)</f>
        <v>647.32000000000005</v>
      </c>
      <c r="J386" s="438">
        <f t="shared" ref="J386" si="128">SUM(J379:J385)</f>
        <v>1073.05</v>
      </c>
    </row>
    <row r="387" spans="1:10" ht="13.5" customHeight="1" x14ac:dyDescent="0.25">
      <c r="A387" s="1"/>
      <c r="B387" s="1"/>
      <c r="C387" s="1"/>
      <c r="D387" s="437"/>
      <c r="E387" s="437"/>
      <c r="F387" s="466"/>
      <c r="G387" s="437"/>
      <c r="H387" s="437"/>
      <c r="I387" s="437"/>
      <c r="J387" s="437"/>
    </row>
    <row r="388" spans="1:10" ht="13.5" customHeight="1" x14ac:dyDescent="0.25">
      <c r="A388" s="1"/>
      <c r="B388" s="1" t="s">
        <v>539</v>
      </c>
      <c r="C388" s="1" t="s">
        <v>352</v>
      </c>
      <c r="D388" s="437">
        <v>0</v>
      </c>
      <c r="E388" s="439">
        <v>0</v>
      </c>
      <c r="F388" s="468"/>
      <c r="G388" s="440">
        <v>0</v>
      </c>
      <c r="H388" s="439">
        <v>0</v>
      </c>
      <c r="I388" s="440">
        <v>0</v>
      </c>
      <c r="J388" s="440">
        <v>0</v>
      </c>
    </row>
    <row r="389" spans="1:10" ht="13.5" customHeight="1" x14ac:dyDescent="0.25">
      <c r="A389" s="1"/>
      <c r="B389" s="1"/>
      <c r="C389" s="1"/>
      <c r="D389" s="438">
        <v>0</v>
      </c>
      <c r="E389" s="438">
        <f t="shared" ref="E389" si="129">SUM(E388)</f>
        <v>0</v>
      </c>
      <c r="F389" s="467"/>
      <c r="G389" s="438">
        <v>0</v>
      </c>
      <c r="H389" s="438">
        <f>SUM(H388)</f>
        <v>0</v>
      </c>
      <c r="I389" s="438">
        <f>SUM(I388)</f>
        <v>0</v>
      </c>
      <c r="J389" s="438">
        <f t="shared" ref="J389" si="130">SUM(J388)</f>
        <v>0</v>
      </c>
    </row>
    <row r="390" spans="1:10" ht="13.5" customHeight="1" thickBot="1" x14ac:dyDescent="0.3">
      <c r="A390" s="1"/>
      <c r="B390" s="1"/>
      <c r="C390" s="39" t="s">
        <v>540</v>
      </c>
      <c r="D390" s="451">
        <v>23711.95</v>
      </c>
      <c r="E390" s="451">
        <f t="shared" ref="E390" si="131">SUM(E364+E369+E377+E386+E389)</f>
        <v>9813.52</v>
      </c>
      <c r="F390" s="478"/>
      <c r="G390" s="451">
        <v>23711.95</v>
      </c>
      <c r="H390" s="451">
        <f>SUM(H364+H369+H377+H386+H389)</f>
        <v>19068.28</v>
      </c>
      <c r="I390" s="451">
        <f>SUM(I364+I369+I377+I386+I389)</f>
        <v>8250.2099999999991</v>
      </c>
      <c r="J390" s="451">
        <f t="shared" ref="J390" si="132">SUM(J364+J369+J377+J386+J389)</f>
        <v>15356.46</v>
      </c>
    </row>
    <row r="391" spans="1:10" ht="13.5" customHeight="1" thickTop="1" x14ac:dyDescent="0.25">
      <c r="A391" s="1"/>
      <c r="B391" s="1"/>
      <c r="C391" s="14"/>
      <c r="D391" s="437"/>
      <c r="E391" s="440"/>
      <c r="F391" s="468"/>
      <c r="G391" s="440"/>
      <c r="H391" s="440"/>
      <c r="I391" s="440"/>
      <c r="J391" s="440"/>
    </row>
    <row r="392" spans="1:10" ht="13.5" customHeight="1" x14ac:dyDescent="0.25">
      <c r="A392" s="1"/>
      <c r="B392" s="1"/>
      <c r="C392" s="14"/>
      <c r="D392" s="437"/>
      <c r="E392" s="440"/>
      <c r="F392" s="468"/>
      <c r="G392" s="440"/>
      <c r="H392" s="440"/>
      <c r="I392" s="440"/>
      <c r="J392" s="440"/>
    </row>
    <row r="393" spans="1:10" ht="13.5" customHeight="1" x14ac:dyDescent="0.25">
      <c r="A393" s="1"/>
      <c r="B393" s="1"/>
      <c r="C393" s="14" t="s">
        <v>541</v>
      </c>
      <c r="D393" s="437"/>
      <c r="E393" s="440"/>
      <c r="F393" s="468"/>
      <c r="G393" s="440"/>
      <c r="H393" s="440"/>
      <c r="I393" s="440"/>
      <c r="J393" s="440"/>
    </row>
    <row r="394" spans="1:10" ht="13.5" customHeight="1" x14ac:dyDescent="0.25">
      <c r="A394" s="1"/>
      <c r="B394" s="1" t="s">
        <v>542</v>
      </c>
      <c r="C394" s="1" t="s">
        <v>437</v>
      </c>
      <c r="D394" s="437">
        <v>94500</v>
      </c>
      <c r="E394" s="437">
        <v>51248.14</v>
      </c>
      <c r="F394" s="466">
        <f t="shared" ref="F394:F395" si="133">SUM(E394/G394)</f>
        <v>0.54230835978835978</v>
      </c>
      <c r="G394" s="437">
        <v>94500</v>
      </c>
      <c r="H394" s="437">
        <v>95227.05</v>
      </c>
      <c r="I394" s="437">
        <v>79590.759999999995</v>
      </c>
      <c r="J394" s="437">
        <v>78453.429999999993</v>
      </c>
    </row>
    <row r="395" spans="1:10" ht="13.5" customHeight="1" x14ac:dyDescent="0.25">
      <c r="A395" s="1"/>
      <c r="B395" s="1" t="s">
        <v>543</v>
      </c>
      <c r="C395" s="1" t="s">
        <v>439</v>
      </c>
      <c r="D395" s="437">
        <v>143997</v>
      </c>
      <c r="E395" s="437">
        <v>69257.850000000006</v>
      </c>
      <c r="F395" s="466">
        <f t="shared" si="133"/>
        <v>0.51127520098035606</v>
      </c>
      <c r="G395" s="437">
        <v>135461</v>
      </c>
      <c r="H395" s="437">
        <v>108589.13</v>
      </c>
      <c r="I395" s="437">
        <v>117337.38</v>
      </c>
      <c r="J395" s="437">
        <v>115326.92</v>
      </c>
    </row>
    <row r="396" spans="1:10" ht="13.5" customHeight="1" x14ac:dyDescent="0.25">
      <c r="A396" s="1"/>
      <c r="B396" s="1" t="s">
        <v>544</v>
      </c>
      <c r="C396" s="1" t="s">
        <v>441</v>
      </c>
      <c r="D396" s="437">
        <v>0</v>
      </c>
      <c r="E396" s="439">
        <v>0</v>
      </c>
      <c r="F396" s="466"/>
      <c r="G396" s="440">
        <v>0</v>
      </c>
      <c r="H396" s="439">
        <v>0</v>
      </c>
      <c r="I396" s="440">
        <v>0</v>
      </c>
      <c r="J396" s="437">
        <v>450.72</v>
      </c>
    </row>
    <row r="397" spans="1:10" ht="13.5" customHeight="1" x14ac:dyDescent="0.25">
      <c r="A397" s="1"/>
      <c r="B397" s="1" t="s">
        <v>545</v>
      </c>
      <c r="C397" s="1" t="s">
        <v>443</v>
      </c>
      <c r="D397" s="437">
        <v>0</v>
      </c>
      <c r="E397" s="437">
        <v>0</v>
      </c>
      <c r="F397" s="466"/>
      <c r="G397" s="437">
        <v>0</v>
      </c>
      <c r="H397" s="437">
        <v>0</v>
      </c>
      <c r="I397" s="437">
        <v>4454.57</v>
      </c>
      <c r="J397" s="437">
        <v>4951.55</v>
      </c>
    </row>
    <row r="398" spans="1:10" ht="13.5" customHeight="1" x14ac:dyDescent="0.25">
      <c r="A398" s="1"/>
      <c r="B398" s="1" t="s">
        <v>546</v>
      </c>
      <c r="C398" s="1" t="s">
        <v>253</v>
      </c>
      <c r="D398" s="437">
        <v>9000</v>
      </c>
      <c r="E398" s="437">
        <v>5192.25</v>
      </c>
      <c r="F398" s="466">
        <f t="shared" ref="F398:F399" si="134">SUM(E398/G398)</f>
        <v>0.57691666666666663</v>
      </c>
      <c r="G398" s="437">
        <v>9000</v>
      </c>
      <c r="H398" s="437">
        <v>8999.9</v>
      </c>
      <c r="I398" s="437">
        <v>8999.9</v>
      </c>
      <c r="J398" s="437">
        <v>8999.9</v>
      </c>
    </row>
    <row r="399" spans="1:10" ht="13.5" customHeight="1" x14ac:dyDescent="0.25">
      <c r="A399" s="1"/>
      <c r="B399" s="1" t="s">
        <v>547</v>
      </c>
      <c r="C399" s="1" t="s">
        <v>255</v>
      </c>
      <c r="D399" s="437">
        <v>85500</v>
      </c>
      <c r="E399" s="437">
        <v>49326.9</v>
      </c>
      <c r="F399" s="466">
        <f t="shared" si="134"/>
        <v>0.57692280701754384</v>
      </c>
      <c r="G399" s="437">
        <v>85500</v>
      </c>
      <c r="H399" s="437">
        <v>85499.96</v>
      </c>
      <c r="I399" s="437">
        <v>70000.06</v>
      </c>
      <c r="J399" s="437">
        <v>70000.06</v>
      </c>
    </row>
    <row r="400" spans="1:10" ht="13.5" customHeight="1" x14ac:dyDescent="0.25">
      <c r="A400" s="1"/>
      <c r="B400" s="1"/>
      <c r="C400" s="1"/>
      <c r="D400" s="438">
        <v>332997</v>
      </c>
      <c r="E400" s="438">
        <f t="shared" ref="E400" si="135">SUM(E394:E399)</f>
        <v>175025.14</v>
      </c>
      <c r="F400" s="467"/>
      <c r="G400" s="438">
        <v>324461</v>
      </c>
      <c r="H400" s="438">
        <f>SUM(H394:H399)</f>
        <v>298316.03999999998</v>
      </c>
      <c r="I400" s="438">
        <f>SUM(I394:I399)</f>
        <v>280382.67000000004</v>
      </c>
      <c r="J400" s="438">
        <f t="shared" ref="J400" si="136">SUM(J394:J399)</f>
        <v>278182.57999999996</v>
      </c>
    </row>
    <row r="401" spans="1:10" ht="13.5" customHeight="1" x14ac:dyDescent="0.25">
      <c r="A401" s="1"/>
      <c r="B401" s="1"/>
      <c r="C401" s="1"/>
      <c r="D401" s="437"/>
      <c r="E401" s="437"/>
      <c r="F401" s="466"/>
      <c r="G401" s="437"/>
      <c r="H401" s="437"/>
      <c r="I401" s="437"/>
      <c r="J401" s="437"/>
    </row>
    <row r="402" spans="1:10" ht="13.5" customHeight="1" x14ac:dyDescent="0.25">
      <c r="A402" s="1"/>
      <c r="B402" s="1" t="s">
        <v>548</v>
      </c>
      <c r="C402" s="1" t="s">
        <v>257</v>
      </c>
      <c r="D402" s="437">
        <v>25474.270499999999</v>
      </c>
      <c r="E402" s="437">
        <v>12294.09</v>
      </c>
      <c r="F402" s="466">
        <f t="shared" ref="F402:F406" si="137">SUM(E402/G402)</f>
        <v>0.49530463187419499</v>
      </c>
      <c r="G402" s="437">
        <v>24821.27</v>
      </c>
      <c r="H402" s="437">
        <v>18618.150000000001</v>
      </c>
      <c r="I402" s="437">
        <v>18935.939999999999</v>
      </c>
      <c r="J402" s="437">
        <v>18642.05</v>
      </c>
    </row>
    <row r="403" spans="1:10" ht="13.5" customHeight="1" x14ac:dyDescent="0.25">
      <c r="A403" s="1"/>
      <c r="B403" s="1" t="s">
        <v>549</v>
      </c>
      <c r="C403" s="1" t="s">
        <v>259</v>
      </c>
      <c r="D403" s="437">
        <v>31382.654400000003</v>
      </c>
      <c r="E403" s="437">
        <v>18118.8</v>
      </c>
      <c r="F403" s="466">
        <f t="shared" si="137"/>
        <v>0.57721015727788516</v>
      </c>
      <c r="G403" s="437">
        <v>31390.3</v>
      </c>
      <c r="H403" s="437">
        <v>31067.7</v>
      </c>
      <c r="I403" s="437">
        <v>30528.18</v>
      </c>
      <c r="J403" s="437">
        <v>29575</v>
      </c>
    </row>
    <row r="404" spans="1:10" ht="13.5" customHeight="1" x14ac:dyDescent="0.25">
      <c r="A404" s="1"/>
      <c r="B404" s="1" t="s">
        <v>550</v>
      </c>
      <c r="C404" s="1" t="s">
        <v>261</v>
      </c>
      <c r="D404" s="437">
        <v>50016.149400000002</v>
      </c>
      <c r="E404" s="437">
        <v>25766.41</v>
      </c>
      <c r="F404" s="466">
        <f t="shared" si="137"/>
        <v>0.52871483669320252</v>
      </c>
      <c r="G404" s="437">
        <v>48734.04</v>
      </c>
      <c r="H404" s="437">
        <v>44947.29</v>
      </c>
      <c r="I404" s="437">
        <v>40837.86</v>
      </c>
      <c r="J404" s="437">
        <v>40346.6</v>
      </c>
    </row>
    <row r="405" spans="1:10" ht="13.5" customHeight="1" x14ac:dyDescent="0.25">
      <c r="A405" s="1"/>
      <c r="B405" s="1" t="s">
        <v>551</v>
      </c>
      <c r="C405" s="1" t="s">
        <v>263</v>
      </c>
      <c r="D405" s="437">
        <v>532.79519999999991</v>
      </c>
      <c r="E405" s="437">
        <v>274.48</v>
      </c>
      <c r="F405" s="466">
        <f t="shared" si="137"/>
        <v>0.52872057633778946</v>
      </c>
      <c r="G405" s="437">
        <v>519.14</v>
      </c>
      <c r="H405" s="437">
        <v>478.8</v>
      </c>
      <c r="I405" s="437">
        <v>449.55</v>
      </c>
      <c r="J405" s="437">
        <v>509.81</v>
      </c>
    </row>
    <row r="406" spans="1:10" ht="13.5" customHeight="1" x14ac:dyDescent="0.25">
      <c r="A406" s="1"/>
      <c r="B406" s="1" t="s">
        <v>552</v>
      </c>
      <c r="C406" s="1" t="s">
        <v>265</v>
      </c>
      <c r="D406" s="437">
        <v>1124.6399999999999</v>
      </c>
      <c r="E406" s="437">
        <v>614.46</v>
      </c>
      <c r="F406" s="466">
        <f t="shared" si="137"/>
        <v>0.58333333333333337</v>
      </c>
      <c r="G406" s="437">
        <v>1053.3599999999999</v>
      </c>
      <c r="H406" s="437">
        <v>1011.96</v>
      </c>
      <c r="I406" s="437">
        <v>971.88</v>
      </c>
      <c r="J406" s="437">
        <v>913.76</v>
      </c>
    </row>
    <row r="407" spans="1:10" ht="13.5" customHeight="1" x14ac:dyDescent="0.25">
      <c r="A407" s="1"/>
      <c r="B407" s="1"/>
      <c r="C407" s="1"/>
      <c r="D407" s="438">
        <v>108530.5095</v>
      </c>
      <c r="E407" s="438">
        <f t="shared" ref="E407" si="138">SUM(E402:E406)</f>
        <v>57068.240000000005</v>
      </c>
      <c r="F407" s="467"/>
      <c r="G407" s="438">
        <v>106518.11</v>
      </c>
      <c r="H407" s="438">
        <f>SUM(H402:H406)</f>
        <v>96123.900000000023</v>
      </c>
      <c r="I407" s="438">
        <f>SUM(I402:I406)</f>
        <v>91723.41</v>
      </c>
      <c r="J407" s="438">
        <f t="shared" ref="J407" si="139">SUM(J402:J406)</f>
        <v>89987.219999999987</v>
      </c>
    </row>
    <row r="408" spans="1:10" ht="13.5" customHeight="1" x14ac:dyDescent="0.25">
      <c r="A408" s="1"/>
      <c r="B408" s="1"/>
      <c r="C408" s="1"/>
      <c r="D408" s="437"/>
      <c r="E408" s="437"/>
      <c r="F408" s="466"/>
      <c r="G408" s="437"/>
      <c r="H408" s="437"/>
      <c r="I408" s="437"/>
      <c r="J408" s="437"/>
    </row>
    <row r="409" spans="1:10" ht="13.5" customHeight="1" x14ac:dyDescent="0.25">
      <c r="A409" s="1"/>
      <c r="B409" s="1" t="s">
        <v>553</v>
      </c>
      <c r="C409" s="1" t="s">
        <v>267</v>
      </c>
      <c r="D409" s="437">
        <v>1000</v>
      </c>
      <c r="E409" s="437">
        <v>113.07</v>
      </c>
      <c r="F409" s="466">
        <f t="shared" ref="F409:F411" si="140">SUM(E409/G409)</f>
        <v>0.11306999999999999</v>
      </c>
      <c r="G409" s="437">
        <v>1000</v>
      </c>
      <c r="H409" s="437">
        <v>649.39</v>
      </c>
      <c r="I409" s="437">
        <v>309.54000000000002</v>
      </c>
      <c r="J409" s="437">
        <v>553.99</v>
      </c>
    </row>
    <row r="410" spans="1:10" ht="13.5" customHeight="1" x14ac:dyDescent="0.25">
      <c r="A410" s="1"/>
      <c r="B410" s="1" t="s">
        <v>554</v>
      </c>
      <c r="C410" s="1" t="s">
        <v>269</v>
      </c>
      <c r="D410" s="437">
        <v>160</v>
      </c>
      <c r="E410" s="437">
        <v>6.1</v>
      </c>
      <c r="F410" s="466">
        <f t="shared" si="140"/>
        <v>3.8124999999999999E-2</v>
      </c>
      <c r="G410" s="437">
        <v>160</v>
      </c>
      <c r="H410" s="437">
        <v>83</v>
      </c>
      <c r="I410" s="437">
        <v>40.630000000000003</v>
      </c>
      <c r="J410" s="437">
        <v>68.3</v>
      </c>
    </row>
    <row r="411" spans="1:10" ht="13.5" customHeight="1" x14ac:dyDescent="0.25">
      <c r="A411" s="1"/>
      <c r="B411" s="1" t="s">
        <v>555</v>
      </c>
      <c r="C411" s="1" t="s">
        <v>492</v>
      </c>
      <c r="D411" s="437">
        <v>300</v>
      </c>
      <c r="E411" s="439">
        <v>0</v>
      </c>
      <c r="F411" s="466">
        <f t="shared" si="140"/>
        <v>0</v>
      </c>
      <c r="G411" s="440">
        <v>300</v>
      </c>
      <c r="H411" s="439">
        <v>0</v>
      </c>
      <c r="I411" s="440">
        <v>0</v>
      </c>
      <c r="J411" s="437">
        <v>136</v>
      </c>
    </row>
    <row r="412" spans="1:10" ht="13.5" customHeight="1" x14ac:dyDescent="0.25">
      <c r="A412" s="1"/>
      <c r="B412" s="1" t="s">
        <v>556</v>
      </c>
      <c r="C412" s="1" t="s">
        <v>455</v>
      </c>
      <c r="D412" s="437">
        <v>500</v>
      </c>
      <c r="E412" s="437">
        <v>343.99</v>
      </c>
      <c r="F412" s="466"/>
      <c r="G412" s="437">
        <v>500</v>
      </c>
      <c r="H412" s="437">
        <v>227.27</v>
      </c>
      <c r="I412" s="437">
        <v>539.1</v>
      </c>
      <c r="J412" s="440">
        <v>0</v>
      </c>
    </row>
    <row r="413" spans="1:10" ht="13.5" customHeight="1" x14ac:dyDescent="0.25">
      <c r="A413" s="1"/>
      <c r="B413" s="1" t="s">
        <v>557</v>
      </c>
      <c r="C413" s="1" t="s">
        <v>275</v>
      </c>
      <c r="D413" s="437">
        <v>0</v>
      </c>
      <c r="E413" s="437">
        <v>0</v>
      </c>
      <c r="F413" s="466"/>
      <c r="G413" s="437">
        <v>0</v>
      </c>
      <c r="H413" s="437">
        <v>0</v>
      </c>
      <c r="I413" s="437">
        <v>38.39</v>
      </c>
      <c r="J413" s="440">
        <v>0</v>
      </c>
    </row>
    <row r="414" spans="1:10" ht="13.5" customHeight="1" x14ac:dyDescent="0.25">
      <c r="A414" s="1"/>
      <c r="B414" s="1"/>
      <c r="C414" s="1"/>
      <c r="D414" s="441">
        <v>1960</v>
      </c>
      <c r="E414" s="441">
        <f t="shared" ref="E414" si="141">SUM(E409:E413)</f>
        <v>463.15999999999997</v>
      </c>
      <c r="F414" s="469"/>
      <c r="G414" s="452">
        <v>1960</v>
      </c>
      <c r="H414" s="441">
        <f>SUM(H409:H413)</f>
        <v>959.66</v>
      </c>
      <c r="I414" s="441">
        <f>SUM(I409:I413)</f>
        <v>927.66</v>
      </c>
      <c r="J414" s="441">
        <f t="shared" ref="J414" si="142">SUM(J409:J413)</f>
        <v>758.29</v>
      </c>
    </row>
    <row r="415" spans="1:10" ht="13.5" customHeight="1" x14ac:dyDescent="0.25">
      <c r="A415" s="1"/>
      <c r="B415" s="1"/>
      <c r="C415" s="1"/>
      <c r="D415" s="440"/>
      <c r="E415" s="437"/>
      <c r="F415" s="466"/>
      <c r="G415" s="437"/>
      <c r="H415" s="437"/>
      <c r="I415" s="437"/>
      <c r="J415" s="440"/>
    </row>
    <row r="416" spans="1:10" ht="13.5" customHeight="1" x14ac:dyDescent="0.25">
      <c r="A416" s="1"/>
      <c r="B416" s="1" t="s">
        <v>558</v>
      </c>
      <c r="C416" s="1" t="s">
        <v>283</v>
      </c>
      <c r="D416" s="437">
        <v>2000</v>
      </c>
      <c r="E416" s="439">
        <v>724</v>
      </c>
      <c r="F416" s="466">
        <f t="shared" ref="F416:F417" si="143">SUM(E416/G416)</f>
        <v>0.36199999999999999</v>
      </c>
      <c r="G416" s="440">
        <v>2000</v>
      </c>
      <c r="H416" s="439">
        <v>150</v>
      </c>
      <c r="I416" s="439">
        <v>2345.9499999999998</v>
      </c>
      <c r="J416" s="437">
        <v>1732.81</v>
      </c>
    </row>
    <row r="417" spans="1:10" ht="13.5" customHeight="1" x14ac:dyDescent="0.25">
      <c r="A417" s="1"/>
      <c r="B417" s="1" t="s">
        <v>559</v>
      </c>
      <c r="C417" s="1" t="s">
        <v>502</v>
      </c>
      <c r="D417" s="437">
        <v>400</v>
      </c>
      <c r="E417" s="439">
        <v>25</v>
      </c>
      <c r="F417" s="466">
        <f t="shared" si="143"/>
        <v>6.25E-2</v>
      </c>
      <c r="G417" s="440">
        <v>400</v>
      </c>
      <c r="H417" s="439">
        <v>240</v>
      </c>
      <c r="I417" s="439">
        <v>265</v>
      </c>
      <c r="J417" s="437">
        <v>335</v>
      </c>
    </row>
    <row r="418" spans="1:10" ht="13.5" customHeight="1" x14ac:dyDescent="0.25">
      <c r="A418" s="1"/>
      <c r="B418" s="1" t="s">
        <v>560</v>
      </c>
      <c r="C418" s="1" t="s">
        <v>561</v>
      </c>
      <c r="D418" s="437">
        <v>0</v>
      </c>
      <c r="E418" s="439">
        <v>0</v>
      </c>
      <c r="F418" s="466"/>
      <c r="G418" s="439">
        <v>0</v>
      </c>
      <c r="H418" s="439">
        <v>0</v>
      </c>
      <c r="I418" s="440">
        <v>0</v>
      </c>
      <c r="J418" s="440">
        <v>0</v>
      </c>
    </row>
    <row r="419" spans="1:10" ht="13.5" customHeight="1" x14ac:dyDescent="0.25">
      <c r="A419" s="1"/>
      <c r="B419" s="1" t="s">
        <v>562</v>
      </c>
      <c r="C419" s="1" t="s">
        <v>563</v>
      </c>
      <c r="D419" s="437">
        <v>0</v>
      </c>
      <c r="E419" s="437">
        <v>0</v>
      </c>
      <c r="F419" s="466">
        <f>SUM(E419/G419)</f>
        <v>0</v>
      </c>
      <c r="G419" s="437">
        <v>1500</v>
      </c>
      <c r="H419" s="437">
        <v>1500</v>
      </c>
      <c r="I419" s="437">
        <v>1500</v>
      </c>
      <c r="J419" s="437">
        <v>1500</v>
      </c>
    </row>
    <row r="420" spans="1:10" ht="13.5" customHeight="1" x14ac:dyDescent="0.25">
      <c r="A420" s="1"/>
      <c r="B420" s="1" t="s">
        <v>564</v>
      </c>
      <c r="C420" s="1" t="s">
        <v>565</v>
      </c>
      <c r="D420" s="437">
        <v>650</v>
      </c>
      <c r="E420" s="437">
        <v>647.5</v>
      </c>
      <c r="F420" s="466"/>
      <c r="G420" s="437">
        <v>0</v>
      </c>
      <c r="H420" s="437">
        <v>0</v>
      </c>
      <c r="I420" s="437">
        <v>647.5</v>
      </c>
      <c r="J420" s="437">
        <v>71</v>
      </c>
    </row>
    <row r="421" spans="1:10" ht="13.5" customHeight="1" x14ac:dyDescent="0.25">
      <c r="A421" s="1"/>
      <c r="B421" s="1" t="s">
        <v>566</v>
      </c>
      <c r="C421" s="1" t="s">
        <v>567</v>
      </c>
      <c r="D421" s="437">
        <v>565</v>
      </c>
      <c r="E421" s="437">
        <v>266</v>
      </c>
      <c r="F421" s="466">
        <f>SUM(E421/G421)</f>
        <v>0.47079646017699117</v>
      </c>
      <c r="G421" s="437">
        <v>565</v>
      </c>
      <c r="H421" s="437">
        <v>514.33000000000004</v>
      </c>
      <c r="I421" s="437">
        <v>456</v>
      </c>
      <c r="J421" s="437">
        <v>456</v>
      </c>
    </row>
    <row r="422" spans="1:10" ht="13.5" customHeight="1" x14ac:dyDescent="0.25">
      <c r="A422" s="1"/>
      <c r="B422" s="1"/>
      <c r="C422" s="1"/>
      <c r="D422" s="438">
        <v>3615</v>
      </c>
      <c r="E422" s="438">
        <f t="shared" ref="E422" si="144">SUM(E416:E421)</f>
        <v>1662.5</v>
      </c>
      <c r="F422" s="467"/>
      <c r="G422" s="438">
        <v>4465</v>
      </c>
      <c r="H422" s="438">
        <f>SUM(H416:H421)</f>
        <v>2404.33</v>
      </c>
      <c r="I422" s="438">
        <f>SUM(I416:I421)</f>
        <v>5214.45</v>
      </c>
      <c r="J422" s="438">
        <f t="shared" ref="J422" si="145">SUM(J416:J421)</f>
        <v>4094.81</v>
      </c>
    </row>
    <row r="423" spans="1:10" ht="13.5" customHeight="1" thickBot="1" x14ac:dyDescent="0.3">
      <c r="A423" s="1"/>
      <c r="B423" s="1"/>
      <c r="C423" s="39" t="s">
        <v>568</v>
      </c>
      <c r="D423" s="451">
        <v>447102.50949999999</v>
      </c>
      <c r="E423" s="451">
        <f t="shared" ref="E423" si="146">SUM(E400+E407+E414+E422)</f>
        <v>234219.04</v>
      </c>
      <c r="F423" s="478"/>
      <c r="G423" s="451">
        <v>437404.11</v>
      </c>
      <c r="H423" s="451">
        <f>SUM(H400+H407+H414+H422)</f>
        <v>397803.93</v>
      </c>
      <c r="I423" s="451">
        <f>SUM(I400+I407+I414+I422)</f>
        <v>378248.19000000006</v>
      </c>
      <c r="J423" s="451">
        <f t="shared" ref="J423" si="147">SUM(J400+J407+J414+J422)</f>
        <v>373022.89999999991</v>
      </c>
    </row>
    <row r="424" spans="1:10" ht="13.5" customHeight="1" thickTop="1" x14ac:dyDescent="0.25">
      <c r="A424" s="1"/>
      <c r="B424" s="1"/>
      <c r="C424" s="1"/>
      <c r="D424" s="437"/>
      <c r="E424" s="437"/>
      <c r="F424" s="466"/>
      <c r="G424" s="437"/>
      <c r="H424" s="437"/>
      <c r="I424" s="437"/>
      <c r="J424" s="437"/>
    </row>
    <row r="425" spans="1:10" ht="13.5" customHeight="1" x14ac:dyDescent="0.25">
      <c r="A425" s="1"/>
      <c r="B425" s="1"/>
      <c r="C425" s="1"/>
      <c r="D425" s="437"/>
      <c r="E425" s="437"/>
      <c r="F425" s="466"/>
      <c r="G425" s="437"/>
      <c r="H425" s="437"/>
      <c r="I425" s="437"/>
      <c r="J425" s="437"/>
    </row>
    <row r="426" spans="1:10" ht="13.5" customHeight="1" x14ac:dyDescent="0.25">
      <c r="A426" s="1"/>
      <c r="B426" s="1"/>
      <c r="C426" s="1"/>
      <c r="D426" s="437"/>
      <c r="E426" s="437"/>
      <c r="F426" s="466"/>
      <c r="G426" s="437"/>
      <c r="H426" s="437"/>
      <c r="I426" s="437"/>
      <c r="J426" s="437"/>
    </row>
    <row r="427" spans="1:10" ht="13.5" customHeight="1" x14ac:dyDescent="0.25">
      <c r="A427" s="1"/>
      <c r="B427" s="1"/>
      <c r="C427" s="1"/>
      <c r="D427" s="437"/>
      <c r="E427" s="437"/>
      <c r="F427" s="466"/>
      <c r="G427" s="437"/>
      <c r="H427" s="437"/>
      <c r="I427" s="437"/>
      <c r="J427" s="437"/>
    </row>
    <row r="428" spans="1:10" ht="13.5" customHeight="1" x14ac:dyDescent="0.25">
      <c r="A428" s="1"/>
      <c r="B428" s="1"/>
      <c r="C428" s="14" t="s">
        <v>569</v>
      </c>
      <c r="D428" s="437"/>
      <c r="E428" s="437"/>
      <c r="F428" s="466"/>
      <c r="G428" s="437"/>
      <c r="H428" s="437"/>
      <c r="I428" s="437"/>
      <c r="J428" s="437"/>
    </row>
    <row r="429" spans="1:10" ht="13.5" customHeight="1" x14ac:dyDescent="0.25">
      <c r="A429" s="1"/>
      <c r="B429" s="1" t="s">
        <v>570</v>
      </c>
      <c r="C429" s="1" t="s">
        <v>437</v>
      </c>
      <c r="D429" s="437">
        <v>91900</v>
      </c>
      <c r="E429" s="437">
        <v>42768.9</v>
      </c>
      <c r="F429" s="466">
        <f t="shared" ref="F429:F431" si="148">SUM(E429/G429)</f>
        <v>0.46538520130576716</v>
      </c>
      <c r="G429" s="437">
        <v>91900</v>
      </c>
      <c r="H429" s="437">
        <v>92607.05</v>
      </c>
      <c r="I429" s="437">
        <v>79520.759999999995</v>
      </c>
      <c r="J429" s="437">
        <v>78453.429999999993</v>
      </c>
    </row>
    <row r="430" spans="1:10" ht="13.5" customHeight="1" x14ac:dyDescent="0.25">
      <c r="A430" s="1"/>
      <c r="B430" s="1" t="s">
        <v>571</v>
      </c>
      <c r="C430" s="1" t="s">
        <v>439</v>
      </c>
      <c r="D430" s="437">
        <v>143997</v>
      </c>
      <c r="E430" s="437">
        <v>63754.1</v>
      </c>
      <c r="F430" s="466">
        <f t="shared" si="148"/>
        <v>0.46488672077235504</v>
      </c>
      <c r="G430" s="437">
        <v>137139</v>
      </c>
      <c r="H430" s="437">
        <v>129371.96</v>
      </c>
      <c r="I430" s="437">
        <v>114039.31</v>
      </c>
      <c r="J430" s="437">
        <v>110734.86</v>
      </c>
    </row>
    <row r="431" spans="1:10" ht="13.5" customHeight="1" x14ac:dyDescent="0.25">
      <c r="A431" s="1"/>
      <c r="B431" s="1" t="s">
        <v>572</v>
      </c>
      <c r="C431" s="1" t="s">
        <v>441</v>
      </c>
      <c r="D431" s="437">
        <v>15600</v>
      </c>
      <c r="E431" s="437">
        <v>7177.5</v>
      </c>
      <c r="F431" s="466">
        <f t="shared" si="148"/>
        <v>0.46009615384615382</v>
      </c>
      <c r="G431" s="437">
        <v>15600</v>
      </c>
      <c r="H431" s="437">
        <v>16437.2</v>
      </c>
      <c r="I431" s="437">
        <v>17276.3</v>
      </c>
      <c r="J431" s="437">
        <v>16150.2</v>
      </c>
    </row>
    <row r="432" spans="1:10" ht="13.5" customHeight="1" x14ac:dyDescent="0.25">
      <c r="A432" s="1"/>
      <c r="B432" s="1" t="s">
        <v>573</v>
      </c>
      <c r="C432" s="1" t="s">
        <v>443</v>
      </c>
      <c r="D432" s="437">
        <v>0</v>
      </c>
      <c r="E432" s="437">
        <v>0</v>
      </c>
      <c r="F432" s="466"/>
      <c r="G432" s="437">
        <v>0</v>
      </c>
      <c r="H432" s="437">
        <v>0</v>
      </c>
      <c r="I432" s="437">
        <v>3590.74</v>
      </c>
      <c r="J432" s="437">
        <v>3435.63</v>
      </c>
    </row>
    <row r="433" spans="1:10" ht="13.5" customHeight="1" x14ac:dyDescent="0.25">
      <c r="A433" s="1"/>
      <c r="B433" s="1" t="s">
        <v>574</v>
      </c>
      <c r="C433" s="1" t="s">
        <v>251</v>
      </c>
      <c r="D433" s="437">
        <v>0</v>
      </c>
      <c r="E433" s="439">
        <v>0</v>
      </c>
      <c r="F433" s="466"/>
      <c r="G433" s="440">
        <v>0</v>
      </c>
      <c r="H433" s="439">
        <v>0</v>
      </c>
      <c r="I433" s="440" t="s">
        <v>12</v>
      </c>
      <c r="J433" s="440" t="s">
        <v>12</v>
      </c>
    </row>
    <row r="434" spans="1:10" ht="13.5" customHeight="1" x14ac:dyDescent="0.25">
      <c r="A434" s="1"/>
      <c r="B434" s="1" t="s">
        <v>575</v>
      </c>
      <c r="C434" s="1" t="s">
        <v>253</v>
      </c>
      <c r="D434" s="437">
        <v>9000</v>
      </c>
      <c r="E434" s="437">
        <v>4499.95</v>
      </c>
      <c r="F434" s="466">
        <f t="shared" ref="F434:F435" si="149">SUM(E434/G434)</f>
        <v>0.49999444444444441</v>
      </c>
      <c r="G434" s="437">
        <v>9000</v>
      </c>
      <c r="H434" s="437">
        <v>8999.9</v>
      </c>
      <c r="I434" s="437">
        <v>8999.9</v>
      </c>
      <c r="J434" s="437">
        <v>8999.9</v>
      </c>
    </row>
    <row r="435" spans="1:10" ht="13.5" customHeight="1" x14ac:dyDescent="0.25">
      <c r="A435" s="1"/>
      <c r="B435" s="1" t="s">
        <v>576</v>
      </c>
      <c r="C435" s="1" t="s">
        <v>255</v>
      </c>
      <c r="D435" s="437">
        <v>92500</v>
      </c>
      <c r="E435" s="437">
        <v>46249.97</v>
      </c>
      <c r="F435" s="466">
        <f t="shared" si="149"/>
        <v>0.49999967567567571</v>
      </c>
      <c r="G435" s="437">
        <v>92500</v>
      </c>
      <c r="H435" s="437">
        <v>92499.94</v>
      </c>
      <c r="I435" s="437">
        <v>70000.06</v>
      </c>
      <c r="J435" s="437">
        <v>70000.06</v>
      </c>
    </row>
    <row r="436" spans="1:10" ht="13.5" customHeight="1" x14ac:dyDescent="0.25">
      <c r="A436" s="1"/>
      <c r="B436" s="1"/>
      <c r="C436" s="1"/>
      <c r="D436" s="438">
        <v>352997</v>
      </c>
      <c r="E436" s="438">
        <f t="shared" ref="E436" si="150">SUM(E429:E435)</f>
        <v>164450.41999999998</v>
      </c>
      <c r="F436" s="467"/>
      <c r="G436" s="438">
        <v>346139</v>
      </c>
      <c r="H436" s="438">
        <f>SUM(H429:H435)</f>
        <v>339916.05000000005</v>
      </c>
      <c r="I436" s="438">
        <f>SUM(I429:I435)</f>
        <v>293427.06999999995</v>
      </c>
      <c r="J436" s="438">
        <f t="shared" ref="J436" si="151">SUM(J429:J435)</f>
        <v>287774.07999999996</v>
      </c>
    </row>
    <row r="437" spans="1:10" ht="13.5" customHeight="1" x14ac:dyDescent="0.25">
      <c r="A437" s="1"/>
      <c r="B437" s="1"/>
      <c r="C437" s="1"/>
      <c r="D437" s="437"/>
      <c r="E437" s="437"/>
      <c r="F437" s="466"/>
      <c r="G437" s="437"/>
      <c r="H437" s="437"/>
      <c r="I437" s="437"/>
      <c r="J437" s="437"/>
    </row>
    <row r="438" spans="1:10" ht="13.5" customHeight="1" x14ac:dyDescent="0.25">
      <c r="A438" s="1"/>
      <c r="B438" s="1" t="s">
        <v>577</v>
      </c>
      <c r="C438" s="1" t="s">
        <v>257</v>
      </c>
      <c r="D438" s="437">
        <v>27019.570499999998</v>
      </c>
      <c r="E438" s="437">
        <v>11755.74</v>
      </c>
      <c r="F438" s="466">
        <f t="shared" ref="F438:F443" si="152">SUM(E438/G438)</f>
        <v>0.4436977187711007</v>
      </c>
      <c r="G438" s="437">
        <v>26494.93</v>
      </c>
      <c r="H438" s="437">
        <v>21652.55</v>
      </c>
      <c r="I438" s="437">
        <v>20073.77</v>
      </c>
      <c r="J438" s="437">
        <v>19489.05</v>
      </c>
    </row>
    <row r="439" spans="1:10" ht="13.5" customHeight="1" x14ac:dyDescent="0.25">
      <c r="A439" s="1"/>
      <c r="B439" s="1" t="s">
        <v>578</v>
      </c>
      <c r="C439" s="1" t="s">
        <v>259</v>
      </c>
      <c r="D439" s="437">
        <v>31382.654400000003</v>
      </c>
      <c r="E439" s="437">
        <v>15530.4</v>
      </c>
      <c r="F439" s="466">
        <f t="shared" si="152"/>
        <v>0.49475156338104448</v>
      </c>
      <c r="G439" s="437">
        <v>31390.3</v>
      </c>
      <c r="H439" s="437">
        <v>31067.7</v>
      </c>
      <c r="I439" s="437">
        <v>30528.18</v>
      </c>
      <c r="J439" s="437">
        <v>30420</v>
      </c>
    </row>
    <row r="440" spans="1:10" ht="13.5" customHeight="1" x14ac:dyDescent="0.25">
      <c r="A440" s="1"/>
      <c r="B440" s="1" t="s">
        <v>579</v>
      </c>
      <c r="C440" s="1" t="s">
        <v>261</v>
      </c>
      <c r="D440" s="437">
        <v>53050.189400000003</v>
      </c>
      <c r="E440" s="437">
        <v>24178.01</v>
      </c>
      <c r="F440" s="466">
        <f t="shared" si="152"/>
        <v>0.46478189592796015</v>
      </c>
      <c r="G440" s="437">
        <v>52020.12</v>
      </c>
      <c r="H440" s="437">
        <v>51211.62</v>
      </c>
      <c r="I440" s="437">
        <v>42792.79</v>
      </c>
      <c r="J440" s="437">
        <v>41750.85</v>
      </c>
    </row>
    <row r="441" spans="1:10" ht="13.5" customHeight="1" x14ac:dyDescent="0.25">
      <c r="A441" s="1"/>
      <c r="B441" s="1" t="s">
        <v>580</v>
      </c>
      <c r="C441" s="1" t="s">
        <v>263</v>
      </c>
      <c r="D441" s="437">
        <v>565.11519999999996</v>
      </c>
      <c r="E441" s="437">
        <v>257.56</v>
      </c>
      <c r="F441" s="466">
        <f t="shared" si="152"/>
        <v>0.46479229075684847</v>
      </c>
      <c r="G441" s="437">
        <v>554.14</v>
      </c>
      <c r="H441" s="437">
        <v>545.52</v>
      </c>
      <c r="I441" s="437">
        <v>471.05</v>
      </c>
      <c r="J441" s="437">
        <v>527.41999999999996</v>
      </c>
    </row>
    <row r="442" spans="1:10" ht="13.5" customHeight="1" x14ac:dyDescent="0.25">
      <c r="A442" s="1"/>
      <c r="B442" s="1" t="s">
        <v>581</v>
      </c>
      <c r="C442" s="1" t="s">
        <v>265</v>
      </c>
      <c r="D442" s="437">
        <v>1124.6399999999999</v>
      </c>
      <c r="E442" s="437">
        <v>526.67999999999995</v>
      </c>
      <c r="F442" s="466">
        <f t="shared" si="152"/>
        <v>0.5</v>
      </c>
      <c r="G442" s="437">
        <v>1053.3599999999999</v>
      </c>
      <c r="H442" s="437">
        <v>1011.96</v>
      </c>
      <c r="I442" s="437">
        <v>971.88</v>
      </c>
      <c r="J442" s="437">
        <v>939.72</v>
      </c>
    </row>
    <row r="443" spans="1:10" ht="13.5" customHeight="1" x14ac:dyDescent="0.25">
      <c r="A443" s="1"/>
      <c r="B443" s="1" t="s">
        <v>582</v>
      </c>
      <c r="C443" s="1" t="s">
        <v>583</v>
      </c>
      <c r="D443" s="437">
        <v>200</v>
      </c>
      <c r="E443" s="437">
        <v>99.97</v>
      </c>
      <c r="F443" s="466">
        <f t="shared" si="152"/>
        <v>0.49985000000000002</v>
      </c>
      <c r="G443" s="437">
        <v>200</v>
      </c>
      <c r="H443" s="437">
        <v>199.94</v>
      </c>
      <c r="I443" s="437">
        <v>199.94</v>
      </c>
      <c r="J443" s="437">
        <v>161.49</v>
      </c>
    </row>
    <row r="444" spans="1:10" ht="13.5" customHeight="1" x14ac:dyDescent="0.25">
      <c r="A444" s="1"/>
      <c r="B444" s="1"/>
      <c r="C444" s="1"/>
      <c r="D444" s="438">
        <v>113342.1695</v>
      </c>
      <c r="E444" s="438">
        <f t="shared" ref="E444" si="153">SUM(E438:E443)</f>
        <v>52348.359999999993</v>
      </c>
      <c r="F444" s="467"/>
      <c r="G444" s="438">
        <v>111712.86</v>
      </c>
      <c r="H444" s="438">
        <f>SUM(H438:H443)</f>
        <v>105689.29000000001</v>
      </c>
      <c r="I444" s="438">
        <f>SUM(I438:I443)</f>
        <v>95037.61</v>
      </c>
      <c r="J444" s="438">
        <f t="shared" ref="J444" si="154">SUM(J438:J443)</f>
        <v>93288.53</v>
      </c>
    </row>
    <row r="445" spans="1:10" ht="13.5" customHeight="1" x14ac:dyDescent="0.25">
      <c r="A445" s="1"/>
      <c r="B445" s="1"/>
      <c r="C445" s="1"/>
      <c r="D445" s="437"/>
      <c r="E445" s="437"/>
      <c r="F445" s="466"/>
      <c r="G445" s="437"/>
      <c r="H445" s="437"/>
      <c r="I445" s="437"/>
      <c r="J445" s="437"/>
    </row>
    <row r="446" spans="1:10" ht="13.5" customHeight="1" x14ac:dyDescent="0.25">
      <c r="A446" s="1"/>
      <c r="B446" s="1" t="s">
        <v>584</v>
      </c>
      <c r="C446" s="1" t="s">
        <v>267</v>
      </c>
      <c r="D446" s="437">
        <v>1500</v>
      </c>
      <c r="E446" s="437">
        <v>60.04</v>
      </c>
      <c r="F446" s="466">
        <f t="shared" ref="F446:F449" si="155">SUM(E446/G446)</f>
        <v>4.0026666666666669E-2</v>
      </c>
      <c r="G446" s="437">
        <v>1500</v>
      </c>
      <c r="H446" s="437">
        <v>873.54</v>
      </c>
      <c r="I446" s="437">
        <v>958.24</v>
      </c>
      <c r="J446" s="437">
        <v>1060.98</v>
      </c>
    </row>
    <row r="447" spans="1:10" ht="13.5" customHeight="1" x14ac:dyDescent="0.25">
      <c r="A447" s="1"/>
      <c r="B447" s="1" t="s">
        <v>585</v>
      </c>
      <c r="C447" s="1" t="s">
        <v>269</v>
      </c>
      <c r="D447" s="437">
        <v>340</v>
      </c>
      <c r="E447" s="437">
        <v>59.96</v>
      </c>
      <c r="F447" s="466">
        <f t="shared" si="155"/>
        <v>0.1763529411764706</v>
      </c>
      <c r="G447" s="437">
        <v>340</v>
      </c>
      <c r="H447" s="437">
        <v>329.63</v>
      </c>
      <c r="I447" s="437">
        <v>265.86</v>
      </c>
      <c r="J447" s="437">
        <v>125.92</v>
      </c>
    </row>
    <row r="448" spans="1:10" ht="13.5" customHeight="1" x14ac:dyDescent="0.25">
      <c r="A448" s="1"/>
      <c r="B448" s="1" t="s">
        <v>586</v>
      </c>
      <c r="C448" s="1" t="s">
        <v>492</v>
      </c>
      <c r="D448" s="437">
        <v>750</v>
      </c>
      <c r="E448" s="439">
        <v>38</v>
      </c>
      <c r="F448" s="466">
        <f t="shared" si="155"/>
        <v>5.0666666666666665E-2</v>
      </c>
      <c r="G448" s="440">
        <v>750</v>
      </c>
      <c r="H448" s="439">
        <v>867</v>
      </c>
      <c r="I448" s="439">
        <v>507.6</v>
      </c>
      <c r="J448" s="437">
        <v>34</v>
      </c>
    </row>
    <row r="449" spans="1:10" ht="13.5" customHeight="1" x14ac:dyDescent="0.25">
      <c r="A449" s="1"/>
      <c r="B449" s="1" t="s">
        <v>587</v>
      </c>
      <c r="C449" s="1" t="s">
        <v>455</v>
      </c>
      <c r="D449" s="437">
        <v>1000</v>
      </c>
      <c r="E449" s="439">
        <v>0</v>
      </c>
      <c r="F449" s="466">
        <f t="shared" si="155"/>
        <v>0</v>
      </c>
      <c r="G449" s="440">
        <v>1000</v>
      </c>
      <c r="H449" s="439">
        <v>0</v>
      </c>
      <c r="I449" s="439">
        <v>299.67</v>
      </c>
      <c r="J449" s="437">
        <v>151.53</v>
      </c>
    </row>
    <row r="450" spans="1:10" ht="13.5" customHeight="1" x14ac:dyDescent="0.25">
      <c r="A450" s="1"/>
      <c r="B450" s="1"/>
      <c r="C450" s="1"/>
      <c r="D450" s="438">
        <v>3590</v>
      </c>
      <c r="E450" s="438">
        <f t="shared" ref="E450" si="156">SUM(E446:E449)</f>
        <v>158</v>
      </c>
      <c r="F450" s="467"/>
      <c r="G450" s="438">
        <v>3590</v>
      </c>
      <c r="H450" s="438">
        <f>SUM(H446:H449)</f>
        <v>2070.17</v>
      </c>
      <c r="I450" s="438">
        <f>SUM(I446:I449)</f>
        <v>2031.37</v>
      </c>
      <c r="J450" s="438">
        <f t="shared" ref="J450" si="157">SUM(J446:J449)</f>
        <v>1372.43</v>
      </c>
    </row>
    <row r="451" spans="1:10" ht="13.5" customHeight="1" x14ac:dyDescent="0.25">
      <c r="A451" s="1"/>
      <c r="B451" s="1"/>
      <c r="C451" s="1"/>
      <c r="D451" s="437"/>
      <c r="E451" s="440"/>
      <c r="F451" s="468"/>
      <c r="G451" s="440"/>
      <c r="H451" s="440"/>
      <c r="I451" s="440"/>
      <c r="J451" s="437"/>
    </row>
    <row r="452" spans="1:10" ht="13.5" customHeight="1" x14ac:dyDescent="0.25">
      <c r="A452" s="1"/>
      <c r="B452" s="1" t="s">
        <v>588</v>
      </c>
      <c r="C452" s="1" t="s">
        <v>277</v>
      </c>
      <c r="D452" s="437">
        <v>0</v>
      </c>
      <c r="E452" s="439">
        <v>0</v>
      </c>
      <c r="F452" s="466"/>
      <c r="G452" s="440">
        <v>0</v>
      </c>
      <c r="H452" s="439">
        <v>0</v>
      </c>
      <c r="I452" s="440">
        <v>0</v>
      </c>
      <c r="J452" s="440">
        <v>0</v>
      </c>
    </row>
    <row r="453" spans="1:10" ht="13.5" customHeight="1" x14ac:dyDescent="0.25">
      <c r="A453" s="1"/>
      <c r="B453" s="1" t="s">
        <v>589</v>
      </c>
      <c r="C453" s="1" t="s">
        <v>283</v>
      </c>
      <c r="D453" s="437">
        <v>2000</v>
      </c>
      <c r="E453" s="439">
        <v>215</v>
      </c>
      <c r="F453" s="466">
        <f t="shared" ref="F453:F455" si="158">SUM(E453/G453)</f>
        <v>0.1075</v>
      </c>
      <c r="G453" s="439">
        <v>2000</v>
      </c>
      <c r="H453" s="439">
        <v>0</v>
      </c>
      <c r="I453" s="439">
        <v>191.65</v>
      </c>
      <c r="J453" s="437">
        <v>1302.6600000000001</v>
      </c>
    </row>
    <row r="454" spans="1:10" ht="13.5" customHeight="1" x14ac:dyDescent="0.25">
      <c r="A454" s="1"/>
      <c r="B454" s="1" t="s">
        <v>590</v>
      </c>
      <c r="C454" s="1" t="s">
        <v>502</v>
      </c>
      <c r="D454" s="437">
        <v>400</v>
      </c>
      <c r="E454" s="437">
        <v>295</v>
      </c>
      <c r="F454" s="466">
        <f t="shared" si="158"/>
        <v>0.73750000000000004</v>
      </c>
      <c r="G454" s="437">
        <v>400</v>
      </c>
      <c r="H454" s="437">
        <v>305</v>
      </c>
      <c r="I454" s="437">
        <v>307</v>
      </c>
      <c r="J454" s="437">
        <v>305</v>
      </c>
    </row>
    <row r="455" spans="1:10" ht="13.5" customHeight="1" x14ac:dyDescent="0.25">
      <c r="A455" s="1"/>
      <c r="B455" s="1" t="s">
        <v>591</v>
      </c>
      <c r="C455" s="1" t="s">
        <v>592</v>
      </c>
      <c r="D455" s="437">
        <v>0</v>
      </c>
      <c r="E455" s="437">
        <v>974.23</v>
      </c>
      <c r="F455" s="466">
        <f t="shared" si="158"/>
        <v>0.64948666666666666</v>
      </c>
      <c r="G455" s="437">
        <v>1500</v>
      </c>
      <c r="H455" s="437">
        <v>1500</v>
      </c>
      <c r="I455" s="437">
        <v>1168.6500000000001</v>
      </c>
      <c r="J455" s="437">
        <v>1500</v>
      </c>
    </row>
    <row r="456" spans="1:10" ht="13.5" customHeight="1" x14ac:dyDescent="0.25">
      <c r="A456" s="1"/>
      <c r="B456" s="1" t="s">
        <v>593</v>
      </c>
      <c r="C456" s="1" t="s">
        <v>287</v>
      </c>
      <c r="D456" s="437">
        <v>720</v>
      </c>
      <c r="E456" s="437">
        <v>718.5</v>
      </c>
      <c r="F456" s="466"/>
      <c r="G456" s="437">
        <v>0</v>
      </c>
      <c r="H456" s="437">
        <v>0</v>
      </c>
      <c r="I456" s="437">
        <v>647.5</v>
      </c>
      <c r="J456" s="440">
        <v>0</v>
      </c>
    </row>
    <row r="457" spans="1:10" ht="13.5" customHeight="1" x14ac:dyDescent="0.25">
      <c r="A457" s="1"/>
      <c r="B457" s="1" t="s">
        <v>594</v>
      </c>
      <c r="C457" s="1" t="s">
        <v>289</v>
      </c>
      <c r="D457" s="437">
        <v>1635</v>
      </c>
      <c r="E457" s="437">
        <v>931.29</v>
      </c>
      <c r="F457" s="466">
        <f>SUM(E457/G457)</f>
        <v>0.56959633027522938</v>
      </c>
      <c r="G457" s="437">
        <v>1635</v>
      </c>
      <c r="H457" s="437">
        <v>1740.89</v>
      </c>
      <c r="I457" s="437">
        <v>1175.8800000000001</v>
      </c>
      <c r="J457" s="437">
        <v>1700.48</v>
      </c>
    </row>
    <row r="458" spans="1:10" ht="13.5" customHeight="1" x14ac:dyDescent="0.25">
      <c r="A458" s="1"/>
      <c r="B458" s="1"/>
      <c r="C458" s="1"/>
      <c r="D458" s="438">
        <v>4755</v>
      </c>
      <c r="E458" s="438">
        <f t="shared" ref="E458" si="159">SUM(E452:E457)</f>
        <v>3134.02</v>
      </c>
      <c r="F458" s="467"/>
      <c r="G458" s="438">
        <v>5535</v>
      </c>
      <c r="H458" s="438">
        <f>SUM(H452:H457)</f>
        <v>3545.8900000000003</v>
      </c>
      <c r="I458" s="438">
        <f>SUM(I452:I457)</f>
        <v>3490.6800000000003</v>
      </c>
      <c r="J458" s="438">
        <f t="shared" ref="J458" si="160">SUM(J452:J457)</f>
        <v>4808.1399999999994</v>
      </c>
    </row>
    <row r="459" spans="1:10" ht="13.5" customHeight="1" thickBot="1" x14ac:dyDescent="0.3">
      <c r="A459" s="1"/>
      <c r="B459" s="1"/>
      <c r="C459" s="39" t="s">
        <v>595</v>
      </c>
      <c r="D459" s="451">
        <v>474684.16950000002</v>
      </c>
      <c r="E459" s="451">
        <f t="shared" ref="E459" si="161">SUM(E436+E444+E450+E458)</f>
        <v>220090.79999999996</v>
      </c>
      <c r="F459" s="478"/>
      <c r="G459" s="451">
        <v>466976.86</v>
      </c>
      <c r="H459" s="451">
        <f t="shared" ref="H459" si="162">SUM(H436+H444+H450+H458)</f>
        <v>451221.40000000008</v>
      </c>
      <c r="I459" s="451">
        <f>SUM(I436+I444+I450+I458)</f>
        <v>393986.72999999992</v>
      </c>
      <c r="J459" s="451">
        <f t="shared" ref="J459" si="163">SUM(J436+J444+J450+J458)</f>
        <v>387243.18</v>
      </c>
    </row>
    <row r="460" spans="1:10" ht="13.5" customHeight="1" thickTop="1" x14ac:dyDescent="0.25">
      <c r="A460" s="1"/>
      <c r="B460" s="1"/>
      <c r="C460" s="1"/>
      <c r="D460" s="437"/>
      <c r="E460" s="437"/>
      <c r="F460" s="466"/>
      <c r="G460" s="437"/>
      <c r="H460" s="437"/>
      <c r="I460" s="437"/>
      <c r="J460" s="437"/>
    </row>
    <row r="461" spans="1:10" ht="13.5" customHeight="1" x14ac:dyDescent="0.25">
      <c r="A461" s="1"/>
      <c r="B461" s="1"/>
      <c r="C461" s="14"/>
      <c r="D461" s="437"/>
      <c r="E461" s="437"/>
      <c r="F461" s="466"/>
      <c r="G461" s="437"/>
      <c r="H461" s="437"/>
      <c r="I461" s="437"/>
      <c r="J461" s="437"/>
    </row>
    <row r="462" spans="1:10" ht="13.5" customHeight="1" x14ac:dyDescent="0.25">
      <c r="A462" s="1"/>
      <c r="B462" s="1"/>
      <c r="C462" s="14" t="s">
        <v>596</v>
      </c>
      <c r="D462" s="437"/>
      <c r="E462" s="437"/>
      <c r="F462" s="466"/>
      <c r="G462" s="437"/>
      <c r="H462" s="437"/>
      <c r="I462" s="437"/>
      <c r="J462" s="437"/>
    </row>
    <row r="463" spans="1:10" ht="13.5" customHeight="1" x14ac:dyDescent="0.25">
      <c r="A463" s="1"/>
      <c r="B463" s="1" t="s">
        <v>597</v>
      </c>
      <c r="C463" s="1" t="s">
        <v>598</v>
      </c>
      <c r="D463" s="437">
        <v>1500</v>
      </c>
      <c r="E463" s="437">
        <v>947.76</v>
      </c>
      <c r="F463" s="466">
        <f t="shared" ref="F463:F466" si="164">SUM(E463/G463)</f>
        <v>0.63183999999999996</v>
      </c>
      <c r="G463" s="437">
        <v>1500</v>
      </c>
      <c r="H463" s="437">
        <v>1421.64</v>
      </c>
      <c r="I463" s="437">
        <v>1421.64</v>
      </c>
      <c r="J463" s="437">
        <v>1421.64</v>
      </c>
    </row>
    <row r="464" spans="1:10" ht="13.5" customHeight="1" x14ac:dyDescent="0.25">
      <c r="A464" s="1"/>
      <c r="B464" s="1" t="s">
        <v>599</v>
      </c>
      <c r="C464" s="1" t="s">
        <v>600</v>
      </c>
      <c r="D464" s="437">
        <v>7607</v>
      </c>
      <c r="E464" s="439">
        <v>0</v>
      </c>
      <c r="F464" s="466">
        <f t="shared" si="164"/>
        <v>0</v>
      </c>
      <c r="G464" s="440">
        <v>7607</v>
      </c>
      <c r="H464" s="439">
        <v>8650.65</v>
      </c>
      <c r="I464" s="439">
        <v>8650.65</v>
      </c>
      <c r="J464" s="437">
        <v>7606.36</v>
      </c>
    </row>
    <row r="465" spans="1:10" ht="13.5" customHeight="1" x14ac:dyDescent="0.25">
      <c r="A465" s="1"/>
      <c r="B465" s="1" t="s">
        <v>601</v>
      </c>
      <c r="C465" s="1" t="s">
        <v>277</v>
      </c>
      <c r="D465" s="437">
        <v>1500</v>
      </c>
      <c r="E465" s="439">
        <v>0</v>
      </c>
      <c r="F465" s="466">
        <f t="shared" si="164"/>
        <v>0</v>
      </c>
      <c r="G465" s="440">
        <v>1500</v>
      </c>
      <c r="H465" s="439">
        <v>0</v>
      </c>
      <c r="I465" s="440">
        <v>0</v>
      </c>
      <c r="J465" s="440">
        <v>0</v>
      </c>
    </row>
    <row r="466" spans="1:10" ht="13.5" customHeight="1" x14ac:dyDescent="0.25">
      <c r="A466" s="1"/>
      <c r="B466" s="1" t="s">
        <v>602</v>
      </c>
      <c r="C466" s="1" t="s">
        <v>279</v>
      </c>
      <c r="D466" s="437">
        <v>75000</v>
      </c>
      <c r="E466" s="437">
        <v>4598.5</v>
      </c>
      <c r="F466" s="466">
        <f t="shared" si="164"/>
        <v>6.1313333333333331E-2</v>
      </c>
      <c r="G466" s="437">
        <v>75000</v>
      </c>
      <c r="H466" s="437">
        <v>19013.75</v>
      </c>
      <c r="I466" s="437">
        <v>66099.3</v>
      </c>
      <c r="J466" s="437">
        <v>27985.68</v>
      </c>
    </row>
    <row r="467" spans="1:10" ht="13.5" customHeight="1" thickBot="1" x14ac:dyDescent="0.3">
      <c r="A467" s="1"/>
      <c r="B467" s="1"/>
      <c r="C467" s="39" t="s">
        <v>603</v>
      </c>
      <c r="D467" s="451">
        <v>85607</v>
      </c>
      <c r="E467" s="451">
        <f t="shared" ref="E467" si="165">SUM(E463:E466)</f>
        <v>5546.26</v>
      </c>
      <c r="F467" s="478"/>
      <c r="G467" s="451">
        <v>85607</v>
      </c>
      <c r="H467" s="451">
        <f>SUM(H463:H466)</f>
        <v>29086.04</v>
      </c>
      <c r="I467" s="451">
        <f>SUM(I463:I466)</f>
        <v>76171.59</v>
      </c>
      <c r="J467" s="451">
        <f t="shared" ref="J467" si="166">SUM(J463:J466)</f>
        <v>37013.68</v>
      </c>
    </row>
    <row r="468" spans="1:10" ht="13.5" customHeight="1" thickTop="1" x14ac:dyDescent="0.25">
      <c r="A468" s="1"/>
      <c r="B468" s="1"/>
      <c r="C468" s="1"/>
      <c r="D468" s="437"/>
      <c r="E468" s="437"/>
      <c r="F468" s="466"/>
      <c r="G468" s="437"/>
      <c r="H468" s="437"/>
      <c r="I468" s="437"/>
      <c r="J468" s="437"/>
    </row>
    <row r="469" spans="1:10" ht="13.5" customHeight="1" x14ac:dyDescent="0.25">
      <c r="A469" s="1"/>
      <c r="B469" s="1"/>
      <c r="C469" s="14"/>
      <c r="D469" s="437"/>
      <c r="E469" s="437"/>
      <c r="F469" s="466"/>
      <c r="G469" s="437"/>
      <c r="H469" s="437"/>
      <c r="I469" s="437"/>
      <c r="J469" s="437"/>
    </row>
    <row r="470" spans="1:10" ht="13.5" customHeight="1" x14ac:dyDescent="0.25">
      <c r="A470" s="1"/>
      <c r="B470" s="1"/>
      <c r="C470" s="14" t="s">
        <v>604</v>
      </c>
      <c r="D470" s="437"/>
      <c r="E470" s="437"/>
      <c r="F470" s="466"/>
      <c r="G470" s="437"/>
      <c r="H470" s="437"/>
      <c r="I470" s="437"/>
      <c r="J470" s="437"/>
    </row>
    <row r="471" spans="1:10" ht="13.5" customHeight="1" x14ac:dyDescent="0.25">
      <c r="A471" s="1"/>
      <c r="B471" s="1" t="s">
        <v>605</v>
      </c>
      <c r="C471" s="1" t="s">
        <v>439</v>
      </c>
      <c r="D471" s="437">
        <v>43102</v>
      </c>
      <c r="E471" s="437">
        <v>18987.54</v>
      </c>
      <c r="F471" s="466">
        <f>SUM(E471/G471)</f>
        <v>0.46254665042630938</v>
      </c>
      <c r="G471" s="437">
        <v>41050</v>
      </c>
      <c r="H471" s="437">
        <v>40620.99</v>
      </c>
      <c r="I471" s="437">
        <v>37021.120000000003</v>
      </c>
      <c r="J471" s="437">
        <v>35003.050000000003</v>
      </c>
    </row>
    <row r="472" spans="1:10" ht="13.5" customHeight="1" x14ac:dyDescent="0.25">
      <c r="A472" s="1"/>
      <c r="B472" s="1" t="s">
        <v>606</v>
      </c>
      <c r="C472" s="1" t="s">
        <v>441</v>
      </c>
      <c r="D472" s="437">
        <v>0</v>
      </c>
      <c r="E472" s="437">
        <v>0</v>
      </c>
      <c r="F472" s="466"/>
      <c r="G472" s="437">
        <v>0</v>
      </c>
      <c r="H472" s="437">
        <v>0</v>
      </c>
      <c r="I472" s="437">
        <v>0</v>
      </c>
      <c r="J472" s="437">
        <v>0</v>
      </c>
    </row>
    <row r="473" spans="1:10" ht="13.5" customHeight="1" x14ac:dyDescent="0.25">
      <c r="A473" s="1"/>
      <c r="B473" s="1" t="s">
        <v>607</v>
      </c>
      <c r="C473" s="1" t="s">
        <v>443</v>
      </c>
      <c r="D473" s="437">
        <v>0</v>
      </c>
      <c r="E473" s="437">
        <v>0</v>
      </c>
      <c r="F473" s="466"/>
      <c r="G473" s="437">
        <v>0</v>
      </c>
      <c r="H473" s="437">
        <v>0</v>
      </c>
      <c r="I473" s="437">
        <v>2540.65</v>
      </c>
      <c r="J473" s="437">
        <v>2561.6</v>
      </c>
    </row>
    <row r="474" spans="1:10" ht="13.5" customHeight="1" x14ac:dyDescent="0.25">
      <c r="A474" s="1"/>
      <c r="B474" s="1"/>
      <c r="C474" s="1"/>
      <c r="D474" s="438">
        <v>43102</v>
      </c>
      <c r="E474" s="438">
        <f t="shared" ref="E474" si="167">SUM(E471:E473)</f>
        <v>18987.54</v>
      </c>
      <c r="F474" s="467"/>
      <c r="G474" s="438">
        <v>41050</v>
      </c>
      <c r="H474" s="438">
        <f>SUM(H471:H473)</f>
        <v>40620.99</v>
      </c>
      <c r="I474" s="438">
        <f>SUM(I471:I473)</f>
        <v>39561.770000000004</v>
      </c>
      <c r="J474" s="438">
        <f t="shared" ref="J474" si="168">SUM(J471:J473)</f>
        <v>37564.65</v>
      </c>
    </row>
    <row r="475" spans="1:10" ht="13.5" customHeight="1" x14ac:dyDescent="0.25">
      <c r="A475" s="1"/>
      <c r="B475" s="1"/>
      <c r="C475" s="1"/>
      <c r="D475" s="437"/>
      <c r="E475" s="437"/>
      <c r="F475" s="466"/>
      <c r="G475" s="437"/>
      <c r="H475" s="437"/>
      <c r="I475" s="437"/>
      <c r="J475" s="437"/>
    </row>
    <row r="476" spans="1:10" ht="13.5" customHeight="1" x14ac:dyDescent="0.25">
      <c r="A476" s="1"/>
      <c r="B476" s="1" t="s">
        <v>608</v>
      </c>
      <c r="C476" s="1" t="s">
        <v>257</v>
      </c>
      <c r="D476" s="437">
        <v>3297.3029999999999</v>
      </c>
      <c r="E476" s="437">
        <v>1108.3</v>
      </c>
      <c r="F476" s="466">
        <f t="shared" ref="F476:F480" si="169">SUM(E476/G476)</f>
        <v>0.35292525455167856</v>
      </c>
      <c r="G476" s="437">
        <v>3140.3249999999998</v>
      </c>
      <c r="H476" s="437">
        <v>2562.27</v>
      </c>
      <c r="I476" s="437">
        <v>2550.29</v>
      </c>
      <c r="J476" s="437">
        <v>2370.75</v>
      </c>
    </row>
    <row r="477" spans="1:10" ht="13.5" customHeight="1" x14ac:dyDescent="0.25">
      <c r="A477" s="1"/>
      <c r="B477" s="1" t="s">
        <v>609</v>
      </c>
      <c r="C477" s="1" t="s">
        <v>259</v>
      </c>
      <c r="D477" s="437">
        <v>10460.8848</v>
      </c>
      <c r="E477" s="437">
        <v>5299.32</v>
      </c>
      <c r="F477" s="466">
        <f t="shared" si="169"/>
        <v>0.50646107442779276</v>
      </c>
      <c r="G477" s="437">
        <v>10463.43</v>
      </c>
      <c r="H477" s="437">
        <v>10436.02</v>
      </c>
      <c r="I477" s="437">
        <v>10176.06</v>
      </c>
      <c r="J477" s="437">
        <v>10140</v>
      </c>
    </row>
    <row r="478" spans="1:10" ht="13.5" customHeight="1" x14ac:dyDescent="0.25">
      <c r="A478" s="1"/>
      <c r="B478" s="1" t="s">
        <v>610</v>
      </c>
      <c r="C478" s="1" t="s">
        <v>261</v>
      </c>
      <c r="D478" s="437">
        <v>6473.9204</v>
      </c>
      <c r="E478" s="437">
        <v>2851.93</v>
      </c>
      <c r="F478" s="466">
        <f t="shared" si="169"/>
        <v>0.46254689240979546</v>
      </c>
      <c r="G478" s="437">
        <v>6165.71</v>
      </c>
      <c r="H478" s="437">
        <v>6101.27</v>
      </c>
      <c r="I478" s="437">
        <v>5749.8</v>
      </c>
      <c r="J478" s="437">
        <v>5439.65</v>
      </c>
    </row>
    <row r="479" spans="1:10" ht="13.5" customHeight="1" x14ac:dyDescent="0.25">
      <c r="A479" s="1"/>
      <c r="B479" s="1" t="s">
        <v>611</v>
      </c>
      <c r="C479" s="1" t="s">
        <v>263</v>
      </c>
      <c r="D479" s="437">
        <v>68.963200000000001</v>
      </c>
      <c r="E479" s="437">
        <v>30.38</v>
      </c>
      <c r="F479" s="466">
        <f t="shared" si="169"/>
        <v>0.46254567600487206</v>
      </c>
      <c r="G479" s="437">
        <v>65.680000000000007</v>
      </c>
      <c r="H479" s="437">
        <v>64.989999999999995</v>
      </c>
      <c r="I479" s="437">
        <v>63.3</v>
      </c>
      <c r="J479" s="437">
        <v>68.73</v>
      </c>
    </row>
    <row r="480" spans="1:10" ht="13.5" customHeight="1" x14ac:dyDescent="0.25">
      <c r="A480" s="1"/>
      <c r="B480" s="1" t="s">
        <v>612</v>
      </c>
      <c r="C480" s="1" t="s">
        <v>265</v>
      </c>
      <c r="D480" s="437">
        <v>374.88</v>
      </c>
      <c r="E480" s="437">
        <v>175.56</v>
      </c>
      <c r="F480" s="466">
        <f t="shared" si="169"/>
        <v>0.5</v>
      </c>
      <c r="G480" s="437">
        <v>351.12</v>
      </c>
      <c r="H480" s="437">
        <v>337.32</v>
      </c>
      <c r="I480" s="437">
        <v>323.95999999999998</v>
      </c>
      <c r="J480" s="437">
        <v>313.24</v>
      </c>
    </row>
    <row r="481" spans="1:10" ht="13.5" customHeight="1" x14ac:dyDescent="0.25">
      <c r="A481" s="1"/>
      <c r="B481" s="1"/>
      <c r="C481" s="1"/>
      <c r="D481" s="438">
        <v>20675.951399999998</v>
      </c>
      <c r="E481" s="438">
        <f t="shared" ref="E481" si="170">SUM(E476:E480)</f>
        <v>9465.489999999998</v>
      </c>
      <c r="F481" s="467"/>
      <c r="G481" s="438">
        <v>20186.27</v>
      </c>
      <c r="H481" s="438">
        <f>SUM(H476:H480)</f>
        <v>19501.870000000003</v>
      </c>
      <c r="I481" s="438">
        <f>SUM(I476:I480)</f>
        <v>18863.409999999996</v>
      </c>
      <c r="J481" s="438">
        <f t="shared" ref="J481" si="171">SUM(J476:J480)</f>
        <v>18332.370000000003</v>
      </c>
    </row>
    <row r="482" spans="1:10" ht="13.5" customHeight="1" x14ac:dyDescent="0.25">
      <c r="A482" s="1"/>
      <c r="B482" s="1"/>
      <c r="C482" s="1"/>
      <c r="D482" s="437"/>
      <c r="E482" s="437"/>
      <c r="F482" s="466"/>
      <c r="G482" s="437"/>
      <c r="H482" s="437"/>
      <c r="I482" s="437"/>
      <c r="J482" s="437"/>
    </row>
    <row r="483" spans="1:10" ht="13.5" customHeight="1" x14ac:dyDescent="0.25">
      <c r="A483" s="1"/>
      <c r="B483" s="1" t="s">
        <v>613</v>
      </c>
      <c r="C483" s="1" t="s">
        <v>267</v>
      </c>
      <c r="D483" s="437">
        <v>434</v>
      </c>
      <c r="E483" s="437">
        <v>268.77999999999997</v>
      </c>
      <c r="F483" s="466">
        <f t="shared" ref="F483:F484" si="172">SUM(E483/G483)</f>
        <v>0.61930875576036859</v>
      </c>
      <c r="G483" s="437">
        <v>434</v>
      </c>
      <c r="H483" s="437">
        <v>231.06</v>
      </c>
      <c r="I483" s="437">
        <v>195.56</v>
      </c>
      <c r="J483" s="437">
        <v>381.39</v>
      </c>
    </row>
    <row r="484" spans="1:10" ht="13.5" customHeight="1" x14ac:dyDescent="0.25">
      <c r="A484" s="1"/>
      <c r="B484" s="1" t="s">
        <v>614</v>
      </c>
      <c r="C484" s="1" t="s">
        <v>615</v>
      </c>
      <c r="D484" s="437">
        <v>266</v>
      </c>
      <c r="E484" s="439">
        <v>39.99</v>
      </c>
      <c r="F484" s="466">
        <f t="shared" si="172"/>
        <v>0.15033834586466166</v>
      </c>
      <c r="G484" s="440">
        <v>266</v>
      </c>
      <c r="H484" s="439">
        <v>0</v>
      </c>
      <c r="I484" s="440">
        <v>24.71</v>
      </c>
      <c r="J484" s="437">
        <v>155.28</v>
      </c>
    </row>
    <row r="485" spans="1:10" ht="13.5" customHeight="1" x14ac:dyDescent="0.25">
      <c r="A485" s="1"/>
      <c r="B485" s="1"/>
      <c r="C485" s="1"/>
      <c r="D485" s="438">
        <v>700</v>
      </c>
      <c r="E485" s="438">
        <f t="shared" ref="E485" si="173">SUM(E483:E484)</f>
        <v>308.77</v>
      </c>
      <c r="F485" s="467"/>
      <c r="G485" s="438">
        <v>700</v>
      </c>
      <c r="H485" s="438">
        <f>SUM(H483:H484)</f>
        <v>231.06</v>
      </c>
      <c r="I485" s="438">
        <f>SUM(I483:I484)</f>
        <v>220.27</v>
      </c>
      <c r="J485" s="438">
        <f t="shared" ref="J485" si="174">SUM(J483:J484)</f>
        <v>536.66999999999996</v>
      </c>
    </row>
    <row r="486" spans="1:10" ht="13.5" customHeight="1" x14ac:dyDescent="0.25">
      <c r="A486" s="1"/>
      <c r="B486" s="1"/>
      <c r="C486" s="1"/>
      <c r="D486" s="437"/>
      <c r="E486" s="440"/>
      <c r="F486" s="468"/>
      <c r="G486" s="440"/>
      <c r="H486" s="440"/>
      <c r="I486" s="440"/>
      <c r="J486" s="437"/>
    </row>
    <row r="487" spans="1:10" ht="13.5" customHeight="1" x14ac:dyDescent="0.25">
      <c r="A487" s="1"/>
      <c r="B487" s="1" t="s">
        <v>616</v>
      </c>
      <c r="C487" s="1" t="s">
        <v>283</v>
      </c>
      <c r="D487" s="437">
        <v>1000</v>
      </c>
      <c r="E487" s="439">
        <v>0</v>
      </c>
      <c r="F487" s="466">
        <f t="shared" ref="F487:F491" si="175">SUM(E487/G487)</f>
        <v>0</v>
      </c>
      <c r="G487" s="440">
        <v>1000</v>
      </c>
      <c r="H487" s="439">
        <v>615.63</v>
      </c>
      <c r="I487" s="440">
        <v>0</v>
      </c>
      <c r="J487" s="437">
        <v>740.52</v>
      </c>
    </row>
    <row r="488" spans="1:10" ht="13.5" customHeight="1" x14ac:dyDescent="0.25">
      <c r="A488" s="1"/>
      <c r="B488" s="1" t="s">
        <v>617</v>
      </c>
      <c r="C488" s="1" t="s">
        <v>502</v>
      </c>
      <c r="D488" s="437">
        <v>1152</v>
      </c>
      <c r="E488" s="437">
        <v>576</v>
      </c>
      <c r="F488" s="466">
        <f t="shared" si="175"/>
        <v>0.5</v>
      </c>
      <c r="G488" s="437">
        <v>1152</v>
      </c>
      <c r="H488" s="437">
        <v>1152</v>
      </c>
      <c r="I488" s="437">
        <v>1152</v>
      </c>
      <c r="J488" s="437">
        <v>1152.75</v>
      </c>
    </row>
    <row r="489" spans="1:10" ht="13.5" customHeight="1" x14ac:dyDescent="0.25">
      <c r="A489" s="1"/>
      <c r="B489" s="1" t="s">
        <v>618</v>
      </c>
      <c r="C489" s="1" t="s">
        <v>619</v>
      </c>
      <c r="D489" s="437">
        <v>12686</v>
      </c>
      <c r="E489" s="437">
        <v>0</v>
      </c>
      <c r="F489" s="466">
        <f t="shared" si="175"/>
        <v>0</v>
      </c>
      <c r="G489" s="437">
        <v>12686</v>
      </c>
      <c r="H489" s="437">
        <v>7193</v>
      </c>
      <c r="I489" s="437">
        <v>12842</v>
      </c>
      <c r="J489" s="437">
        <v>12686</v>
      </c>
    </row>
    <row r="490" spans="1:10" ht="13.5" customHeight="1" x14ac:dyDescent="0.25">
      <c r="A490" s="1"/>
      <c r="B490" s="1" t="s">
        <v>620</v>
      </c>
      <c r="C490" s="1" t="s">
        <v>287</v>
      </c>
      <c r="D490" s="437">
        <v>71</v>
      </c>
      <c r="E490" s="439">
        <v>0</v>
      </c>
      <c r="F490" s="466">
        <f t="shared" si="175"/>
        <v>0</v>
      </c>
      <c r="G490" s="440">
        <v>71</v>
      </c>
      <c r="H490" s="439">
        <v>0</v>
      </c>
      <c r="I490" s="440">
        <v>71</v>
      </c>
      <c r="J490" s="440">
        <v>0</v>
      </c>
    </row>
    <row r="491" spans="1:10" ht="13.5" customHeight="1" x14ac:dyDescent="0.25">
      <c r="A491" s="1"/>
      <c r="B491" s="1" t="s">
        <v>621</v>
      </c>
      <c r="C491" s="1" t="s">
        <v>289</v>
      </c>
      <c r="D491" s="437">
        <v>825</v>
      </c>
      <c r="E491" s="437">
        <v>381.43</v>
      </c>
      <c r="F491" s="466">
        <f t="shared" si="175"/>
        <v>0.46233939393939394</v>
      </c>
      <c r="G491" s="437">
        <v>825</v>
      </c>
      <c r="H491" s="437">
        <v>708.37</v>
      </c>
      <c r="I491" s="437">
        <v>653.88</v>
      </c>
      <c r="J491" s="437">
        <v>653.88</v>
      </c>
    </row>
    <row r="492" spans="1:10" ht="13.5" customHeight="1" x14ac:dyDescent="0.25">
      <c r="A492" s="1"/>
      <c r="B492" s="1"/>
      <c r="C492" s="1"/>
      <c r="D492" s="438">
        <v>15734</v>
      </c>
      <c r="E492" s="438">
        <f t="shared" ref="E492" si="176">SUM(E487:E491)</f>
        <v>957.43000000000006</v>
      </c>
      <c r="F492" s="467"/>
      <c r="G492" s="438">
        <v>15734</v>
      </c>
      <c r="H492" s="438">
        <f>SUM(H487:H491)</f>
        <v>9669.0000000000018</v>
      </c>
      <c r="I492" s="438">
        <f>SUM(I487:I491)</f>
        <v>14718.88</v>
      </c>
      <c r="J492" s="438">
        <f t="shared" ref="J492" si="177">SUM(J487:J491)</f>
        <v>15233.15</v>
      </c>
    </row>
    <row r="493" spans="1:10" ht="13.5" customHeight="1" thickBot="1" x14ac:dyDescent="0.3">
      <c r="A493" s="1"/>
      <c r="B493" s="1"/>
      <c r="C493" s="39" t="s">
        <v>622</v>
      </c>
      <c r="D493" s="451">
        <v>80211.951399999991</v>
      </c>
      <c r="E493" s="451">
        <f t="shared" ref="E493" si="178">SUM(E474+E481+E485+E492)</f>
        <v>29719.23</v>
      </c>
      <c r="F493" s="478"/>
      <c r="G493" s="451">
        <v>77670.27</v>
      </c>
      <c r="H493" s="451">
        <f>SUM(H474+H481+H485+H492)</f>
        <v>70022.92</v>
      </c>
      <c r="I493" s="451">
        <f>SUM(I474+I481+I485+I492)</f>
        <v>73364.33</v>
      </c>
      <c r="J493" s="451">
        <f t="shared" ref="J493" si="179">SUM(J474+J481+J485+J492)</f>
        <v>71666.84</v>
      </c>
    </row>
    <row r="494" spans="1:10" ht="13.5" customHeight="1" thickTop="1" x14ac:dyDescent="0.25">
      <c r="A494" s="1"/>
      <c r="B494" s="1"/>
      <c r="C494" s="39"/>
      <c r="D494" s="437"/>
      <c r="E494" s="437"/>
      <c r="F494" s="466"/>
      <c r="G494" s="437"/>
      <c r="H494" s="437"/>
      <c r="I494" s="437"/>
      <c r="J494" s="437"/>
    </row>
    <row r="495" spans="1:10" ht="13.5" customHeight="1" x14ac:dyDescent="0.25">
      <c r="A495" s="1"/>
      <c r="B495" s="1"/>
      <c r="C495" s="14"/>
      <c r="D495" s="437"/>
      <c r="E495" s="437"/>
      <c r="F495" s="466"/>
      <c r="G495" s="437"/>
      <c r="H495" s="437"/>
      <c r="I495" s="437"/>
      <c r="J495" s="437"/>
    </row>
    <row r="496" spans="1:10" ht="13.5" customHeight="1" x14ac:dyDescent="0.25">
      <c r="A496" s="1"/>
      <c r="B496" s="1"/>
      <c r="C496" s="14" t="s">
        <v>623</v>
      </c>
      <c r="D496" s="437"/>
      <c r="E496" s="437"/>
      <c r="F496" s="466"/>
      <c r="G496" s="437"/>
      <c r="H496" s="437"/>
      <c r="I496" s="437"/>
      <c r="J496" s="437"/>
    </row>
    <row r="497" spans="1:10" ht="13.5" customHeight="1" x14ac:dyDescent="0.25">
      <c r="A497" s="1"/>
      <c r="B497" s="1" t="s">
        <v>624</v>
      </c>
      <c r="C497" s="1" t="s">
        <v>625</v>
      </c>
      <c r="D497" s="437">
        <v>1405.07</v>
      </c>
      <c r="E497" s="437">
        <v>654.37</v>
      </c>
      <c r="F497" s="466">
        <f t="shared" ref="F497:F499" si="180">SUM(E497/G497)</f>
        <v>0.46572056908196746</v>
      </c>
      <c r="G497" s="437">
        <v>1405.07</v>
      </c>
      <c r="H497" s="437">
        <v>1416.89</v>
      </c>
      <c r="I497" s="437">
        <v>1398.01</v>
      </c>
      <c r="J497" s="437">
        <v>1368.9</v>
      </c>
    </row>
    <row r="498" spans="1:10" ht="13.5" customHeight="1" x14ac:dyDescent="0.25">
      <c r="A498" s="1"/>
      <c r="B498" s="1" t="s">
        <v>626</v>
      </c>
      <c r="C498" s="1" t="s">
        <v>439</v>
      </c>
      <c r="D498" s="437">
        <v>97605.75</v>
      </c>
      <c r="E498" s="437">
        <v>42103.519999999997</v>
      </c>
      <c r="F498" s="466">
        <f t="shared" si="180"/>
        <v>0.46106772825297426</v>
      </c>
      <c r="G498" s="437">
        <v>91317.43</v>
      </c>
      <c r="H498" s="437">
        <v>97823.76</v>
      </c>
      <c r="I498" s="437">
        <v>83624.960000000006</v>
      </c>
      <c r="J498" s="437">
        <v>81774.25</v>
      </c>
    </row>
    <row r="499" spans="1:10" ht="13.5" customHeight="1" x14ac:dyDescent="0.25">
      <c r="A499" s="1"/>
      <c r="B499" s="1" t="s">
        <v>627</v>
      </c>
      <c r="C499" s="1" t="s">
        <v>441</v>
      </c>
      <c r="D499" s="437">
        <v>8320</v>
      </c>
      <c r="E499" s="437">
        <v>2100</v>
      </c>
      <c r="F499" s="466">
        <f t="shared" si="180"/>
        <v>0.25240384615384615</v>
      </c>
      <c r="G499" s="437">
        <v>8320</v>
      </c>
      <c r="H499" s="437">
        <v>3500</v>
      </c>
      <c r="I499" s="437">
        <v>4700</v>
      </c>
      <c r="J499" s="437">
        <v>3800</v>
      </c>
    </row>
    <row r="500" spans="1:10" ht="13.5" customHeight="1" x14ac:dyDescent="0.25">
      <c r="A500" s="1"/>
      <c r="B500" s="1" t="s">
        <v>628</v>
      </c>
      <c r="C500" s="1" t="s">
        <v>443</v>
      </c>
      <c r="D500" s="437">
        <v>0</v>
      </c>
      <c r="E500" s="437">
        <v>0</v>
      </c>
      <c r="F500" s="466"/>
      <c r="G500" s="437">
        <v>0</v>
      </c>
      <c r="H500" s="437">
        <v>0</v>
      </c>
      <c r="I500" s="437">
        <v>6466.1</v>
      </c>
      <c r="J500" s="437">
        <v>6524.76</v>
      </c>
    </row>
    <row r="501" spans="1:10" ht="13.5" customHeight="1" x14ac:dyDescent="0.25">
      <c r="A501" s="1"/>
      <c r="B501" s="1" t="s">
        <v>629</v>
      </c>
      <c r="C501" s="1" t="s">
        <v>253</v>
      </c>
      <c r="D501" s="437">
        <v>9000</v>
      </c>
      <c r="E501" s="437">
        <v>4499.95</v>
      </c>
      <c r="F501" s="466">
        <f>SUM(E501/G501)</f>
        <v>0.49999444444444441</v>
      </c>
      <c r="G501" s="437">
        <v>9000</v>
      </c>
      <c r="H501" s="437">
        <v>8999.9</v>
      </c>
      <c r="I501" s="437">
        <v>8999.9</v>
      </c>
      <c r="J501" s="437">
        <v>8999.9</v>
      </c>
    </row>
    <row r="502" spans="1:10" ht="13.5" customHeight="1" x14ac:dyDescent="0.25">
      <c r="A502" s="1"/>
      <c r="B502" s="1"/>
      <c r="C502" s="1"/>
      <c r="D502" s="438">
        <v>116330.82</v>
      </c>
      <c r="E502" s="438">
        <f t="shared" ref="E502" si="181">SUM(E497:E501)</f>
        <v>49357.84</v>
      </c>
      <c r="F502" s="467"/>
      <c r="G502" s="438">
        <v>110042.5</v>
      </c>
      <c r="H502" s="438">
        <f>SUM(H497:H501)</f>
        <v>111740.54999999999</v>
      </c>
      <c r="I502" s="438">
        <f>SUM(I497:I501)</f>
        <v>105188.97</v>
      </c>
      <c r="J502" s="438">
        <f t="shared" ref="J502" si="182">SUM(J497:J501)</f>
        <v>102467.80999999998</v>
      </c>
    </row>
    <row r="503" spans="1:10" ht="13.5" customHeight="1" x14ac:dyDescent="0.25">
      <c r="A503" s="1"/>
      <c r="B503" s="1"/>
      <c r="C503" s="1"/>
      <c r="D503" s="437"/>
      <c r="E503" s="437"/>
      <c r="F503" s="466"/>
      <c r="G503" s="437"/>
      <c r="H503" s="437"/>
      <c r="I503" s="437"/>
      <c r="J503" s="437"/>
    </row>
    <row r="504" spans="1:10" ht="13.5" customHeight="1" x14ac:dyDescent="0.25">
      <c r="A504" s="1"/>
      <c r="B504" s="1" t="s">
        <v>630</v>
      </c>
      <c r="C504" s="1" t="s">
        <v>257</v>
      </c>
      <c r="D504" s="437">
        <v>8899.3077300000004</v>
      </c>
      <c r="E504" s="437">
        <v>3473.79</v>
      </c>
      <c r="F504" s="466">
        <f t="shared" ref="F504:F508" si="183">SUM(E504/G504)</f>
        <v>0.41264989754402637</v>
      </c>
      <c r="G504" s="437">
        <v>8418.25</v>
      </c>
      <c r="H504" s="437">
        <v>7842.17</v>
      </c>
      <c r="I504" s="437">
        <v>7297.34</v>
      </c>
      <c r="J504" s="437">
        <v>6988.11</v>
      </c>
    </row>
    <row r="505" spans="1:10" ht="13.5" customHeight="1" x14ac:dyDescent="0.25">
      <c r="A505" s="1"/>
      <c r="B505" s="1" t="s">
        <v>631</v>
      </c>
      <c r="C505" s="1" t="s">
        <v>259</v>
      </c>
      <c r="D505" s="437">
        <v>20921.7696</v>
      </c>
      <c r="E505" s="437">
        <v>10476.120000000001</v>
      </c>
      <c r="F505" s="466">
        <f t="shared" si="183"/>
        <v>0.50060615849384071</v>
      </c>
      <c r="G505" s="437">
        <v>20926.87</v>
      </c>
      <c r="H505" s="437">
        <v>20711.8</v>
      </c>
      <c r="I505" s="437">
        <v>20352.12</v>
      </c>
      <c r="J505" s="437">
        <v>20280</v>
      </c>
    </row>
    <row r="506" spans="1:10" ht="13.5" customHeight="1" x14ac:dyDescent="0.25">
      <c r="A506" s="1"/>
      <c r="B506" s="1" t="s">
        <v>632</v>
      </c>
      <c r="C506" s="1" t="s">
        <v>261</v>
      </c>
      <c r="D506" s="437">
        <v>17472.889164</v>
      </c>
      <c r="E506" s="437">
        <v>7472.76</v>
      </c>
      <c r="F506" s="466">
        <f t="shared" si="183"/>
        <v>0.45211690437901353</v>
      </c>
      <c r="G506" s="437">
        <v>16528.38</v>
      </c>
      <c r="H506" s="437">
        <v>16687.84</v>
      </c>
      <c r="I506" s="437">
        <v>15289.58</v>
      </c>
      <c r="J506" s="437">
        <v>14845.62</v>
      </c>
    </row>
    <row r="507" spans="1:10" ht="13.5" customHeight="1" x14ac:dyDescent="0.25">
      <c r="A507" s="1"/>
      <c r="B507" s="1" t="s">
        <v>633</v>
      </c>
      <c r="C507" s="1" t="s">
        <v>263</v>
      </c>
      <c r="D507" s="437">
        <v>186.129312</v>
      </c>
      <c r="E507" s="437">
        <v>79.599999999999994</v>
      </c>
      <c r="F507" s="466">
        <f t="shared" si="183"/>
        <v>0.45209291758959502</v>
      </c>
      <c r="G507" s="437">
        <v>176.07</v>
      </c>
      <c r="H507" s="437">
        <v>177.76</v>
      </c>
      <c r="I507" s="437">
        <v>168.38</v>
      </c>
      <c r="J507" s="437">
        <v>187.46</v>
      </c>
    </row>
    <row r="508" spans="1:10" ht="13.5" customHeight="1" x14ac:dyDescent="0.25">
      <c r="A508" s="1"/>
      <c r="B508" s="1" t="s">
        <v>634</v>
      </c>
      <c r="C508" s="1" t="s">
        <v>265</v>
      </c>
      <c r="D508" s="437">
        <v>749.76</v>
      </c>
      <c r="E508" s="437">
        <v>351.12</v>
      </c>
      <c r="F508" s="466">
        <f t="shared" si="183"/>
        <v>0.5</v>
      </c>
      <c r="G508" s="437">
        <v>702.24</v>
      </c>
      <c r="H508" s="437">
        <v>674.64</v>
      </c>
      <c r="I508" s="437">
        <v>647.91999999999996</v>
      </c>
      <c r="J508" s="437">
        <v>626.48</v>
      </c>
    </row>
    <row r="509" spans="1:10" ht="13.5" customHeight="1" x14ac:dyDescent="0.25">
      <c r="A509" s="1"/>
      <c r="B509" s="1"/>
      <c r="C509" s="1"/>
      <c r="D509" s="438">
        <v>48229.855806</v>
      </c>
      <c r="E509" s="438">
        <f t="shared" ref="E509" si="184">SUM(E504:E508)</f>
        <v>21853.389999999996</v>
      </c>
      <c r="F509" s="467"/>
      <c r="G509" s="438">
        <v>46751.81</v>
      </c>
      <c r="H509" s="438">
        <f>SUM(H504:H508)</f>
        <v>46094.21</v>
      </c>
      <c r="I509" s="438">
        <f>SUM(I504:I508)</f>
        <v>43755.34</v>
      </c>
      <c r="J509" s="438">
        <f t="shared" ref="J509" si="185">SUM(J504:J508)</f>
        <v>42927.670000000006</v>
      </c>
    </row>
    <row r="510" spans="1:10" ht="13.5" customHeight="1" x14ac:dyDescent="0.25">
      <c r="A510" s="1"/>
      <c r="B510" s="1"/>
      <c r="C510" s="1"/>
      <c r="D510" s="437"/>
      <c r="E510" s="437"/>
      <c r="F510" s="466"/>
      <c r="G510" s="437"/>
      <c r="H510" s="437"/>
      <c r="I510" s="437"/>
      <c r="J510" s="437"/>
    </row>
    <row r="511" spans="1:10" ht="13.5" customHeight="1" x14ac:dyDescent="0.25">
      <c r="A511" s="1"/>
      <c r="B511" s="1" t="s">
        <v>635</v>
      </c>
      <c r="C511" s="1" t="s">
        <v>267</v>
      </c>
      <c r="D511" s="437">
        <v>1000</v>
      </c>
      <c r="E511" s="437">
        <v>165.09</v>
      </c>
      <c r="F511" s="466">
        <f t="shared" ref="F511:F513" si="186">SUM(E511/G511)</f>
        <v>0.16509000000000001</v>
      </c>
      <c r="G511" s="437">
        <v>1000</v>
      </c>
      <c r="H511" s="437">
        <v>210.23</v>
      </c>
      <c r="I511" s="437">
        <v>284.43</v>
      </c>
      <c r="J511" s="437">
        <v>378.18</v>
      </c>
    </row>
    <row r="512" spans="1:10" ht="13.5" customHeight="1" x14ac:dyDescent="0.25">
      <c r="A512" s="1"/>
      <c r="B512" s="1" t="s">
        <v>636</v>
      </c>
      <c r="C512" s="1" t="s">
        <v>269</v>
      </c>
      <c r="D512" s="437">
        <v>340</v>
      </c>
      <c r="E512" s="437">
        <v>59.96</v>
      </c>
      <c r="F512" s="466">
        <f t="shared" si="186"/>
        <v>0.1763529411764706</v>
      </c>
      <c r="G512" s="437">
        <v>340</v>
      </c>
      <c r="H512" s="437">
        <v>331.63</v>
      </c>
      <c r="I512" s="437">
        <v>265.86</v>
      </c>
      <c r="J512" s="437">
        <v>225.92</v>
      </c>
    </row>
    <row r="513" spans="1:10" ht="13.5" customHeight="1" x14ac:dyDescent="0.25">
      <c r="A513" s="1"/>
      <c r="B513" s="1" t="s">
        <v>637</v>
      </c>
      <c r="C513" s="1" t="s">
        <v>492</v>
      </c>
      <c r="D513" s="437">
        <v>300</v>
      </c>
      <c r="E513" s="439">
        <v>0</v>
      </c>
      <c r="F513" s="466">
        <f t="shared" si="186"/>
        <v>0</v>
      </c>
      <c r="G513" s="440">
        <v>300</v>
      </c>
      <c r="H513" s="439">
        <v>382</v>
      </c>
      <c r="I513" s="439">
        <v>336</v>
      </c>
      <c r="J513" s="437">
        <v>214</v>
      </c>
    </row>
    <row r="514" spans="1:10" ht="13.5" customHeight="1" x14ac:dyDescent="0.25">
      <c r="A514" s="1"/>
      <c r="B514" s="1"/>
      <c r="C514" s="1"/>
      <c r="D514" s="438">
        <v>1640</v>
      </c>
      <c r="E514" s="438">
        <f t="shared" ref="E514" si="187">SUM(E511:E513)</f>
        <v>225.05</v>
      </c>
      <c r="F514" s="467"/>
      <c r="G514" s="438">
        <v>1640</v>
      </c>
      <c r="H514" s="438">
        <f>SUM(H511:H513)</f>
        <v>923.86</v>
      </c>
      <c r="I514" s="438">
        <f>SUM(I511:I513)</f>
        <v>886.29</v>
      </c>
      <c r="J514" s="438">
        <f t="shared" ref="J514" si="188">SUM(J511:J513)</f>
        <v>818.1</v>
      </c>
    </row>
    <row r="515" spans="1:10" ht="13.5" customHeight="1" x14ac:dyDescent="0.25">
      <c r="A515" s="1"/>
      <c r="B515" s="1"/>
      <c r="C515" s="1"/>
      <c r="D515" s="437"/>
      <c r="E515" s="440"/>
      <c r="F515" s="468"/>
      <c r="G515" s="440"/>
      <c r="H515" s="440"/>
      <c r="I515" s="440"/>
      <c r="J515" s="437"/>
    </row>
    <row r="516" spans="1:10" ht="13.5" customHeight="1" x14ac:dyDescent="0.25">
      <c r="A516" s="1"/>
      <c r="B516" s="1"/>
      <c r="C516" s="1"/>
      <c r="D516" s="440" t="s">
        <v>12</v>
      </c>
      <c r="E516" s="440"/>
      <c r="F516" s="468"/>
      <c r="G516" s="440" t="s">
        <v>12</v>
      </c>
      <c r="H516" s="440"/>
      <c r="I516" s="440" t="s">
        <v>12</v>
      </c>
      <c r="J516" s="440" t="s">
        <v>12</v>
      </c>
    </row>
    <row r="517" spans="1:10" ht="13.5" customHeight="1" x14ac:dyDescent="0.25">
      <c r="A517" s="1"/>
      <c r="B517" s="1" t="s">
        <v>638</v>
      </c>
      <c r="C517" s="1" t="s">
        <v>283</v>
      </c>
      <c r="D517" s="437">
        <v>900</v>
      </c>
      <c r="E517" s="439">
        <v>0</v>
      </c>
      <c r="F517" s="466">
        <f t="shared" ref="F517:F520" si="189">SUM(E517/G517)</f>
        <v>0</v>
      </c>
      <c r="G517" s="440">
        <v>900</v>
      </c>
      <c r="H517" s="439">
        <v>0</v>
      </c>
      <c r="I517" s="439">
        <v>620.74</v>
      </c>
      <c r="J517" s="437">
        <v>1631.15</v>
      </c>
    </row>
    <row r="518" spans="1:10" ht="13.5" customHeight="1" x14ac:dyDescent="0.25">
      <c r="A518" s="1"/>
      <c r="B518" s="1" t="s">
        <v>639</v>
      </c>
      <c r="C518" s="1" t="s">
        <v>502</v>
      </c>
      <c r="D518" s="437">
        <v>50</v>
      </c>
      <c r="E518" s="439">
        <v>0</v>
      </c>
      <c r="F518" s="466">
        <f t="shared" si="189"/>
        <v>0</v>
      </c>
      <c r="G518" s="440">
        <v>50</v>
      </c>
      <c r="H518" s="439">
        <v>0</v>
      </c>
      <c r="I518" s="440">
        <v>0</v>
      </c>
      <c r="J518" s="440">
        <v>0</v>
      </c>
    </row>
    <row r="519" spans="1:10" ht="13.5" customHeight="1" x14ac:dyDescent="0.25">
      <c r="A519" s="1"/>
      <c r="B519" s="1" t="s">
        <v>640</v>
      </c>
      <c r="C519" s="1" t="s">
        <v>641</v>
      </c>
      <c r="D519" s="437">
        <v>1500</v>
      </c>
      <c r="E519" s="439">
        <v>0</v>
      </c>
      <c r="F519" s="466">
        <f t="shared" si="189"/>
        <v>0</v>
      </c>
      <c r="G519" s="440">
        <v>1500</v>
      </c>
      <c r="H519" s="439">
        <v>0</v>
      </c>
      <c r="I519" s="440">
        <v>0</v>
      </c>
      <c r="J519" s="440">
        <v>0</v>
      </c>
    </row>
    <row r="520" spans="1:10" ht="13.5" customHeight="1" x14ac:dyDescent="0.25">
      <c r="A520" s="1"/>
      <c r="B520" s="1" t="s">
        <v>642</v>
      </c>
      <c r="C520" s="1" t="s">
        <v>289</v>
      </c>
      <c r="D520" s="437">
        <v>1775</v>
      </c>
      <c r="E520" s="437">
        <v>931.32</v>
      </c>
      <c r="F520" s="466">
        <f t="shared" si="189"/>
        <v>0.52468732394366202</v>
      </c>
      <c r="G520" s="437">
        <v>1775</v>
      </c>
      <c r="H520" s="437">
        <v>1740.89</v>
      </c>
      <c r="I520" s="437">
        <v>1175.8900000000001</v>
      </c>
      <c r="J520" s="437">
        <v>1700.49</v>
      </c>
    </row>
    <row r="521" spans="1:10" ht="13.5" customHeight="1" x14ac:dyDescent="0.25">
      <c r="A521" s="1"/>
      <c r="B521" s="1"/>
      <c r="C521" s="1"/>
      <c r="D521" s="438">
        <v>4225</v>
      </c>
      <c r="E521" s="438">
        <f t="shared" ref="E521" si="190">SUM(E517:E520)</f>
        <v>931.32</v>
      </c>
      <c r="F521" s="467"/>
      <c r="G521" s="438">
        <v>4225</v>
      </c>
      <c r="H521" s="438">
        <f>SUM(H517:H520)</f>
        <v>1740.89</v>
      </c>
      <c r="I521" s="438">
        <f>SUM(I517:I520)</f>
        <v>1796.63</v>
      </c>
      <c r="J521" s="438">
        <f t="shared" ref="J521" si="191">SUM(J517:J520)</f>
        <v>3331.6400000000003</v>
      </c>
    </row>
    <row r="522" spans="1:10" ht="13.5" customHeight="1" thickBot="1" x14ac:dyDescent="0.3">
      <c r="A522" s="1"/>
      <c r="B522" s="1"/>
      <c r="C522" s="39" t="s">
        <v>643</v>
      </c>
      <c r="D522" s="451">
        <v>170425.67580600001</v>
      </c>
      <c r="E522" s="451">
        <f t="shared" ref="E522" si="192">SUM(E502+E509+E514+E521)</f>
        <v>72367.600000000006</v>
      </c>
      <c r="F522" s="478"/>
      <c r="G522" s="451">
        <v>162659.31</v>
      </c>
      <c r="H522" s="451">
        <f>SUM(H502+H509+H514+H521)</f>
        <v>160499.50999999998</v>
      </c>
      <c r="I522" s="451">
        <f>SUM(I502+I509+I514+I521)</f>
        <v>151627.23000000001</v>
      </c>
      <c r="J522" s="451">
        <f t="shared" ref="J522" si="193">SUM(J502+J509+J514+J521)</f>
        <v>149545.22</v>
      </c>
    </row>
    <row r="523" spans="1:10" ht="13.5" customHeight="1" thickTop="1" x14ac:dyDescent="0.25">
      <c r="A523" s="1"/>
      <c r="B523" s="1"/>
      <c r="C523" s="39"/>
      <c r="D523" s="437"/>
      <c r="E523" s="437"/>
      <c r="F523" s="466"/>
      <c r="G523" s="437"/>
      <c r="H523" s="437"/>
      <c r="I523" s="437"/>
      <c r="J523" s="437"/>
    </row>
    <row r="524" spans="1:10" ht="13.5" customHeight="1" x14ac:dyDescent="0.25">
      <c r="A524" s="1"/>
      <c r="B524" s="1"/>
      <c r="C524" s="14"/>
      <c r="D524" s="437"/>
      <c r="E524" s="437"/>
      <c r="F524" s="466"/>
      <c r="G524" s="437"/>
      <c r="H524" s="437"/>
      <c r="I524" s="437"/>
      <c r="J524" s="437"/>
    </row>
    <row r="525" spans="1:10" ht="15" customHeight="1" x14ac:dyDescent="0.25">
      <c r="A525" s="1"/>
      <c r="B525" s="1"/>
      <c r="C525" s="14" t="s">
        <v>644</v>
      </c>
      <c r="D525" s="437"/>
      <c r="E525" s="437"/>
      <c r="F525" s="466"/>
      <c r="G525" s="437"/>
      <c r="H525" s="437"/>
      <c r="I525" s="437"/>
      <c r="J525" s="437"/>
    </row>
    <row r="526" spans="1:10" ht="13.5" customHeight="1" x14ac:dyDescent="0.25">
      <c r="A526" s="1"/>
      <c r="B526" s="1" t="s">
        <v>645</v>
      </c>
      <c r="C526" s="1" t="s">
        <v>646</v>
      </c>
      <c r="D526" s="437">
        <v>9000</v>
      </c>
      <c r="E526" s="437">
        <v>4188.42</v>
      </c>
      <c r="F526" s="466">
        <f t="shared" ref="F526:F527" si="194">SUM(E526/G526)</f>
        <v>0.46538000000000002</v>
      </c>
      <c r="G526" s="437">
        <v>9000</v>
      </c>
      <c r="H526" s="437">
        <v>9069.1200000000008</v>
      </c>
      <c r="I526" s="437">
        <v>9014.2099999999991</v>
      </c>
      <c r="J526" s="437">
        <v>9054.92</v>
      </c>
    </row>
    <row r="527" spans="1:10" ht="13.5" customHeight="1" x14ac:dyDescent="0.25">
      <c r="A527" s="1"/>
      <c r="B527" s="1" t="s">
        <v>647</v>
      </c>
      <c r="C527" s="1" t="s">
        <v>439</v>
      </c>
      <c r="D527" s="437">
        <v>186117</v>
      </c>
      <c r="E527" s="437">
        <v>81760.67</v>
      </c>
      <c r="F527" s="466">
        <f t="shared" si="194"/>
        <v>0.47412057037814515</v>
      </c>
      <c r="G527" s="437">
        <v>172447</v>
      </c>
      <c r="H527" s="437">
        <v>165226.23999999999</v>
      </c>
      <c r="I527" s="437">
        <v>157401.26999999999</v>
      </c>
      <c r="J527" s="437">
        <v>157468.26999999999</v>
      </c>
    </row>
    <row r="528" spans="1:10" ht="13.5" customHeight="1" x14ac:dyDescent="0.25">
      <c r="A528" s="1"/>
      <c r="B528" s="1" t="s">
        <v>648</v>
      </c>
      <c r="C528" s="1" t="s">
        <v>443</v>
      </c>
      <c r="D528" s="437">
        <v>0</v>
      </c>
      <c r="E528" s="437">
        <v>0</v>
      </c>
      <c r="F528" s="466"/>
      <c r="G528" s="437">
        <v>0</v>
      </c>
      <c r="H528" s="437">
        <v>0</v>
      </c>
      <c r="I528" s="437">
        <v>1151.81</v>
      </c>
      <c r="J528" s="437">
        <v>1305.57</v>
      </c>
    </row>
    <row r="529" spans="1:10" ht="13.5" customHeight="1" x14ac:dyDescent="0.25">
      <c r="A529" s="1"/>
      <c r="B529" s="1" t="s">
        <v>649</v>
      </c>
      <c r="C529" s="1" t="s">
        <v>253</v>
      </c>
      <c r="D529" s="437">
        <v>9000</v>
      </c>
      <c r="E529" s="437">
        <v>4499.95</v>
      </c>
      <c r="F529" s="466">
        <f>SUM(E529/G529)</f>
        <v>0.49999444444444441</v>
      </c>
      <c r="G529" s="437">
        <v>9000</v>
      </c>
      <c r="H529" s="437">
        <v>8999.9</v>
      </c>
      <c r="I529" s="437">
        <v>8999.9</v>
      </c>
      <c r="J529" s="437">
        <v>8999.9</v>
      </c>
    </row>
    <row r="530" spans="1:10" ht="13.5" customHeight="1" x14ac:dyDescent="0.25">
      <c r="A530" s="1"/>
      <c r="B530" s="1"/>
      <c r="C530" s="1"/>
      <c r="D530" s="438">
        <v>204117</v>
      </c>
      <c r="E530" s="438">
        <f t="shared" ref="E530" si="195">SUM(E526:E529)</f>
        <v>90449.04</v>
      </c>
      <c r="F530" s="467"/>
      <c r="G530" s="438">
        <v>190447</v>
      </c>
      <c r="H530" s="438">
        <f>SUM(H526:H529)</f>
        <v>183295.25999999998</v>
      </c>
      <c r="I530" s="438">
        <f>SUM(I526:I529)</f>
        <v>176567.18999999997</v>
      </c>
      <c r="J530" s="438">
        <f t="shared" ref="J530" si="196">SUM(J526:J529)</f>
        <v>176828.66</v>
      </c>
    </row>
    <row r="531" spans="1:10" ht="13.5" customHeight="1" x14ac:dyDescent="0.25">
      <c r="A531" s="1"/>
      <c r="B531" s="1"/>
      <c r="C531" s="1"/>
      <c r="D531" s="437"/>
      <c r="E531" s="437"/>
      <c r="F531" s="466"/>
      <c r="G531" s="437"/>
      <c r="H531" s="437"/>
      <c r="I531" s="437"/>
      <c r="J531" s="437"/>
    </row>
    <row r="532" spans="1:10" ht="13.5" customHeight="1" x14ac:dyDescent="0.25">
      <c r="A532" s="1"/>
      <c r="B532" s="1" t="s">
        <v>650</v>
      </c>
      <c r="C532" s="1" t="s">
        <v>257</v>
      </c>
      <c r="D532" s="437">
        <v>15614.950500000001</v>
      </c>
      <c r="E532" s="437">
        <v>6309.38</v>
      </c>
      <c r="F532" s="466">
        <f t="shared" ref="F532:F536" si="197">SUM(E532/G532)</f>
        <v>0.43306289981605028</v>
      </c>
      <c r="G532" s="437">
        <v>14569.2</v>
      </c>
      <c r="H532" s="437">
        <v>12844.15</v>
      </c>
      <c r="I532" s="437">
        <v>12374.13</v>
      </c>
      <c r="J532" s="437">
        <v>12328.3</v>
      </c>
    </row>
    <row r="533" spans="1:10" ht="13.5" customHeight="1" x14ac:dyDescent="0.25">
      <c r="A533" s="1"/>
      <c r="B533" s="1" t="s">
        <v>651</v>
      </c>
      <c r="C533" s="1" t="s">
        <v>259</v>
      </c>
      <c r="D533" s="437">
        <v>31382.654400000003</v>
      </c>
      <c r="E533" s="437">
        <v>10359.36</v>
      </c>
      <c r="F533" s="466">
        <f t="shared" si="197"/>
        <v>0.33342989235600151</v>
      </c>
      <c r="G533" s="437">
        <v>31069.08</v>
      </c>
      <c r="H533" s="437">
        <v>20725.62</v>
      </c>
      <c r="I533" s="437">
        <v>20366.400000000001</v>
      </c>
      <c r="J533" s="437">
        <v>22823.5</v>
      </c>
    </row>
    <row r="534" spans="1:10" ht="13.5" customHeight="1" x14ac:dyDescent="0.25">
      <c r="A534" s="1"/>
      <c r="B534" s="1" t="s">
        <v>652</v>
      </c>
      <c r="C534" s="1" t="s">
        <v>261</v>
      </c>
      <c r="D534" s="437">
        <v>30658.3734</v>
      </c>
      <c r="E534" s="437">
        <v>13538.65</v>
      </c>
      <c r="F534" s="466">
        <f t="shared" si="197"/>
        <v>0.47329431004357958</v>
      </c>
      <c r="G534" s="437">
        <v>28605.14</v>
      </c>
      <c r="H534" s="437">
        <v>27541.35</v>
      </c>
      <c r="I534" s="437">
        <v>25664.87</v>
      </c>
      <c r="J534" s="437">
        <v>25614.09</v>
      </c>
    </row>
    <row r="535" spans="1:10" ht="13.5" customHeight="1" x14ac:dyDescent="0.25">
      <c r="A535" s="1"/>
      <c r="B535" s="1" t="s">
        <v>653</v>
      </c>
      <c r="C535" s="1" t="s">
        <v>263</v>
      </c>
      <c r="D535" s="437">
        <v>326.5872</v>
      </c>
      <c r="E535" s="437">
        <v>144.22</v>
      </c>
      <c r="F535" s="466">
        <f t="shared" si="197"/>
        <v>0.47328695195589388</v>
      </c>
      <c r="G535" s="437">
        <v>304.72000000000003</v>
      </c>
      <c r="H535" s="437">
        <v>293.37</v>
      </c>
      <c r="I535" s="437">
        <v>282.54000000000002</v>
      </c>
      <c r="J535" s="437">
        <v>323.58999999999997</v>
      </c>
    </row>
    <row r="536" spans="1:10" ht="13.5" customHeight="1" x14ac:dyDescent="0.25">
      <c r="A536" s="1"/>
      <c r="B536" s="1" t="s">
        <v>654</v>
      </c>
      <c r="C536" s="1" t="s">
        <v>265</v>
      </c>
      <c r="D536" s="437">
        <v>1124.6399999999999</v>
      </c>
      <c r="E536" s="437">
        <v>351.12</v>
      </c>
      <c r="F536" s="466">
        <f t="shared" si="197"/>
        <v>0.33333333333333337</v>
      </c>
      <c r="G536" s="437">
        <v>1053.3599999999999</v>
      </c>
      <c r="H536" s="437">
        <v>674.64</v>
      </c>
      <c r="I536" s="437">
        <v>647.91999999999996</v>
      </c>
      <c r="J536" s="437">
        <v>704.36</v>
      </c>
    </row>
    <row r="537" spans="1:10" ht="13.5" customHeight="1" x14ac:dyDescent="0.25">
      <c r="A537" s="1"/>
      <c r="B537" s="1"/>
      <c r="C537" s="1"/>
      <c r="D537" s="438">
        <v>79107.205499999996</v>
      </c>
      <c r="E537" s="438">
        <f t="shared" ref="E537" si="198">SUM(E532:E536)</f>
        <v>30702.73</v>
      </c>
      <c r="F537" s="467"/>
      <c r="G537" s="438">
        <v>75601.490000000005</v>
      </c>
      <c r="H537" s="438">
        <f>SUM(H532:H536)</f>
        <v>62079.13</v>
      </c>
      <c r="I537" s="438">
        <f>SUM(I532:I536)</f>
        <v>59335.859999999993</v>
      </c>
      <c r="J537" s="438">
        <f t="shared" ref="J537" si="199">SUM(J532:J536)</f>
        <v>61793.84</v>
      </c>
    </row>
    <row r="538" spans="1:10" ht="13.5" customHeight="1" x14ac:dyDescent="0.25">
      <c r="A538" s="1"/>
      <c r="B538" s="1"/>
      <c r="C538" s="1"/>
      <c r="D538" s="437"/>
      <c r="E538" s="437"/>
      <c r="F538" s="466"/>
      <c r="G538" s="437"/>
      <c r="H538" s="437"/>
      <c r="I538" s="437"/>
      <c r="J538" s="437"/>
    </row>
    <row r="539" spans="1:10" ht="13.5" customHeight="1" x14ac:dyDescent="0.25">
      <c r="A539" s="1"/>
      <c r="B539" s="1" t="s">
        <v>655</v>
      </c>
      <c r="C539" s="1" t="s">
        <v>267</v>
      </c>
      <c r="D539" s="437">
        <v>1100</v>
      </c>
      <c r="E539" s="437">
        <v>445.99</v>
      </c>
      <c r="F539" s="466">
        <f t="shared" ref="F539:F541" si="200">SUM(E539/G539)</f>
        <v>0.44599</v>
      </c>
      <c r="G539" s="437">
        <v>1000</v>
      </c>
      <c r="H539" s="437">
        <v>395.28</v>
      </c>
      <c r="I539" s="437">
        <v>1037.8900000000001</v>
      </c>
      <c r="J539" s="437">
        <v>734.66</v>
      </c>
    </row>
    <row r="540" spans="1:10" ht="13.5" customHeight="1" x14ac:dyDescent="0.25">
      <c r="A540" s="1"/>
      <c r="B540" s="1" t="s">
        <v>656</v>
      </c>
      <c r="C540" s="1" t="s">
        <v>269</v>
      </c>
      <c r="D540" s="437">
        <v>250</v>
      </c>
      <c r="E540" s="437">
        <v>60.97</v>
      </c>
      <c r="F540" s="466">
        <f t="shared" si="200"/>
        <v>0.24387999999999999</v>
      </c>
      <c r="G540" s="437">
        <v>250</v>
      </c>
      <c r="H540" s="437">
        <v>78.650000000000006</v>
      </c>
      <c r="I540" s="437">
        <v>255.18</v>
      </c>
      <c r="J540" s="437">
        <v>151.72999999999999</v>
      </c>
    </row>
    <row r="541" spans="1:10" ht="13.5" customHeight="1" x14ac:dyDescent="0.25">
      <c r="A541" s="1"/>
      <c r="B541" s="1" t="s">
        <v>657</v>
      </c>
      <c r="C541" s="1" t="s">
        <v>492</v>
      </c>
      <c r="D541" s="437">
        <v>500</v>
      </c>
      <c r="E541" s="439">
        <v>150</v>
      </c>
      <c r="F541" s="466">
        <f t="shared" si="200"/>
        <v>0.3</v>
      </c>
      <c r="G541" s="439">
        <v>500</v>
      </c>
      <c r="H541" s="439">
        <v>100</v>
      </c>
      <c r="I541" s="439">
        <v>607</v>
      </c>
      <c r="J541" s="437">
        <v>275.14999999999998</v>
      </c>
    </row>
    <row r="542" spans="1:10" ht="13.5" customHeight="1" x14ac:dyDescent="0.25">
      <c r="A542" s="1"/>
      <c r="B542" s="1" t="s">
        <v>658</v>
      </c>
      <c r="C542" s="1" t="s">
        <v>659</v>
      </c>
      <c r="D542" s="437">
        <v>0</v>
      </c>
      <c r="E542" s="439">
        <v>0</v>
      </c>
      <c r="F542" s="466"/>
      <c r="G542" s="440">
        <v>0</v>
      </c>
      <c r="H542" s="439">
        <v>0</v>
      </c>
      <c r="I542" s="440">
        <v>0</v>
      </c>
      <c r="J542" s="440">
        <v>0</v>
      </c>
    </row>
    <row r="543" spans="1:10" ht="13.5" customHeight="1" x14ac:dyDescent="0.25">
      <c r="A543" s="1"/>
      <c r="B543" s="1"/>
      <c r="C543" s="1"/>
      <c r="D543" s="441">
        <v>1850</v>
      </c>
      <c r="E543" s="441">
        <f t="shared" ref="E543" si="201">SUM(E539:E542)</f>
        <v>656.96</v>
      </c>
      <c r="F543" s="469"/>
      <c r="G543" s="441">
        <v>1750</v>
      </c>
      <c r="H543" s="441">
        <f>SUM(H539:H542)</f>
        <v>573.92999999999995</v>
      </c>
      <c r="I543" s="441">
        <f>SUM(I539:I542)</f>
        <v>1900.0700000000002</v>
      </c>
      <c r="J543" s="441">
        <f t="shared" ref="J543" si="202">SUM(J539:J542)</f>
        <v>1161.54</v>
      </c>
    </row>
    <row r="544" spans="1:10" ht="13.5" customHeight="1" x14ac:dyDescent="0.25">
      <c r="A544" s="1"/>
      <c r="B544" s="1"/>
      <c r="C544" s="1"/>
      <c r="D544" s="440"/>
      <c r="E544" s="440"/>
      <c r="F544" s="468"/>
      <c r="G544" s="440"/>
      <c r="H544" s="440"/>
      <c r="I544" s="440"/>
      <c r="J544" s="440"/>
    </row>
    <row r="545" spans="1:10" ht="13.5" customHeight="1" x14ac:dyDescent="0.25">
      <c r="A545" s="1"/>
      <c r="B545" s="1" t="s">
        <v>660</v>
      </c>
      <c r="C545" s="1" t="s">
        <v>277</v>
      </c>
      <c r="D545" s="437">
        <v>0</v>
      </c>
      <c r="E545" s="439">
        <v>0</v>
      </c>
      <c r="F545" s="466">
        <f t="shared" ref="F545:F547" si="203">SUM(E545/G545)</f>
        <v>0</v>
      </c>
      <c r="G545" s="439">
        <v>1000</v>
      </c>
      <c r="H545" s="439">
        <v>0</v>
      </c>
      <c r="I545" s="440">
        <v>0</v>
      </c>
      <c r="J545" s="440">
        <v>0</v>
      </c>
    </row>
    <row r="546" spans="1:10" ht="13.5" customHeight="1" x14ac:dyDescent="0.25">
      <c r="A546" s="1"/>
      <c r="B546" s="1" t="s">
        <v>661</v>
      </c>
      <c r="C546" s="1" t="s">
        <v>283</v>
      </c>
      <c r="D546" s="437">
        <v>2500</v>
      </c>
      <c r="E546" s="437">
        <v>975.47</v>
      </c>
      <c r="F546" s="466">
        <f t="shared" si="203"/>
        <v>3.9018800000000002</v>
      </c>
      <c r="G546" s="437">
        <v>250</v>
      </c>
      <c r="H546" s="437">
        <v>0</v>
      </c>
      <c r="I546" s="437">
        <v>1653.57</v>
      </c>
      <c r="J546" s="437">
        <v>1161.01</v>
      </c>
    </row>
    <row r="547" spans="1:10" ht="13.5" customHeight="1" x14ac:dyDescent="0.25">
      <c r="A547" s="1"/>
      <c r="B547" s="1" t="s">
        <v>662</v>
      </c>
      <c r="C547" s="1" t="s">
        <v>502</v>
      </c>
      <c r="D547" s="437">
        <v>500</v>
      </c>
      <c r="E547" s="437">
        <v>408</v>
      </c>
      <c r="F547" s="466">
        <f t="shared" si="203"/>
        <v>0.81599999999999995</v>
      </c>
      <c r="G547" s="437">
        <v>500</v>
      </c>
      <c r="H547" s="437">
        <v>816</v>
      </c>
      <c r="I547" s="437">
        <v>1312.74</v>
      </c>
      <c r="J547" s="437">
        <v>1063</v>
      </c>
    </row>
    <row r="548" spans="1:10" ht="13.5" customHeight="1" x14ac:dyDescent="0.25">
      <c r="A548" s="1"/>
      <c r="B548" s="1" t="s">
        <v>663</v>
      </c>
      <c r="C548" s="1" t="s">
        <v>641</v>
      </c>
      <c r="D548" s="437">
        <v>1500</v>
      </c>
      <c r="E548" s="439">
        <v>974.23</v>
      </c>
      <c r="F548" s="466"/>
      <c r="G548" s="439">
        <v>0</v>
      </c>
      <c r="H548" s="439">
        <v>1500</v>
      </c>
      <c r="I548" s="439">
        <v>1500</v>
      </c>
      <c r="J548" s="437">
        <v>1500</v>
      </c>
    </row>
    <row r="549" spans="1:10" ht="13.5" customHeight="1" x14ac:dyDescent="0.25">
      <c r="A549" s="1"/>
      <c r="B549" s="1" t="s">
        <v>664</v>
      </c>
      <c r="C549" s="1" t="s">
        <v>289</v>
      </c>
      <c r="D549" s="437">
        <v>1035</v>
      </c>
      <c r="E549" s="437">
        <v>486.43</v>
      </c>
      <c r="F549" s="466">
        <f>SUM(E549/G549)</f>
        <v>0.46998067632850243</v>
      </c>
      <c r="G549" s="437">
        <v>1035</v>
      </c>
      <c r="H549" s="437">
        <v>842.5</v>
      </c>
      <c r="I549" s="437">
        <v>833.88</v>
      </c>
      <c r="J549" s="437">
        <v>833.88</v>
      </c>
    </row>
    <row r="550" spans="1:10" ht="13.5" customHeight="1" x14ac:dyDescent="0.25">
      <c r="A550" s="1"/>
      <c r="B550" s="1"/>
      <c r="C550" s="1"/>
      <c r="D550" s="438">
        <v>5535</v>
      </c>
      <c r="E550" s="438">
        <f t="shared" ref="E550" si="204">SUM(E545:E549)</f>
        <v>2844.1299999999997</v>
      </c>
      <c r="F550" s="467"/>
      <c r="G550" s="438">
        <v>5035</v>
      </c>
      <c r="H550" s="438">
        <f>SUM(H545:H549)</f>
        <v>3158.5</v>
      </c>
      <c r="I550" s="438">
        <f>SUM(I545:I549)</f>
        <v>5300.19</v>
      </c>
      <c r="J550" s="438">
        <f t="shared" ref="J550" si="205">SUM(J545:J549)</f>
        <v>4557.8900000000003</v>
      </c>
    </row>
    <row r="551" spans="1:10" ht="13.5" customHeight="1" thickBot="1" x14ac:dyDescent="0.3">
      <c r="A551" s="1"/>
      <c r="B551" s="1"/>
      <c r="C551" s="39" t="s">
        <v>665</v>
      </c>
      <c r="D551" s="451">
        <v>290609.20549999998</v>
      </c>
      <c r="E551" s="451">
        <f t="shared" ref="E551" si="206">SUM(E530+E537+E543+E550)</f>
        <v>124652.86</v>
      </c>
      <c r="F551" s="478"/>
      <c r="G551" s="451">
        <v>272833.49</v>
      </c>
      <c r="H551" s="451">
        <f>SUM(H530+H537+H543+H550)</f>
        <v>249106.81999999998</v>
      </c>
      <c r="I551" s="451">
        <f>SUM(I530+I537+I543+I550)</f>
        <v>243103.30999999997</v>
      </c>
      <c r="J551" s="451">
        <f t="shared" ref="J551" si="207">SUM(J530+J537+J543+J550)</f>
        <v>244341.93000000002</v>
      </c>
    </row>
    <row r="552" spans="1:10" ht="13.5" customHeight="1" thickTop="1" x14ac:dyDescent="0.25">
      <c r="A552" s="1"/>
      <c r="B552" s="1"/>
      <c r="C552" s="39"/>
      <c r="D552" s="437"/>
      <c r="E552" s="437"/>
      <c r="F552" s="466"/>
      <c r="G552" s="437"/>
      <c r="H552" s="437"/>
      <c r="I552" s="437"/>
      <c r="J552" s="437"/>
    </row>
    <row r="553" spans="1:10" ht="13.5" customHeight="1" x14ac:dyDescent="0.25">
      <c r="A553" s="1"/>
      <c r="B553" s="1"/>
      <c r="C553" s="14"/>
      <c r="D553" s="437"/>
      <c r="E553" s="437"/>
      <c r="F553" s="466"/>
      <c r="G553" s="437"/>
      <c r="H553" s="437"/>
      <c r="I553" s="437"/>
      <c r="J553" s="437"/>
    </row>
    <row r="554" spans="1:10" ht="13.5" customHeight="1" x14ac:dyDescent="0.25">
      <c r="A554" s="1"/>
      <c r="B554" s="1"/>
      <c r="C554" s="14" t="s">
        <v>666</v>
      </c>
      <c r="D554" s="437"/>
      <c r="E554" s="437"/>
      <c r="F554" s="466"/>
      <c r="G554" s="437"/>
      <c r="H554" s="437"/>
      <c r="I554" s="437"/>
      <c r="J554" s="437"/>
    </row>
    <row r="555" spans="1:10" ht="13.5" customHeight="1" x14ac:dyDescent="0.25">
      <c r="A555" s="1"/>
      <c r="B555" s="1" t="s">
        <v>667</v>
      </c>
      <c r="C555" s="1" t="s">
        <v>437</v>
      </c>
      <c r="D555" s="437">
        <v>9000</v>
      </c>
      <c r="E555" s="437">
        <v>4188.42</v>
      </c>
      <c r="F555" s="466">
        <f t="shared" ref="F555:F556" si="208">SUM(E555/G555)</f>
        <v>0.46538000000000002</v>
      </c>
      <c r="G555" s="437">
        <v>9000</v>
      </c>
      <c r="H555" s="437">
        <v>9069.1200000000008</v>
      </c>
      <c r="I555" s="437">
        <v>9014.2099999999991</v>
      </c>
      <c r="J555" s="437">
        <v>9054.92</v>
      </c>
    </row>
    <row r="556" spans="1:10" ht="13.5" customHeight="1" x14ac:dyDescent="0.25">
      <c r="A556" s="1"/>
      <c r="B556" s="1" t="s">
        <v>668</v>
      </c>
      <c r="C556" s="1" t="s">
        <v>439</v>
      </c>
      <c r="D556" s="437">
        <v>194589</v>
      </c>
      <c r="E556" s="437">
        <v>85848.77</v>
      </c>
      <c r="F556" s="466">
        <f t="shared" si="208"/>
        <v>0.47163253118944848</v>
      </c>
      <c r="G556" s="437">
        <v>182024.7</v>
      </c>
      <c r="H556" s="437">
        <v>173544.03</v>
      </c>
      <c r="I556" s="437">
        <v>157623.75</v>
      </c>
      <c r="J556" s="437">
        <v>153986.64000000001</v>
      </c>
    </row>
    <row r="557" spans="1:10" ht="13.5" customHeight="1" x14ac:dyDescent="0.25">
      <c r="A557" s="1"/>
      <c r="B557" s="1" t="s">
        <v>669</v>
      </c>
      <c r="C557" s="1" t="s">
        <v>443</v>
      </c>
      <c r="D557" s="437">
        <v>0</v>
      </c>
      <c r="E557" s="437">
        <v>0</v>
      </c>
      <c r="F557" s="466"/>
      <c r="G557" s="437">
        <v>0</v>
      </c>
      <c r="H557" s="437">
        <v>0</v>
      </c>
      <c r="I557" s="437">
        <v>10280.91</v>
      </c>
      <c r="J557" s="437">
        <v>10055.08</v>
      </c>
    </row>
    <row r="558" spans="1:10" ht="13.5" customHeight="1" x14ac:dyDescent="0.25">
      <c r="A558" s="1"/>
      <c r="B558" s="1" t="s">
        <v>670</v>
      </c>
      <c r="C558" s="1" t="s">
        <v>445</v>
      </c>
      <c r="D558" s="437">
        <v>0</v>
      </c>
      <c r="E558" s="439">
        <v>0</v>
      </c>
      <c r="F558" s="466"/>
      <c r="G558" s="440">
        <v>0</v>
      </c>
      <c r="H558" s="439">
        <v>0</v>
      </c>
      <c r="I558" s="440" t="s">
        <v>12</v>
      </c>
      <c r="J558" s="437">
        <v>588.64</v>
      </c>
    </row>
    <row r="559" spans="1:10" ht="13.5" customHeight="1" x14ac:dyDescent="0.25">
      <c r="A559" s="1"/>
      <c r="B559" s="1" t="s">
        <v>671</v>
      </c>
      <c r="C559" s="1" t="s">
        <v>672</v>
      </c>
      <c r="D559" s="437">
        <v>0</v>
      </c>
      <c r="E559" s="439">
        <v>0</v>
      </c>
      <c r="F559" s="466"/>
      <c r="G559" s="440">
        <v>0</v>
      </c>
      <c r="H559" s="439">
        <v>0</v>
      </c>
      <c r="I559" s="440" t="s">
        <v>12</v>
      </c>
      <c r="J559" s="437">
        <v>14.09</v>
      </c>
    </row>
    <row r="560" spans="1:10" ht="13.5" customHeight="1" x14ac:dyDescent="0.25">
      <c r="A560" s="1"/>
      <c r="B560" s="1" t="s">
        <v>673</v>
      </c>
      <c r="C560" s="1" t="s">
        <v>674</v>
      </c>
      <c r="D560" s="437">
        <v>1000</v>
      </c>
      <c r="E560" s="437">
        <v>499.98</v>
      </c>
      <c r="F560" s="466">
        <f t="shared" ref="F560:F561" si="209">SUM(E560/G560)</f>
        <v>0.49998000000000004</v>
      </c>
      <c r="G560" s="437">
        <v>1000</v>
      </c>
      <c r="H560" s="437">
        <v>999.96</v>
      </c>
      <c r="I560" s="437">
        <v>999.96</v>
      </c>
      <c r="J560" s="437">
        <v>999.96</v>
      </c>
    </row>
    <row r="561" spans="1:10" ht="13.5" customHeight="1" x14ac:dyDescent="0.25">
      <c r="A561" s="1"/>
      <c r="B561" s="1" t="s">
        <v>675</v>
      </c>
      <c r="C561" s="1" t="s">
        <v>253</v>
      </c>
      <c r="D561" s="437">
        <v>9000</v>
      </c>
      <c r="E561" s="437">
        <v>4499.95</v>
      </c>
      <c r="F561" s="466">
        <f t="shared" si="209"/>
        <v>0.49999444444444441</v>
      </c>
      <c r="G561" s="437">
        <v>9000</v>
      </c>
      <c r="H561" s="437">
        <v>8999.9</v>
      </c>
      <c r="I561" s="437">
        <v>8999.9</v>
      </c>
      <c r="J561" s="437">
        <v>8999.9</v>
      </c>
    </row>
    <row r="562" spans="1:10" ht="13.5" customHeight="1" x14ac:dyDescent="0.25">
      <c r="A562" s="1"/>
      <c r="B562" s="1"/>
      <c r="C562" s="1"/>
      <c r="D562" s="438">
        <v>213589</v>
      </c>
      <c r="E562" s="438">
        <f t="shared" ref="E562" si="210">SUM(E555:E561)</f>
        <v>95037.119999999995</v>
      </c>
      <c r="F562" s="467"/>
      <c r="G562" s="438">
        <v>201024.7</v>
      </c>
      <c r="H562" s="438">
        <f>SUM(H555:H561)</f>
        <v>192613.00999999998</v>
      </c>
      <c r="I562" s="438">
        <f>SUM(I555:I561)</f>
        <v>186918.72999999998</v>
      </c>
      <c r="J562" s="438">
        <f t="shared" ref="J562" si="211">SUM(J555:J561)</f>
        <v>183699.23</v>
      </c>
    </row>
    <row r="563" spans="1:10" ht="13.5" customHeight="1" x14ac:dyDescent="0.25">
      <c r="A563" s="1"/>
      <c r="B563" s="1"/>
      <c r="C563" s="1"/>
      <c r="D563" s="437"/>
      <c r="E563" s="437"/>
      <c r="F563" s="466"/>
      <c r="G563" s="437"/>
      <c r="H563" s="437"/>
      <c r="I563" s="437"/>
      <c r="J563" s="437"/>
    </row>
    <row r="564" spans="1:10" ht="13.5" customHeight="1" x14ac:dyDescent="0.25">
      <c r="A564" s="1"/>
      <c r="B564" s="1" t="s">
        <v>676</v>
      </c>
      <c r="C564" s="1" t="s">
        <v>257</v>
      </c>
      <c r="D564" s="437">
        <v>16339.558499999999</v>
      </c>
      <c r="E564" s="437">
        <v>6578.73</v>
      </c>
      <c r="F564" s="466">
        <f t="shared" ref="F564:F568" si="212">SUM(E564/G564)</f>
        <v>0.42779055544826211</v>
      </c>
      <c r="G564" s="437">
        <v>15378.39</v>
      </c>
      <c r="H564" s="437">
        <v>13446.19</v>
      </c>
      <c r="I564" s="437">
        <v>12848.22</v>
      </c>
      <c r="J564" s="437">
        <v>12500.89</v>
      </c>
    </row>
    <row r="565" spans="1:10" ht="13.5" customHeight="1" x14ac:dyDescent="0.25">
      <c r="A565" s="1"/>
      <c r="B565" s="1" t="s">
        <v>677</v>
      </c>
      <c r="C565" s="1" t="s">
        <v>259</v>
      </c>
      <c r="D565" s="437">
        <v>31382.654400000003</v>
      </c>
      <c r="E565" s="437">
        <v>15652.92</v>
      </c>
      <c r="F565" s="466">
        <f t="shared" si="212"/>
        <v>0.49865467994890145</v>
      </c>
      <c r="G565" s="437">
        <v>31390.3</v>
      </c>
      <c r="H565" s="437">
        <v>31026.86</v>
      </c>
      <c r="I565" s="437">
        <v>30528.18</v>
      </c>
      <c r="J565" s="437">
        <v>30420</v>
      </c>
    </row>
    <row r="566" spans="1:10" ht="13.5" customHeight="1" x14ac:dyDescent="0.25">
      <c r="A566" s="1"/>
      <c r="B566" s="1" t="s">
        <v>678</v>
      </c>
      <c r="C566" s="1" t="s">
        <v>261</v>
      </c>
      <c r="D566" s="437">
        <v>32081.067800000001</v>
      </c>
      <c r="E566" s="437">
        <v>14222.58</v>
      </c>
      <c r="F566" s="466">
        <f t="shared" si="212"/>
        <v>0.47104134575482276</v>
      </c>
      <c r="G566" s="437">
        <v>30193.91</v>
      </c>
      <c r="H566" s="437">
        <v>28942.03</v>
      </c>
      <c r="I566" s="437">
        <v>27169.47</v>
      </c>
      <c r="J566" s="437">
        <v>26609.53</v>
      </c>
    </row>
    <row r="567" spans="1:10" ht="13.5" customHeight="1" x14ac:dyDescent="0.25">
      <c r="A567" s="1"/>
      <c r="B567" s="1" t="s">
        <v>679</v>
      </c>
      <c r="C567" s="1" t="s">
        <v>263</v>
      </c>
      <c r="D567" s="437">
        <v>341.74239999999998</v>
      </c>
      <c r="E567" s="437">
        <v>151.51</v>
      </c>
      <c r="F567" s="466">
        <f t="shared" si="212"/>
        <v>0.47105459519960202</v>
      </c>
      <c r="G567" s="437">
        <v>321.64</v>
      </c>
      <c r="H567" s="437">
        <v>308.3</v>
      </c>
      <c r="I567" s="437">
        <v>299.11</v>
      </c>
      <c r="J567" s="437">
        <v>336.31</v>
      </c>
    </row>
    <row r="568" spans="1:10" ht="13.5" customHeight="1" x14ac:dyDescent="0.25">
      <c r="A568" s="1"/>
      <c r="B568" s="1" t="s">
        <v>680</v>
      </c>
      <c r="C568" s="1" t="s">
        <v>265</v>
      </c>
      <c r="D568" s="437">
        <v>1124.6399999999999</v>
      </c>
      <c r="E568" s="437">
        <v>526.67999999999995</v>
      </c>
      <c r="F568" s="466">
        <f t="shared" si="212"/>
        <v>0.5</v>
      </c>
      <c r="G568" s="437">
        <v>1053.3599999999999</v>
      </c>
      <c r="H568" s="437">
        <v>1011.96</v>
      </c>
      <c r="I568" s="437">
        <v>971.88</v>
      </c>
      <c r="J568" s="437">
        <v>939.72</v>
      </c>
    </row>
    <row r="569" spans="1:10" ht="13.5" customHeight="1" x14ac:dyDescent="0.25">
      <c r="A569" s="1"/>
      <c r="B569" s="1"/>
      <c r="C569" s="1"/>
      <c r="D569" s="438">
        <v>81269.663100000005</v>
      </c>
      <c r="E569" s="438">
        <f t="shared" ref="E569" si="213">SUM(E564:E568)</f>
        <v>37132.420000000006</v>
      </c>
      <c r="F569" s="467"/>
      <c r="G569" s="438">
        <v>78337.600000000006</v>
      </c>
      <c r="H569" s="438">
        <f>SUM(H564:H568)</f>
        <v>74735.340000000011</v>
      </c>
      <c r="I569" s="438">
        <f>SUM(I564:I568)</f>
        <v>71816.86</v>
      </c>
      <c r="J569" s="438">
        <f t="shared" ref="J569" si="214">SUM(J564:J568)</f>
        <v>70806.45</v>
      </c>
    </row>
    <row r="570" spans="1:10" ht="13.5" customHeight="1" x14ac:dyDescent="0.25">
      <c r="A570" s="1"/>
      <c r="B570" s="1"/>
      <c r="C570" s="1"/>
      <c r="D570" s="437"/>
      <c r="E570" s="437"/>
      <c r="F570" s="466"/>
      <c r="G570" s="437"/>
      <c r="H570" s="437"/>
      <c r="I570" s="437"/>
      <c r="J570" s="437"/>
    </row>
    <row r="571" spans="1:10" ht="13.5" customHeight="1" x14ac:dyDescent="0.25">
      <c r="A571" s="1"/>
      <c r="B571" s="1" t="s">
        <v>681</v>
      </c>
      <c r="C571" s="1" t="s">
        <v>267</v>
      </c>
      <c r="D571" s="437">
        <v>1100</v>
      </c>
      <c r="E571" s="437">
        <v>368.31</v>
      </c>
      <c r="F571" s="466">
        <f t="shared" ref="F571:F573" si="215">SUM(E571/G571)</f>
        <v>0.33482727272727275</v>
      </c>
      <c r="G571" s="437">
        <v>1100</v>
      </c>
      <c r="H571" s="437">
        <v>660.34</v>
      </c>
      <c r="I571" s="437">
        <v>787.21</v>
      </c>
      <c r="J571" s="437">
        <v>760.5</v>
      </c>
    </row>
    <row r="572" spans="1:10" ht="13.5" customHeight="1" x14ac:dyDescent="0.25">
      <c r="A572" s="1"/>
      <c r="B572" s="1" t="s">
        <v>682</v>
      </c>
      <c r="C572" s="1" t="s">
        <v>269</v>
      </c>
      <c r="D572" s="437">
        <v>170</v>
      </c>
      <c r="E572" s="437">
        <v>59.96</v>
      </c>
      <c r="F572" s="466">
        <f t="shared" si="215"/>
        <v>0.3527058823529412</v>
      </c>
      <c r="G572" s="437">
        <v>170</v>
      </c>
      <c r="H572" s="437">
        <v>194.8</v>
      </c>
      <c r="I572" s="437">
        <v>155.9</v>
      </c>
      <c r="J572" s="437">
        <v>235.92</v>
      </c>
    </row>
    <row r="573" spans="1:10" ht="13.5" customHeight="1" x14ac:dyDescent="0.25">
      <c r="A573" s="1"/>
      <c r="B573" s="1" t="s">
        <v>683</v>
      </c>
      <c r="C573" s="1" t="s">
        <v>492</v>
      </c>
      <c r="D573" s="437">
        <v>900</v>
      </c>
      <c r="E573" s="437">
        <v>0</v>
      </c>
      <c r="F573" s="466">
        <f t="shared" si="215"/>
        <v>0</v>
      </c>
      <c r="G573" s="437">
        <v>900</v>
      </c>
      <c r="H573" s="437">
        <v>430</v>
      </c>
      <c r="I573" s="437">
        <v>419.19</v>
      </c>
      <c r="J573" s="437">
        <v>341</v>
      </c>
    </row>
    <row r="574" spans="1:10" ht="13.5" customHeight="1" x14ac:dyDescent="0.25">
      <c r="A574" s="1"/>
      <c r="B574" s="1" t="s">
        <v>684</v>
      </c>
      <c r="C574" s="1" t="s">
        <v>455</v>
      </c>
      <c r="D574" s="437">
        <v>0</v>
      </c>
      <c r="E574" s="439">
        <v>0</v>
      </c>
      <c r="F574" s="466"/>
      <c r="G574" s="440">
        <v>0</v>
      </c>
      <c r="H574" s="439">
        <v>0</v>
      </c>
      <c r="I574" s="439">
        <v>570</v>
      </c>
      <c r="J574" s="437">
        <v>435.98</v>
      </c>
    </row>
    <row r="575" spans="1:10" ht="13.5" customHeight="1" x14ac:dyDescent="0.25">
      <c r="A575" s="1"/>
      <c r="B575" s="22" t="s">
        <v>685</v>
      </c>
      <c r="C575" s="22" t="s">
        <v>275</v>
      </c>
      <c r="D575" s="437">
        <v>0</v>
      </c>
      <c r="E575" s="439">
        <v>11.89</v>
      </c>
      <c r="F575" s="466"/>
      <c r="G575" s="440">
        <v>0</v>
      </c>
      <c r="H575" s="439">
        <v>113.58</v>
      </c>
      <c r="I575" s="439">
        <v>121.23</v>
      </c>
      <c r="J575" s="437">
        <v>0</v>
      </c>
    </row>
    <row r="576" spans="1:10" ht="13.5" customHeight="1" x14ac:dyDescent="0.25">
      <c r="A576" s="1"/>
      <c r="B576" s="1"/>
      <c r="C576" s="1"/>
      <c r="D576" s="441">
        <v>2170</v>
      </c>
      <c r="E576" s="441">
        <f t="shared" ref="E576" si="216">SUM(E571:E575)</f>
        <v>440.15999999999997</v>
      </c>
      <c r="F576" s="469"/>
      <c r="G576" s="441">
        <v>2170</v>
      </c>
      <c r="H576" s="441">
        <f>SUM(H571:H575)</f>
        <v>1398.72</v>
      </c>
      <c r="I576" s="441">
        <f>SUM(I571:I575)</f>
        <v>2053.5299999999997</v>
      </c>
      <c r="J576" s="441">
        <f t="shared" ref="J576" si="217">SUM(J571:J575)</f>
        <v>1773.4</v>
      </c>
    </row>
    <row r="577" spans="1:10" ht="13.5" customHeight="1" x14ac:dyDescent="0.25">
      <c r="A577" s="1"/>
      <c r="B577" s="1"/>
      <c r="C577" s="1"/>
      <c r="D577" s="440"/>
      <c r="E577" s="440"/>
      <c r="F577" s="468"/>
      <c r="G577" s="440"/>
      <c r="H577" s="440"/>
      <c r="I577" s="440"/>
      <c r="J577" s="437"/>
    </row>
    <row r="578" spans="1:10" ht="13.5" customHeight="1" x14ac:dyDescent="0.25">
      <c r="A578" s="1"/>
      <c r="B578" s="1" t="s">
        <v>686</v>
      </c>
      <c r="C578" s="1" t="s">
        <v>283</v>
      </c>
      <c r="D578" s="437">
        <v>2500</v>
      </c>
      <c r="E578" s="437">
        <v>795</v>
      </c>
      <c r="F578" s="466">
        <f t="shared" ref="F578:F581" si="218">SUM(E578/G578)</f>
        <v>0.318</v>
      </c>
      <c r="G578" s="437">
        <v>2500</v>
      </c>
      <c r="H578" s="437">
        <v>953.96</v>
      </c>
      <c r="I578" s="437">
        <v>1490.2</v>
      </c>
      <c r="J578" s="437">
        <v>1953.72</v>
      </c>
    </row>
    <row r="579" spans="1:10" ht="13.5" customHeight="1" x14ac:dyDescent="0.25">
      <c r="A579" s="1"/>
      <c r="B579" s="1" t="s">
        <v>687</v>
      </c>
      <c r="C579" s="1" t="s">
        <v>502</v>
      </c>
      <c r="D579" s="437">
        <v>400</v>
      </c>
      <c r="E579" s="439">
        <v>25</v>
      </c>
      <c r="F579" s="466">
        <f t="shared" si="218"/>
        <v>6.25E-2</v>
      </c>
      <c r="G579" s="440">
        <v>400</v>
      </c>
      <c r="H579" s="439">
        <v>0</v>
      </c>
      <c r="I579" s="440">
        <v>0</v>
      </c>
      <c r="J579" s="437">
        <v>98</v>
      </c>
    </row>
    <row r="580" spans="1:10" ht="13.5" customHeight="1" x14ac:dyDescent="0.25">
      <c r="A580" s="1"/>
      <c r="B580" s="1" t="s">
        <v>688</v>
      </c>
      <c r="C580" s="1" t="s">
        <v>641</v>
      </c>
      <c r="D580" s="437">
        <v>1500</v>
      </c>
      <c r="E580" s="437">
        <v>974.23</v>
      </c>
      <c r="F580" s="466">
        <f t="shared" si="218"/>
        <v>0.64948666666666666</v>
      </c>
      <c r="G580" s="437">
        <v>1500</v>
      </c>
      <c r="H580" s="437">
        <v>1500</v>
      </c>
      <c r="I580" s="437">
        <v>1168.6500000000001</v>
      </c>
      <c r="J580" s="437">
        <v>1500</v>
      </c>
    </row>
    <row r="581" spans="1:10" ht="13.5" customHeight="1" x14ac:dyDescent="0.25">
      <c r="A581" s="1"/>
      <c r="B581" s="1" t="s">
        <v>689</v>
      </c>
      <c r="C581" s="1" t="s">
        <v>289</v>
      </c>
      <c r="D581" s="437">
        <v>1675</v>
      </c>
      <c r="E581" s="437">
        <v>931.29</v>
      </c>
      <c r="F581" s="466">
        <f t="shared" si="218"/>
        <v>0.5559940298507462</v>
      </c>
      <c r="G581" s="437">
        <v>1675</v>
      </c>
      <c r="H581" s="437">
        <v>1801.76</v>
      </c>
      <c r="I581" s="437">
        <v>1175.8800000000001</v>
      </c>
      <c r="J581" s="437">
        <v>1834.23</v>
      </c>
    </row>
    <row r="582" spans="1:10" ht="13.5" customHeight="1" x14ac:dyDescent="0.25">
      <c r="A582" s="1"/>
      <c r="B582" s="1"/>
      <c r="C582" s="1"/>
      <c r="D582" s="438">
        <v>6075</v>
      </c>
      <c r="E582" s="438">
        <f t="shared" ref="E582" si="219">SUM(E578:E581)</f>
        <v>2725.52</v>
      </c>
      <c r="F582" s="467"/>
      <c r="G582" s="438">
        <v>6075</v>
      </c>
      <c r="H582" s="438">
        <f>SUM(H578:H581)</f>
        <v>4255.72</v>
      </c>
      <c r="I582" s="438">
        <f>SUM(I578:I581)</f>
        <v>3834.7300000000005</v>
      </c>
      <c r="J582" s="438">
        <f t="shared" ref="J582" si="220">SUM(J578:J581)</f>
        <v>5385.9500000000007</v>
      </c>
    </row>
    <row r="583" spans="1:10" ht="13.5" customHeight="1" thickBot="1" x14ac:dyDescent="0.3">
      <c r="A583" s="1"/>
      <c r="B583" s="1"/>
      <c r="C583" s="39" t="s">
        <v>690</v>
      </c>
      <c r="D583" s="451">
        <v>303103.66310000001</v>
      </c>
      <c r="E583" s="451">
        <f t="shared" ref="E583" si="221">SUM(E562+E569+E576+E582)</f>
        <v>135335.22</v>
      </c>
      <c r="F583" s="478"/>
      <c r="G583" s="451">
        <v>287607.3</v>
      </c>
      <c r="H583" s="451">
        <f>SUM(H562+H569+H576+H582)</f>
        <v>273002.78999999992</v>
      </c>
      <c r="I583" s="451">
        <f>SUM(I562+I569+I576+I582)</f>
        <v>264623.84999999998</v>
      </c>
      <c r="J583" s="451">
        <f t="shared" ref="J583" si="222">SUM(J562+J569+J576+J582)</f>
        <v>261665.03</v>
      </c>
    </row>
    <row r="584" spans="1:10" ht="13.5" customHeight="1" thickTop="1" x14ac:dyDescent="0.25">
      <c r="A584" s="1"/>
      <c r="B584" s="1"/>
      <c r="C584" s="1"/>
      <c r="D584" s="437"/>
      <c r="E584" s="437"/>
      <c r="F584" s="466"/>
      <c r="G584" s="437"/>
      <c r="H584" s="437"/>
      <c r="I584" s="437"/>
      <c r="J584" s="437"/>
    </row>
    <row r="585" spans="1:10" ht="13.5" customHeight="1" x14ac:dyDescent="0.25">
      <c r="A585" s="1"/>
      <c r="B585" s="1"/>
      <c r="C585" s="14"/>
      <c r="D585" s="437"/>
      <c r="E585" s="437"/>
      <c r="F585" s="466"/>
      <c r="G585" s="437"/>
      <c r="H585" s="437"/>
      <c r="I585" s="437"/>
      <c r="J585" s="437"/>
    </row>
    <row r="586" spans="1:10" ht="13.5" customHeight="1" x14ac:dyDescent="0.25">
      <c r="A586" s="1"/>
      <c r="B586" s="1"/>
      <c r="C586" s="14" t="s">
        <v>691</v>
      </c>
      <c r="D586" s="437"/>
      <c r="E586" s="437"/>
      <c r="F586" s="466"/>
      <c r="G586" s="437"/>
      <c r="H586" s="437"/>
      <c r="I586" s="437"/>
      <c r="J586" s="437"/>
    </row>
    <row r="587" spans="1:10" ht="13.5" customHeight="1" x14ac:dyDescent="0.25">
      <c r="A587" s="1"/>
      <c r="B587" s="1" t="s">
        <v>692</v>
      </c>
      <c r="C587" s="1" t="s">
        <v>693</v>
      </c>
      <c r="D587" s="437">
        <v>0</v>
      </c>
      <c r="E587" s="439">
        <v>0</v>
      </c>
      <c r="F587" s="466"/>
      <c r="G587" s="440">
        <v>0</v>
      </c>
      <c r="H587" s="439">
        <v>2436.46</v>
      </c>
      <c r="I587" s="440">
        <v>0</v>
      </c>
      <c r="J587" s="440">
        <v>0</v>
      </c>
    </row>
    <row r="588" spans="1:10" ht="13.5" customHeight="1" x14ac:dyDescent="0.25">
      <c r="A588" s="1"/>
      <c r="B588" s="1" t="s">
        <v>694</v>
      </c>
      <c r="C588" s="1" t="s">
        <v>695</v>
      </c>
      <c r="D588" s="437">
        <v>2736</v>
      </c>
      <c r="E588" s="437">
        <v>1595.58</v>
      </c>
      <c r="F588" s="466">
        <f>SUM(E588/G588)</f>
        <v>0.58317982456140349</v>
      </c>
      <c r="G588" s="437">
        <v>2736</v>
      </c>
      <c r="H588" s="437">
        <v>2735.28</v>
      </c>
      <c r="I588" s="437">
        <v>2709.54</v>
      </c>
      <c r="J588" s="437">
        <v>2782.13</v>
      </c>
    </row>
    <row r="589" spans="1:10" ht="13.5" customHeight="1" thickBot="1" x14ac:dyDescent="0.3">
      <c r="A589" s="1"/>
      <c r="B589" s="1"/>
      <c r="C589" s="39" t="s">
        <v>696</v>
      </c>
      <c r="D589" s="451">
        <v>2736</v>
      </c>
      <c r="E589" s="451">
        <f t="shared" ref="E589" si="223">SUM(E587:E588)</f>
        <v>1595.58</v>
      </c>
      <c r="F589" s="478"/>
      <c r="G589" s="451">
        <v>2736</v>
      </c>
      <c r="H589" s="451">
        <f>SUM(H587:H588)</f>
        <v>5171.74</v>
      </c>
      <c r="I589" s="451">
        <f>SUM(I587:I588)</f>
        <v>2709.54</v>
      </c>
      <c r="J589" s="451">
        <f t="shared" ref="J589" si="224">SUM(J587:J588)</f>
        <v>2782.13</v>
      </c>
    </row>
    <row r="590" spans="1:10" ht="13.5" customHeight="1" thickTop="1" x14ac:dyDescent="0.25">
      <c r="A590" s="1"/>
      <c r="B590" s="1"/>
      <c r="C590" s="1"/>
      <c r="D590" s="437"/>
      <c r="E590" s="437"/>
      <c r="F590" s="466"/>
      <c r="G590" s="437"/>
      <c r="H590" s="437"/>
      <c r="I590" s="437"/>
      <c r="J590" s="437"/>
    </row>
    <row r="591" spans="1:10" ht="13.5" customHeight="1" x14ac:dyDescent="0.25">
      <c r="A591" s="1"/>
      <c r="B591" s="1"/>
      <c r="C591" s="14"/>
      <c r="D591" s="437"/>
      <c r="E591" s="437"/>
      <c r="F591" s="466"/>
      <c r="G591" s="437"/>
      <c r="H591" s="437"/>
      <c r="I591" s="437"/>
      <c r="J591" s="437"/>
    </row>
    <row r="592" spans="1:10" ht="13.5" customHeight="1" x14ac:dyDescent="0.25">
      <c r="A592" s="1"/>
      <c r="B592" s="1"/>
      <c r="C592" s="14" t="s">
        <v>697</v>
      </c>
      <c r="D592" s="437"/>
      <c r="E592" s="437"/>
      <c r="F592" s="466"/>
      <c r="G592" s="437"/>
      <c r="H592" s="437"/>
      <c r="I592" s="437"/>
      <c r="J592" s="437"/>
    </row>
    <row r="593" spans="1:10" ht="13.5" customHeight="1" x14ac:dyDescent="0.25">
      <c r="A593" s="1"/>
      <c r="B593" s="1" t="s">
        <v>698</v>
      </c>
      <c r="C593" s="1" t="s">
        <v>437</v>
      </c>
      <c r="D593" s="437">
        <v>64804</v>
      </c>
      <c r="E593" s="437">
        <v>28205.58</v>
      </c>
      <c r="F593" s="466">
        <f t="shared" ref="F593:F595" si="225">SUM(E593/G593)</f>
        <v>0.46538485653472372</v>
      </c>
      <c r="G593" s="437">
        <v>60607</v>
      </c>
      <c r="H593" s="437">
        <v>61073.25</v>
      </c>
      <c r="I593" s="437">
        <v>54810.89</v>
      </c>
      <c r="J593" s="437">
        <v>53522.83</v>
      </c>
    </row>
    <row r="594" spans="1:10" ht="13.5" customHeight="1" x14ac:dyDescent="0.25">
      <c r="A594" s="1"/>
      <c r="B594" s="1" t="s">
        <v>699</v>
      </c>
      <c r="C594" s="1" t="s">
        <v>439</v>
      </c>
      <c r="D594" s="437">
        <v>404508</v>
      </c>
      <c r="E594" s="437">
        <v>167717.24</v>
      </c>
      <c r="F594" s="466">
        <f t="shared" si="225"/>
        <v>0.43904576915424964</v>
      </c>
      <c r="G594" s="437">
        <v>382004</v>
      </c>
      <c r="H594" s="437">
        <v>379389.47</v>
      </c>
      <c r="I594" s="437">
        <v>352325.44</v>
      </c>
      <c r="J594" s="437">
        <v>312451.89</v>
      </c>
    </row>
    <row r="595" spans="1:10" ht="13.5" customHeight="1" x14ac:dyDescent="0.25">
      <c r="A595" s="1"/>
      <c r="B595" s="1" t="s">
        <v>700</v>
      </c>
      <c r="C595" s="1" t="s">
        <v>441</v>
      </c>
      <c r="D595" s="437">
        <v>15600</v>
      </c>
      <c r="E595" s="437">
        <v>7260</v>
      </c>
      <c r="F595" s="466">
        <f t="shared" si="225"/>
        <v>0.4653846153846154</v>
      </c>
      <c r="G595" s="437">
        <v>15600</v>
      </c>
      <c r="H595" s="437">
        <v>15720</v>
      </c>
      <c r="I595" s="437">
        <v>15519.91</v>
      </c>
      <c r="J595" s="437">
        <v>16904.89</v>
      </c>
    </row>
    <row r="596" spans="1:10" ht="13.5" customHeight="1" x14ac:dyDescent="0.25">
      <c r="A596" s="1"/>
      <c r="B596" s="1" t="s">
        <v>701</v>
      </c>
      <c r="C596" s="1" t="s">
        <v>443</v>
      </c>
      <c r="D596" s="437">
        <v>0</v>
      </c>
      <c r="E596" s="437">
        <v>0</v>
      </c>
      <c r="F596" s="466"/>
      <c r="G596" s="437">
        <v>0</v>
      </c>
      <c r="H596" s="437">
        <v>0</v>
      </c>
      <c r="I596" s="437">
        <v>17850.080000000002</v>
      </c>
      <c r="J596" s="437">
        <v>18670.8</v>
      </c>
    </row>
    <row r="597" spans="1:10" ht="13.5" customHeight="1" x14ac:dyDescent="0.25">
      <c r="A597" s="1"/>
      <c r="B597" s="1" t="s">
        <v>702</v>
      </c>
      <c r="C597" s="1" t="s">
        <v>251</v>
      </c>
      <c r="D597" s="437">
        <v>1500</v>
      </c>
      <c r="E597" s="439">
        <v>0</v>
      </c>
      <c r="F597" s="466">
        <f>SUM(E597/G597)</f>
        <v>0</v>
      </c>
      <c r="G597" s="440">
        <v>1500</v>
      </c>
      <c r="H597" s="439">
        <v>0</v>
      </c>
      <c r="I597" s="440">
        <v>0</v>
      </c>
      <c r="J597" s="437">
        <v>129.19999999999999</v>
      </c>
    </row>
    <row r="598" spans="1:10" ht="13.5" customHeight="1" x14ac:dyDescent="0.25">
      <c r="A598" s="1"/>
      <c r="B598" s="1"/>
      <c r="C598" s="1"/>
      <c r="D598" s="438">
        <v>486412</v>
      </c>
      <c r="E598" s="438">
        <f t="shared" ref="E598" si="226">SUM(E593:E597)</f>
        <v>203182.82</v>
      </c>
      <c r="F598" s="467"/>
      <c r="G598" s="438">
        <v>459711</v>
      </c>
      <c r="H598" s="438">
        <f>SUM(H593:H597)</f>
        <v>456182.72</v>
      </c>
      <c r="I598" s="438">
        <f>SUM(I593:I597)</f>
        <v>440506.32</v>
      </c>
      <c r="J598" s="438">
        <f t="shared" ref="J598" si="227">SUM(J593:J597)</f>
        <v>401679.61000000004</v>
      </c>
    </row>
    <row r="599" spans="1:10" ht="13.5" customHeight="1" x14ac:dyDescent="0.25">
      <c r="A599" s="1"/>
      <c r="B599" s="1"/>
      <c r="C599" s="1"/>
      <c r="D599" s="437"/>
      <c r="E599" s="440"/>
      <c r="F599" s="468"/>
      <c r="G599" s="440"/>
      <c r="H599" s="440"/>
      <c r="I599" s="440"/>
      <c r="J599" s="440"/>
    </row>
    <row r="600" spans="1:10" ht="13.5" customHeight="1" x14ac:dyDescent="0.25">
      <c r="A600" s="1"/>
      <c r="B600" s="1" t="s">
        <v>703</v>
      </c>
      <c r="C600" s="1" t="s">
        <v>257</v>
      </c>
      <c r="D600" s="437">
        <v>37210.517999999996</v>
      </c>
      <c r="E600" s="437">
        <v>14440.12</v>
      </c>
      <c r="F600" s="466">
        <f t="shared" ref="F600:F604" si="228">SUM(E600/G600)</f>
        <v>0.41060524245270336</v>
      </c>
      <c r="G600" s="437">
        <v>35167.89</v>
      </c>
      <c r="H600" s="437">
        <v>32734.73</v>
      </c>
      <c r="I600" s="437">
        <v>31482.1</v>
      </c>
      <c r="J600" s="437">
        <v>28353.9</v>
      </c>
    </row>
    <row r="601" spans="1:10" ht="13.5" customHeight="1" x14ac:dyDescent="0.25">
      <c r="A601" s="1"/>
      <c r="B601" s="1" t="s">
        <v>704</v>
      </c>
      <c r="C601" s="1" t="s">
        <v>259</v>
      </c>
      <c r="D601" s="437">
        <v>125530.61760000003</v>
      </c>
      <c r="E601" s="437">
        <v>60804.4</v>
      </c>
      <c r="F601" s="466">
        <f t="shared" si="228"/>
        <v>0.48426098440266829</v>
      </c>
      <c r="G601" s="437">
        <v>125561.22</v>
      </c>
      <c r="H601" s="437">
        <v>119332.98</v>
      </c>
      <c r="I601" s="437">
        <v>108083.15</v>
      </c>
      <c r="J601" s="437">
        <v>94641.18</v>
      </c>
    </row>
    <row r="602" spans="1:10" ht="13.5" customHeight="1" x14ac:dyDescent="0.25">
      <c r="A602" s="1"/>
      <c r="B602" s="1" t="s">
        <v>705</v>
      </c>
      <c r="C602" s="1" t="s">
        <v>261</v>
      </c>
      <c r="D602" s="437">
        <v>73059.082399999985</v>
      </c>
      <c r="E602" s="437">
        <v>30486.78</v>
      </c>
      <c r="F602" s="466">
        <f t="shared" si="228"/>
        <v>0.44152646708643872</v>
      </c>
      <c r="G602" s="437">
        <v>69048.59</v>
      </c>
      <c r="H602" s="437">
        <v>68549.94</v>
      </c>
      <c r="I602" s="437">
        <v>64022.68</v>
      </c>
      <c r="J602" s="437">
        <v>58167.31</v>
      </c>
    </row>
    <row r="603" spans="1:10" ht="13.5" customHeight="1" x14ac:dyDescent="0.25">
      <c r="A603" s="1"/>
      <c r="B603" s="1" t="s">
        <v>706</v>
      </c>
      <c r="C603" s="1" t="s">
        <v>263</v>
      </c>
      <c r="D603" s="437">
        <v>778.25920000000008</v>
      </c>
      <c r="E603" s="437">
        <v>324.77</v>
      </c>
      <c r="F603" s="466">
        <f t="shared" si="228"/>
        <v>0.44153954917475596</v>
      </c>
      <c r="G603" s="437">
        <v>735.54</v>
      </c>
      <c r="H603" s="437">
        <v>730.22</v>
      </c>
      <c r="I603" s="437">
        <v>704.78</v>
      </c>
      <c r="J603" s="437">
        <v>734.25</v>
      </c>
    </row>
    <row r="604" spans="1:10" ht="13.5" customHeight="1" x14ac:dyDescent="0.25">
      <c r="A604" s="1"/>
      <c r="B604" s="1" t="s">
        <v>707</v>
      </c>
      <c r="C604" s="1" t="s">
        <v>265</v>
      </c>
      <c r="D604" s="437">
        <v>4498.5600000000004</v>
      </c>
      <c r="E604" s="437">
        <v>2048.1999999999998</v>
      </c>
      <c r="F604" s="466">
        <f t="shared" si="228"/>
        <v>0.4861111111111111</v>
      </c>
      <c r="G604" s="437">
        <v>4213.4399999999996</v>
      </c>
      <c r="H604" s="437">
        <v>3880.56</v>
      </c>
      <c r="I604" s="437">
        <v>3628.99</v>
      </c>
      <c r="J604" s="437">
        <v>3236.24</v>
      </c>
    </row>
    <row r="605" spans="1:10" ht="13.5" customHeight="1" x14ac:dyDescent="0.25">
      <c r="A605" s="1"/>
      <c r="B605" s="1"/>
      <c r="C605" s="1"/>
      <c r="D605" s="438">
        <v>241077.03720000002</v>
      </c>
      <c r="E605" s="438">
        <f t="shared" ref="E605" si="229">SUM(E600:E604)</f>
        <v>108104.27</v>
      </c>
      <c r="F605" s="467"/>
      <c r="G605" s="438">
        <v>234726.68</v>
      </c>
      <c r="H605" s="438">
        <f>SUM(H600:H604)</f>
        <v>225228.43</v>
      </c>
      <c r="I605" s="438">
        <f>SUM(I600:I604)</f>
        <v>207921.69999999998</v>
      </c>
      <c r="J605" s="438">
        <f t="shared" ref="J605" si="230">SUM(J600:J604)</f>
        <v>185132.87999999998</v>
      </c>
    </row>
    <row r="606" spans="1:10" ht="13.5" customHeight="1" x14ac:dyDescent="0.25">
      <c r="A606" s="1"/>
      <c r="B606" s="1"/>
      <c r="C606" s="1"/>
      <c r="D606" s="437"/>
      <c r="E606" s="437"/>
      <c r="F606" s="466"/>
      <c r="G606" s="437"/>
      <c r="H606" s="437"/>
      <c r="I606" s="437"/>
      <c r="J606" s="437"/>
    </row>
    <row r="607" spans="1:10" ht="13.5" customHeight="1" x14ac:dyDescent="0.25">
      <c r="A607" s="1"/>
      <c r="B607" s="1" t="s">
        <v>708</v>
      </c>
      <c r="C607" s="1" t="s">
        <v>267</v>
      </c>
      <c r="D607" s="437">
        <v>16000</v>
      </c>
      <c r="E607" s="437">
        <v>9841.15</v>
      </c>
      <c r="F607" s="466">
        <f t="shared" ref="F607:F609" si="231">SUM(E607/G607)</f>
        <v>0.61507187499999993</v>
      </c>
      <c r="G607" s="437">
        <v>16000</v>
      </c>
      <c r="H607" s="437">
        <v>14300.23</v>
      </c>
      <c r="I607" s="437">
        <v>16093.49</v>
      </c>
      <c r="J607" s="437">
        <v>15137.44</v>
      </c>
    </row>
    <row r="608" spans="1:10" ht="13.5" customHeight="1" x14ac:dyDescent="0.25">
      <c r="A608" s="1"/>
      <c r="B608" s="1" t="s">
        <v>709</v>
      </c>
      <c r="C608" s="1" t="s">
        <v>269</v>
      </c>
      <c r="D608" s="437">
        <v>7294</v>
      </c>
      <c r="E608" s="437">
        <v>3097.47</v>
      </c>
      <c r="F608" s="466">
        <f t="shared" si="231"/>
        <v>0.42465999451604053</v>
      </c>
      <c r="G608" s="437">
        <v>7294</v>
      </c>
      <c r="H608" s="437">
        <v>7431.25</v>
      </c>
      <c r="I608" s="437">
        <v>8771.59</v>
      </c>
      <c r="J608" s="437">
        <v>7562.57</v>
      </c>
    </row>
    <row r="609" spans="1:10" ht="13.5" customHeight="1" x14ac:dyDescent="0.25">
      <c r="A609" s="1"/>
      <c r="B609" s="1" t="s">
        <v>710</v>
      </c>
      <c r="C609" s="1" t="s">
        <v>275</v>
      </c>
      <c r="D609" s="437">
        <v>1000</v>
      </c>
      <c r="E609" s="437">
        <v>129.97</v>
      </c>
      <c r="F609" s="466">
        <f t="shared" si="231"/>
        <v>0.12997</v>
      </c>
      <c r="G609" s="437">
        <v>1000</v>
      </c>
      <c r="H609" s="437">
        <v>768.06</v>
      </c>
      <c r="I609" s="437">
        <v>265.97000000000003</v>
      </c>
      <c r="J609" s="440">
        <v>0</v>
      </c>
    </row>
    <row r="610" spans="1:10" ht="13.5" customHeight="1" x14ac:dyDescent="0.25">
      <c r="A610" s="1"/>
      <c r="B610" s="1"/>
      <c r="C610" s="1"/>
      <c r="D610" s="438">
        <v>24294</v>
      </c>
      <c r="E610" s="438">
        <f t="shared" ref="E610" si="232">SUM(E607:E609)</f>
        <v>13068.589999999998</v>
      </c>
      <c r="F610" s="467"/>
      <c r="G610" s="438">
        <v>24294</v>
      </c>
      <c r="H610" s="438">
        <f>SUM(H607:H609)</f>
        <v>22499.54</v>
      </c>
      <c r="I610" s="438">
        <f>SUM(I607:I609)</f>
        <v>25131.050000000003</v>
      </c>
      <c r="J610" s="438">
        <f t="shared" ref="J610" si="233">SUM(J607:J609)</f>
        <v>22700.010000000002</v>
      </c>
    </row>
    <row r="611" spans="1:10" ht="13.5" customHeight="1" x14ac:dyDescent="0.25">
      <c r="A611" s="1"/>
      <c r="B611" s="1"/>
      <c r="C611" s="1"/>
      <c r="D611" s="437"/>
      <c r="E611" s="437"/>
      <c r="F611" s="466"/>
      <c r="G611" s="437"/>
      <c r="H611" s="437"/>
      <c r="I611" s="437"/>
      <c r="J611" s="440"/>
    </row>
    <row r="612" spans="1:10" ht="13.5" customHeight="1" x14ac:dyDescent="0.25">
      <c r="A612" s="1"/>
      <c r="B612" s="1" t="s">
        <v>711</v>
      </c>
      <c r="C612" s="1" t="s">
        <v>426</v>
      </c>
      <c r="D612" s="437">
        <v>3529</v>
      </c>
      <c r="E612" s="437">
        <v>321.64</v>
      </c>
      <c r="F612" s="466">
        <f t="shared" ref="F612:F615" si="234">SUM(E612/G612)</f>
        <v>9.1141966562765658E-2</v>
      </c>
      <c r="G612" s="437">
        <v>3529</v>
      </c>
      <c r="H612" s="437">
        <v>1412.52</v>
      </c>
      <c r="I612" s="437">
        <v>1230.2</v>
      </c>
      <c r="J612" s="437">
        <v>3540</v>
      </c>
    </row>
    <row r="613" spans="1:10" ht="13.5" customHeight="1" x14ac:dyDescent="0.25">
      <c r="A613" s="1"/>
      <c r="B613" s="1" t="s">
        <v>712</v>
      </c>
      <c r="C613" s="1" t="s">
        <v>285</v>
      </c>
      <c r="D613" s="437">
        <v>200</v>
      </c>
      <c r="E613" s="439">
        <v>125</v>
      </c>
      <c r="F613" s="466">
        <f t="shared" si="234"/>
        <v>0.625</v>
      </c>
      <c r="G613" s="440">
        <v>200</v>
      </c>
      <c r="H613" s="439">
        <v>0</v>
      </c>
      <c r="I613" s="439">
        <v>125</v>
      </c>
      <c r="J613" s="437">
        <v>125</v>
      </c>
    </row>
    <row r="614" spans="1:10" ht="13.5" customHeight="1" x14ac:dyDescent="0.25">
      <c r="A614" s="1"/>
      <c r="B614" s="1" t="s">
        <v>713</v>
      </c>
      <c r="C614" s="1" t="s">
        <v>287</v>
      </c>
      <c r="D614" s="437">
        <v>171</v>
      </c>
      <c r="E614" s="437">
        <v>0</v>
      </c>
      <c r="F614" s="466">
        <f t="shared" si="234"/>
        <v>0</v>
      </c>
      <c r="G614" s="437">
        <v>171</v>
      </c>
      <c r="H614" s="437">
        <v>0</v>
      </c>
      <c r="I614" s="437">
        <v>2485</v>
      </c>
      <c r="J614" s="440">
        <v>0</v>
      </c>
    </row>
    <row r="615" spans="1:10" ht="13.5" customHeight="1" x14ac:dyDescent="0.25">
      <c r="A615" s="1"/>
      <c r="B615" s="1" t="s">
        <v>714</v>
      </c>
      <c r="C615" s="1" t="s">
        <v>289</v>
      </c>
      <c r="D615" s="437">
        <v>6180</v>
      </c>
      <c r="E615" s="437">
        <v>2583.35</v>
      </c>
      <c r="F615" s="466">
        <f t="shared" si="234"/>
        <v>0.4180177993527508</v>
      </c>
      <c r="G615" s="437">
        <v>6180</v>
      </c>
      <c r="H615" s="437">
        <v>5972.13</v>
      </c>
      <c r="I615" s="437">
        <v>6226.05</v>
      </c>
      <c r="J615" s="437">
        <v>6255.31</v>
      </c>
    </row>
    <row r="616" spans="1:10" ht="13.5" customHeight="1" x14ac:dyDescent="0.25">
      <c r="A616" s="1"/>
      <c r="B616" s="1"/>
      <c r="C616" s="1"/>
      <c r="D616" s="438">
        <v>10080</v>
      </c>
      <c r="E616" s="438">
        <f t="shared" ref="E616" si="235">SUM(E612:E615)</f>
        <v>3029.99</v>
      </c>
      <c r="F616" s="467"/>
      <c r="G616" s="438">
        <v>10080</v>
      </c>
      <c r="H616" s="438">
        <f>SUM(H612:H615)</f>
        <v>7384.65</v>
      </c>
      <c r="I616" s="438">
        <f>SUM(I612:I615)</f>
        <v>10066.25</v>
      </c>
      <c r="J616" s="438">
        <f t="shared" ref="J616" si="236">SUM(J612:J615)</f>
        <v>9920.3100000000013</v>
      </c>
    </row>
    <row r="617" spans="1:10" ht="13.5" customHeight="1" x14ac:dyDescent="0.25">
      <c r="A617" s="1"/>
      <c r="B617" s="1"/>
      <c r="C617" s="1"/>
      <c r="D617" s="437"/>
      <c r="E617" s="437"/>
      <c r="F617" s="466"/>
      <c r="G617" s="437"/>
      <c r="H617" s="437"/>
      <c r="I617" s="437"/>
      <c r="J617" s="437"/>
    </row>
    <row r="618" spans="1:10" ht="13.5" customHeight="1" x14ac:dyDescent="0.25">
      <c r="A618" s="1"/>
      <c r="B618" s="1" t="s">
        <v>715</v>
      </c>
      <c r="C618" s="1" t="s">
        <v>716</v>
      </c>
      <c r="D618" s="437">
        <v>0</v>
      </c>
      <c r="E618" s="439">
        <v>0</v>
      </c>
      <c r="F618" s="466"/>
      <c r="G618" s="439">
        <v>0</v>
      </c>
      <c r="H618" s="439">
        <v>0</v>
      </c>
      <c r="I618" s="440">
        <v>0</v>
      </c>
      <c r="J618" s="440">
        <v>0</v>
      </c>
    </row>
    <row r="619" spans="1:10" ht="13.5" customHeight="1" x14ac:dyDescent="0.25">
      <c r="A619" s="1"/>
      <c r="B619" s="1"/>
      <c r="C619" s="1"/>
      <c r="D619" s="438">
        <v>0</v>
      </c>
      <c r="E619" s="438">
        <f t="shared" ref="E619" si="237">SUM(E618)</f>
        <v>0</v>
      </c>
      <c r="F619" s="467"/>
      <c r="G619" s="438">
        <v>0</v>
      </c>
      <c r="H619" s="438">
        <f>SUM(H618)</f>
        <v>0</v>
      </c>
      <c r="I619" s="438">
        <f>SUM(I618)</f>
        <v>0</v>
      </c>
      <c r="J619" s="438">
        <f t="shared" ref="J619" si="238">SUM(J618)</f>
        <v>0</v>
      </c>
    </row>
    <row r="620" spans="1:10" ht="13.5" customHeight="1" thickBot="1" x14ac:dyDescent="0.3">
      <c r="A620" s="1"/>
      <c r="B620" s="1"/>
      <c r="C620" s="39" t="s">
        <v>717</v>
      </c>
      <c r="D620" s="451">
        <v>761863.03720000002</v>
      </c>
      <c r="E620" s="451">
        <f t="shared" ref="E620" si="239">SUM(E598+E605+E610+E616+E619)</f>
        <v>327385.67000000004</v>
      </c>
      <c r="F620" s="478"/>
      <c r="G620" s="451">
        <v>728811.68</v>
      </c>
      <c r="H620" s="451">
        <f>SUM(H598+H605+H610+H616+H619)</f>
        <v>711295.34</v>
      </c>
      <c r="I620" s="451">
        <f>SUM(I598+I605+I610+I616+I619)</f>
        <v>683625.32000000007</v>
      </c>
      <c r="J620" s="451">
        <f t="shared" ref="J620" si="240">SUM(J598+J605+J610+J616+J619)</f>
        <v>619432.81000000006</v>
      </c>
    </row>
    <row r="621" spans="1:10" ht="13.5" customHeight="1" thickTop="1" x14ac:dyDescent="0.25">
      <c r="A621" s="1"/>
      <c r="B621" s="1"/>
      <c r="C621" s="1"/>
      <c r="D621" s="437"/>
      <c r="E621" s="437"/>
      <c r="F621" s="466"/>
      <c r="G621" s="437"/>
      <c r="H621" s="437"/>
      <c r="I621" s="437"/>
      <c r="J621" s="437"/>
    </row>
    <row r="622" spans="1:10" ht="13.5" customHeight="1" x14ac:dyDescent="0.25">
      <c r="A622" s="1"/>
      <c r="B622" s="1"/>
      <c r="C622" s="14" t="s">
        <v>718</v>
      </c>
      <c r="D622" s="437"/>
      <c r="E622" s="440"/>
      <c r="F622" s="468"/>
      <c r="G622" s="440"/>
      <c r="H622" s="440"/>
      <c r="I622" s="440"/>
      <c r="J622" s="440"/>
    </row>
    <row r="623" spans="1:10" ht="13.5" customHeight="1" x14ac:dyDescent="0.25">
      <c r="A623" s="1"/>
      <c r="B623" s="1" t="s">
        <v>719</v>
      </c>
      <c r="C623" s="1" t="s">
        <v>431</v>
      </c>
      <c r="D623" s="437">
        <v>3700</v>
      </c>
      <c r="E623" s="439">
        <v>0</v>
      </c>
      <c r="F623" s="466">
        <f t="shared" ref="F623:F624" si="241">SUM(E623/G623)</f>
        <v>0</v>
      </c>
      <c r="G623" s="440">
        <v>3700</v>
      </c>
      <c r="H623" s="439">
        <v>0</v>
      </c>
      <c r="I623" s="440">
        <v>0</v>
      </c>
      <c r="J623" s="440">
        <v>0</v>
      </c>
    </row>
    <row r="624" spans="1:10" ht="13.5" customHeight="1" x14ac:dyDescent="0.25">
      <c r="A624" s="1"/>
      <c r="B624" s="1" t="s">
        <v>720</v>
      </c>
      <c r="C624" s="1" t="s">
        <v>352</v>
      </c>
      <c r="D624" s="437">
        <v>6800</v>
      </c>
      <c r="E624" s="439">
        <v>0</v>
      </c>
      <c r="F624" s="466">
        <f t="shared" si="241"/>
        <v>0</v>
      </c>
      <c r="G624" s="440">
        <v>6800</v>
      </c>
      <c r="H624" s="439">
        <v>0</v>
      </c>
      <c r="I624" s="440">
        <v>0</v>
      </c>
      <c r="J624" s="440">
        <v>0</v>
      </c>
    </row>
    <row r="625" spans="1:10" ht="13.5" customHeight="1" thickBot="1" x14ac:dyDescent="0.3">
      <c r="A625" s="1"/>
      <c r="B625" s="1"/>
      <c r="C625" s="39" t="s">
        <v>721</v>
      </c>
      <c r="D625" s="451">
        <v>10500</v>
      </c>
      <c r="E625" s="451">
        <f t="shared" ref="E625" si="242">SUM(E623:E624)</f>
        <v>0</v>
      </c>
      <c r="F625" s="478"/>
      <c r="G625" s="451">
        <v>10500</v>
      </c>
      <c r="H625" s="451">
        <f>SUM(H623:H624)</f>
        <v>0</v>
      </c>
      <c r="I625" s="451">
        <f>SUM(I623:I624)</f>
        <v>0</v>
      </c>
      <c r="J625" s="451">
        <f t="shared" ref="J625" si="243">SUM(J623:J624)</f>
        <v>0</v>
      </c>
    </row>
    <row r="626" spans="1:10" ht="13.5" customHeight="1" thickTop="1" x14ac:dyDescent="0.25">
      <c r="A626" s="1"/>
      <c r="B626" s="1"/>
      <c r="C626" s="1"/>
      <c r="D626" s="437"/>
      <c r="E626" s="440"/>
      <c r="F626" s="468"/>
      <c r="G626" s="440"/>
      <c r="H626" s="440"/>
      <c r="I626" s="440"/>
      <c r="J626" s="440"/>
    </row>
    <row r="627" spans="1:10" ht="13.5" customHeight="1" x14ac:dyDescent="0.25">
      <c r="A627" s="1"/>
      <c r="B627" s="1"/>
      <c r="C627" s="14" t="s">
        <v>722</v>
      </c>
      <c r="D627" s="437"/>
      <c r="E627" s="440"/>
      <c r="F627" s="468"/>
      <c r="G627" s="440"/>
      <c r="H627" s="440"/>
      <c r="I627" s="440"/>
      <c r="J627" s="440"/>
    </row>
    <row r="628" spans="1:10" ht="13.5" customHeight="1" x14ac:dyDescent="0.25">
      <c r="A628" s="1"/>
      <c r="B628" s="1" t="s">
        <v>723</v>
      </c>
      <c r="C628" s="1" t="s">
        <v>437</v>
      </c>
      <c r="D628" s="437">
        <v>63638</v>
      </c>
      <c r="E628" s="437">
        <v>27697.87</v>
      </c>
      <c r="F628" s="466">
        <f t="shared" ref="F628:F629" si="244">SUM(E628/G628)</f>
        <v>0.4653852745480207</v>
      </c>
      <c r="G628" s="437">
        <v>59516</v>
      </c>
      <c r="H628" s="437">
        <v>57907.9</v>
      </c>
      <c r="I628" s="437">
        <v>54724.35</v>
      </c>
      <c r="J628" s="437">
        <v>53522.83</v>
      </c>
    </row>
    <row r="629" spans="1:10" ht="13.5" customHeight="1" x14ac:dyDescent="0.25">
      <c r="A629" s="1"/>
      <c r="B629" s="1" t="s">
        <v>724</v>
      </c>
      <c r="C629" s="1" t="s">
        <v>439</v>
      </c>
      <c r="D629" s="437">
        <v>70843</v>
      </c>
      <c r="E629" s="437">
        <v>30835.040000000001</v>
      </c>
      <c r="F629" s="466">
        <f t="shared" si="244"/>
        <v>0.46539241729050956</v>
      </c>
      <c r="G629" s="437">
        <v>66256</v>
      </c>
      <c r="H629" s="437">
        <v>66766.740000000005</v>
      </c>
      <c r="I629" s="437">
        <v>63147.03</v>
      </c>
      <c r="J629" s="437">
        <v>61358.7</v>
      </c>
    </row>
    <row r="630" spans="1:10" ht="13.5" customHeight="1" x14ac:dyDescent="0.25">
      <c r="A630" s="1"/>
      <c r="B630" s="1" t="s">
        <v>725</v>
      </c>
      <c r="C630" s="1" t="s">
        <v>441</v>
      </c>
      <c r="D630" s="437">
        <v>0</v>
      </c>
      <c r="E630" s="439">
        <v>0</v>
      </c>
      <c r="F630" s="468"/>
      <c r="G630" s="440">
        <v>0</v>
      </c>
      <c r="H630" s="439">
        <v>0</v>
      </c>
      <c r="I630" s="440">
        <v>0</v>
      </c>
      <c r="J630" s="440">
        <v>0</v>
      </c>
    </row>
    <row r="631" spans="1:10" ht="13.5" customHeight="1" x14ac:dyDescent="0.25">
      <c r="A631" s="1"/>
      <c r="B631" s="1" t="s">
        <v>726</v>
      </c>
      <c r="C631" s="1" t="s">
        <v>443</v>
      </c>
      <c r="D631" s="437">
        <v>0</v>
      </c>
      <c r="E631" s="437">
        <v>0</v>
      </c>
      <c r="F631" s="466"/>
      <c r="G631" s="437">
        <v>0</v>
      </c>
      <c r="H631" s="437">
        <v>0</v>
      </c>
      <c r="I631" s="437">
        <v>1554.91</v>
      </c>
      <c r="J631" s="437">
        <v>1420.11</v>
      </c>
    </row>
    <row r="632" spans="1:10" ht="13.5" customHeight="1" x14ac:dyDescent="0.25">
      <c r="A632" s="1"/>
      <c r="B632" s="1" t="s">
        <v>727</v>
      </c>
      <c r="C632" s="1" t="s">
        <v>728</v>
      </c>
      <c r="D632" s="437">
        <v>0</v>
      </c>
      <c r="E632" s="439">
        <v>0</v>
      </c>
      <c r="F632" s="468"/>
      <c r="G632" s="440">
        <v>0</v>
      </c>
      <c r="H632" s="439">
        <v>0</v>
      </c>
      <c r="I632" s="440">
        <v>0</v>
      </c>
      <c r="J632" s="440">
        <v>0</v>
      </c>
    </row>
    <row r="633" spans="1:10" ht="13.5" customHeight="1" x14ac:dyDescent="0.25">
      <c r="A633" s="1"/>
      <c r="B633" s="1"/>
      <c r="C633" s="1"/>
      <c r="D633" s="441">
        <v>134481</v>
      </c>
      <c r="E633" s="441">
        <f t="shared" ref="E633" si="245">SUM(E628:E632)</f>
        <v>58532.91</v>
      </c>
      <c r="F633" s="469"/>
      <c r="G633" s="452">
        <v>125772</v>
      </c>
      <c r="H633" s="441">
        <f>SUM(H628:H632)</f>
        <v>124674.64000000001</v>
      </c>
      <c r="I633" s="441">
        <f>SUM(I628:I632)</f>
        <v>119426.29000000001</v>
      </c>
      <c r="J633" s="441">
        <f t="shared" ref="J633" si="246">SUM(J628:J632)</f>
        <v>116301.64</v>
      </c>
    </row>
    <row r="634" spans="1:10" ht="13.5" customHeight="1" x14ac:dyDescent="0.25">
      <c r="A634" s="1"/>
      <c r="B634" s="1"/>
      <c r="C634" s="1"/>
      <c r="D634" s="440"/>
      <c r="E634" s="440"/>
      <c r="F634" s="468"/>
      <c r="G634" s="440"/>
      <c r="H634" s="440"/>
      <c r="I634" s="440"/>
      <c r="J634" s="440"/>
    </row>
    <row r="635" spans="1:10" ht="13.5" customHeight="1" x14ac:dyDescent="0.25">
      <c r="A635" s="1"/>
      <c r="B635" s="1" t="s">
        <v>729</v>
      </c>
      <c r="C635" s="1" t="s">
        <v>257</v>
      </c>
      <c r="D635" s="437">
        <v>10287.7965</v>
      </c>
      <c r="E635" s="437">
        <v>4211.34</v>
      </c>
      <c r="F635" s="466">
        <f t="shared" ref="F635:F639" si="247">SUM(E635/G635)</f>
        <v>0.43562011117708277</v>
      </c>
      <c r="G635" s="437">
        <v>9667.4599999999991</v>
      </c>
      <c r="H635" s="437">
        <v>9099.5300000000007</v>
      </c>
      <c r="I635" s="437">
        <v>8727.2800000000007</v>
      </c>
      <c r="J635" s="437">
        <v>8573.5400000000009</v>
      </c>
    </row>
    <row r="636" spans="1:10" ht="13.5" customHeight="1" x14ac:dyDescent="0.25">
      <c r="A636" s="1"/>
      <c r="B636" s="1" t="s">
        <v>730</v>
      </c>
      <c r="C636" s="1" t="s">
        <v>259</v>
      </c>
      <c r="D636" s="437">
        <v>31382.654400000003</v>
      </c>
      <c r="E636" s="437">
        <v>15652.92</v>
      </c>
      <c r="F636" s="466">
        <f t="shared" si="247"/>
        <v>0.49865467994890145</v>
      </c>
      <c r="G636" s="437">
        <v>31390.3</v>
      </c>
      <c r="H636" s="437">
        <v>31026.86</v>
      </c>
      <c r="I636" s="437">
        <v>30528.18</v>
      </c>
      <c r="J636" s="437">
        <v>23664.92</v>
      </c>
    </row>
    <row r="637" spans="1:10" ht="13.5" customHeight="1" x14ac:dyDescent="0.25">
      <c r="A637" s="1"/>
      <c r="B637" s="1" t="s">
        <v>731</v>
      </c>
      <c r="C637" s="1" t="s">
        <v>261</v>
      </c>
      <c r="D637" s="437">
        <v>20199.046200000001</v>
      </c>
      <c r="E637" s="437">
        <v>8795.75</v>
      </c>
      <c r="F637" s="466">
        <f t="shared" si="247"/>
        <v>0.46339589917744362</v>
      </c>
      <c r="G637" s="437">
        <v>18981.07</v>
      </c>
      <c r="H637" s="437">
        <v>18816.98</v>
      </c>
      <c r="I637" s="437">
        <v>17444.77</v>
      </c>
      <c r="J637" s="437">
        <v>16859.330000000002</v>
      </c>
    </row>
    <row r="638" spans="1:10" ht="13.5" customHeight="1" x14ac:dyDescent="0.25">
      <c r="A638" s="1"/>
      <c r="B638" s="1" t="s">
        <v>732</v>
      </c>
      <c r="C638" s="1" t="s">
        <v>263</v>
      </c>
      <c r="D638" s="437">
        <v>215.1696</v>
      </c>
      <c r="E638" s="437">
        <v>93.7</v>
      </c>
      <c r="F638" s="466">
        <f t="shared" si="247"/>
        <v>0.4634025717111771</v>
      </c>
      <c r="G638" s="437">
        <v>202.2</v>
      </c>
      <c r="H638" s="437">
        <v>200.48</v>
      </c>
      <c r="I638" s="437">
        <v>192.09</v>
      </c>
      <c r="J638" s="437">
        <v>212.48</v>
      </c>
    </row>
    <row r="639" spans="1:10" ht="13.5" customHeight="1" x14ac:dyDescent="0.25">
      <c r="A639" s="1"/>
      <c r="B639" s="1" t="s">
        <v>733</v>
      </c>
      <c r="C639" s="1" t="s">
        <v>265</v>
      </c>
      <c r="D639" s="437">
        <v>1124.6399999999999</v>
      </c>
      <c r="E639" s="437">
        <v>526.67999999999995</v>
      </c>
      <c r="F639" s="466">
        <f t="shared" si="247"/>
        <v>0.5</v>
      </c>
      <c r="G639" s="437">
        <v>1053.3599999999999</v>
      </c>
      <c r="H639" s="437">
        <v>1011.96</v>
      </c>
      <c r="I639" s="437">
        <v>971.88</v>
      </c>
      <c r="J639" s="437">
        <v>732.04</v>
      </c>
    </row>
    <row r="640" spans="1:10" ht="13.5" customHeight="1" x14ac:dyDescent="0.25">
      <c r="A640" s="1"/>
      <c r="B640" s="1" t="s">
        <v>734</v>
      </c>
      <c r="C640" s="1" t="s">
        <v>735</v>
      </c>
      <c r="D640" s="437">
        <v>0</v>
      </c>
      <c r="E640" s="437">
        <v>50</v>
      </c>
      <c r="F640" s="466"/>
      <c r="G640" s="437">
        <v>0</v>
      </c>
      <c r="H640" s="437">
        <v>600</v>
      </c>
      <c r="I640" s="437">
        <v>600</v>
      </c>
      <c r="J640" s="437">
        <v>600</v>
      </c>
    </row>
    <row r="641" spans="1:10" ht="13.5" customHeight="1" x14ac:dyDescent="0.25">
      <c r="A641" s="1"/>
      <c r="B641" s="1"/>
      <c r="C641" s="1"/>
      <c r="D641" s="438">
        <v>63209.306700000008</v>
      </c>
      <c r="E641" s="438">
        <f t="shared" ref="E641" si="248">SUM(E635:E640)</f>
        <v>29330.390000000003</v>
      </c>
      <c r="F641" s="467"/>
      <c r="G641" s="438">
        <v>61294.39</v>
      </c>
      <c r="H641" s="438">
        <f>SUM(H635:H640)</f>
        <v>60755.81</v>
      </c>
      <c r="I641" s="438">
        <f>SUM(I635:I640)</f>
        <v>58464.19999999999</v>
      </c>
      <c r="J641" s="438">
        <f t="shared" ref="J641" si="249">SUM(J635:J640)</f>
        <v>50642.310000000005</v>
      </c>
    </row>
    <row r="642" spans="1:10" ht="13.5" customHeight="1" x14ac:dyDescent="0.25">
      <c r="A642" s="1"/>
      <c r="B642" s="1"/>
      <c r="C642" s="1"/>
      <c r="D642" s="437"/>
      <c r="E642" s="437"/>
      <c r="F642" s="466"/>
      <c r="G642" s="437"/>
      <c r="H642" s="437"/>
      <c r="I642" s="437"/>
      <c r="J642" s="437"/>
    </row>
    <row r="643" spans="1:10" ht="13.5" customHeight="1" x14ac:dyDescent="0.25">
      <c r="A643" s="1"/>
      <c r="B643" s="1" t="s">
        <v>736</v>
      </c>
      <c r="C643" s="1" t="s">
        <v>267</v>
      </c>
      <c r="D643" s="437">
        <v>1800</v>
      </c>
      <c r="E643" s="437">
        <v>349.66</v>
      </c>
      <c r="F643" s="466">
        <f t="shared" ref="F643:F645" si="250">SUM(E643/G643)</f>
        <v>0.19425555555555557</v>
      </c>
      <c r="G643" s="437">
        <v>1800</v>
      </c>
      <c r="H643" s="437">
        <v>925.14</v>
      </c>
      <c r="I643" s="437">
        <v>2240.33</v>
      </c>
      <c r="J643" s="437">
        <v>1196.75</v>
      </c>
    </row>
    <row r="644" spans="1:10" ht="13.5" customHeight="1" x14ac:dyDescent="0.25">
      <c r="A644" s="1"/>
      <c r="B644" s="1" t="s">
        <v>737</v>
      </c>
      <c r="C644" s="1" t="s">
        <v>269</v>
      </c>
      <c r="D644" s="437">
        <v>1600</v>
      </c>
      <c r="E644" s="437">
        <v>585.55999999999995</v>
      </c>
      <c r="F644" s="466">
        <f t="shared" si="250"/>
        <v>0.36597499999999994</v>
      </c>
      <c r="G644" s="437">
        <v>1600</v>
      </c>
      <c r="H644" s="437">
        <v>1069.3499999999999</v>
      </c>
      <c r="I644" s="437">
        <v>1184.2</v>
      </c>
      <c r="J644" s="437">
        <v>1624.85</v>
      </c>
    </row>
    <row r="645" spans="1:10" ht="13.5" customHeight="1" x14ac:dyDescent="0.25">
      <c r="A645" s="1"/>
      <c r="B645" s="1" t="s">
        <v>738</v>
      </c>
      <c r="C645" s="1" t="s">
        <v>492</v>
      </c>
      <c r="D645" s="437">
        <v>250</v>
      </c>
      <c r="E645" s="439">
        <v>0</v>
      </c>
      <c r="F645" s="466">
        <f t="shared" si="250"/>
        <v>0</v>
      </c>
      <c r="G645" s="440">
        <v>250</v>
      </c>
      <c r="H645" s="439">
        <v>0</v>
      </c>
      <c r="I645" s="439">
        <v>73.75</v>
      </c>
      <c r="J645" s="440">
        <v>0</v>
      </c>
    </row>
    <row r="646" spans="1:10" ht="13.5" customHeight="1" x14ac:dyDescent="0.25">
      <c r="A646" s="1"/>
      <c r="B646" s="1" t="s">
        <v>739</v>
      </c>
      <c r="C646" s="1" t="s">
        <v>455</v>
      </c>
      <c r="D646" s="437">
        <v>250</v>
      </c>
      <c r="E646" s="439">
        <v>0</v>
      </c>
      <c r="F646" s="466"/>
      <c r="G646" s="440">
        <v>0</v>
      </c>
      <c r="H646" s="439">
        <v>502.54</v>
      </c>
      <c r="I646" s="439">
        <v>0</v>
      </c>
      <c r="J646" s="437">
        <v>281.44</v>
      </c>
    </row>
    <row r="647" spans="1:10" ht="13.5" customHeight="1" x14ac:dyDescent="0.25">
      <c r="A647" s="1"/>
      <c r="B647" s="1" t="s">
        <v>740</v>
      </c>
      <c r="C647" s="1" t="s">
        <v>741</v>
      </c>
      <c r="D647" s="437">
        <v>200</v>
      </c>
      <c r="E647" s="437">
        <v>445.61</v>
      </c>
      <c r="F647" s="466">
        <f>SUM(E647/G647)</f>
        <v>2.2280500000000001</v>
      </c>
      <c r="G647" s="437">
        <v>200</v>
      </c>
      <c r="H647" s="437">
        <v>421.53</v>
      </c>
      <c r="I647" s="437">
        <v>118.18</v>
      </c>
      <c r="J647" s="440">
        <v>0</v>
      </c>
    </row>
    <row r="648" spans="1:10" ht="13.5" customHeight="1" x14ac:dyDescent="0.25">
      <c r="A648" s="1"/>
      <c r="B648" s="1"/>
      <c r="C648" s="1"/>
      <c r="D648" s="438">
        <v>4100</v>
      </c>
      <c r="E648" s="438">
        <f t="shared" ref="E648" si="251">SUM(E643:E647)</f>
        <v>1380.83</v>
      </c>
      <c r="F648" s="467"/>
      <c r="G648" s="438">
        <v>3850</v>
      </c>
      <c r="H648" s="438">
        <f>SUM(H643:H647)</f>
        <v>2918.5599999999995</v>
      </c>
      <c r="I648" s="438">
        <f>SUM(I643:I647)</f>
        <v>3616.4599999999996</v>
      </c>
      <c r="J648" s="438">
        <f t="shared" ref="J648" si="252">SUM(J643:J647)</f>
        <v>3103.04</v>
      </c>
    </row>
    <row r="649" spans="1:10" ht="13.5" customHeight="1" x14ac:dyDescent="0.25">
      <c r="A649" s="1"/>
      <c r="B649" s="1"/>
      <c r="C649" s="1"/>
      <c r="D649" s="437"/>
      <c r="E649" s="437"/>
      <c r="F649" s="466"/>
      <c r="G649" s="437"/>
      <c r="H649" s="437"/>
      <c r="I649" s="437"/>
      <c r="J649" s="440"/>
    </row>
    <row r="650" spans="1:10" ht="13.5" customHeight="1" x14ac:dyDescent="0.25">
      <c r="A650" s="1"/>
      <c r="B650" s="1" t="s">
        <v>742</v>
      </c>
      <c r="C650" s="28" t="s">
        <v>743</v>
      </c>
      <c r="D650" s="437">
        <v>500</v>
      </c>
      <c r="E650" s="437">
        <v>155.51</v>
      </c>
      <c r="F650" s="466">
        <f t="shared" ref="F650:F652" si="253">SUM(E650/G650)</f>
        <v>0.31101999999999996</v>
      </c>
      <c r="G650" s="437">
        <v>500</v>
      </c>
      <c r="H650" s="437">
        <v>184.75</v>
      </c>
      <c r="I650" s="437">
        <v>275.75</v>
      </c>
      <c r="J650" s="437">
        <v>401.82</v>
      </c>
    </row>
    <row r="651" spans="1:10" ht="13.5" customHeight="1" x14ac:dyDescent="0.25">
      <c r="A651" s="1"/>
      <c r="B651" s="1" t="s">
        <v>744</v>
      </c>
      <c r="C651" s="28" t="s">
        <v>426</v>
      </c>
      <c r="D651" s="437">
        <v>1800</v>
      </c>
      <c r="E651" s="437">
        <v>1063.69</v>
      </c>
      <c r="F651" s="466">
        <f t="shared" si="253"/>
        <v>0.5909388888888889</v>
      </c>
      <c r="G651" s="437">
        <v>1800</v>
      </c>
      <c r="H651" s="437">
        <v>0</v>
      </c>
      <c r="I651" s="437">
        <v>2664.82</v>
      </c>
      <c r="J651" s="437">
        <v>511.59</v>
      </c>
    </row>
    <row r="652" spans="1:10" ht="13.5" customHeight="1" x14ac:dyDescent="0.25">
      <c r="A652" s="1"/>
      <c r="B652" s="1" t="s">
        <v>745</v>
      </c>
      <c r="C652" s="1" t="s">
        <v>285</v>
      </c>
      <c r="D652" s="437">
        <v>200</v>
      </c>
      <c r="E652" s="437">
        <v>160</v>
      </c>
      <c r="F652" s="466">
        <f t="shared" si="253"/>
        <v>0.8</v>
      </c>
      <c r="G652" s="437">
        <v>200</v>
      </c>
      <c r="H652" s="437">
        <v>60</v>
      </c>
      <c r="I652" s="437">
        <v>160</v>
      </c>
      <c r="J652" s="437">
        <v>60</v>
      </c>
    </row>
    <row r="653" spans="1:10" ht="13.5" customHeight="1" x14ac:dyDescent="0.25">
      <c r="A653" s="1"/>
      <c r="B653" s="1" t="s">
        <v>746</v>
      </c>
      <c r="C653" s="1" t="s">
        <v>287</v>
      </c>
      <c r="D653" s="437">
        <v>0</v>
      </c>
      <c r="E653" s="437">
        <v>0</v>
      </c>
      <c r="F653" s="466"/>
      <c r="G653" s="437">
        <v>0</v>
      </c>
      <c r="H653" s="437">
        <v>0</v>
      </c>
      <c r="I653" s="437">
        <v>177.5</v>
      </c>
      <c r="J653" s="437">
        <v>142</v>
      </c>
    </row>
    <row r="654" spans="1:10" ht="13.5" customHeight="1" x14ac:dyDescent="0.25">
      <c r="A654" s="1"/>
      <c r="B654" s="1" t="s">
        <v>747</v>
      </c>
      <c r="C654" s="1" t="s">
        <v>289</v>
      </c>
      <c r="D654" s="437">
        <v>2200</v>
      </c>
      <c r="E654" s="437">
        <v>1367.84</v>
      </c>
      <c r="F654" s="466">
        <f>SUM(E654/G654)</f>
        <v>0.62174545454545449</v>
      </c>
      <c r="G654" s="437">
        <v>2200</v>
      </c>
      <c r="H654" s="437">
        <v>2728.42</v>
      </c>
      <c r="I654" s="437">
        <v>1784.74</v>
      </c>
      <c r="J654" s="437">
        <v>1851.45</v>
      </c>
    </row>
    <row r="655" spans="1:10" ht="13.5" customHeight="1" x14ac:dyDescent="0.25">
      <c r="A655" s="1"/>
      <c r="B655" s="1"/>
      <c r="C655" s="1"/>
      <c r="D655" s="438">
        <v>4700</v>
      </c>
      <c r="E655" s="438">
        <f t="shared" ref="E655" si="254">SUM(E650:E654)</f>
        <v>2747.04</v>
      </c>
      <c r="F655" s="467"/>
      <c r="G655" s="438">
        <v>4700</v>
      </c>
      <c r="H655" s="438">
        <f>SUM(H650:H654)</f>
        <v>2973.17</v>
      </c>
      <c r="I655" s="438">
        <f>SUM(I650:I654)</f>
        <v>5062.8100000000004</v>
      </c>
      <c r="J655" s="438">
        <f t="shared" ref="J655" si="255">SUM(J650:J654)</f>
        <v>2966.8599999999997</v>
      </c>
    </row>
    <row r="656" spans="1:10" ht="13.5" customHeight="1" thickBot="1" x14ac:dyDescent="0.3">
      <c r="A656" s="1"/>
      <c r="B656" s="1"/>
      <c r="C656" s="39" t="s">
        <v>748</v>
      </c>
      <c r="D656" s="451">
        <v>206490.30670000002</v>
      </c>
      <c r="E656" s="451">
        <f t="shared" ref="E656" si="256">SUM(E633+E641+E648+E655)</f>
        <v>91991.17</v>
      </c>
      <c r="F656" s="478"/>
      <c r="G656" s="451">
        <v>195616.39</v>
      </c>
      <c r="H656" s="451">
        <f>SUM(H633+H641+H648+H655)</f>
        <v>191322.18000000002</v>
      </c>
      <c r="I656" s="451">
        <f>SUM(I633+I641+I648+I655)</f>
        <v>186569.75999999998</v>
      </c>
      <c r="J656" s="451">
        <f t="shared" ref="J656" si="257">SUM(J633+J641+J648+J655)</f>
        <v>173013.85</v>
      </c>
    </row>
    <row r="657" spans="1:10" ht="13.5" customHeight="1" thickTop="1" x14ac:dyDescent="0.25">
      <c r="A657" s="1"/>
      <c r="B657" s="1"/>
      <c r="C657" s="1"/>
      <c r="D657" s="437"/>
      <c r="E657" s="437"/>
      <c r="F657" s="466"/>
      <c r="G657" s="437"/>
      <c r="H657" s="437"/>
      <c r="I657" s="437"/>
      <c r="J657" s="437"/>
    </row>
    <row r="658" spans="1:10" ht="13.5" customHeight="1" x14ac:dyDescent="0.25">
      <c r="A658" s="1"/>
      <c r="B658" s="1"/>
      <c r="C658" s="14" t="s">
        <v>749</v>
      </c>
      <c r="D658" s="437"/>
      <c r="E658" s="437"/>
      <c r="F658" s="466"/>
      <c r="G658" s="437"/>
      <c r="H658" s="437"/>
      <c r="I658" s="437"/>
      <c r="J658" s="437"/>
    </row>
    <row r="659" spans="1:10" ht="13.5" customHeight="1" x14ac:dyDescent="0.25">
      <c r="A659" s="1"/>
      <c r="B659" s="1" t="s">
        <v>750</v>
      </c>
      <c r="C659" s="1" t="s">
        <v>437</v>
      </c>
      <c r="D659" s="437">
        <v>61367</v>
      </c>
      <c r="E659" s="437">
        <v>27199.35</v>
      </c>
      <c r="F659" s="466">
        <f t="shared" ref="F659:F660" si="258">SUM(E659/G659)</f>
        <v>0.46538369407134911</v>
      </c>
      <c r="G659" s="437">
        <v>58445</v>
      </c>
      <c r="H659" s="437">
        <v>57870.82</v>
      </c>
      <c r="I659" s="437">
        <v>54724.35</v>
      </c>
      <c r="J659" s="437">
        <v>53522.83</v>
      </c>
    </row>
    <row r="660" spans="1:10" ht="13.5" customHeight="1" x14ac:dyDescent="0.25">
      <c r="A660" s="1"/>
      <c r="B660" s="1" t="s">
        <v>751</v>
      </c>
      <c r="C660" s="1" t="s">
        <v>439</v>
      </c>
      <c r="D660" s="437">
        <v>76887</v>
      </c>
      <c r="E660" s="437">
        <v>33465.82</v>
      </c>
      <c r="F660" s="466">
        <f t="shared" si="258"/>
        <v>0.45702100346871327</v>
      </c>
      <c r="G660" s="437">
        <v>73226</v>
      </c>
      <c r="H660" s="437">
        <v>72463.17</v>
      </c>
      <c r="I660" s="437">
        <v>63296.93</v>
      </c>
      <c r="J660" s="437">
        <v>61757.42</v>
      </c>
    </row>
    <row r="661" spans="1:10" ht="13.5" hidden="1" customHeight="1" x14ac:dyDescent="0.25">
      <c r="A661" s="1"/>
      <c r="B661" s="22" t="s">
        <v>752</v>
      </c>
      <c r="C661" s="22" t="s">
        <v>443</v>
      </c>
      <c r="D661" s="437">
        <v>0</v>
      </c>
      <c r="E661" s="437">
        <v>0</v>
      </c>
      <c r="F661" s="466"/>
      <c r="G661" s="437">
        <v>0</v>
      </c>
      <c r="H661" s="437">
        <v>0</v>
      </c>
      <c r="I661" s="437">
        <v>8381.4500000000007</v>
      </c>
      <c r="J661" s="437">
        <v>7083.07</v>
      </c>
    </row>
    <row r="662" spans="1:10" ht="13.5" customHeight="1" x14ac:dyDescent="0.25">
      <c r="A662" s="1"/>
      <c r="B662" s="1"/>
      <c r="C662" s="1"/>
      <c r="D662" s="438">
        <v>138254</v>
      </c>
      <c r="E662" s="438">
        <f t="shared" ref="E662" si="259">SUM(E659:E661)</f>
        <v>60665.17</v>
      </c>
      <c r="F662" s="467"/>
      <c r="G662" s="438">
        <v>131671</v>
      </c>
      <c r="H662" s="438">
        <f>SUM(H659:H661)</f>
        <v>130333.98999999999</v>
      </c>
      <c r="I662" s="438">
        <f>SUM(I659:I661)</f>
        <v>126402.73</v>
      </c>
      <c r="J662" s="438">
        <f t="shared" ref="J662" si="260">SUM(J659:J661)</f>
        <v>122363.32</v>
      </c>
    </row>
    <row r="663" spans="1:10" ht="13.5" customHeight="1" x14ac:dyDescent="0.25">
      <c r="A663" s="1"/>
      <c r="B663" s="1"/>
      <c r="C663" s="1"/>
      <c r="D663" s="437"/>
      <c r="E663" s="437"/>
      <c r="F663" s="466"/>
      <c r="G663" s="437"/>
      <c r="H663" s="437"/>
      <c r="I663" s="437"/>
      <c r="J663" s="437"/>
    </row>
    <row r="664" spans="1:10" ht="13.5" customHeight="1" x14ac:dyDescent="0.25">
      <c r="A664" s="1"/>
      <c r="B664" s="1" t="s">
        <v>753</v>
      </c>
      <c r="C664" s="1" t="s">
        <v>257</v>
      </c>
      <c r="D664" s="437">
        <v>10576.431</v>
      </c>
      <c r="E664" s="437">
        <v>3941.17</v>
      </c>
      <c r="F664" s="466">
        <f t="shared" ref="F664:F668" si="261">SUM(E664/G664)</f>
        <v>0.38397688093182042</v>
      </c>
      <c r="G664" s="437">
        <v>10264.081499999998</v>
      </c>
      <c r="H664" s="437">
        <v>8577.4500000000007</v>
      </c>
      <c r="I664" s="437">
        <v>8273.99</v>
      </c>
      <c r="J664" s="437">
        <v>7986.66</v>
      </c>
    </row>
    <row r="665" spans="1:10" ht="13.5" customHeight="1" x14ac:dyDescent="0.25">
      <c r="A665" s="1"/>
      <c r="B665" s="1" t="s">
        <v>754</v>
      </c>
      <c r="C665" s="1" t="s">
        <v>259</v>
      </c>
      <c r="D665" s="437">
        <v>31382.654400000003</v>
      </c>
      <c r="E665" s="437">
        <v>15775.44</v>
      </c>
      <c r="F665" s="466">
        <f t="shared" si="261"/>
        <v>0.50255779651675836</v>
      </c>
      <c r="G665" s="437">
        <v>31390.3</v>
      </c>
      <c r="H665" s="437">
        <v>31227.94</v>
      </c>
      <c r="I665" s="437">
        <v>30528.18</v>
      </c>
      <c r="J665" s="437">
        <v>30419.75</v>
      </c>
    </row>
    <row r="666" spans="1:10" ht="13.5" customHeight="1" x14ac:dyDescent="0.25">
      <c r="A666" s="1"/>
      <c r="B666" s="1" t="s">
        <v>755</v>
      </c>
      <c r="C666" s="1" t="s">
        <v>261</v>
      </c>
      <c r="D666" s="437">
        <v>20765.750799999998</v>
      </c>
      <c r="E666" s="437">
        <v>9111.89</v>
      </c>
      <c r="F666" s="466">
        <f t="shared" si="261"/>
        <v>0.45214732876549185</v>
      </c>
      <c r="G666" s="437">
        <v>20152.48</v>
      </c>
      <c r="H666" s="437">
        <v>19576.150000000001</v>
      </c>
      <c r="I666" s="437">
        <v>18371.12</v>
      </c>
      <c r="J666" s="437">
        <v>17719.490000000002</v>
      </c>
    </row>
    <row r="667" spans="1:10" ht="13.5" customHeight="1" x14ac:dyDescent="0.25">
      <c r="A667" s="1"/>
      <c r="B667" s="1" t="s">
        <v>756</v>
      </c>
      <c r="C667" s="1" t="s">
        <v>263</v>
      </c>
      <c r="D667" s="437">
        <v>221.2064</v>
      </c>
      <c r="E667" s="437">
        <v>97.08</v>
      </c>
      <c r="F667" s="466">
        <f t="shared" si="261"/>
        <v>0.45222141893553741</v>
      </c>
      <c r="G667" s="437">
        <v>214.67360000000002</v>
      </c>
      <c r="H667" s="437">
        <v>208.57</v>
      </c>
      <c r="I667" s="437">
        <v>202.26</v>
      </c>
      <c r="J667" s="437">
        <v>223.92</v>
      </c>
    </row>
    <row r="668" spans="1:10" ht="13.5" customHeight="1" x14ac:dyDescent="0.25">
      <c r="A668" s="1"/>
      <c r="B668" s="1" t="s">
        <v>757</v>
      </c>
      <c r="C668" s="1" t="s">
        <v>265</v>
      </c>
      <c r="D668" s="437">
        <v>1124.6399999999999</v>
      </c>
      <c r="E668" s="437">
        <v>526.67999999999995</v>
      </c>
      <c r="F668" s="466">
        <f t="shared" si="261"/>
        <v>0.5</v>
      </c>
      <c r="G668" s="437">
        <v>1053.3599999999999</v>
      </c>
      <c r="H668" s="437">
        <v>1011.96</v>
      </c>
      <c r="I668" s="437">
        <v>971.88</v>
      </c>
      <c r="J668" s="437">
        <v>939.72</v>
      </c>
    </row>
    <row r="669" spans="1:10" ht="13.5" customHeight="1" x14ac:dyDescent="0.25">
      <c r="A669" s="1"/>
      <c r="B669" s="1"/>
      <c r="C669" s="1"/>
      <c r="D669" s="438">
        <v>64070.682600000007</v>
      </c>
      <c r="E669" s="438">
        <f t="shared" ref="E669" si="262">SUM(E664:E668)</f>
        <v>29452.260000000002</v>
      </c>
      <c r="F669" s="467"/>
      <c r="G669" s="438">
        <v>63074.9</v>
      </c>
      <c r="H669" s="438">
        <f>SUM(H664:H668)</f>
        <v>60602.07</v>
      </c>
      <c r="I669" s="438">
        <f>SUM(I664:I668)</f>
        <v>58347.429999999993</v>
      </c>
      <c r="J669" s="438">
        <f t="shared" ref="J669" si="263">SUM(J664:J668)</f>
        <v>57289.540000000008</v>
      </c>
    </row>
    <row r="670" spans="1:10" ht="13.5" customHeight="1" x14ac:dyDescent="0.25">
      <c r="A670" s="1"/>
      <c r="B670" s="1"/>
      <c r="C670" s="1"/>
      <c r="D670" s="437"/>
      <c r="E670" s="437"/>
      <c r="F670" s="466"/>
      <c r="G670" s="437"/>
      <c r="H670" s="437"/>
      <c r="I670" s="437"/>
      <c r="J670" s="437"/>
    </row>
    <row r="671" spans="1:10" ht="13.5" customHeight="1" x14ac:dyDescent="0.25">
      <c r="A671" s="1"/>
      <c r="B671" s="1" t="s">
        <v>758</v>
      </c>
      <c r="C671" s="1" t="s">
        <v>267</v>
      </c>
      <c r="D671" s="437">
        <v>1800</v>
      </c>
      <c r="E671" s="437">
        <v>1483.46</v>
      </c>
      <c r="F671" s="466">
        <f t="shared" ref="F671:F673" si="264">SUM(E671/G671)</f>
        <v>0.82414444444444446</v>
      </c>
      <c r="G671" s="437">
        <v>1800</v>
      </c>
      <c r="H671" s="437">
        <v>3082.94</v>
      </c>
      <c r="I671" s="437">
        <v>2316.71</v>
      </c>
      <c r="J671" s="437">
        <v>2423.91</v>
      </c>
    </row>
    <row r="672" spans="1:10" ht="13.5" customHeight="1" x14ac:dyDescent="0.25">
      <c r="A672" s="1"/>
      <c r="B672" s="1" t="s">
        <v>759</v>
      </c>
      <c r="C672" s="1" t="s">
        <v>269</v>
      </c>
      <c r="D672" s="437">
        <v>1900</v>
      </c>
      <c r="E672" s="437">
        <v>1163.8800000000001</v>
      </c>
      <c r="F672" s="466">
        <f t="shared" si="264"/>
        <v>0.61256842105263165</v>
      </c>
      <c r="G672" s="437">
        <v>1900</v>
      </c>
      <c r="H672" s="437">
        <v>1899.43</v>
      </c>
      <c r="I672" s="437">
        <v>1624</v>
      </c>
      <c r="J672" s="437">
        <v>1876.92</v>
      </c>
    </row>
    <row r="673" spans="1:10" ht="13.5" customHeight="1" x14ac:dyDescent="0.25">
      <c r="A673" s="1"/>
      <c r="B673" s="1" t="s">
        <v>760</v>
      </c>
      <c r="C673" s="1" t="s">
        <v>492</v>
      </c>
      <c r="D673" s="437">
        <v>250</v>
      </c>
      <c r="E673" s="439">
        <v>0</v>
      </c>
      <c r="F673" s="466">
        <f t="shared" si="264"/>
        <v>0</v>
      </c>
      <c r="G673" s="440">
        <v>250</v>
      </c>
      <c r="H673" s="439">
        <v>0</v>
      </c>
      <c r="I673" s="439">
        <v>0</v>
      </c>
      <c r="J673" s="440">
        <v>0</v>
      </c>
    </row>
    <row r="674" spans="1:10" ht="13.5" customHeight="1" x14ac:dyDescent="0.25">
      <c r="A674" s="1"/>
      <c r="B674" s="22" t="s">
        <v>761</v>
      </c>
      <c r="C674" s="22" t="s">
        <v>275</v>
      </c>
      <c r="D674" s="437">
        <v>0</v>
      </c>
      <c r="E674" s="439">
        <v>0</v>
      </c>
      <c r="F674" s="468"/>
      <c r="G674" s="439">
        <v>0</v>
      </c>
      <c r="H674" s="439">
        <v>786.7</v>
      </c>
      <c r="I674" s="439">
        <v>0</v>
      </c>
      <c r="J674" s="440">
        <v>0</v>
      </c>
    </row>
    <row r="675" spans="1:10" ht="13.5" customHeight="1" x14ac:dyDescent="0.25">
      <c r="A675" s="1"/>
      <c r="B675" s="1"/>
      <c r="C675" s="1"/>
      <c r="D675" s="438">
        <v>3950</v>
      </c>
      <c r="E675" s="438">
        <f t="shared" ref="E675" si="265">SUM(E671:E674)</f>
        <v>2647.34</v>
      </c>
      <c r="F675" s="467"/>
      <c r="G675" s="438">
        <v>3950</v>
      </c>
      <c r="H675" s="438">
        <f>SUM(H671:H674)</f>
        <v>5769.07</v>
      </c>
      <c r="I675" s="438">
        <f>SUM(I671:I674)</f>
        <v>3940.71</v>
      </c>
      <c r="J675" s="438">
        <f t="shared" ref="J675" si="266">SUM(J671:J674)</f>
        <v>4300.83</v>
      </c>
    </row>
    <row r="676" spans="1:10" ht="13.5" customHeight="1" x14ac:dyDescent="0.25">
      <c r="A676" s="1"/>
      <c r="B676" s="1"/>
      <c r="C676" s="1"/>
      <c r="D676" s="437"/>
      <c r="E676" s="440"/>
      <c r="F676" s="468"/>
      <c r="G676" s="440"/>
      <c r="H676" s="440"/>
      <c r="I676" s="440"/>
      <c r="J676" s="440"/>
    </row>
    <row r="677" spans="1:10" ht="13.5" customHeight="1" x14ac:dyDescent="0.25">
      <c r="A677" s="1"/>
      <c r="B677" s="1" t="s">
        <v>762</v>
      </c>
      <c r="C677" s="1" t="s">
        <v>329</v>
      </c>
      <c r="D677" s="437">
        <v>1200</v>
      </c>
      <c r="E677" s="437">
        <v>430.71</v>
      </c>
      <c r="F677" s="466">
        <f t="shared" ref="F677:F682" si="267">SUM(E677/G677)</f>
        <v>0.35892499999999999</v>
      </c>
      <c r="G677" s="437">
        <v>1200</v>
      </c>
      <c r="H677" s="437">
        <v>738.36</v>
      </c>
      <c r="I677" s="437">
        <v>1171.05</v>
      </c>
      <c r="J677" s="437">
        <v>1219.68</v>
      </c>
    </row>
    <row r="678" spans="1:10" ht="13.5" customHeight="1" x14ac:dyDescent="0.25">
      <c r="A678" s="1"/>
      <c r="B678" s="1" t="s">
        <v>763</v>
      </c>
      <c r="C678" s="1" t="s">
        <v>764</v>
      </c>
      <c r="D678" s="437">
        <v>1300</v>
      </c>
      <c r="E678" s="437">
        <v>551.05999999999995</v>
      </c>
      <c r="F678" s="466">
        <f t="shared" si="267"/>
        <v>0.42389230769230762</v>
      </c>
      <c r="G678" s="437">
        <v>1300</v>
      </c>
      <c r="H678" s="437">
        <v>948.33</v>
      </c>
      <c r="I678" s="437">
        <v>1097.94</v>
      </c>
      <c r="J678" s="437">
        <v>1103.26</v>
      </c>
    </row>
    <row r="679" spans="1:10" ht="13.5" customHeight="1" x14ac:dyDescent="0.25">
      <c r="A679" s="1"/>
      <c r="B679" s="1" t="s">
        <v>765</v>
      </c>
      <c r="C679" s="1" t="s">
        <v>426</v>
      </c>
      <c r="D679" s="437">
        <v>1800</v>
      </c>
      <c r="E679" s="437">
        <v>150</v>
      </c>
      <c r="F679" s="466">
        <f t="shared" si="267"/>
        <v>8.3333333333333329E-2</v>
      </c>
      <c r="G679" s="437">
        <v>1800</v>
      </c>
      <c r="H679" s="437">
        <v>0</v>
      </c>
      <c r="I679" s="437">
        <v>1161.5999999999999</v>
      </c>
      <c r="J679" s="437">
        <v>820.05</v>
      </c>
    </row>
    <row r="680" spans="1:10" ht="13.5" customHeight="1" x14ac:dyDescent="0.25">
      <c r="A680" s="1"/>
      <c r="B680" s="1" t="s">
        <v>766</v>
      </c>
      <c r="C680" s="1" t="s">
        <v>285</v>
      </c>
      <c r="D680" s="437">
        <v>100</v>
      </c>
      <c r="E680" s="439">
        <v>0</v>
      </c>
      <c r="F680" s="466">
        <f t="shared" si="267"/>
        <v>0</v>
      </c>
      <c r="G680" s="440">
        <v>100</v>
      </c>
      <c r="H680" s="439">
        <v>0</v>
      </c>
      <c r="I680" s="440">
        <v>0</v>
      </c>
      <c r="J680" s="440">
        <v>0</v>
      </c>
    </row>
    <row r="681" spans="1:10" ht="13.5" customHeight="1" x14ac:dyDescent="0.25">
      <c r="A681" s="1"/>
      <c r="B681" s="1" t="s">
        <v>767</v>
      </c>
      <c r="C681" s="1" t="s">
        <v>287</v>
      </c>
      <c r="D681" s="437">
        <v>178</v>
      </c>
      <c r="E681" s="437">
        <v>0</v>
      </c>
      <c r="F681" s="466">
        <f t="shared" si="267"/>
        <v>0</v>
      </c>
      <c r="G681" s="437">
        <v>178</v>
      </c>
      <c r="H681" s="437">
        <v>0</v>
      </c>
      <c r="I681" s="437">
        <v>177.5</v>
      </c>
      <c r="J681" s="440">
        <v>0</v>
      </c>
    </row>
    <row r="682" spans="1:10" ht="13.5" customHeight="1" x14ac:dyDescent="0.25">
      <c r="A682" s="1"/>
      <c r="B682" s="1" t="s">
        <v>768</v>
      </c>
      <c r="C682" s="1" t="s">
        <v>289</v>
      </c>
      <c r="D682" s="437">
        <v>1500</v>
      </c>
      <c r="E682" s="437">
        <v>686</v>
      </c>
      <c r="F682" s="466">
        <f t="shared" si="267"/>
        <v>0.45733333333333331</v>
      </c>
      <c r="G682" s="437">
        <v>1500</v>
      </c>
      <c r="H682" s="437">
        <v>1225</v>
      </c>
      <c r="I682" s="437">
        <v>1176</v>
      </c>
      <c r="J682" s="437">
        <v>1176</v>
      </c>
    </row>
    <row r="683" spans="1:10" ht="13.5" customHeight="1" x14ac:dyDescent="0.25">
      <c r="A683" s="1"/>
      <c r="B683" s="1"/>
      <c r="C683" s="1"/>
      <c r="D683" s="438">
        <v>6078</v>
      </c>
      <c r="E683" s="438">
        <f t="shared" ref="E683" si="268">SUM(E677:E682)</f>
        <v>1817.77</v>
      </c>
      <c r="F683" s="467"/>
      <c r="G683" s="438">
        <v>6078</v>
      </c>
      <c r="H683" s="438">
        <f>SUM(H677:H682)</f>
        <v>2911.69</v>
      </c>
      <c r="I683" s="438">
        <f>SUM(I677:I682)</f>
        <v>4784.09</v>
      </c>
      <c r="J683" s="438">
        <f t="shared" ref="J683" si="269">SUM(J677:J682)</f>
        <v>4318.99</v>
      </c>
    </row>
    <row r="684" spans="1:10" ht="13.5" customHeight="1" thickBot="1" x14ac:dyDescent="0.3">
      <c r="A684" s="1"/>
      <c r="B684" s="1"/>
      <c r="C684" s="39" t="s">
        <v>769</v>
      </c>
      <c r="D684" s="451">
        <v>212352.6826</v>
      </c>
      <c r="E684" s="451">
        <f t="shared" ref="E684" si="270">SUM(E662+E669+E675+E683)</f>
        <v>94582.54</v>
      </c>
      <c r="F684" s="478"/>
      <c r="G684" s="451">
        <v>204773.9</v>
      </c>
      <c r="H684" s="451">
        <f>SUM(H662+H669+H675+H683)</f>
        <v>199616.82</v>
      </c>
      <c r="I684" s="451">
        <f>SUM(I662+I669+I675+I683)</f>
        <v>193474.95999999996</v>
      </c>
      <c r="J684" s="451">
        <f t="shared" ref="J684" si="271">SUM(J662+J669+J675+J683)</f>
        <v>188272.68</v>
      </c>
    </row>
    <row r="685" spans="1:10" ht="13.5" customHeight="1" thickTop="1" x14ac:dyDescent="0.25">
      <c r="A685" s="1"/>
      <c r="B685" s="1"/>
      <c r="C685" s="1"/>
      <c r="D685" s="437"/>
      <c r="E685" s="437"/>
      <c r="F685" s="466"/>
      <c r="G685" s="437"/>
      <c r="H685" s="437"/>
      <c r="I685" s="437"/>
      <c r="J685" s="437"/>
    </row>
    <row r="686" spans="1:10" ht="13.5" customHeight="1" x14ac:dyDescent="0.25">
      <c r="A686" s="1"/>
      <c r="B686" s="1"/>
      <c r="C686" s="14" t="s">
        <v>770</v>
      </c>
      <c r="D686" s="437"/>
      <c r="E686" s="437"/>
      <c r="F686" s="466"/>
      <c r="G686" s="437"/>
      <c r="H686" s="437"/>
      <c r="I686" s="437"/>
      <c r="J686" s="437"/>
    </row>
    <row r="687" spans="1:10" ht="13.5" customHeight="1" x14ac:dyDescent="0.25">
      <c r="A687" s="1"/>
      <c r="B687" s="1" t="s">
        <v>771</v>
      </c>
      <c r="C687" s="1" t="s">
        <v>437</v>
      </c>
      <c r="D687" s="437">
        <v>61367</v>
      </c>
      <c r="E687" s="437">
        <v>27199.35</v>
      </c>
      <c r="F687" s="466">
        <f t="shared" ref="F687:F688" si="272">SUM(E687/G687)</f>
        <v>0.46538369407134911</v>
      </c>
      <c r="G687" s="437">
        <v>58445</v>
      </c>
      <c r="H687" s="437">
        <v>57870.82</v>
      </c>
      <c r="I687" s="437">
        <v>54724.35</v>
      </c>
      <c r="J687" s="437">
        <v>53522.83</v>
      </c>
    </row>
    <row r="688" spans="1:10" ht="13.5" customHeight="1" x14ac:dyDescent="0.25">
      <c r="A688" s="1"/>
      <c r="B688" s="1" t="s">
        <v>772</v>
      </c>
      <c r="C688" s="1" t="s">
        <v>439</v>
      </c>
      <c r="D688" s="437">
        <v>39859</v>
      </c>
      <c r="E688" s="437">
        <v>17348.62</v>
      </c>
      <c r="F688" s="466">
        <f t="shared" si="272"/>
        <v>0.46538494554428883</v>
      </c>
      <c r="G688" s="437">
        <v>37278</v>
      </c>
      <c r="H688" s="437">
        <v>37564.769999999997</v>
      </c>
      <c r="I688" s="437">
        <v>31685.23</v>
      </c>
      <c r="J688" s="437">
        <v>30879.88</v>
      </c>
    </row>
    <row r="689" spans="1:10" ht="13.5" customHeight="1" x14ac:dyDescent="0.25">
      <c r="A689" s="1"/>
      <c r="B689" s="1" t="s">
        <v>773</v>
      </c>
      <c r="C689" s="1" t="s">
        <v>443</v>
      </c>
      <c r="D689" s="437">
        <v>0</v>
      </c>
      <c r="E689" s="437">
        <v>0</v>
      </c>
      <c r="F689" s="466"/>
      <c r="G689" s="437">
        <v>0</v>
      </c>
      <c r="H689" s="437">
        <v>0</v>
      </c>
      <c r="I689" s="437">
        <v>5906.43</v>
      </c>
      <c r="J689" s="437">
        <v>5053.6499999999996</v>
      </c>
    </row>
    <row r="690" spans="1:10" ht="13.5" customHeight="1" x14ac:dyDescent="0.25">
      <c r="A690" s="1"/>
      <c r="B690" s="1"/>
      <c r="C690" s="1"/>
      <c r="D690" s="438">
        <v>101226</v>
      </c>
      <c r="E690" s="438">
        <f t="shared" ref="E690" si="273">SUM(E687:E689)</f>
        <v>44547.97</v>
      </c>
      <c r="F690" s="467"/>
      <c r="G690" s="438">
        <v>95723</v>
      </c>
      <c r="H690" s="438">
        <f>SUM(H687:H689)</f>
        <v>95435.59</v>
      </c>
      <c r="I690" s="438">
        <f>SUM(I687:I689)</f>
        <v>92316.010000000009</v>
      </c>
      <c r="J690" s="438">
        <f t="shared" ref="J690" si="274">SUM(J687:J689)</f>
        <v>89456.36</v>
      </c>
    </row>
    <row r="691" spans="1:10" ht="13.5" customHeight="1" x14ac:dyDescent="0.25">
      <c r="A691" s="1"/>
      <c r="B691" s="1"/>
      <c r="C691" s="1"/>
      <c r="D691" s="437"/>
      <c r="E691" s="437"/>
      <c r="F691" s="466"/>
      <c r="G691" s="437"/>
      <c r="H691" s="437"/>
      <c r="I691" s="437"/>
      <c r="J691" s="437"/>
    </row>
    <row r="692" spans="1:10" ht="13.5" customHeight="1" x14ac:dyDescent="0.25">
      <c r="A692" s="1"/>
      <c r="B692" s="1" t="s">
        <v>774</v>
      </c>
      <c r="C692" s="1" t="s">
        <v>257</v>
      </c>
      <c r="D692" s="437">
        <v>7743.7889999999998</v>
      </c>
      <c r="E692" s="437">
        <v>2962.6</v>
      </c>
      <c r="F692" s="466">
        <f t="shared" ref="F692:F696" si="275">SUM(E692/G692)</f>
        <v>0.40205140398057487</v>
      </c>
      <c r="G692" s="437">
        <v>7368.7094999999999</v>
      </c>
      <c r="H692" s="437">
        <v>6376.21</v>
      </c>
      <c r="I692" s="437">
        <v>6178.95</v>
      </c>
      <c r="J692" s="437">
        <v>6020.52</v>
      </c>
    </row>
    <row r="693" spans="1:10" ht="13.5" customHeight="1" x14ac:dyDescent="0.25">
      <c r="A693" s="1"/>
      <c r="B693" s="1" t="s">
        <v>775</v>
      </c>
      <c r="C693" s="1" t="s">
        <v>259</v>
      </c>
      <c r="D693" s="437">
        <v>20921.7696</v>
      </c>
      <c r="E693" s="437">
        <v>10353.6</v>
      </c>
      <c r="F693" s="466">
        <f t="shared" si="275"/>
        <v>0.49475148457461632</v>
      </c>
      <c r="G693" s="437">
        <v>20926.87</v>
      </c>
      <c r="H693" s="437">
        <v>20711.8</v>
      </c>
      <c r="I693" s="437">
        <v>20352.12</v>
      </c>
      <c r="J693" s="437">
        <v>20280</v>
      </c>
    </row>
    <row r="694" spans="1:10" ht="13.5" customHeight="1" x14ac:dyDescent="0.25">
      <c r="A694" s="1"/>
      <c r="B694" s="1" t="s">
        <v>776</v>
      </c>
      <c r="C694" s="1" t="s">
        <v>261</v>
      </c>
      <c r="D694" s="437">
        <v>15204.145199999999</v>
      </c>
      <c r="E694" s="437">
        <v>6691.09</v>
      </c>
      <c r="F694" s="466">
        <f t="shared" si="275"/>
        <v>0.46248438764669741</v>
      </c>
      <c r="G694" s="437">
        <v>14467.71</v>
      </c>
      <c r="H694" s="437">
        <v>14350.54</v>
      </c>
      <c r="I694" s="437">
        <v>13504.48</v>
      </c>
      <c r="J694" s="437">
        <v>13000.01</v>
      </c>
    </row>
    <row r="695" spans="1:10" ht="13.5" customHeight="1" x14ac:dyDescent="0.25">
      <c r="A695" s="1"/>
      <c r="B695" s="1" t="s">
        <v>777</v>
      </c>
      <c r="C695" s="1" t="s">
        <v>263</v>
      </c>
      <c r="D695" s="437">
        <v>161.9616</v>
      </c>
      <c r="E695" s="437">
        <v>71.290000000000006</v>
      </c>
      <c r="F695" s="466">
        <f t="shared" si="275"/>
        <v>0.46257124466638289</v>
      </c>
      <c r="G695" s="437">
        <v>154.11680000000001</v>
      </c>
      <c r="H695" s="437">
        <v>152.91999999999999</v>
      </c>
      <c r="I695" s="437">
        <v>148.69</v>
      </c>
      <c r="J695" s="437">
        <v>164.17</v>
      </c>
    </row>
    <row r="696" spans="1:10" ht="15" customHeight="1" x14ac:dyDescent="0.25">
      <c r="A696" s="1"/>
      <c r="B696" s="1" t="s">
        <v>778</v>
      </c>
      <c r="C696" s="1" t="s">
        <v>265</v>
      </c>
      <c r="D696" s="437">
        <v>749.76</v>
      </c>
      <c r="E696" s="437">
        <v>351.12</v>
      </c>
      <c r="F696" s="466">
        <f t="shared" si="275"/>
        <v>0.5</v>
      </c>
      <c r="G696" s="437">
        <v>702.24</v>
      </c>
      <c r="H696" s="437">
        <v>674.64</v>
      </c>
      <c r="I696" s="437">
        <v>647.91999999999996</v>
      </c>
      <c r="J696" s="437">
        <v>626.48</v>
      </c>
    </row>
    <row r="697" spans="1:10" ht="12.75" customHeight="1" x14ac:dyDescent="0.25">
      <c r="A697" s="1"/>
      <c r="B697" s="1"/>
      <c r="C697" s="1"/>
      <c r="D697" s="438">
        <v>44781.425400000007</v>
      </c>
      <c r="E697" s="438">
        <f t="shared" ref="E697" si="276">SUM(E692:E696)</f>
        <v>20429.7</v>
      </c>
      <c r="F697" s="467"/>
      <c r="G697" s="438">
        <v>43619.65</v>
      </c>
      <c r="H697" s="438">
        <f>SUM(H692:H696)</f>
        <v>42266.11</v>
      </c>
      <c r="I697" s="438">
        <f>SUM(I692:I696)</f>
        <v>40832.160000000003</v>
      </c>
      <c r="J697" s="438">
        <f t="shared" ref="J697" si="277">SUM(J692:J696)</f>
        <v>40091.18</v>
      </c>
    </row>
    <row r="698" spans="1:10" ht="13.5" customHeight="1" x14ac:dyDescent="0.25">
      <c r="A698" s="1"/>
      <c r="B698" s="1"/>
      <c r="C698" s="1"/>
      <c r="D698" s="437"/>
      <c r="E698" s="437"/>
      <c r="F698" s="466"/>
      <c r="G698" s="437"/>
      <c r="H698" s="437"/>
      <c r="I698" s="437"/>
      <c r="J698" s="437"/>
    </row>
    <row r="699" spans="1:10" ht="13.5" customHeight="1" x14ac:dyDescent="0.25">
      <c r="A699" s="1"/>
      <c r="B699" s="1" t="s">
        <v>779</v>
      </c>
      <c r="C699" s="1" t="s">
        <v>267</v>
      </c>
      <c r="D699" s="437">
        <v>1400</v>
      </c>
      <c r="E699" s="437">
        <v>935.38</v>
      </c>
      <c r="F699" s="466">
        <f t="shared" ref="F699:F702" si="278">SUM(E699/G699)</f>
        <v>0.66812857142857141</v>
      </c>
      <c r="G699" s="437">
        <v>1400</v>
      </c>
      <c r="H699" s="437">
        <v>1110.5899999999999</v>
      </c>
      <c r="I699" s="437">
        <v>1213.81</v>
      </c>
      <c r="J699" s="437">
        <v>1025.2</v>
      </c>
    </row>
    <row r="700" spans="1:10" ht="13.5" customHeight="1" x14ac:dyDescent="0.25">
      <c r="A700" s="1"/>
      <c r="B700" s="1" t="s">
        <v>780</v>
      </c>
      <c r="C700" s="1" t="s">
        <v>269</v>
      </c>
      <c r="D700" s="437">
        <v>1600</v>
      </c>
      <c r="E700" s="437">
        <v>1131.05</v>
      </c>
      <c r="F700" s="466">
        <f t="shared" si="278"/>
        <v>0.87003846153846154</v>
      </c>
      <c r="G700" s="437">
        <v>1300</v>
      </c>
      <c r="H700" s="437">
        <v>1486.63</v>
      </c>
      <c r="I700" s="437">
        <v>981.3</v>
      </c>
      <c r="J700" s="437">
        <v>1263.32</v>
      </c>
    </row>
    <row r="701" spans="1:10" ht="13.5" customHeight="1" x14ac:dyDescent="0.25">
      <c r="A701" s="1"/>
      <c r="B701" s="1" t="s">
        <v>781</v>
      </c>
      <c r="C701" s="1" t="s">
        <v>492</v>
      </c>
      <c r="D701" s="437">
        <v>250</v>
      </c>
      <c r="E701" s="439">
        <v>0</v>
      </c>
      <c r="F701" s="466">
        <f t="shared" si="278"/>
        <v>0</v>
      </c>
      <c r="G701" s="440">
        <v>250</v>
      </c>
      <c r="H701" s="439">
        <v>170</v>
      </c>
      <c r="I701" s="439">
        <v>364</v>
      </c>
      <c r="J701" s="437">
        <v>213</v>
      </c>
    </row>
    <row r="702" spans="1:10" ht="13.5" customHeight="1" x14ac:dyDescent="0.25">
      <c r="A702" s="1"/>
      <c r="B702" s="1" t="s">
        <v>782</v>
      </c>
      <c r="C702" s="1" t="s">
        <v>455</v>
      </c>
      <c r="D702" s="437">
        <v>1000</v>
      </c>
      <c r="E702" s="439">
        <v>0</v>
      </c>
      <c r="F702" s="466">
        <f t="shared" si="278"/>
        <v>0</v>
      </c>
      <c r="G702" s="440">
        <v>182</v>
      </c>
      <c r="H702" s="439">
        <v>0</v>
      </c>
      <c r="I702" s="440">
        <v>0</v>
      </c>
      <c r="J702" s="437">
        <v>169.99</v>
      </c>
    </row>
    <row r="703" spans="1:10" ht="13.5" customHeight="1" x14ac:dyDescent="0.25">
      <c r="A703" s="1"/>
      <c r="B703" s="1"/>
      <c r="C703" s="1"/>
      <c r="D703" s="438">
        <v>4250</v>
      </c>
      <c r="E703" s="438">
        <f t="shared" ref="E703" si="279">SUM(E699:E702)</f>
        <v>2066.4299999999998</v>
      </c>
      <c r="F703" s="467"/>
      <c r="G703" s="438">
        <v>3132</v>
      </c>
      <c r="H703" s="438">
        <f>SUM(H699:H702)</f>
        <v>2767.2200000000003</v>
      </c>
      <c r="I703" s="441">
        <f>SUM(I699:I702)</f>
        <v>2559.1099999999997</v>
      </c>
      <c r="J703" s="441">
        <f t="shared" ref="J703" si="280">SUM(J699:J702)</f>
        <v>2671.51</v>
      </c>
    </row>
    <row r="704" spans="1:10" ht="13.5" customHeight="1" x14ac:dyDescent="0.25">
      <c r="A704" s="1"/>
      <c r="B704" s="1"/>
      <c r="C704" s="1"/>
      <c r="D704" s="440"/>
      <c r="E704" s="440"/>
      <c r="F704" s="468"/>
      <c r="G704" s="440"/>
      <c r="H704" s="440"/>
      <c r="I704" s="440"/>
      <c r="J704" s="437"/>
    </row>
    <row r="705" spans="1:10" ht="13.5" customHeight="1" x14ac:dyDescent="0.25">
      <c r="A705" s="1"/>
      <c r="B705" s="1" t="s">
        <v>783</v>
      </c>
      <c r="C705" s="1" t="s">
        <v>329</v>
      </c>
      <c r="D705" s="437">
        <v>1300</v>
      </c>
      <c r="E705" s="437">
        <v>433.86</v>
      </c>
      <c r="F705" s="466">
        <f t="shared" ref="F705:F710" si="281">SUM(E705/G705)</f>
        <v>0.33373846153846154</v>
      </c>
      <c r="G705" s="437">
        <v>1300</v>
      </c>
      <c r="H705" s="437">
        <v>743.76</v>
      </c>
      <c r="I705" s="437">
        <v>1189.97</v>
      </c>
      <c r="J705" s="437">
        <v>1268.6400000000001</v>
      </c>
    </row>
    <row r="706" spans="1:10" ht="13.5" customHeight="1" x14ac:dyDescent="0.25">
      <c r="A706" s="1"/>
      <c r="B706" s="1" t="s">
        <v>784</v>
      </c>
      <c r="C706" s="1" t="s">
        <v>281</v>
      </c>
      <c r="D706" s="437">
        <v>750</v>
      </c>
      <c r="E706" s="437">
        <v>819.49</v>
      </c>
      <c r="F706" s="466">
        <f t="shared" si="281"/>
        <v>1.0926533333333333</v>
      </c>
      <c r="G706" s="437">
        <v>750</v>
      </c>
      <c r="H706" s="437">
        <v>669.69</v>
      </c>
      <c r="I706" s="437">
        <v>535.17999999999995</v>
      </c>
      <c r="J706" s="437">
        <v>416.93</v>
      </c>
    </row>
    <row r="707" spans="1:10" ht="13.5" customHeight="1" x14ac:dyDescent="0.25">
      <c r="A707" s="1"/>
      <c r="B707" s="1" t="s">
        <v>785</v>
      </c>
      <c r="C707" s="1" t="s">
        <v>426</v>
      </c>
      <c r="D707" s="437">
        <v>1500</v>
      </c>
      <c r="E707" s="437">
        <v>360</v>
      </c>
      <c r="F707" s="466">
        <f t="shared" si="281"/>
        <v>0.24</v>
      </c>
      <c r="G707" s="437">
        <v>1500</v>
      </c>
      <c r="H707" s="437">
        <v>0</v>
      </c>
      <c r="I707" s="437">
        <v>756.28</v>
      </c>
      <c r="J707" s="437">
        <v>149.5</v>
      </c>
    </row>
    <row r="708" spans="1:10" ht="13.5" customHeight="1" x14ac:dyDescent="0.25">
      <c r="A708" s="1"/>
      <c r="B708" s="1" t="s">
        <v>786</v>
      </c>
      <c r="C708" s="1" t="s">
        <v>285</v>
      </c>
      <c r="D708" s="437">
        <v>100</v>
      </c>
      <c r="E708" s="437">
        <v>60</v>
      </c>
      <c r="F708" s="466">
        <f t="shared" si="281"/>
        <v>0.6</v>
      </c>
      <c r="G708" s="437">
        <v>100</v>
      </c>
      <c r="H708" s="437">
        <v>135</v>
      </c>
      <c r="I708" s="437">
        <v>75</v>
      </c>
      <c r="J708" s="437">
        <v>156</v>
      </c>
    </row>
    <row r="709" spans="1:10" ht="13.5" customHeight="1" x14ac:dyDescent="0.25">
      <c r="A709" s="1"/>
      <c r="B709" s="1" t="s">
        <v>787</v>
      </c>
      <c r="C709" s="1" t="s">
        <v>287</v>
      </c>
      <c r="D709" s="437">
        <v>178</v>
      </c>
      <c r="E709" s="437">
        <v>0</v>
      </c>
      <c r="F709" s="466">
        <f t="shared" si="281"/>
        <v>0</v>
      </c>
      <c r="G709" s="437">
        <v>178</v>
      </c>
      <c r="H709" s="437">
        <v>0</v>
      </c>
      <c r="I709" s="437">
        <v>177.5</v>
      </c>
      <c r="J709" s="437">
        <v>71</v>
      </c>
    </row>
    <row r="710" spans="1:10" ht="13.5" customHeight="1" x14ac:dyDescent="0.25">
      <c r="A710" s="1"/>
      <c r="B710" s="1" t="s">
        <v>788</v>
      </c>
      <c r="C710" s="1" t="s">
        <v>289</v>
      </c>
      <c r="D710" s="437">
        <v>1200</v>
      </c>
      <c r="E710" s="437">
        <v>483</v>
      </c>
      <c r="F710" s="466">
        <f t="shared" si="281"/>
        <v>0.53666666666666663</v>
      </c>
      <c r="G710" s="437">
        <v>900</v>
      </c>
      <c r="H710" s="437">
        <v>897</v>
      </c>
      <c r="I710" s="437">
        <v>828</v>
      </c>
      <c r="J710" s="437">
        <v>828</v>
      </c>
    </row>
    <row r="711" spans="1:10" ht="13.5" customHeight="1" x14ac:dyDescent="0.25">
      <c r="A711" s="1"/>
      <c r="B711" s="1"/>
      <c r="C711" s="1"/>
      <c r="D711" s="438">
        <v>5028</v>
      </c>
      <c r="E711" s="438">
        <f t="shared" ref="E711" si="282">SUM(E705:E710)</f>
        <v>2156.35</v>
      </c>
      <c r="F711" s="467"/>
      <c r="G711" s="438">
        <v>4728</v>
      </c>
      <c r="H711" s="438">
        <f>SUM(H705:H710)</f>
        <v>2445.4499999999998</v>
      </c>
      <c r="I711" s="438">
        <f>SUM(I705:I710)</f>
        <v>3561.9300000000003</v>
      </c>
      <c r="J711" s="438">
        <f t="shared" ref="J711" si="283">SUM(J705:J710)</f>
        <v>2890.07</v>
      </c>
    </row>
    <row r="712" spans="1:10" ht="13.5" customHeight="1" thickBot="1" x14ac:dyDescent="0.3">
      <c r="A712" s="1"/>
      <c r="B712" s="1"/>
      <c r="C712" s="39" t="s">
        <v>789</v>
      </c>
      <c r="D712" s="451">
        <v>155285.42540000001</v>
      </c>
      <c r="E712" s="451">
        <f t="shared" ref="E712" si="284">E690+E697+E703+E711</f>
        <v>69200.45</v>
      </c>
      <c r="F712" s="478"/>
      <c r="G712" s="451">
        <v>147202.65</v>
      </c>
      <c r="H712" s="451">
        <f>H690+H697+H703+H711</f>
        <v>142914.37000000002</v>
      </c>
      <c r="I712" s="451">
        <f>I690+I697+I703+I711</f>
        <v>139269.21</v>
      </c>
      <c r="J712" s="451">
        <f t="shared" ref="J712" si="285">J690+J697+J703+J711</f>
        <v>135109.12000000002</v>
      </c>
    </row>
    <row r="713" spans="1:10" ht="13.5" customHeight="1" thickTop="1" x14ac:dyDescent="0.25">
      <c r="A713" s="1"/>
      <c r="B713" s="1"/>
      <c r="C713" s="14"/>
      <c r="D713" s="437"/>
      <c r="E713" s="437"/>
      <c r="F713" s="466"/>
      <c r="G713" s="437"/>
      <c r="H713" s="437"/>
      <c r="I713" s="437"/>
      <c r="J713" s="437"/>
    </row>
    <row r="714" spans="1:10" ht="13.5" customHeight="1" x14ac:dyDescent="0.25">
      <c r="A714" s="1"/>
      <c r="B714" s="1"/>
      <c r="C714" s="14" t="s">
        <v>790</v>
      </c>
      <c r="D714" s="437"/>
      <c r="E714" s="437"/>
      <c r="F714" s="466"/>
      <c r="G714" s="437"/>
      <c r="H714" s="437"/>
      <c r="I714" s="437"/>
      <c r="J714" s="437"/>
    </row>
    <row r="715" spans="1:10" ht="13.5" customHeight="1" x14ac:dyDescent="0.25">
      <c r="A715" s="1"/>
      <c r="B715" s="1" t="s">
        <v>791</v>
      </c>
      <c r="C715" s="1" t="s">
        <v>437</v>
      </c>
      <c r="D715" s="437">
        <v>64803</v>
      </c>
      <c r="E715" s="437">
        <v>28722.62</v>
      </c>
      <c r="F715" s="466">
        <f t="shared" ref="F715:F716" si="286">SUM(E715/G715)</f>
        <v>0.4653848148028128</v>
      </c>
      <c r="G715" s="437">
        <v>61718</v>
      </c>
      <c r="H715" s="437">
        <v>61113.73</v>
      </c>
      <c r="I715" s="437">
        <v>54810.94</v>
      </c>
      <c r="J715" s="437">
        <v>53522.83</v>
      </c>
    </row>
    <row r="716" spans="1:10" ht="13.5" customHeight="1" x14ac:dyDescent="0.25">
      <c r="A716" s="1"/>
      <c r="B716" s="1" t="s">
        <v>792</v>
      </c>
      <c r="C716" s="1" t="s">
        <v>439</v>
      </c>
      <c r="D716" s="437">
        <v>35100</v>
      </c>
      <c r="E716" s="437">
        <v>15277.22</v>
      </c>
      <c r="F716" s="466">
        <f t="shared" si="286"/>
        <v>0.40981865979934545</v>
      </c>
      <c r="G716" s="437">
        <v>37278</v>
      </c>
      <c r="H716" s="437">
        <v>40357.730000000003</v>
      </c>
      <c r="I716" s="437">
        <v>31444.36</v>
      </c>
      <c r="J716" s="437">
        <v>30879.88</v>
      </c>
    </row>
    <row r="717" spans="1:10" ht="13.5" customHeight="1" x14ac:dyDescent="0.25">
      <c r="A717" s="1"/>
      <c r="B717" s="1" t="s">
        <v>793</v>
      </c>
      <c r="C717" s="1" t="s">
        <v>443</v>
      </c>
      <c r="D717" s="437">
        <v>0</v>
      </c>
      <c r="E717" s="437">
        <v>0</v>
      </c>
      <c r="F717" s="466"/>
      <c r="G717" s="437">
        <v>0</v>
      </c>
      <c r="H717" s="437">
        <v>0</v>
      </c>
      <c r="I717" s="437">
        <v>9243.61</v>
      </c>
      <c r="J717" s="437">
        <v>5256.75</v>
      </c>
    </row>
    <row r="718" spans="1:10" ht="13.5" customHeight="1" x14ac:dyDescent="0.25">
      <c r="A718" s="1"/>
      <c r="B718" s="1"/>
      <c r="C718" s="1"/>
      <c r="D718" s="438">
        <v>99903</v>
      </c>
      <c r="E718" s="438">
        <f t="shared" ref="E718" si="287">SUM(E715:E717)</f>
        <v>43999.839999999997</v>
      </c>
      <c r="F718" s="467"/>
      <c r="G718" s="438">
        <v>98996</v>
      </c>
      <c r="H718" s="438">
        <f>SUM(H715:H717)</f>
        <v>101471.46</v>
      </c>
      <c r="I718" s="438">
        <f>SUM(I715:I717)</f>
        <v>95498.91</v>
      </c>
      <c r="J718" s="438">
        <f t="shared" ref="J718" si="288">SUM(J715:J717)</f>
        <v>89659.46</v>
      </c>
    </row>
    <row r="719" spans="1:10" ht="13.5" customHeight="1" x14ac:dyDescent="0.25">
      <c r="A719" s="1"/>
      <c r="B719" s="1"/>
      <c r="C719" s="1"/>
      <c r="D719" s="437"/>
      <c r="E719" s="437"/>
      <c r="F719" s="466"/>
      <c r="G719" s="437"/>
      <c r="H719" s="437"/>
      <c r="I719" s="437"/>
      <c r="J719" s="437"/>
    </row>
    <row r="720" spans="1:10" ht="13.5" customHeight="1" x14ac:dyDescent="0.25">
      <c r="A720" s="1"/>
      <c r="B720" s="1" t="s">
        <v>794</v>
      </c>
      <c r="C720" s="1" t="s">
        <v>257</v>
      </c>
      <c r="D720" s="437">
        <v>7642.5794999999998</v>
      </c>
      <c r="E720" s="437">
        <v>2852.21</v>
      </c>
      <c r="F720" s="466">
        <f t="shared" ref="F720:F724" si="289">SUM(E720/G720)</f>
        <v>0.37661936383479089</v>
      </c>
      <c r="G720" s="437">
        <v>7573.19</v>
      </c>
      <c r="H720" s="437">
        <v>6985.12</v>
      </c>
      <c r="I720" s="437">
        <v>6622</v>
      </c>
      <c r="J720" s="437">
        <v>6385.5</v>
      </c>
    </row>
    <row r="721" spans="1:10" ht="13.5" customHeight="1" x14ac:dyDescent="0.25">
      <c r="A721" s="1"/>
      <c r="B721" s="1" t="s">
        <v>795</v>
      </c>
      <c r="C721" s="1" t="s">
        <v>259</v>
      </c>
      <c r="D721" s="437">
        <v>20921.7696</v>
      </c>
      <c r="E721" s="437">
        <v>8628</v>
      </c>
      <c r="F721" s="466">
        <f t="shared" si="289"/>
        <v>0.41229290381218026</v>
      </c>
      <c r="G721" s="437">
        <v>20926.87</v>
      </c>
      <c r="H721" s="437">
        <v>20791.919999999998</v>
      </c>
      <c r="I721" s="437">
        <v>19845.13</v>
      </c>
      <c r="J721" s="437">
        <v>20280</v>
      </c>
    </row>
    <row r="722" spans="1:10" ht="13.5" customHeight="1" x14ac:dyDescent="0.25">
      <c r="A722" s="1"/>
      <c r="B722" s="1" t="s">
        <v>796</v>
      </c>
      <c r="C722" s="1" t="s">
        <v>261</v>
      </c>
      <c r="D722" s="437">
        <v>15005.4306</v>
      </c>
      <c r="E722" s="437">
        <v>6612.89</v>
      </c>
      <c r="F722" s="466">
        <f t="shared" si="289"/>
        <v>0.44473744384364994</v>
      </c>
      <c r="G722" s="437">
        <v>14869.2</v>
      </c>
      <c r="H722" s="437">
        <v>15331.86</v>
      </c>
      <c r="I722" s="437">
        <v>13967.05</v>
      </c>
      <c r="J722" s="437">
        <v>13029.41</v>
      </c>
    </row>
    <row r="723" spans="1:10" ht="13.5" customHeight="1" x14ac:dyDescent="0.25">
      <c r="A723" s="1"/>
      <c r="B723" s="1" t="s">
        <v>797</v>
      </c>
      <c r="C723" s="1" t="s">
        <v>263</v>
      </c>
      <c r="D723" s="437">
        <v>159.84480000000002</v>
      </c>
      <c r="E723" s="437">
        <v>70.47</v>
      </c>
      <c r="F723" s="466">
        <f t="shared" si="289"/>
        <v>0.44491445166992871</v>
      </c>
      <c r="G723" s="437">
        <v>158.38999999999999</v>
      </c>
      <c r="H723" s="437">
        <v>163.36000000000001</v>
      </c>
      <c r="I723" s="437">
        <v>153.77000000000001</v>
      </c>
      <c r="J723" s="437">
        <v>164.46</v>
      </c>
    </row>
    <row r="724" spans="1:10" ht="13.5" customHeight="1" x14ac:dyDescent="0.25">
      <c r="A724" s="1"/>
      <c r="B724" s="1" t="s">
        <v>798</v>
      </c>
      <c r="C724" s="1" t="s">
        <v>265</v>
      </c>
      <c r="D724" s="437">
        <v>749.76</v>
      </c>
      <c r="E724" s="437">
        <v>292.60000000000002</v>
      </c>
      <c r="F724" s="466">
        <f t="shared" si="289"/>
        <v>0.41666666666666669</v>
      </c>
      <c r="G724" s="437">
        <v>702.24</v>
      </c>
      <c r="H724" s="437">
        <v>674.64</v>
      </c>
      <c r="I724" s="437">
        <v>631.83000000000004</v>
      </c>
      <c r="J724" s="437">
        <v>626.48</v>
      </c>
    </row>
    <row r="725" spans="1:10" ht="13.5" customHeight="1" x14ac:dyDescent="0.25">
      <c r="A725" s="1"/>
      <c r="B725" s="1"/>
      <c r="C725" s="1"/>
      <c r="D725" s="438">
        <v>44479.3845</v>
      </c>
      <c r="E725" s="438">
        <f t="shared" ref="E725" si="290">SUM(E720:E724)</f>
        <v>18456.169999999998</v>
      </c>
      <c r="F725" s="467"/>
      <c r="G725" s="438">
        <v>44229.9</v>
      </c>
      <c r="H725" s="438">
        <f>SUM(H720:H724)</f>
        <v>43946.899999999994</v>
      </c>
      <c r="I725" s="438">
        <f>SUM(I720:I724)</f>
        <v>41219.78</v>
      </c>
      <c r="J725" s="438">
        <f t="shared" ref="J725" si="291">SUM(J720:J724)</f>
        <v>40485.850000000006</v>
      </c>
    </row>
    <row r="726" spans="1:10" ht="13.5" customHeight="1" x14ac:dyDescent="0.25">
      <c r="A726" s="1"/>
      <c r="B726" s="1"/>
      <c r="C726" s="1"/>
      <c r="D726" s="437"/>
      <c r="E726" s="437"/>
      <c r="F726" s="466"/>
      <c r="G726" s="437"/>
      <c r="H726" s="437"/>
      <c r="I726" s="437"/>
      <c r="J726" s="437"/>
    </row>
    <row r="727" spans="1:10" ht="13.5" customHeight="1" x14ac:dyDescent="0.25">
      <c r="A727" s="1"/>
      <c r="B727" s="1" t="s">
        <v>799</v>
      </c>
      <c r="C727" s="1" t="s">
        <v>267</v>
      </c>
      <c r="D727" s="437">
        <v>1400</v>
      </c>
      <c r="E727" s="437">
        <v>709.87</v>
      </c>
      <c r="F727" s="466">
        <f t="shared" ref="F727:F729" si="292">SUM(E727/G727)</f>
        <v>0.50705</v>
      </c>
      <c r="G727" s="437">
        <v>1400</v>
      </c>
      <c r="H727" s="437">
        <v>582.34</v>
      </c>
      <c r="I727" s="437">
        <v>889.44</v>
      </c>
      <c r="J727" s="437">
        <v>1386.73</v>
      </c>
    </row>
    <row r="728" spans="1:10" ht="13.5" customHeight="1" x14ac:dyDescent="0.25">
      <c r="A728" s="1"/>
      <c r="B728" s="1" t="s">
        <v>800</v>
      </c>
      <c r="C728" s="1" t="s">
        <v>269</v>
      </c>
      <c r="D728" s="437">
        <v>1350</v>
      </c>
      <c r="E728" s="439">
        <v>843.88</v>
      </c>
      <c r="F728" s="466">
        <f t="shared" si="292"/>
        <v>0.70323333333333338</v>
      </c>
      <c r="G728" s="440">
        <v>1200</v>
      </c>
      <c r="H728" s="439">
        <v>691.88</v>
      </c>
      <c r="I728" s="439">
        <v>729.42</v>
      </c>
      <c r="J728" s="437">
        <v>1143.2</v>
      </c>
    </row>
    <row r="729" spans="1:10" ht="13.5" customHeight="1" x14ac:dyDescent="0.25">
      <c r="A729" s="1"/>
      <c r="B729" s="1" t="s">
        <v>801</v>
      </c>
      <c r="C729" s="1" t="s">
        <v>492</v>
      </c>
      <c r="D729" s="437">
        <v>250</v>
      </c>
      <c r="E729" s="439">
        <v>0</v>
      </c>
      <c r="F729" s="466">
        <f t="shared" si="292"/>
        <v>0</v>
      </c>
      <c r="G729" s="440">
        <v>250</v>
      </c>
      <c r="H729" s="439">
        <v>0</v>
      </c>
      <c r="I729" s="439">
        <v>0</v>
      </c>
      <c r="J729" s="440">
        <v>0</v>
      </c>
    </row>
    <row r="730" spans="1:10" ht="13.5" customHeight="1" x14ac:dyDescent="0.25">
      <c r="A730" s="1"/>
      <c r="B730" s="1"/>
      <c r="C730" s="1"/>
      <c r="D730" s="438">
        <v>3000</v>
      </c>
      <c r="E730" s="438">
        <f t="shared" ref="E730" si="293">SUM(E727:E729)</f>
        <v>1553.75</v>
      </c>
      <c r="F730" s="467"/>
      <c r="G730" s="438">
        <v>2850</v>
      </c>
      <c r="H730" s="438">
        <f>SUM(H727:H729)</f>
        <v>1274.22</v>
      </c>
      <c r="I730" s="438">
        <f>SUM(I727:I729)</f>
        <v>1618.8600000000001</v>
      </c>
      <c r="J730" s="438">
        <f t="shared" ref="J730" si="294">SUM(J727:J729)</f>
        <v>2529.9300000000003</v>
      </c>
    </row>
    <row r="731" spans="1:10" ht="13.5" customHeight="1" x14ac:dyDescent="0.25">
      <c r="A731" s="1"/>
      <c r="B731" s="1"/>
      <c r="C731" s="1"/>
      <c r="D731" s="437"/>
      <c r="E731" s="440"/>
      <c r="F731" s="468"/>
      <c r="G731" s="440"/>
      <c r="H731" s="440"/>
      <c r="I731" s="440"/>
      <c r="J731" s="440"/>
    </row>
    <row r="732" spans="1:10" ht="13.5" customHeight="1" x14ac:dyDescent="0.25">
      <c r="A732" s="1"/>
      <c r="B732" s="1" t="s">
        <v>802</v>
      </c>
      <c r="C732" s="1" t="s">
        <v>329</v>
      </c>
      <c r="D732" s="437">
        <v>1800</v>
      </c>
      <c r="E732" s="437">
        <v>899.19</v>
      </c>
      <c r="F732" s="466">
        <f t="shared" ref="F732:F737" si="295">SUM(E732/G732)</f>
        <v>0.49955000000000005</v>
      </c>
      <c r="G732" s="437">
        <v>1800</v>
      </c>
      <c r="H732" s="437">
        <v>1585.65</v>
      </c>
      <c r="I732" s="437">
        <v>1704.81</v>
      </c>
      <c r="J732" s="437">
        <v>1793.98</v>
      </c>
    </row>
    <row r="733" spans="1:10" ht="13.5" customHeight="1" x14ac:dyDescent="0.25">
      <c r="A733" s="1"/>
      <c r="B733" s="1" t="s">
        <v>803</v>
      </c>
      <c r="C733" s="1" t="s">
        <v>764</v>
      </c>
      <c r="D733" s="437">
        <v>1500</v>
      </c>
      <c r="E733" s="437">
        <v>338.86</v>
      </c>
      <c r="F733" s="466">
        <f t="shared" si="295"/>
        <v>0.22590666666666667</v>
      </c>
      <c r="G733" s="437">
        <v>1500</v>
      </c>
      <c r="H733" s="437">
        <v>1371.59</v>
      </c>
      <c r="I733" s="437">
        <v>2241.33</v>
      </c>
      <c r="J733" s="437">
        <v>1226.8399999999999</v>
      </c>
    </row>
    <row r="734" spans="1:10" ht="13.5" customHeight="1" x14ac:dyDescent="0.25">
      <c r="A734" s="1"/>
      <c r="B734" s="1" t="s">
        <v>804</v>
      </c>
      <c r="C734" s="1" t="s">
        <v>426</v>
      </c>
      <c r="D734" s="437">
        <v>1500</v>
      </c>
      <c r="E734" s="437">
        <v>410</v>
      </c>
      <c r="F734" s="466">
        <f t="shared" si="295"/>
        <v>0.27333333333333332</v>
      </c>
      <c r="G734" s="437">
        <v>1500</v>
      </c>
      <c r="H734" s="437">
        <v>875.37</v>
      </c>
      <c r="I734" s="437">
        <v>1001.92</v>
      </c>
      <c r="J734" s="437">
        <v>753</v>
      </c>
    </row>
    <row r="735" spans="1:10" ht="13.5" customHeight="1" x14ac:dyDescent="0.25">
      <c r="A735" s="1"/>
      <c r="B735" s="1" t="s">
        <v>805</v>
      </c>
      <c r="C735" s="1" t="s">
        <v>285</v>
      </c>
      <c r="D735" s="437">
        <v>150</v>
      </c>
      <c r="E735" s="437">
        <v>135</v>
      </c>
      <c r="F735" s="466">
        <f t="shared" si="295"/>
        <v>0.9</v>
      </c>
      <c r="G735" s="437">
        <v>150</v>
      </c>
      <c r="H735" s="437">
        <v>150</v>
      </c>
      <c r="I735" s="437">
        <v>170</v>
      </c>
      <c r="J735" s="437">
        <v>95</v>
      </c>
    </row>
    <row r="736" spans="1:10" ht="13.5" customHeight="1" x14ac:dyDescent="0.25">
      <c r="A736" s="1"/>
      <c r="B736" s="1" t="s">
        <v>806</v>
      </c>
      <c r="C736" s="1" t="s">
        <v>287</v>
      </c>
      <c r="D736" s="437">
        <v>200</v>
      </c>
      <c r="E736" s="437">
        <v>0</v>
      </c>
      <c r="F736" s="466">
        <f t="shared" si="295"/>
        <v>0</v>
      </c>
      <c r="G736" s="437">
        <v>200</v>
      </c>
      <c r="H736" s="437">
        <v>0</v>
      </c>
      <c r="I736" s="437">
        <v>248.5</v>
      </c>
      <c r="J736" s="437">
        <v>71</v>
      </c>
    </row>
    <row r="737" spans="1:10" ht="13.5" customHeight="1" x14ac:dyDescent="0.25">
      <c r="A737" s="1"/>
      <c r="B737" s="1" t="s">
        <v>807</v>
      </c>
      <c r="C737" s="1" t="s">
        <v>289</v>
      </c>
      <c r="D737" s="437">
        <v>1040</v>
      </c>
      <c r="E737" s="437">
        <v>483</v>
      </c>
      <c r="F737" s="466">
        <f t="shared" si="295"/>
        <v>0.46442307692307694</v>
      </c>
      <c r="G737" s="437">
        <v>1040</v>
      </c>
      <c r="H737" s="437">
        <v>897</v>
      </c>
      <c r="I737" s="437">
        <v>828</v>
      </c>
      <c r="J737" s="437">
        <v>828</v>
      </c>
    </row>
    <row r="738" spans="1:10" ht="13.5" customHeight="1" x14ac:dyDescent="0.25">
      <c r="A738" s="1"/>
      <c r="B738" s="1"/>
      <c r="C738" s="1"/>
      <c r="D738" s="438">
        <v>6190</v>
      </c>
      <c r="E738" s="438">
        <f t="shared" ref="E738" si="296">SUM(E732:E737)</f>
        <v>2266.0500000000002</v>
      </c>
      <c r="F738" s="467"/>
      <c r="G738" s="438">
        <v>6190</v>
      </c>
      <c r="H738" s="438">
        <f>SUM(H732:H737)</f>
        <v>4879.6099999999997</v>
      </c>
      <c r="I738" s="438">
        <f>SUM(I732:I737)</f>
        <v>6194.5599999999995</v>
      </c>
      <c r="J738" s="438">
        <f t="shared" ref="J738" si="297">SUM(J732:J737)</f>
        <v>4767.82</v>
      </c>
    </row>
    <row r="739" spans="1:10" ht="13.5" customHeight="1" thickBot="1" x14ac:dyDescent="0.3">
      <c r="A739" s="1"/>
      <c r="B739" s="1"/>
      <c r="C739" s="39" t="s">
        <v>808</v>
      </c>
      <c r="D739" s="451">
        <v>153572.38449999999</v>
      </c>
      <c r="E739" s="451">
        <f t="shared" ref="E739" si="298">SUM(E718+E725+E730+E738)</f>
        <v>66275.81</v>
      </c>
      <c r="F739" s="478"/>
      <c r="G739" s="451">
        <v>152265.9</v>
      </c>
      <c r="H739" s="451">
        <f t="shared" ref="H739" si="299">SUM(H718+H725+H730+H738)</f>
        <v>151572.18999999997</v>
      </c>
      <c r="I739" s="451">
        <f>SUM(I718+I725+I730+I738)</f>
        <v>144532.10999999999</v>
      </c>
      <c r="J739" s="451">
        <f t="shared" ref="J739" si="300">SUM(J718+J725+J730+J738)</f>
        <v>137443.06000000003</v>
      </c>
    </row>
    <row r="740" spans="1:10" ht="13.5" customHeight="1" thickTop="1" x14ac:dyDescent="0.25">
      <c r="A740" s="1"/>
      <c r="B740" s="1"/>
      <c r="C740" s="1"/>
      <c r="D740" s="437"/>
      <c r="E740" s="437"/>
      <c r="F740" s="466"/>
      <c r="G740" s="437"/>
      <c r="H740" s="437"/>
      <c r="I740" s="437"/>
      <c r="J740" s="437"/>
    </row>
    <row r="741" spans="1:10" ht="13.5" customHeight="1" x14ac:dyDescent="0.25">
      <c r="A741" s="1"/>
      <c r="B741" s="1"/>
      <c r="C741" s="14" t="s">
        <v>809</v>
      </c>
      <c r="D741" s="437"/>
      <c r="E741" s="437"/>
      <c r="F741" s="466"/>
      <c r="G741" s="437"/>
      <c r="H741" s="437"/>
      <c r="I741" s="437"/>
      <c r="J741" s="437"/>
    </row>
    <row r="742" spans="1:10" ht="13.5" customHeight="1" x14ac:dyDescent="0.25">
      <c r="A742" s="1"/>
      <c r="B742" s="1" t="s">
        <v>810</v>
      </c>
      <c r="C742" s="1" t="s">
        <v>437</v>
      </c>
      <c r="D742" s="437">
        <v>59178</v>
      </c>
      <c r="E742" s="437">
        <v>25912.83</v>
      </c>
      <c r="F742" s="466">
        <f t="shared" ref="F742:F743" si="301">SUM(E742/G742)</f>
        <v>0.45977342086586237</v>
      </c>
      <c r="G742" s="437">
        <v>56360</v>
      </c>
      <c r="H742" s="437">
        <v>55770.62</v>
      </c>
      <c r="I742" s="437">
        <v>54669.22</v>
      </c>
      <c r="J742" s="437">
        <v>53522.83</v>
      </c>
    </row>
    <row r="743" spans="1:10" ht="13.5" customHeight="1" x14ac:dyDescent="0.25">
      <c r="A743" s="1"/>
      <c r="B743" s="1" t="s">
        <v>811</v>
      </c>
      <c r="C743" s="1" t="s">
        <v>439</v>
      </c>
      <c r="D743" s="437">
        <v>68948</v>
      </c>
      <c r="E743" s="437">
        <v>24753.15</v>
      </c>
      <c r="F743" s="466">
        <f t="shared" si="301"/>
        <v>0.38393643752326595</v>
      </c>
      <c r="G743" s="437">
        <v>64472</v>
      </c>
      <c r="H743" s="437">
        <v>62312.84</v>
      </c>
      <c r="I743" s="437">
        <v>60328.12</v>
      </c>
      <c r="J743" s="437">
        <v>61058.94</v>
      </c>
    </row>
    <row r="744" spans="1:10" ht="13.5" customHeight="1" x14ac:dyDescent="0.25">
      <c r="A744" s="1"/>
      <c r="B744" s="1" t="s">
        <v>812</v>
      </c>
      <c r="C744" s="1" t="s">
        <v>443</v>
      </c>
      <c r="D744" s="437">
        <v>0</v>
      </c>
      <c r="E744" s="437">
        <v>0</v>
      </c>
      <c r="F744" s="466"/>
      <c r="G744" s="437">
        <v>0</v>
      </c>
      <c r="H744" s="437">
        <v>0</v>
      </c>
      <c r="I744" s="437">
        <v>821.71</v>
      </c>
      <c r="J744" s="437">
        <v>2843.78</v>
      </c>
    </row>
    <row r="745" spans="1:10" ht="13.5" customHeight="1" x14ac:dyDescent="0.25">
      <c r="A745" s="1"/>
      <c r="B745" s="1"/>
      <c r="C745" s="1"/>
      <c r="D745" s="438">
        <v>128126</v>
      </c>
      <c r="E745" s="438">
        <f t="shared" ref="E745" si="302">SUM(E742:E744)</f>
        <v>50665.98</v>
      </c>
      <c r="F745" s="467"/>
      <c r="G745" s="438">
        <v>120832</v>
      </c>
      <c r="H745" s="438">
        <f>SUM(H742:H744)</f>
        <v>118083.45999999999</v>
      </c>
      <c r="I745" s="438">
        <f>SUM(I742:I744)</f>
        <v>115819.05</v>
      </c>
      <c r="J745" s="438">
        <f t="shared" ref="J745" si="303">SUM(J742:J744)</f>
        <v>117425.55</v>
      </c>
    </row>
    <row r="746" spans="1:10" ht="13.5" customHeight="1" x14ac:dyDescent="0.25">
      <c r="A746" s="1"/>
      <c r="B746" s="1"/>
      <c r="C746" s="1"/>
      <c r="D746" s="437"/>
      <c r="E746" s="437"/>
      <c r="F746" s="466"/>
      <c r="G746" s="437"/>
      <c r="H746" s="437"/>
      <c r="I746" s="437"/>
      <c r="J746" s="437"/>
    </row>
    <row r="747" spans="1:10" ht="13.5" customHeight="1" x14ac:dyDescent="0.25">
      <c r="A747" s="1"/>
      <c r="B747" s="1" t="s">
        <v>813</v>
      </c>
      <c r="C747" s="1" t="s">
        <v>257</v>
      </c>
      <c r="D747" s="437">
        <v>9801.6389999999992</v>
      </c>
      <c r="E747" s="437">
        <v>3507.49</v>
      </c>
      <c r="F747" s="466">
        <f t="shared" ref="F747:F751" si="304">SUM(E747/G747)</f>
        <v>0.37944859444050782</v>
      </c>
      <c r="G747" s="437">
        <v>9243.65</v>
      </c>
      <c r="H747" s="437">
        <v>8019.64</v>
      </c>
      <c r="I747" s="437">
        <v>7677.63</v>
      </c>
      <c r="J747" s="437">
        <v>7749.75</v>
      </c>
    </row>
    <row r="748" spans="1:10" ht="13.5" customHeight="1" x14ac:dyDescent="0.25">
      <c r="A748" s="1"/>
      <c r="B748" s="1" t="s">
        <v>814</v>
      </c>
      <c r="C748" s="1" t="s">
        <v>259</v>
      </c>
      <c r="D748" s="437">
        <v>31382.654400000003</v>
      </c>
      <c r="E748" s="437">
        <v>11219.28</v>
      </c>
      <c r="F748" s="466">
        <f t="shared" si="304"/>
        <v>0.35741232164076164</v>
      </c>
      <c r="G748" s="437">
        <v>31390.3</v>
      </c>
      <c r="H748" s="437">
        <v>25694.15</v>
      </c>
      <c r="I748" s="437">
        <v>27993.18</v>
      </c>
      <c r="J748" s="437">
        <v>27885</v>
      </c>
    </row>
    <row r="749" spans="1:10" ht="13.5" customHeight="1" x14ac:dyDescent="0.25">
      <c r="A749" s="1"/>
      <c r="B749" s="1" t="s">
        <v>815</v>
      </c>
      <c r="C749" s="1" t="s">
        <v>261</v>
      </c>
      <c r="D749" s="437">
        <v>19244.5252</v>
      </c>
      <c r="E749" s="437">
        <v>7610.03</v>
      </c>
      <c r="F749" s="466">
        <f t="shared" si="304"/>
        <v>0.41930919495706914</v>
      </c>
      <c r="G749" s="437">
        <v>18148.97</v>
      </c>
      <c r="H749" s="437">
        <v>17752.27</v>
      </c>
      <c r="I749" s="437">
        <v>16920.47</v>
      </c>
      <c r="J749" s="437">
        <v>17050.02</v>
      </c>
    </row>
    <row r="750" spans="1:10" ht="13.5" customHeight="1" x14ac:dyDescent="0.25">
      <c r="A750" s="1"/>
      <c r="B750" s="1" t="s">
        <v>816</v>
      </c>
      <c r="C750" s="1" t="s">
        <v>263</v>
      </c>
      <c r="D750" s="437">
        <v>205.00160000000002</v>
      </c>
      <c r="E750" s="437">
        <v>74.430000000000007</v>
      </c>
      <c r="F750" s="466">
        <f t="shared" si="304"/>
        <v>0.38498939636890295</v>
      </c>
      <c r="G750" s="437">
        <v>193.33</v>
      </c>
      <c r="H750" s="437">
        <v>195.76</v>
      </c>
      <c r="I750" s="437">
        <v>186.3</v>
      </c>
      <c r="J750" s="437">
        <v>215.41</v>
      </c>
    </row>
    <row r="751" spans="1:10" ht="13.5" customHeight="1" x14ac:dyDescent="0.25">
      <c r="A751" s="1"/>
      <c r="B751" s="1" t="s">
        <v>817</v>
      </c>
      <c r="C751" s="1" t="s">
        <v>265</v>
      </c>
      <c r="D751" s="437">
        <v>1124.6399999999999</v>
      </c>
      <c r="E751" s="437">
        <v>380.38</v>
      </c>
      <c r="F751" s="466">
        <f t="shared" si="304"/>
        <v>0.36111111111111116</v>
      </c>
      <c r="G751" s="437">
        <v>1053.3599999999999</v>
      </c>
      <c r="H751" s="437">
        <v>814.04</v>
      </c>
      <c r="I751" s="437">
        <v>891.42</v>
      </c>
      <c r="J751" s="437">
        <v>861.84</v>
      </c>
    </row>
    <row r="752" spans="1:10" ht="13.5" customHeight="1" x14ac:dyDescent="0.25">
      <c r="A752" s="1"/>
      <c r="B752" s="1"/>
      <c r="C752" s="1"/>
      <c r="D752" s="438">
        <v>61758.460200000001</v>
      </c>
      <c r="E752" s="438">
        <f t="shared" ref="E752" si="305">SUM(E747:E751)</f>
        <v>22791.61</v>
      </c>
      <c r="F752" s="467"/>
      <c r="G752" s="438">
        <v>60029.61</v>
      </c>
      <c r="H752" s="438">
        <f>SUM(H747:H751)</f>
        <v>52475.86</v>
      </c>
      <c r="I752" s="438">
        <f>SUM(I747:I751)</f>
        <v>53669</v>
      </c>
      <c r="J752" s="438">
        <f t="shared" ref="J752" si="306">SUM(J747:J751)</f>
        <v>53762.020000000004</v>
      </c>
    </row>
    <row r="753" spans="1:10" ht="13.5" customHeight="1" x14ac:dyDescent="0.25">
      <c r="A753" s="1"/>
      <c r="B753" s="1"/>
      <c r="C753" s="1"/>
      <c r="D753" s="437"/>
      <c r="E753" s="437"/>
      <c r="F753" s="466"/>
      <c r="G753" s="437"/>
      <c r="H753" s="437"/>
      <c r="I753" s="437"/>
      <c r="J753" s="437"/>
    </row>
    <row r="754" spans="1:10" ht="13.5" customHeight="1" x14ac:dyDescent="0.25">
      <c r="A754" s="1"/>
      <c r="B754" s="1" t="s">
        <v>818</v>
      </c>
      <c r="C754" s="1" t="s">
        <v>267</v>
      </c>
      <c r="D754" s="437">
        <v>1400</v>
      </c>
      <c r="E754" s="437">
        <v>352.03</v>
      </c>
      <c r="F754" s="466">
        <f t="shared" ref="F754:F755" si="307">SUM(E754/G754)</f>
        <v>0.25145000000000001</v>
      </c>
      <c r="G754" s="437">
        <v>1400</v>
      </c>
      <c r="H754" s="437">
        <v>1033.1199999999999</v>
      </c>
      <c r="I754" s="437">
        <v>652.67999999999995</v>
      </c>
      <c r="J754" s="437">
        <v>605.6</v>
      </c>
    </row>
    <row r="755" spans="1:10" ht="13.5" customHeight="1" x14ac:dyDescent="0.25">
      <c r="A755" s="1"/>
      <c r="B755" s="1" t="s">
        <v>819</v>
      </c>
      <c r="C755" s="1" t="s">
        <v>269</v>
      </c>
      <c r="D755" s="437">
        <v>1250</v>
      </c>
      <c r="E755" s="437">
        <v>477.88</v>
      </c>
      <c r="F755" s="466">
        <f t="shared" si="307"/>
        <v>0.38230399999999998</v>
      </c>
      <c r="G755" s="437">
        <v>1250</v>
      </c>
      <c r="H755" s="437">
        <v>1075.96</v>
      </c>
      <c r="I755" s="437">
        <v>1116.17</v>
      </c>
      <c r="J755" s="437">
        <v>1231.2</v>
      </c>
    </row>
    <row r="756" spans="1:10" ht="13.5" customHeight="1" x14ac:dyDescent="0.25">
      <c r="A756" s="1"/>
      <c r="B756" s="1" t="s">
        <v>820</v>
      </c>
      <c r="C756" s="1" t="s">
        <v>271</v>
      </c>
      <c r="D756" s="437">
        <v>0</v>
      </c>
      <c r="E756" s="439">
        <v>0</v>
      </c>
      <c r="F756" s="466"/>
      <c r="G756" s="439">
        <v>0</v>
      </c>
      <c r="H756" s="439">
        <v>0</v>
      </c>
      <c r="I756" s="439">
        <v>0</v>
      </c>
      <c r="J756" s="439">
        <v>0</v>
      </c>
    </row>
    <row r="757" spans="1:10" ht="13.5" customHeight="1" x14ac:dyDescent="0.25">
      <c r="A757" s="1"/>
      <c r="B757" s="22" t="s">
        <v>821</v>
      </c>
      <c r="C757" s="22" t="s">
        <v>275</v>
      </c>
      <c r="D757" s="437">
        <v>250</v>
      </c>
      <c r="E757" s="439">
        <v>0</v>
      </c>
      <c r="F757" s="466">
        <f>SUM(E757/G757)</f>
        <v>0</v>
      </c>
      <c r="G757" s="440">
        <v>250</v>
      </c>
      <c r="H757" s="439">
        <v>79.34</v>
      </c>
      <c r="I757" s="439">
        <v>239.97</v>
      </c>
      <c r="J757" s="440">
        <v>0</v>
      </c>
    </row>
    <row r="758" spans="1:10" ht="13.5" customHeight="1" x14ac:dyDescent="0.25">
      <c r="A758" s="1"/>
      <c r="B758" s="1"/>
      <c r="C758" s="1"/>
      <c r="D758" s="438">
        <v>2900</v>
      </c>
      <c r="E758" s="438">
        <f t="shared" ref="E758" si="308">SUM(E754:E757)</f>
        <v>829.91</v>
      </c>
      <c r="F758" s="467"/>
      <c r="G758" s="438">
        <v>2900</v>
      </c>
      <c r="H758" s="438">
        <f>SUM(H754:H757)</f>
        <v>2188.42</v>
      </c>
      <c r="I758" s="438">
        <f>SUM(I754:I757)</f>
        <v>2008.82</v>
      </c>
      <c r="J758" s="438">
        <f t="shared" ref="J758" si="309">SUM(J754:J757)</f>
        <v>1836.8000000000002</v>
      </c>
    </row>
    <row r="759" spans="1:10" ht="13.5" customHeight="1" x14ac:dyDescent="0.25">
      <c r="A759" s="1"/>
      <c r="B759" s="1"/>
      <c r="C759" s="1"/>
      <c r="D759" s="437"/>
      <c r="E759" s="440"/>
      <c r="F759" s="468"/>
      <c r="G759" s="440"/>
      <c r="H759" s="440"/>
      <c r="I759" s="440"/>
      <c r="J759" s="440"/>
    </row>
    <row r="760" spans="1:10" ht="13.5" customHeight="1" x14ac:dyDescent="0.25">
      <c r="A760" s="1"/>
      <c r="B760" s="1" t="s">
        <v>822</v>
      </c>
      <c r="C760" s="1" t="s">
        <v>329</v>
      </c>
      <c r="D760" s="437">
        <v>1200</v>
      </c>
      <c r="E760" s="437">
        <v>786.41</v>
      </c>
      <c r="F760" s="466">
        <f t="shared" ref="F760:F765" si="310">SUM(E760/G760)</f>
        <v>0.6553416666666666</v>
      </c>
      <c r="G760" s="437">
        <v>1200</v>
      </c>
      <c r="H760" s="437">
        <v>1199.04</v>
      </c>
      <c r="I760" s="437">
        <v>1384.05</v>
      </c>
      <c r="J760" s="437">
        <v>1454.33</v>
      </c>
    </row>
    <row r="761" spans="1:10" ht="13.5" customHeight="1" x14ac:dyDescent="0.25">
      <c r="A761" s="1"/>
      <c r="B761" s="1" t="s">
        <v>823</v>
      </c>
      <c r="C761" s="1" t="s">
        <v>743</v>
      </c>
      <c r="D761" s="437">
        <v>750</v>
      </c>
      <c r="E761" s="437">
        <v>0</v>
      </c>
      <c r="F761" s="466">
        <f t="shared" si="310"/>
        <v>0</v>
      </c>
      <c r="G761" s="437">
        <v>750</v>
      </c>
      <c r="H761" s="437">
        <v>528.42999999999995</v>
      </c>
      <c r="I761" s="437">
        <v>547.96</v>
      </c>
      <c r="J761" s="437">
        <v>565.45000000000005</v>
      </c>
    </row>
    <row r="762" spans="1:10" ht="13.5" customHeight="1" x14ac:dyDescent="0.25">
      <c r="A762" s="1"/>
      <c r="B762" s="1" t="s">
        <v>824</v>
      </c>
      <c r="C762" s="1" t="s">
        <v>283</v>
      </c>
      <c r="D762" s="437">
        <v>1800</v>
      </c>
      <c r="E762" s="437">
        <v>755</v>
      </c>
      <c r="F762" s="466">
        <f t="shared" si="310"/>
        <v>0.41944444444444445</v>
      </c>
      <c r="G762" s="437">
        <v>1800</v>
      </c>
      <c r="H762" s="437">
        <v>0</v>
      </c>
      <c r="I762" s="437">
        <v>960.72</v>
      </c>
      <c r="J762" s="437">
        <v>1216.29</v>
      </c>
    </row>
    <row r="763" spans="1:10" ht="13.5" customHeight="1" x14ac:dyDescent="0.25">
      <c r="A763" s="1"/>
      <c r="B763" s="1" t="s">
        <v>825</v>
      </c>
      <c r="C763" s="1" t="s">
        <v>502</v>
      </c>
      <c r="D763" s="437">
        <v>200</v>
      </c>
      <c r="E763" s="437">
        <v>135</v>
      </c>
      <c r="F763" s="466">
        <f t="shared" si="310"/>
        <v>0.67500000000000004</v>
      </c>
      <c r="G763" s="437">
        <v>200</v>
      </c>
      <c r="H763" s="437">
        <v>60</v>
      </c>
      <c r="I763" s="437">
        <v>210</v>
      </c>
      <c r="J763" s="437">
        <v>170</v>
      </c>
    </row>
    <row r="764" spans="1:10" ht="13.5" customHeight="1" x14ac:dyDescent="0.25">
      <c r="A764" s="1"/>
      <c r="B764" s="1" t="s">
        <v>826</v>
      </c>
      <c r="C764" s="1" t="s">
        <v>287</v>
      </c>
      <c r="D764" s="437">
        <v>178</v>
      </c>
      <c r="E764" s="437">
        <v>0</v>
      </c>
      <c r="F764" s="466">
        <f t="shared" si="310"/>
        <v>0</v>
      </c>
      <c r="G764" s="437">
        <v>178</v>
      </c>
      <c r="H764" s="437">
        <v>0</v>
      </c>
      <c r="I764" s="437">
        <v>248.5</v>
      </c>
      <c r="J764" s="439">
        <v>0</v>
      </c>
    </row>
    <row r="765" spans="1:10" ht="13.5" customHeight="1" x14ac:dyDescent="0.25">
      <c r="A765" s="1"/>
      <c r="B765" s="1" t="s">
        <v>827</v>
      </c>
      <c r="C765" s="1" t="s">
        <v>289</v>
      </c>
      <c r="D765" s="437">
        <v>1610</v>
      </c>
      <c r="E765" s="437">
        <v>965</v>
      </c>
      <c r="F765" s="466">
        <f t="shared" si="310"/>
        <v>0.59937888198757761</v>
      </c>
      <c r="G765" s="437">
        <v>1610</v>
      </c>
      <c r="H765" s="437">
        <v>2148.21</v>
      </c>
      <c r="I765" s="437">
        <v>1855.8</v>
      </c>
      <c r="J765" s="437">
        <v>1729.37</v>
      </c>
    </row>
    <row r="766" spans="1:10" ht="13.5" customHeight="1" x14ac:dyDescent="0.25">
      <c r="A766" s="1"/>
      <c r="B766" s="1"/>
      <c r="C766" s="1"/>
      <c r="D766" s="438">
        <v>5738</v>
      </c>
      <c r="E766" s="438">
        <f t="shared" ref="E766" si="311">SUM(E760:E765)</f>
        <v>2641.41</v>
      </c>
      <c r="F766" s="467"/>
      <c r="G766" s="438">
        <v>5738</v>
      </c>
      <c r="H766" s="438">
        <f>SUM(H760:H765)</f>
        <v>3935.68</v>
      </c>
      <c r="I766" s="438">
        <f>SUM(I760:I765)</f>
        <v>5207.03</v>
      </c>
      <c r="J766" s="438">
        <f t="shared" ref="J766" si="312">SUM(J760:J765)</f>
        <v>5135.4399999999996</v>
      </c>
    </row>
    <row r="767" spans="1:10" ht="13.5" customHeight="1" thickBot="1" x14ac:dyDescent="0.3">
      <c r="A767" s="1"/>
      <c r="B767" s="1"/>
      <c r="C767" s="39" t="s">
        <v>828</v>
      </c>
      <c r="D767" s="451">
        <v>198522.4602</v>
      </c>
      <c r="E767" s="451">
        <f t="shared" ref="E767" si="313">SUM(E745+E752+E758+E766)</f>
        <v>76928.91</v>
      </c>
      <c r="F767" s="478"/>
      <c r="G767" s="451">
        <v>189499.61</v>
      </c>
      <c r="H767" s="451">
        <f>SUM(H745+H752+H758+H766)</f>
        <v>176683.42</v>
      </c>
      <c r="I767" s="451">
        <f>SUM(I745+I752+I758+I766)</f>
        <v>176703.9</v>
      </c>
      <c r="J767" s="451">
        <f t="shared" ref="J767" si="314">SUM(J745+J752+J758+J766)</f>
        <v>178159.81</v>
      </c>
    </row>
    <row r="768" spans="1:10" ht="13.5" customHeight="1" thickTop="1" x14ac:dyDescent="0.25">
      <c r="A768" s="1"/>
      <c r="B768" s="1"/>
      <c r="C768" s="1"/>
      <c r="D768" s="437"/>
      <c r="E768" s="437"/>
      <c r="F768" s="466"/>
      <c r="G768" s="437"/>
      <c r="H768" s="437"/>
      <c r="I768" s="437"/>
      <c r="J768" s="437"/>
    </row>
    <row r="769" spans="1:10" ht="13.5" customHeight="1" x14ac:dyDescent="0.25">
      <c r="A769" s="1"/>
      <c r="B769" s="1"/>
      <c r="C769" s="14" t="s">
        <v>829</v>
      </c>
      <c r="D769" s="437"/>
      <c r="E769" s="437"/>
      <c r="F769" s="466"/>
      <c r="G769" s="437"/>
      <c r="H769" s="437"/>
      <c r="I769" s="437"/>
      <c r="J769" s="437"/>
    </row>
    <row r="770" spans="1:10" ht="13.5" customHeight="1" x14ac:dyDescent="0.25">
      <c r="A770" s="1"/>
      <c r="B770" s="1" t="s">
        <v>830</v>
      </c>
      <c r="C770" s="1" t="s">
        <v>267</v>
      </c>
      <c r="D770" s="437">
        <v>500</v>
      </c>
      <c r="E770" s="439">
        <v>0</v>
      </c>
      <c r="F770" s="466">
        <f t="shared" ref="F770:F771" si="315">SUM(E770/G770)</f>
        <v>0</v>
      </c>
      <c r="G770" s="440">
        <v>500</v>
      </c>
      <c r="H770" s="439">
        <v>0</v>
      </c>
      <c r="I770" s="440">
        <v>0</v>
      </c>
      <c r="J770" s="440">
        <v>0</v>
      </c>
    </row>
    <row r="771" spans="1:10" ht="13.5" customHeight="1" x14ac:dyDescent="0.25">
      <c r="A771" s="1"/>
      <c r="B771" s="1" t="s">
        <v>831</v>
      </c>
      <c r="C771" s="1" t="s">
        <v>279</v>
      </c>
      <c r="D771" s="437">
        <v>500</v>
      </c>
      <c r="E771" s="439">
        <v>0</v>
      </c>
      <c r="F771" s="466">
        <f t="shared" si="315"/>
        <v>0</v>
      </c>
      <c r="G771" s="440">
        <v>500</v>
      </c>
      <c r="H771" s="439">
        <v>0</v>
      </c>
      <c r="I771" s="440">
        <v>0</v>
      </c>
      <c r="J771" s="440">
        <v>0</v>
      </c>
    </row>
    <row r="772" spans="1:10" ht="13.5" customHeight="1" thickBot="1" x14ac:dyDescent="0.3">
      <c r="A772" s="1"/>
      <c r="B772" s="1"/>
      <c r="C772" s="39" t="s">
        <v>832</v>
      </c>
      <c r="D772" s="453">
        <v>1000</v>
      </c>
      <c r="E772" s="453">
        <f t="shared" ref="E772" si="316">SUM(E770:E771)</f>
        <v>0</v>
      </c>
      <c r="F772" s="479"/>
      <c r="G772" s="453">
        <v>1000</v>
      </c>
      <c r="H772" s="453">
        <f>SUM(H770:H771)</f>
        <v>0</v>
      </c>
      <c r="I772" s="453">
        <f>SUM(I770:I771)</f>
        <v>0</v>
      </c>
      <c r="J772" s="453">
        <f t="shared" ref="J772" si="317">SUM(J770:J771)</f>
        <v>0</v>
      </c>
    </row>
    <row r="773" spans="1:10" ht="13.5" customHeight="1" thickTop="1" x14ac:dyDescent="0.25">
      <c r="A773" s="1"/>
      <c r="B773" s="1"/>
      <c r="C773" s="1"/>
      <c r="D773" s="440"/>
      <c r="E773" s="440"/>
      <c r="F773" s="468"/>
      <c r="G773" s="440"/>
      <c r="H773" s="440"/>
      <c r="I773" s="440"/>
      <c r="J773" s="440"/>
    </row>
    <row r="774" spans="1:10" ht="13.5" customHeight="1" x14ac:dyDescent="0.25">
      <c r="A774" s="1"/>
      <c r="B774" s="1"/>
      <c r="C774" s="14" t="s">
        <v>833</v>
      </c>
      <c r="D774" s="440"/>
      <c r="E774" s="440"/>
      <c r="F774" s="468"/>
      <c r="G774" s="440"/>
      <c r="H774" s="440"/>
      <c r="I774" s="440"/>
      <c r="J774" s="440"/>
    </row>
    <row r="775" spans="1:10" ht="13.5" customHeight="1" x14ac:dyDescent="0.25">
      <c r="A775" s="1"/>
      <c r="B775" s="1" t="s">
        <v>834</v>
      </c>
      <c r="C775" s="1" t="s">
        <v>835</v>
      </c>
      <c r="D775" s="437">
        <v>0</v>
      </c>
      <c r="E775" s="439">
        <v>0</v>
      </c>
      <c r="F775" s="466"/>
      <c r="G775" s="440">
        <v>0</v>
      </c>
      <c r="H775" s="439">
        <v>0</v>
      </c>
      <c r="I775" s="440">
        <v>0</v>
      </c>
      <c r="J775" s="437">
        <v>590</v>
      </c>
    </row>
    <row r="776" spans="1:10" ht="13.5" customHeight="1" x14ac:dyDescent="0.25">
      <c r="A776" s="1"/>
      <c r="B776" s="1" t="s">
        <v>836</v>
      </c>
      <c r="C776" s="1" t="s">
        <v>741</v>
      </c>
      <c r="D776" s="437">
        <v>0</v>
      </c>
      <c r="E776" s="439">
        <v>0</v>
      </c>
      <c r="F776" s="466"/>
      <c r="G776" s="440">
        <v>0</v>
      </c>
      <c r="H776" s="439">
        <v>0</v>
      </c>
      <c r="I776" s="440">
        <v>0</v>
      </c>
      <c r="J776" s="437">
        <v>456.02</v>
      </c>
    </row>
    <row r="777" spans="1:10" ht="13.5" customHeight="1" x14ac:dyDescent="0.25">
      <c r="A777" s="1"/>
      <c r="B777" s="1"/>
      <c r="C777" s="1"/>
      <c r="D777" s="441">
        <v>0</v>
      </c>
      <c r="E777" s="441">
        <f t="shared" ref="E777" si="318">SUM(E775:E776)</f>
        <v>0</v>
      </c>
      <c r="F777" s="469"/>
      <c r="G777" s="441">
        <v>0</v>
      </c>
      <c r="H777" s="441">
        <f>SUM(H775:H776)</f>
        <v>0</v>
      </c>
      <c r="I777" s="441">
        <f>SUM(I775:I776)</f>
        <v>0</v>
      </c>
      <c r="J777" s="441">
        <f t="shared" ref="J777" si="319">SUM(J775:J776)</f>
        <v>1046.02</v>
      </c>
    </row>
    <row r="778" spans="1:10" ht="13.5" customHeight="1" x14ac:dyDescent="0.25">
      <c r="A778" s="1"/>
      <c r="B778" s="1"/>
      <c r="C778" s="1"/>
      <c r="D778" s="440"/>
      <c r="E778" s="440"/>
      <c r="F778" s="468"/>
      <c r="G778" s="440"/>
      <c r="H778" s="440"/>
      <c r="I778" s="440"/>
      <c r="J778" s="437"/>
    </row>
    <row r="779" spans="1:10" ht="13.5" customHeight="1" x14ac:dyDescent="0.25">
      <c r="A779" s="1"/>
      <c r="B779" s="1" t="s">
        <v>837</v>
      </c>
      <c r="C779" s="1" t="s">
        <v>283</v>
      </c>
      <c r="D779" s="437">
        <v>0</v>
      </c>
      <c r="E779" s="439">
        <v>0</v>
      </c>
      <c r="F779" s="468"/>
      <c r="G779" s="440">
        <v>0</v>
      </c>
      <c r="H779" s="440"/>
      <c r="I779" s="440">
        <v>0</v>
      </c>
      <c r="J779" s="440">
        <v>0</v>
      </c>
    </row>
    <row r="780" spans="1:10" ht="13.5" customHeight="1" x14ac:dyDescent="0.25">
      <c r="A780" s="1"/>
      <c r="B780" s="1" t="s">
        <v>838</v>
      </c>
      <c r="C780" s="1" t="s">
        <v>502</v>
      </c>
      <c r="D780" s="437">
        <v>1107</v>
      </c>
      <c r="E780" s="439">
        <v>0</v>
      </c>
      <c r="F780" s="466">
        <f t="shared" ref="F780:F782" si="320">SUM(E780/G780)</f>
        <v>0</v>
      </c>
      <c r="G780" s="440">
        <v>1107</v>
      </c>
      <c r="H780" s="439">
        <v>0</v>
      </c>
      <c r="I780" s="440">
        <v>0</v>
      </c>
      <c r="J780" s="437">
        <v>50.41</v>
      </c>
    </row>
    <row r="781" spans="1:10" ht="13.5" customHeight="1" x14ac:dyDescent="0.25">
      <c r="A781" s="1"/>
      <c r="B781" s="1" t="s">
        <v>839</v>
      </c>
      <c r="C781" s="1" t="s">
        <v>840</v>
      </c>
      <c r="D781" s="437">
        <v>881</v>
      </c>
      <c r="E781" s="437">
        <v>468.22</v>
      </c>
      <c r="F781" s="466">
        <f t="shared" si="320"/>
        <v>0.53146424517593649</v>
      </c>
      <c r="G781" s="437">
        <v>881</v>
      </c>
      <c r="H781" s="437">
        <v>455.88</v>
      </c>
      <c r="I781" s="437">
        <v>455.88</v>
      </c>
      <c r="J781" s="437">
        <v>455.88</v>
      </c>
    </row>
    <row r="782" spans="1:10" ht="13.5" customHeight="1" x14ac:dyDescent="0.25">
      <c r="A782" s="1"/>
      <c r="B782" s="1" t="s">
        <v>841</v>
      </c>
      <c r="C782" s="1" t="s">
        <v>567</v>
      </c>
      <c r="D782" s="437">
        <v>525</v>
      </c>
      <c r="E782" s="437">
        <v>0</v>
      </c>
      <c r="F782" s="466">
        <f t="shared" si="320"/>
        <v>0</v>
      </c>
      <c r="G782" s="437">
        <v>525</v>
      </c>
      <c r="H782" s="437">
        <v>104.28</v>
      </c>
      <c r="I782" s="437">
        <v>417.12</v>
      </c>
      <c r="J782" s="437">
        <v>417.12</v>
      </c>
    </row>
    <row r="783" spans="1:10" ht="13.5" customHeight="1" x14ac:dyDescent="0.25">
      <c r="A783" s="1"/>
      <c r="B783" s="1"/>
      <c r="C783" s="1"/>
      <c r="D783" s="438">
        <v>2513</v>
      </c>
      <c r="E783" s="438">
        <f t="shared" ref="E783" si="321">SUM(E779:E782)</f>
        <v>468.22</v>
      </c>
      <c r="F783" s="467"/>
      <c r="G783" s="438">
        <v>2513</v>
      </c>
      <c r="H783" s="438">
        <f>SUM(H779:H782)</f>
        <v>560.16</v>
      </c>
      <c r="I783" s="438">
        <f>SUM(I779:I782)</f>
        <v>873</v>
      </c>
      <c r="J783" s="438">
        <f t="shared" ref="J783" si="322">SUM(J779:J782)</f>
        <v>923.41</v>
      </c>
    </row>
    <row r="784" spans="1:10" ht="13.5" customHeight="1" x14ac:dyDescent="0.25">
      <c r="A784" s="1"/>
      <c r="B784" s="1"/>
      <c r="C784" s="1"/>
      <c r="D784" s="437"/>
      <c r="E784" s="437"/>
      <c r="F784" s="466"/>
      <c r="G784" s="437"/>
      <c r="H784" s="437"/>
      <c r="I784" s="437"/>
      <c r="J784" s="437"/>
    </row>
    <row r="785" spans="1:10" ht="13.5" customHeight="1" x14ac:dyDescent="0.25">
      <c r="A785" s="1"/>
      <c r="B785" s="1" t="s">
        <v>842</v>
      </c>
      <c r="C785" s="1" t="s">
        <v>843</v>
      </c>
      <c r="D785" s="440" t="s">
        <v>12</v>
      </c>
      <c r="E785" s="439">
        <v>0</v>
      </c>
      <c r="F785" s="468"/>
      <c r="G785" s="439">
        <v>0</v>
      </c>
      <c r="H785" s="439">
        <v>0</v>
      </c>
      <c r="I785" s="440" t="s">
        <v>12</v>
      </c>
      <c r="J785" s="440" t="s">
        <v>12</v>
      </c>
    </row>
    <row r="786" spans="1:10" ht="13.5" customHeight="1" x14ac:dyDescent="0.25">
      <c r="A786" s="1"/>
      <c r="B786" s="1"/>
      <c r="C786" s="1"/>
      <c r="D786" s="441">
        <v>0</v>
      </c>
      <c r="E786" s="441">
        <f t="shared" ref="E786" si="323">SUM(E785)</f>
        <v>0</v>
      </c>
      <c r="F786" s="469"/>
      <c r="G786" s="441">
        <v>0</v>
      </c>
      <c r="H786" s="441">
        <f>SUM(H785)</f>
        <v>0</v>
      </c>
      <c r="I786" s="441">
        <f>SUM(I785)</f>
        <v>0</v>
      </c>
      <c r="J786" s="441">
        <f t="shared" ref="J786" si="324">SUM(J785)</f>
        <v>0</v>
      </c>
    </row>
    <row r="787" spans="1:10" ht="13.5" customHeight="1" thickBot="1" x14ac:dyDescent="0.3">
      <c r="A787" s="1"/>
      <c r="B787" s="1"/>
      <c r="C787" s="39" t="s">
        <v>844</v>
      </c>
      <c r="D787" s="453">
        <v>2513</v>
      </c>
      <c r="E787" s="453">
        <f t="shared" ref="E787" si="325">E783</f>
        <v>468.22</v>
      </c>
      <c r="F787" s="479"/>
      <c r="G787" s="453">
        <f>G783</f>
        <v>2513</v>
      </c>
      <c r="H787" s="453">
        <f t="shared" ref="H787" si="326">H783</f>
        <v>560.16</v>
      </c>
      <c r="I787" s="453">
        <f>I783</f>
        <v>873</v>
      </c>
      <c r="J787" s="453">
        <f>J783+J777</f>
        <v>1969.4299999999998</v>
      </c>
    </row>
    <row r="788" spans="1:10" ht="13.5" customHeight="1" thickTop="1" x14ac:dyDescent="0.25">
      <c r="A788" s="1"/>
      <c r="B788" s="1"/>
      <c r="C788" s="39"/>
      <c r="D788" s="440"/>
      <c r="E788" s="440"/>
      <c r="F788" s="468"/>
      <c r="G788" s="440"/>
      <c r="H788" s="440"/>
      <c r="I788" s="440"/>
      <c r="J788" s="440"/>
    </row>
    <row r="789" spans="1:10" ht="13.5" customHeight="1" x14ac:dyDescent="0.25">
      <c r="A789" s="1"/>
      <c r="B789" s="1"/>
      <c r="C789" s="14" t="s">
        <v>845</v>
      </c>
      <c r="D789" s="440"/>
      <c r="E789" s="440"/>
      <c r="F789" s="468"/>
      <c r="G789" s="440"/>
      <c r="H789" s="440"/>
      <c r="I789" s="440"/>
      <c r="J789" s="440"/>
    </row>
    <row r="790" spans="1:10" ht="13.5" customHeight="1" x14ac:dyDescent="0.25">
      <c r="A790" s="1"/>
      <c r="B790" s="1" t="s">
        <v>846</v>
      </c>
      <c r="C790" s="1" t="s">
        <v>267</v>
      </c>
      <c r="D790" s="437">
        <v>0</v>
      </c>
      <c r="E790" s="439">
        <v>0</v>
      </c>
      <c r="F790" s="468"/>
      <c r="G790" s="440">
        <v>0</v>
      </c>
      <c r="H790" s="439">
        <v>0</v>
      </c>
      <c r="I790" s="440">
        <v>0</v>
      </c>
      <c r="J790" s="437">
        <v>115.64</v>
      </c>
    </row>
    <row r="791" spans="1:10" ht="13.5" customHeight="1" x14ac:dyDescent="0.25">
      <c r="A791" s="1"/>
      <c r="B791" s="1" t="s">
        <v>847</v>
      </c>
      <c r="C791" s="1" t="s">
        <v>848</v>
      </c>
      <c r="D791" s="437">
        <v>0</v>
      </c>
      <c r="E791" s="439">
        <v>0</v>
      </c>
      <c r="F791" s="468"/>
      <c r="G791" s="440">
        <v>0</v>
      </c>
      <c r="H791" s="439">
        <v>0</v>
      </c>
      <c r="I791" s="440">
        <v>0</v>
      </c>
      <c r="J791" s="440">
        <v>0</v>
      </c>
    </row>
    <row r="792" spans="1:10" ht="13.5" customHeight="1" x14ac:dyDescent="0.25">
      <c r="A792" s="1"/>
      <c r="B792" s="1" t="s">
        <v>849</v>
      </c>
      <c r="C792" s="1" t="s">
        <v>275</v>
      </c>
      <c r="D792" s="437">
        <v>600</v>
      </c>
      <c r="E792" s="437">
        <v>0</v>
      </c>
      <c r="F792" s="466">
        <f>SUM(E792/G792)</f>
        <v>0</v>
      </c>
      <c r="G792" s="437">
        <v>600</v>
      </c>
      <c r="H792" s="437">
        <v>0</v>
      </c>
      <c r="I792" s="437">
        <v>59</v>
      </c>
      <c r="J792" s="440">
        <v>0</v>
      </c>
    </row>
    <row r="793" spans="1:10" ht="13.5" customHeight="1" x14ac:dyDescent="0.25">
      <c r="A793" s="1"/>
      <c r="B793" s="1"/>
      <c r="C793" s="1"/>
      <c r="D793" s="438">
        <v>600</v>
      </c>
      <c r="E793" s="438">
        <f t="shared" ref="E793" si="327">SUM(E790:E792)</f>
        <v>0</v>
      </c>
      <c r="F793" s="467"/>
      <c r="G793" s="438">
        <v>600</v>
      </c>
      <c r="H793" s="438">
        <f>SUM(H790:H792)</f>
        <v>0</v>
      </c>
      <c r="I793" s="438">
        <f>SUM(I790:I792)</f>
        <v>59</v>
      </c>
      <c r="J793" s="438">
        <f t="shared" ref="J793" si="328">SUM(J790:J792)</f>
        <v>115.64</v>
      </c>
    </row>
    <row r="794" spans="1:10" ht="13.5" customHeight="1" x14ac:dyDescent="0.25">
      <c r="A794" s="1"/>
      <c r="B794" s="1"/>
      <c r="C794" s="1"/>
      <c r="D794" s="437"/>
      <c r="E794" s="437"/>
      <c r="F794" s="466"/>
      <c r="G794" s="437"/>
      <c r="H794" s="437"/>
      <c r="I794" s="437"/>
      <c r="J794" s="440"/>
    </row>
    <row r="795" spans="1:10" ht="13.5" customHeight="1" x14ac:dyDescent="0.25">
      <c r="A795" s="1"/>
      <c r="B795" s="1" t="s">
        <v>850</v>
      </c>
      <c r="C795" s="1" t="s">
        <v>329</v>
      </c>
      <c r="D795" s="437">
        <v>300</v>
      </c>
      <c r="E795" s="437">
        <v>143.57</v>
      </c>
      <c r="F795" s="466">
        <f>SUM(E795/G795)</f>
        <v>0.47856666666666664</v>
      </c>
      <c r="G795" s="437">
        <v>300</v>
      </c>
      <c r="H795" s="437">
        <v>246.12</v>
      </c>
      <c r="I795" s="437">
        <v>381.35</v>
      </c>
      <c r="J795" s="437">
        <v>394.56</v>
      </c>
    </row>
    <row r="796" spans="1:10" ht="13.5" customHeight="1" x14ac:dyDescent="0.25">
      <c r="A796" s="1"/>
      <c r="B796" s="1" t="s">
        <v>851</v>
      </c>
      <c r="C796" s="1" t="s">
        <v>281</v>
      </c>
      <c r="D796" s="437">
        <v>0</v>
      </c>
      <c r="E796" s="439">
        <v>0</v>
      </c>
      <c r="F796" s="468"/>
      <c r="G796" s="440">
        <v>0</v>
      </c>
      <c r="H796" s="439">
        <v>0</v>
      </c>
      <c r="I796" s="440">
        <v>0</v>
      </c>
      <c r="J796" s="440">
        <v>0</v>
      </c>
    </row>
    <row r="797" spans="1:10" ht="13.5" customHeight="1" x14ac:dyDescent="0.25">
      <c r="A797" s="1"/>
      <c r="B797" s="1" t="s">
        <v>852</v>
      </c>
      <c r="C797" s="1" t="s">
        <v>426</v>
      </c>
      <c r="D797" s="437">
        <v>0</v>
      </c>
      <c r="E797" s="439">
        <v>0</v>
      </c>
      <c r="F797" s="468"/>
      <c r="G797" s="440">
        <v>0</v>
      </c>
      <c r="H797" s="439">
        <v>0</v>
      </c>
      <c r="I797" s="440">
        <v>0</v>
      </c>
      <c r="J797" s="440">
        <v>0</v>
      </c>
    </row>
    <row r="798" spans="1:10" ht="13.5" customHeight="1" x14ac:dyDescent="0.25">
      <c r="A798" s="1"/>
      <c r="B798" s="1" t="s">
        <v>853</v>
      </c>
      <c r="C798" s="1" t="s">
        <v>502</v>
      </c>
      <c r="D798" s="437">
        <v>969</v>
      </c>
      <c r="E798" s="439">
        <v>0</v>
      </c>
      <c r="F798" s="466">
        <f t="shared" ref="F798:F801" si="329">SUM(E798/G798)</f>
        <v>0</v>
      </c>
      <c r="G798" s="440">
        <v>969</v>
      </c>
      <c r="H798" s="439">
        <v>0</v>
      </c>
      <c r="I798" s="440">
        <v>0</v>
      </c>
      <c r="J798" s="440">
        <v>0</v>
      </c>
    </row>
    <row r="799" spans="1:10" ht="13.5" customHeight="1" x14ac:dyDescent="0.25">
      <c r="A799" s="1"/>
      <c r="B799" s="1" t="s">
        <v>854</v>
      </c>
      <c r="C799" s="1" t="s">
        <v>429</v>
      </c>
      <c r="D799" s="437">
        <v>460</v>
      </c>
      <c r="E799" s="437">
        <v>0</v>
      </c>
      <c r="F799" s="466">
        <f t="shared" si="329"/>
        <v>0</v>
      </c>
      <c r="G799" s="437">
        <v>460</v>
      </c>
      <c r="H799" s="437">
        <v>0</v>
      </c>
      <c r="I799" s="437">
        <v>0</v>
      </c>
      <c r="J799" s="437">
        <v>0</v>
      </c>
    </row>
    <row r="800" spans="1:10" ht="13.5" customHeight="1" x14ac:dyDescent="0.25">
      <c r="A800" s="1"/>
      <c r="B800" s="1" t="s">
        <v>855</v>
      </c>
      <c r="C800" s="1" t="s">
        <v>431</v>
      </c>
      <c r="D800" s="437">
        <v>340</v>
      </c>
      <c r="E800" s="437">
        <v>0</v>
      </c>
      <c r="F800" s="466">
        <f t="shared" si="329"/>
        <v>0</v>
      </c>
      <c r="G800" s="437">
        <v>340</v>
      </c>
      <c r="H800" s="437">
        <v>0</v>
      </c>
      <c r="I800" s="437">
        <v>0</v>
      </c>
      <c r="J800" s="437">
        <v>0</v>
      </c>
    </row>
    <row r="801" spans="1:10" ht="13.5" customHeight="1" x14ac:dyDescent="0.25">
      <c r="A801" s="1"/>
      <c r="B801" s="1" t="s">
        <v>856</v>
      </c>
      <c r="C801" s="1" t="s">
        <v>857</v>
      </c>
      <c r="D801" s="437">
        <v>456</v>
      </c>
      <c r="E801" s="437">
        <v>507.44</v>
      </c>
      <c r="F801" s="466">
        <f t="shared" si="329"/>
        <v>1.1128070175438596</v>
      </c>
      <c r="G801" s="437">
        <v>456</v>
      </c>
      <c r="H801" s="437">
        <v>455.88</v>
      </c>
      <c r="I801" s="437">
        <v>455.88</v>
      </c>
      <c r="J801" s="437">
        <v>455.88</v>
      </c>
    </row>
    <row r="802" spans="1:10" ht="13.5" customHeight="1" x14ac:dyDescent="0.25">
      <c r="A802" s="1"/>
      <c r="B802" s="1"/>
      <c r="C802" s="1"/>
      <c r="D802" s="438">
        <v>2525</v>
      </c>
      <c r="E802" s="438">
        <f t="shared" ref="E802" si="330">SUM(E795:E801)</f>
        <v>651.01</v>
      </c>
      <c r="F802" s="467"/>
      <c r="G802" s="438">
        <v>2525</v>
      </c>
      <c r="H802" s="438">
        <f>SUM(H795:H801)</f>
        <v>702</v>
      </c>
      <c r="I802" s="438">
        <f>SUM(I795:I801)</f>
        <v>837.23</v>
      </c>
      <c r="J802" s="438">
        <f t="shared" ref="J802" si="331">SUM(J795:J801)</f>
        <v>850.44</v>
      </c>
    </row>
    <row r="803" spans="1:10" ht="13.5" customHeight="1" x14ac:dyDescent="0.25">
      <c r="A803" s="1"/>
      <c r="B803" s="1"/>
      <c r="C803" s="1"/>
      <c r="D803" s="437"/>
      <c r="E803" s="437"/>
      <c r="F803" s="466"/>
      <c r="G803" s="437"/>
      <c r="H803" s="437"/>
      <c r="I803" s="437"/>
      <c r="J803" s="437"/>
    </row>
    <row r="804" spans="1:10" ht="13.5" customHeight="1" x14ac:dyDescent="0.25">
      <c r="A804" s="1"/>
      <c r="B804" s="1" t="s">
        <v>858</v>
      </c>
      <c r="C804" s="1" t="s">
        <v>859</v>
      </c>
      <c r="D804" s="437">
        <v>0</v>
      </c>
      <c r="E804" s="439">
        <v>0</v>
      </c>
      <c r="F804" s="468"/>
      <c r="G804" s="440">
        <v>0</v>
      </c>
      <c r="H804" s="439">
        <v>0</v>
      </c>
      <c r="I804" s="440">
        <v>0</v>
      </c>
      <c r="J804" s="440">
        <v>0</v>
      </c>
    </row>
    <row r="805" spans="1:10" ht="13.5" customHeight="1" x14ac:dyDescent="0.25">
      <c r="A805" s="1"/>
      <c r="B805" s="1" t="s">
        <v>860</v>
      </c>
      <c r="C805" s="1" t="s">
        <v>843</v>
      </c>
      <c r="D805" s="437">
        <v>0</v>
      </c>
      <c r="E805" s="439">
        <v>0</v>
      </c>
      <c r="F805" s="468"/>
      <c r="G805" s="440">
        <v>0</v>
      </c>
      <c r="H805" s="439">
        <v>0</v>
      </c>
      <c r="I805" s="440">
        <v>0</v>
      </c>
      <c r="J805" s="440">
        <v>0</v>
      </c>
    </row>
    <row r="806" spans="1:10" ht="13.5" customHeight="1" x14ac:dyDescent="0.25">
      <c r="A806" s="1"/>
      <c r="B806" s="1"/>
      <c r="C806" s="1"/>
      <c r="D806" s="438">
        <v>0</v>
      </c>
      <c r="E806" s="438">
        <f t="shared" ref="E806" si="332">SUM(E804:E805)</f>
        <v>0</v>
      </c>
      <c r="F806" s="467"/>
      <c r="G806" s="438">
        <v>0</v>
      </c>
      <c r="H806" s="438">
        <f>SUM(H804:H805)</f>
        <v>0</v>
      </c>
      <c r="I806" s="438">
        <f>SUM(I804:I805)</f>
        <v>0</v>
      </c>
      <c r="J806" s="438">
        <f t="shared" ref="J806" si="333">SUM(J804:J805)</f>
        <v>0</v>
      </c>
    </row>
    <row r="807" spans="1:10" ht="13.5" customHeight="1" thickBot="1" x14ac:dyDescent="0.3">
      <c r="A807" s="1"/>
      <c r="B807" s="1"/>
      <c r="C807" s="39" t="s">
        <v>861</v>
      </c>
      <c r="D807" s="443">
        <v>3125</v>
      </c>
      <c r="E807" s="443">
        <f t="shared" ref="E807" si="334">SUM(E793+E802+E806)</f>
        <v>651.01</v>
      </c>
      <c r="F807" s="470"/>
      <c r="G807" s="443">
        <v>3125</v>
      </c>
      <c r="H807" s="443">
        <f>SUM(H793+H802+H806)</f>
        <v>702</v>
      </c>
      <c r="I807" s="443">
        <f>SUM(I793+I802+I806)</f>
        <v>896.23</v>
      </c>
      <c r="J807" s="443">
        <f t="shared" ref="J807" si="335">SUM(J793+J802+J806)</f>
        <v>966.08</v>
      </c>
    </row>
    <row r="808" spans="1:10" ht="13.5" customHeight="1" thickTop="1" x14ac:dyDescent="0.25">
      <c r="A808" s="1"/>
      <c r="B808" s="1"/>
      <c r="C808" s="39"/>
      <c r="D808" s="437"/>
      <c r="E808" s="437"/>
      <c r="F808" s="466"/>
      <c r="G808" s="437"/>
      <c r="H808" s="437"/>
      <c r="I808" s="437"/>
      <c r="J808" s="437"/>
    </row>
    <row r="809" spans="1:10" ht="13.5" customHeight="1" x14ac:dyDescent="0.25">
      <c r="A809" s="1"/>
      <c r="B809" s="1"/>
      <c r="C809" s="14" t="s">
        <v>862</v>
      </c>
      <c r="D809" s="437"/>
      <c r="E809" s="440"/>
      <c r="F809" s="468"/>
      <c r="G809" s="440"/>
      <c r="H809" s="440"/>
      <c r="I809" s="440"/>
      <c r="J809" s="440"/>
    </row>
    <row r="810" spans="1:10" ht="13.5" customHeight="1" x14ac:dyDescent="0.25">
      <c r="A810" s="1"/>
      <c r="B810" s="1" t="s">
        <v>863</v>
      </c>
      <c r="C810" s="1" t="s">
        <v>864</v>
      </c>
      <c r="D810" s="437">
        <v>0</v>
      </c>
      <c r="E810" s="437">
        <v>0</v>
      </c>
      <c r="F810" s="466"/>
      <c r="G810" s="437">
        <v>0</v>
      </c>
      <c r="H810" s="437">
        <v>0</v>
      </c>
      <c r="I810" s="437">
        <v>1652</v>
      </c>
      <c r="J810" s="437">
        <v>640.41</v>
      </c>
    </row>
    <row r="811" spans="1:10" ht="13.5" customHeight="1" x14ac:dyDescent="0.25">
      <c r="A811" s="1"/>
      <c r="B811" s="1" t="s">
        <v>865</v>
      </c>
      <c r="C811" s="1" t="s">
        <v>693</v>
      </c>
      <c r="D811" s="437">
        <v>330</v>
      </c>
      <c r="E811" s="439">
        <v>0</v>
      </c>
      <c r="F811" s="466">
        <f>SUM(E811/G811)</f>
        <v>0</v>
      </c>
      <c r="G811" s="440">
        <v>330</v>
      </c>
      <c r="H811" s="439">
        <v>0</v>
      </c>
      <c r="I811" s="440">
        <v>0</v>
      </c>
      <c r="J811" s="437">
        <v>97.94</v>
      </c>
    </row>
    <row r="812" spans="1:10" ht="13.5" customHeight="1" x14ac:dyDescent="0.25">
      <c r="A812" s="1"/>
      <c r="B812" s="1"/>
      <c r="C812" s="1"/>
      <c r="D812" s="438">
        <v>330</v>
      </c>
      <c r="E812" s="438">
        <f t="shared" ref="E812" si="336">SUM(E810:E811)</f>
        <v>0</v>
      </c>
      <c r="F812" s="467"/>
      <c r="G812" s="438">
        <v>330</v>
      </c>
      <c r="H812" s="438">
        <f>SUM(H810:H811)</f>
        <v>0</v>
      </c>
      <c r="I812" s="438">
        <f>SUM(I810:I811)</f>
        <v>1652</v>
      </c>
      <c r="J812" s="438">
        <f t="shared" ref="J812" si="337">SUM(J810:J811)</f>
        <v>738.34999999999991</v>
      </c>
    </row>
    <row r="813" spans="1:10" ht="13.5" customHeight="1" x14ac:dyDescent="0.25">
      <c r="A813" s="1"/>
      <c r="B813" s="1"/>
      <c r="C813" s="1"/>
      <c r="D813" s="437"/>
      <c r="E813" s="440"/>
      <c r="F813" s="468"/>
      <c r="G813" s="440"/>
      <c r="H813" s="440"/>
      <c r="I813" s="440"/>
      <c r="J813" s="437"/>
    </row>
    <row r="814" spans="1:10" ht="13.5" customHeight="1" x14ac:dyDescent="0.25">
      <c r="A814" s="1"/>
      <c r="B814" s="1" t="s">
        <v>866</v>
      </c>
      <c r="C814" s="1" t="s">
        <v>283</v>
      </c>
      <c r="D814" s="437">
        <v>0</v>
      </c>
      <c r="E814" s="439">
        <v>0</v>
      </c>
      <c r="F814" s="468"/>
      <c r="G814" s="440">
        <v>0</v>
      </c>
      <c r="H814" s="439">
        <v>0</v>
      </c>
      <c r="I814" s="440">
        <v>0</v>
      </c>
      <c r="J814" s="437">
        <v>271.27</v>
      </c>
    </row>
    <row r="815" spans="1:10" ht="13.5" customHeight="1" x14ac:dyDescent="0.25">
      <c r="A815" s="1"/>
      <c r="B815" s="1" t="s">
        <v>867</v>
      </c>
      <c r="C815" s="1" t="s">
        <v>857</v>
      </c>
      <c r="D815" s="437">
        <v>706</v>
      </c>
      <c r="E815" s="439">
        <v>0</v>
      </c>
      <c r="F815" s="466">
        <f>SUM(E815/G815)</f>
        <v>0</v>
      </c>
      <c r="G815" s="440">
        <v>706</v>
      </c>
      <c r="H815" s="439">
        <v>0</v>
      </c>
      <c r="I815" s="440">
        <v>0</v>
      </c>
      <c r="J815" s="440">
        <v>0</v>
      </c>
    </row>
    <row r="816" spans="1:10" ht="13.5" customHeight="1" x14ac:dyDescent="0.25">
      <c r="A816" s="1"/>
      <c r="B816" s="1"/>
      <c r="C816" s="1"/>
      <c r="D816" s="438">
        <v>706</v>
      </c>
      <c r="E816" s="438">
        <f t="shared" ref="E816" si="338">SUM(E814:E815)</f>
        <v>0</v>
      </c>
      <c r="F816" s="467"/>
      <c r="G816" s="438">
        <v>706</v>
      </c>
      <c r="H816" s="438">
        <f>SUM(H814:H815)</f>
        <v>0</v>
      </c>
      <c r="I816" s="438">
        <f>SUM(I814:I815)</f>
        <v>0</v>
      </c>
      <c r="J816" s="438">
        <f t="shared" ref="J816" si="339">SUM(J814:J815)</f>
        <v>271.27</v>
      </c>
    </row>
    <row r="817" spans="1:10" ht="13.5" customHeight="1" x14ac:dyDescent="0.25">
      <c r="A817" s="1"/>
      <c r="B817" s="1"/>
      <c r="C817" s="1"/>
      <c r="D817" s="437"/>
      <c r="E817" s="437"/>
      <c r="F817" s="466"/>
      <c r="G817" s="437"/>
      <c r="H817" s="437"/>
      <c r="I817" s="440"/>
      <c r="J817" s="440"/>
    </row>
    <row r="818" spans="1:10" ht="13.5" customHeight="1" x14ac:dyDescent="0.25">
      <c r="A818" s="1"/>
      <c r="B818" s="1" t="s">
        <v>868</v>
      </c>
      <c r="C818" s="1" t="s">
        <v>843</v>
      </c>
      <c r="D818" s="440" t="s">
        <v>12</v>
      </c>
      <c r="E818" s="439">
        <v>0</v>
      </c>
      <c r="F818" s="468"/>
      <c r="G818" s="439">
        <v>0</v>
      </c>
      <c r="H818" s="439">
        <v>0</v>
      </c>
      <c r="I818" s="440" t="s">
        <v>12</v>
      </c>
      <c r="J818" s="440" t="s">
        <v>12</v>
      </c>
    </row>
    <row r="819" spans="1:10" ht="13.5" customHeight="1" x14ac:dyDescent="0.25">
      <c r="A819" s="1"/>
      <c r="B819" s="1"/>
      <c r="C819" s="1"/>
      <c r="D819" s="441">
        <v>0</v>
      </c>
      <c r="E819" s="441">
        <f t="shared" ref="E819" si="340">SUM(E818)</f>
        <v>0</v>
      </c>
      <c r="F819" s="469"/>
      <c r="G819" s="441">
        <v>0</v>
      </c>
      <c r="H819" s="441">
        <f>SUM(H818)</f>
        <v>0</v>
      </c>
      <c r="I819" s="441">
        <f>SUM(I818)</f>
        <v>0</v>
      </c>
      <c r="J819" s="441">
        <f t="shared" ref="J819" si="341">SUM(J818)</f>
        <v>0</v>
      </c>
    </row>
    <row r="820" spans="1:10" ht="13.5" customHeight="1" thickBot="1" x14ac:dyDescent="0.3">
      <c r="A820" s="1"/>
      <c r="B820" s="1"/>
      <c r="C820" s="39" t="s">
        <v>869</v>
      </c>
      <c r="D820" s="453">
        <v>1036</v>
      </c>
      <c r="E820" s="453">
        <f t="shared" ref="E820" si="342">SUM(E812+E816+E819)</f>
        <v>0</v>
      </c>
      <c r="F820" s="479"/>
      <c r="G820" s="453">
        <v>1036</v>
      </c>
      <c r="H820" s="453">
        <f>SUM(H812+H816+H819)</f>
        <v>0</v>
      </c>
      <c r="I820" s="453">
        <f>SUM(I812+I816+I819)</f>
        <v>1652</v>
      </c>
      <c r="J820" s="453">
        <f t="shared" ref="J820" si="343">SUM(J812+J816+J819)</f>
        <v>1009.6199999999999</v>
      </c>
    </row>
    <row r="821" spans="1:10" ht="13.5" customHeight="1" thickTop="1" x14ac:dyDescent="0.25">
      <c r="A821" s="1"/>
      <c r="B821" s="1"/>
      <c r="C821" s="1"/>
      <c r="D821" s="440"/>
      <c r="E821" s="440"/>
      <c r="F821" s="468"/>
      <c r="G821" s="440"/>
      <c r="H821" s="440"/>
      <c r="I821" s="440"/>
      <c r="J821" s="440"/>
    </row>
    <row r="822" spans="1:10" ht="13.5" customHeight="1" x14ac:dyDescent="0.25">
      <c r="A822" s="1"/>
      <c r="B822" s="1"/>
      <c r="C822" s="14" t="s">
        <v>870</v>
      </c>
      <c r="D822" s="440"/>
      <c r="E822" s="440"/>
      <c r="F822" s="468"/>
      <c r="G822" s="440"/>
      <c r="H822" s="440"/>
      <c r="I822" s="440"/>
      <c r="J822" s="440"/>
    </row>
    <row r="823" spans="1:10" ht="13.5" customHeight="1" x14ac:dyDescent="0.25">
      <c r="A823" s="1"/>
      <c r="B823" s="1" t="s">
        <v>871</v>
      </c>
      <c r="C823" s="1" t="s">
        <v>267</v>
      </c>
      <c r="D823" s="437">
        <v>0</v>
      </c>
      <c r="E823" s="439">
        <v>0</v>
      </c>
      <c r="F823" s="468"/>
      <c r="G823" s="440">
        <v>0</v>
      </c>
      <c r="H823" s="439">
        <v>0</v>
      </c>
      <c r="I823" s="440">
        <v>0</v>
      </c>
      <c r="J823" s="437">
        <v>897.09</v>
      </c>
    </row>
    <row r="824" spans="1:10" ht="13.5" customHeight="1" x14ac:dyDescent="0.25">
      <c r="A824" s="1"/>
      <c r="B824" s="1" t="s">
        <v>872</v>
      </c>
      <c r="C824" s="1" t="s">
        <v>873</v>
      </c>
      <c r="D824" s="437">
        <v>0</v>
      </c>
      <c r="E824" s="439">
        <v>0</v>
      </c>
      <c r="F824" s="468"/>
      <c r="G824" s="440">
        <v>0</v>
      </c>
      <c r="H824" s="439">
        <v>639.99</v>
      </c>
      <c r="I824" s="440" t="s">
        <v>12</v>
      </c>
      <c r="J824" s="440" t="s">
        <v>12</v>
      </c>
    </row>
    <row r="825" spans="1:10" ht="13.5" customHeight="1" x14ac:dyDescent="0.25">
      <c r="A825" s="1"/>
      <c r="B825" s="1" t="s">
        <v>874</v>
      </c>
      <c r="C825" s="1" t="s">
        <v>716</v>
      </c>
      <c r="D825" s="437">
        <v>0</v>
      </c>
      <c r="E825" s="439">
        <v>0</v>
      </c>
      <c r="F825" s="468"/>
      <c r="G825" s="440">
        <v>0</v>
      </c>
      <c r="H825" s="439">
        <v>0</v>
      </c>
      <c r="I825" s="440">
        <v>150</v>
      </c>
      <c r="J825" s="440">
        <v>0</v>
      </c>
    </row>
    <row r="826" spans="1:10" ht="13.5" customHeight="1" x14ac:dyDescent="0.25">
      <c r="A826" s="1"/>
      <c r="B826" s="1"/>
      <c r="C826" s="1"/>
      <c r="D826" s="441">
        <v>0</v>
      </c>
      <c r="E826" s="441">
        <f t="shared" ref="E826" si="344">SUM(E823:E825)</f>
        <v>0</v>
      </c>
      <c r="F826" s="469"/>
      <c r="G826" s="441">
        <v>0</v>
      </c>
      <c r="H826" s="441">
        <f>SUM(H823:H825)</f>
        <v>639.99</v>
      </c>
      <c r="I826" s="441">
        <f>SUM(I823:I825)</f>
        <v>150</v>
      </c>
      <c r="J826" s="441">
        <f t="shared" ref="J826" si="345">SUM(J823:J825)</f>
        <v>897.09</v>
      </c>
    </row>
    <row r="827" spans="1:10" ht="13.5" customHeight="1" x14ac:dyDescent="0.25">
      <c r="A827" s="1"/>
      <c r="B827" s="1"/>
      <c r="C827" s="1"/>
      <c r="D827" s="440"/>
      <c r="E827" s="440"/>
      <c r="F827" s="468"/>
      <c r="G827" s="440"/>
      <c r="H827" s="440"/>
      <c r="I827" s="440"/>
      <c r="J827" s="440"/>
    </row>
    <row r="828" spans="1:10" ht="13.5" customHeight="1" x14ac:dyDescent="0.25">
      <c r="A828" s="1"/>
      <c r="B828" s="1" t="s">
        <v>875</v>
      </c>
      <c r="C828" s="1" t="s">
        <v>426</v>
      </c>
      <c r="D828" s="437">
        <v>0</v>
      </c>
      <c r="E828" s="439">
        <v>0</v>
      </c>
      <c r="F828" s="468"/>
      <c r="G828" s="440">
        <v>0</v>
      </c>
      <c r="H828" s="439">
        <v>0</v>
      </c>
      <c r="I828" s="440">
        <v>0</v>
      </c>
      <c r="J828" s="440">
        <v>0</v>
      </c>
    </row>
    <row r="829" spans="1:10" ht="13.5" customHeight="1" x14ac:dyDescent="0.25">
      <c r="A829" s="1"/>
      <c r="B829" s="1" t="s">
        <v>876</v>
      </c>
      <c r="C829" s="1" t="s">
        <v>840</v>
      </c>
      <c r="D829" s="437">
        <v>1456</v>
      </c>
      <c r="E829" s="437">
        <v>447.69</v>
      </c>
      <c r="F829" s="466">
        <f>SUM(E829/G829)</f>
        <v>0.30747939560439558</v>
      </c>
      <c r="G829" s="437">
        <v>1456</v>
      </c>
      <c r="H829" s="437">
        <v>455.88</v>
      </c>
      <c r="I829" s="437">
        <v>455.88</v>
      </c>
      <c r="J829" s="437">
        <v>455.88</v>
      </c>
    </row>
    <row r="830" spans="1:10" ht="13.5" customHeight="1" x14ac:dyDescent="0.25">
      <c r="A830" s="1"/>
      <c r="B830" s="1"/>
      <c r="C830" s="1"/>
      <c r="D830" s="438">
        <v>1456</v>
      </c>
      <c r="E830" s="438">
        <f t="shared" ref="E830" si="346">SUM(E828:E829)</f>
        <v>447.69</v>
      </c>
      <c r="F830" s="467"/>
      <c r="G830" s="438">
        <v>1456</v>
      </c>
      <c r="H830" s="438">
        <f>SUM(H828:H829)</f>
        <v>455.88</v>
      </c>
      <c r="I830" s="438">
        <f>SUM(I828:I829)</f>
        <v>455.88</v>
      </c>
      <c r="J830" s="438">
        <f t="shared" ref="J830" si="347">SUM(J828:J829)</f>
        <v>455.88</v>
      </c>
    </row>
    <row r="831" spans="1:10" ht="13.5" customHeight="1" x14ac:dyDescent="0.25">
      <c r="A831" s="1"/>
      <c r="B831" s="1"/>
      <c r="C831" s="1"/>
      <c r="D831" s="437"/>
      <c r="E831" s="437"/>
      <c r="F831" s="466"/>
      <c r="G831" s="437"/>
      <c r="H831" s="437"/>
      <c r="I831" s="437"/>
      <c r="J831" s="437"/>
    </row>
    <row r="832" spans="1:10" ht="13.5" customHeight="1" x14ac:dyDescent="0.25">
      <c r="A832" s="1"/>
      <c r="B832" s="1" t="s">
        <v>877</v>
      </c>
      <c r="C832" s="1" t="s">
        <v>843</v>
      </c>
      <c r="D832" s="440" t="s">
        <v>12</v>
      </c>
      <c r="E832" s="439">
        <v>0</v>
      </c>
      <c r="F832" s="480"/>
      <c r="G832" s="439">
        <v>0</v>
      </c>
      <c r="H832" s="439">
        <v>0</v>
      </c>
      <c r="I832" s="440" t="s">
        <v>12</v>
      </c>
      <c r="J832" s="440" t="s">
        <v>12</v>
      </c>
    </row>
    <row r="833" spans="1:10" ht="13.5" customHeight="1" x14ac:dyDescent="0.25">
      <c r="A833" s="1"/>
      <c r="B833" s="1"/>
      <c r="C833" s="1"/>
      <c r="D833" s="454">
        <v>0</v>
      </c>
      <c r="E833" s="454">
        <f>SUM(E832)</f>
        <v>0</v>
      </c>
      <c r="F833" s="481"/>
      <c r="G833" s="454">
        <v>0</v>
      </c>
      <c r="H833" s="454">
        <v>0</v>
      </c>
      <c r="I833" s="441">
        <f>SUM(I832)</f>
        <v>0</v>
      </c>
      <c r="J833" s="441">
        <f t="shared" ref="J833" si="348">SUM(J832)</f>
        <v>0</v>
      </c>
    </row>
    <row r="834" spans="1:10" ht="13.5" customHeight="1" thickBot="1" x14ac:dyDescent="0.3">
      <c r="A834" s="1"/>
      <c r="B834" s="1"/>
      <c r="C834" s="39" t="s">
        <v>878</v>
      </c>
      <c r="D834" s="453">
        <v>1456</v>
      </c>
      <c r="E834" s="453">
        <f t="shared" ref="E834" si="349">SUM(E826+E830+E833)</f>
        <v>447.69</v>
      </c>
      <c r="F834" s="479"/>
      <c r="G834" s="453">
        <v>1456</v>
      </c>
      <c r="H834" s="453">
        <f>SUM(H826+H830+H833)</f>
        <v>1095.8699999999999</v>
      </c>
      <c r="I834" s="453">
        <f>SUM(I826+I830+I833)</f>
        <v>605.88</v>
      </c>
      <c r="J834" s="453">
        <f t="shared" ref="J834" si="350">SUM(J826+J830+J833)</f>
        <v>1352.97</v>
      </c>
    </row>
    <row r="835" spans="1:10" ht="13.5" customHeight="1" thickTop="1" x14ac:dyDescent="0.25">
      <c r="A835" s="1"/>
      <c r="B835" s="1"/>
      <c r="C835" s="39"/>
      <c r="D835" s="440"/>
      <c r="E835" s="440"/>
      <c r="F835" s="468"/>
      <c r="G835" s="440"/>
      <c r="H835" s="440"/>
      <c r="I835" s="440"/>
      <c r="J835" s="440"/>
    </row>
    <row r="836" spans="1:10" ht="13.5" customHeight="1" x14ac:dyDescent="0.25">
      <c r="A836" s="1"/>
      <c r="B836" s="1"/>
      <c r="C836" s="14" t="s">
        <v>879</v>
      </c>
      <c r="D836" s="440"/>
      <c r="E836" s="440"/>
      <c r="F836" s="468"/>
      <c r="G836" s="440"/>
      <c r="H836" s="440"/>
      <c r="I836" s="440"/>
      <c r="J836" s="440"/>
    </row>
    <row r="837" spans="1:10" ht="13.5" customHeight="1" x14ac:dyDescent="0.25">
      <c r="A837" s="1"/>
      <c r="B837" s="1" t="s">
        <v>880</v>
      </c>
      <c r="C837" s="1" t="s">
        <v>267</v>
      </c>
      <c r="D837" s="437">
        <v>1000</v>
      </c>
      <c r="E837" s="439">
        <v>0</v>
      </c>
      <c r="F837" s="466">
        <f>SUM(E837/G837)</f>
        <v>0</v>
      </c>
      <c r="G837" s="440">
        <v>1000</v>
      </c>
      <c r="H837" s="439">
        <v>0</v>
      </c>
      <c r="I837" s="440">
        <v>0</v>
      </c>
      <c r="J837" s="437">
        <v>55.98</v>
      </c>
    </row>
    <row r="838" spans="1:10" ht="13.5" customHeight="1" x14ac:dyDescent="0.25">
      <c r="A838" s="1"/>
      <c r="B838" s="1" t="s">
        <v>881</v>
      </c>
      <c r="C838" s="1" t="s">
        <v>864</v>
      </c>
      <c r="D838" s="437">
        <v>0</v>
      </c>
      <c r="E838" s="439">
        <v>699.99</v>
      </c>
      <c r="F838" s="466"/>
      <c r="G838" s="439">
        <v>0</v>
      </c>
      <c r="H838" s="439">
        <v>639.99</v>
      </c>
      <c r="I838" s="440" t="s">
        <v>12</v>
      </c>
      <c r="J838" s="440" t="s">
        <v>12</v>
      </c>
    </row>
    <row r="839" spans="1:10" ht="13.5" customHeight="1" x14ac:dyDescent="0.25">
      <c r="A839" s="1"/>
      <c r="B839" s="1" t="s">
        <v>882</v>
      </c>
      <c r="C839" s="1" t="s">
        <v>275</v>
      </c>
      <c r="D839" s="437">
        <v>300</v>
      </c>
      <c r="E839" s="439">
        <v>351.5</v>
      </c>
      <c r="F839" s="466">
        <f>SUM(E839/G839)</f>
        <v>1.1716666666666666</v>
      </c>
      <c r="G839" s="440">
        <v>300</v>
      </c>
      <c r="H839" s="439">
        <v>0</v>
      </c>
      <c r="I839" s="440">
        <v>0</v>
      </c>
      <c r="J839" s="440">
        <v>0</v>
      </c>
    </row>
    <row r="840" spans="1:10" ht="13.5" customHeight="1" x14ac:dyDescent="0.25">
      <c r="A840" s="1"/>
      <c r="B840" s="1"/>
      <c r="C840" s="1"/>
      <c r="D840" s="438">
        <v>1300</v>
      </c>
      <c r="E840" s="438">
        <f t="shared" ref="E840" si="351">SUM(E837:E839)</f>
        <v>1051.49</v>
      </c>
      <c r="F840" s="467"/>
      <c r="G840" s="438">
        <v>1300</v>
      </c>
      <c r="H840" s="438">
        <f>SUM(H837:H839)</f>
        <v>639.99</v>
      </c>
      <c r="I840" s="438">
        <f>SUM(I837:I839)</f>
        <v>0</v>
      </c>
      <c r="J840" s="438">
        <f t="shared" ref="J840" si="352">SUM(J837:J839)</f>
        <v>55.98</v>
      </c>
    </row>
    <row r="841" spans="1:10" ht="13.5" customHeight="1" x14ac:dyDescent="0.25">
      <c r="A841" s="1"/>
      <c r="B841" s="1"/>
      <c r="C841" s="1"/>
      <c r="D841" s="437"/>
      <c r="E841" s="440"/>
      <c r="F841" s="468"/>
      <c r="G841" s="440"/>
      <c r="H841" s="440"/>
      <c r="I841" s="440"/>
      <c r="J841" s="440"/>
    </row>
    <row r="842" spans="1:10" ht="13.5" customHeight="1" x14ac:dyDescent="0.25">
      <c r="A842" s="1"/>
      <c r="B842" s="1" t="s">
        <v>883</v>
      </c>
      <c r="C842" s="1" t="s">
        <v>281</v>
      </c>
      <c r="D842" s="440" t="s">
        <v>12</v>
      </c>
      <c r="E842" s="439">
        <v>0</v>
      </c>
      <c r="F842" s="468"/>
      <c r="G842" s="439">
        <v>0</v>
      </c>
      <c r="H842" s="440"/>
      <c r="I842" s="440" t="s">
        <v>12</v>
      </c>
      <c r="J842" s="440" t="s">
        <v>12</v>
      </c>
    </row>
    <row r="843" spans="1:10" ht="13.5" customHeight="1" x14ac:dyDescent="0.25">
      <c r="A843" s="1"/>
      <c r="B843" s="1" t="s">
        <v>884</v>
      </c>
      <c r="C843" s="1" t="s">
        <v>283</v>
      </c>
      <c r="D843" s="437">
        <v>0</v>
      </c>
      <c r="E843" s="439">
        <v>0</v>
      </c>
      <c r="F843" s="468"/>
      <c r="G843" s="440">
        <v>0</v>
      </c>
      <c r="H843" s="439">
        <v>0</v>
      </c>
      <c r="I843" s="440">
        <v>0</v>
      </c>
      <c r="J843" s="440">
        <v>0</v>
      </c>
    </row>
    <row r="844" spans="1:10" ht="13.5" customHeight="1" x14ac:dyDescent="0.25">
      <c r="A844" s="1"/>
      <c r="B844" s="1" t="s">
        <v>885</v>
      </c>
      <c r="C844" s="1" t="s">
        <v>840</v>
      </c>
      <c r="D844" s="437">
        <v>1956</v>
      </c>
      <c r="E844" s="437">
        <v>507.44</v>
      </c>
      <c r="F844" s="466">
        <f>SUM(E844/G844)</f>
        <v>0.25942740286298566</v>
      </c>
      <c r="G844" s="437">
        <v>1956</v>
      </c>
      <c r="H844" s="437">
        <v>455.88</v>
      </c>
      <c r="I844" s="437">
        <v>455.88</v>
      </c>
      <c r="J844" s="437">
        <v>455.88</v>
      </c>
    </row>
    <row r="845" spans="1:10" ht="13.5" customHeight="1" x14ac:dyDescent="0.25">
      <c r="A845" s="1"/>
      <c r="B845" s="1"/>
      <c r="C845" s="1"/>
      <c r="D845" s="438">
        <v>1956</v>
      </c>
      <c r="E845" s="438">
        <f t="shared" ref="E845" si="353">SUM(E842:E844)</f>
        <v>507.44</v>
      </c>
      <c r="F845" s="467"/>
      <c r="G845" s="438">
        <v>1956</v>
      </c>
      <c r="H845" s="438">
        <f>SUM(H842:H844)</f>
        <v>455.88</v>
      </c>
      <c r="I845" s="438">
        <f>SUM(I842:I844)</f>
        <v>455.88</v>
      </c>
      <c r="J845" s="438">
        <f t="shared" ref="J845" si="354">SUM(J842:J844)</f>
        <v>455.88</v>
      </c>
    </row>
    <row r="846" spans="1:10" ht="13.5" customHeight="1" x14ac:dyDescent="0.25">
      <c r="A846" s="1"/>
      <c r="B846" s="1"/>
      <c r="C846" s="1"/>
      <c r="D846" s="437"/>
      <c r="E846" s="437"/>
      <c r="F846" s="466"/>
      <c r="G846" s="437"/>
      <c r="H846" s="437"/>
      <c r="I846" s="437"/>
      <c r="J846" s="437"/>
    </row>
    <row r="847" spans="1:10" ht="13.5" customHeight="1" x14ac:dyDescent="0.25">
      <c r="A847" s="1"/>
      <c r="B847" s="1" t="s">
        <v>886</v>
      </c>
      <c r="C847" s="1" t="s">
        <v>843</v>
      </c>
      <c r="D847" s="440" t="s">
        <v>12</v>
      </c>
      <c r="E847" s="439">
        <v>0</v>
      </c>
      <c r="F847" s="468"/>
      <c r="G847" s="439">
        <v>0</v>
      </c>
      <c r="H847" s="439">
        <v>0</v>
      </c>
      <c r="I847" s="440" t="s">
        <v>12</v>
      </c>
      <c r="J847" s="440" t="s">
        <v>12</v>
      </c>
    </row>
    <row r="848" spans="1:10" ht="13.5" customHeight="1" x14ac:dyDescent="0.25">
      <c r="A848" s="1"/>
      <c r="B848" s="1"/>
      <c r="C848" s="1"/>
      <c r="D848" s="441">
        <v>0</v>
      </c>
      <c r="E848" s="441">
        <f t="shared" ref="E848" si="355">SUM(E847)</f>
        <v>0</v>
      </c>
      <c r="F848" s="469"/>
      <c r="G848" s="441">
        <v>0</v>
      </c>
      <c r="H848" s="441">
        <f>SUM(H847)</f>
        <v>0</v>
      </c>
      <c r="I848" s="441">
        <f>SUM(I847)</f>
        <v>0</v>
      </c>
      <c r="J848" s="441">
        <f t="shared" ref="J848" si="356">SUM(J847)</f>
        <v>0</v>
      </c>
    </row>
    <row r="849" spans="1:10" ht="13.5" customHeight="1" thickBot="1" x14ac:dyDescent="0.3">
      <c r="A849" s="1"/>
      <c r="B849" s="1"/>
      <c r="C849" s="39" t="s">
        <v>887</v>
      </c>
      <c r="D849" s="453">
        <v>3256</v>
      </c>
      <c r="E849" s="453">
        <f t="shared" ref="E849" si="357">SUM(E840+E845+E848)</f>
        <v>1558.93</v>
      </c>
      <c r="F849" s="479"/>
      <c r="G849" s="453">
        <v>3256</v>
      </c>
      <c r="H849" s="453">
        <f>SUM(H840+H845+H848)</f>
        <v>1095.8699999999999</v>
      </c>
      <c r="I849" s="453">
        <f>SUM(I840+I845+I848)</f>
        <v>455.88</v>
      </c>
      <c r="J849" s="453">
        <f t="shared" ref="J849" si="358">SUM(J840+J845+J848)</f>
        <v>511.86</v>
      </c>
    </row>
    <row r="850" spans="1:10" ht="13.5" customHeight="1" thickTop="1" x14ac:dyDescent="0.25">
      <c r="A850" s="1"/>
      <c r="B850" s="1"/>
      <c r="C850" s="1"/>
      <c r="D850" s="440"/>
      <c r="E850" s="440"/>
      <c r="F850" s="468"/>
      <c r="G850" s="440"/>
      <c r="H850" s="440"/>
      <c r="I850" s="440"/>
      <c r="J850" s="440"/>
    </row>
    <row r="851" spans="1:10" ht="13.5" customHeight="1" x14ac:dyDescent="0.25">
      <c r="A851" s="1"/>
      <c r="B851" s="1"/>
      <c r="C851" s="1"/>
      <c r="D851" s="440"/>
      <c r="E851" s="440"/>
      <c r="F851" s="468"/>
      <c r="G851" s="440"/>
      <c r="H851" s="440"/>
      <c r="I851" s="440"/>
      <c r="J851" s="440"/>
    </row>
    <row r="852" spans="1:10" ht="13.5" customHeight="1" x14ac:dyDescent="0.25">
      <c r="A852" s="1"/>
      <c r="B852" s="1"/>
      <c r="C852" s="14" t="s">
        <v>888</v>
      </c>
      <c r="D852" s="440"/>
      <c r="E852" s="440"/>
      <c r="F852" s="468"/>
      <c r="G852" s="440"/>
      <c r="H852" s="440"/>
      <c r="I852" s="440"/>
      <c r="J852" s="440"/>
    </row>
    <row r="853" spans="1:10" ht="13.5" customHeight="1" x14ac:dyDescent="0.25">
      <c r="A853" s="1"/>
      <c r="B853" s="1" t="s">
        <v>889</v>
      </c>
      <c r="C853" s="1" t="s">
        <v>439</v>
      </c>
      <c r="D853" s="437">
        <v>6000</v>
      </c>
      <c r="E853" s="437">
        <v>2475</v>
      </c>
      <c r="F853" s="466">
        <f>SUM(E853/G853)</f>
        <v>0.41249999999999998</v>
      </c>
      <c r="G853" s="437">
        <v>6000</v>
      </c>
      <c r="H853" s="437">
        <v>4972.5</v>
      </c>
      <c r="I853" s="437">
        <v>5081.75</v>
      </c>
      <c r="J853" s="437">
        <v>4863.25</v>
      </c>
    </row>
    <row r="854" spans="1:10" ht="13.5" customHeight="1" x14ac:dyDescent="0.25">
      <c r="A854" s="1"/>
      <c r="B854" s="1"/>
      <c r="C854" s="1"/>
      <c r="D854" s="438">
        <v>6000</v>
      </c>
      <c r="E854" s="438">
        <f t="shared" ref="E854" si="359">SUM(E853)</f>
        <v>2475</v>
      </c>
      <c r="F854" s="467"/>
      <c r="G854" s="438">
        <v>6000</v>
      </c>
      <c r="H854" s="438">
        <f>SUM(H853)</f>
        <v>4972.5</v>
      </c>
      <c r="I854" s="438">
        <f>SUM(I853)</f>
        <v>5081.75</v>
      </c>
      <c r="J854" s="438">
        <f t="shared" ref="J854" si="360">SUM(J853)</f>
        <v>4863.25</v>
      </c>
    </row>
    <row r="855" spans="1:10" ht="13.5" customHeight="1" x14ac:dyDescent="0.25">
      <c r="A855" s="1"/>
      <c r="B855" s="1"/>
      <c r="C855" s="1"/>
      <c r="D855" s="437"/>
      <c r="E855" s="437"/>
      <c r="F855" s="466"/>
      <c r="G855" s="437"/>
      <c r="H855" s="437"/>
      <c r="I855" s="437"/>
      <c r="J855" s="437"/>
    </row>
    <row r="856" spans="1:10" ht="13.5" customHeight="1" x14ac:dyDescent="0.25">
      <c r="A856" s="1"/>
      <c r="B856" s="1" t="s">
        <v>890</v>
      </c>
      <c r="C856" s="1" t="s">
        <v>257</v>
      </c>
      <c r="D856" s="437">
        <v>459</v>
      </c>
      <c r="E856" s="437">
        <v>168.79</v>
      </c>
      <c r="F856" s="466">
        <f t="shared" ref="F856:F858" si="361">SUM(E856/G856)</f>
        <v>0.36773420479302832</v>
      </c>
      <c r="G856" s="437">
        <v>459</v>
      </c>
      <c r="H856" s="437">
        <v>350.38</v>
      </c>
      <c r="I856" s="437">
        <v>356.98</v>
      </c>
      <c r="J856" s="437">
        <v>337.7</v>
      </c>
    </row>
    <row r="857" spans="1:10" ht="13.5" customHeight="1" x14ac:dyDescent="0.25">
      <c r="A857" s="1"/>
      <c r="B857" s="1" t="s">
        <v>891</v>
      </c>
      <c r="C857" s="1" t="s">
        <v>261</v>
      </c>
      <c r="D857" s="437">
        <v>901.2</v>
      </c>
      <c r="E857" s="437">
        <v>362.34</v>
      </c>
      <c r="F857" s="466">
        <f t="shared" si="361"/>
        <v>0.40206391478029291</v>
      </c>
      <c r="G857" s="437">
        <v>901.2</v>
      </c>
      <c r="H857" s="437">
        <v>756.44</v>
      </c>
      <c r="I857" s="437">
        <v>738.58</v>
      </c>
      <c r="J857" s="437">
        <v>704.4</v>
      </c>
    </row>
    <row r="858" spans="1:10" ht="13.5" customHeight="1" x14ac:dyDescent="0.25">
      <c r="A858" s="1"/>
      <c r="B858" s="1" t="s">
        <v>892</v>
      </c>
      <c r="C858" s="1" t="s">
        <v>263</v>
      </c>
      <c r="D858" s="437">
        <v>9.6</v>
      </c>
      <c r="E858" s="437">
        <v>3.79</v>
      </c>
      <c r="F858" s="466">
        <f t="shared" si="361"/>
        <v>0.39479166666666671</v>
      </c>
      <c r="G858" s="437">
        <v>9.6</v>
      </c>
      <c r="H858" s="437">
        <v>7.89</v>
      </c>
      <c r="I858" s="437">
        <v>7.99</v>
      </c>
      <c r="J858" s="437">
        <v>8.76</v>
      </c>
    </row>
    <row r="859" spans="1:10" ht="13.5" customHeight="1" x14ac:dyDescent="0.25">
      <c r="A859" s="1"/>
      <c r="B859" s="1"/>
      <c r="C859" s="1"/>
      <c r="D859" s="438">
        <v>1369.8</v>
      </c>
      <c r="E859" s="438">
        <f t="shared" ref="E859" si="362">SUM(E856:E858)</f>
        <v>534.91999999999996</v>
      </c>
      <c r="F859" s="467"/>
      <c r="G859" s="438">
        <v>1369.8</v>
      </c>
      <c r="H859" s="438">
        <f>SUM(H856:H858)</f>
        <v>1114.7100000000003</v>
      </c>
      <c r="I859" s="438">
        <f>SUM(I856:I858)</f>
        <v>1103.55</v>
      </c>
      <c r="J859" s="438">
        <f t="shared" ref="J859" si="363">SUM(J856:J858)</f>
        <v>1050.8599999999999</v>
      </c>
    </row>
    <row r="860" spans="1:10" ht="13.5" customHeight="1" x14ac:dyDescent="0.25">
      <c r="A860" s="1"/>
      <c r="B860" s="1"/>
      <c r="C860" s="1"/>
      <c r="D860" s="437"/>
      <c r="E860" s="437"/>
      <c r="F860" s="466"/>
      <c r="G860" s="437"/>
      <c r="H860" s="437"/>
      <c r="I860" s="437"/>
      <c r="J860" s="437"/>
    </row>
    <row r="861" spans="1:10" ht="13.5" customHeight="1" x14ac:dyDescent="0.25">
      <c r="A861" s="1"/>
      <c r="B861" s="1" t="s">
        <v>893</v>
      </c>
      <c r="C861" s="1" t="s">
        <v>333</v>
      </c>
      <c r="D861" s="437">
        <v>2500</v>
      </c>
      <c r="E861" s="437">
        <v>788.77</v>
      </c>
      <c r="F861" s="466">
        <f>SUM(E861/G861)</f>
        <v>0.31550800000000001</v>
      </c>
      <c r="G861" s="437">
        <v>2500</v>
      </c>
      <c r="H861" s="437">
        <v>1578.92</v>
      </c>
      <c r="I861" s="437">
        <v>1530.93</v>
      </c>
      <c r="J861" s="437">
        <v>1623.37</v>
      </c>
    </row>
    <row r="862" spans="1:10" ht="13.5" customHeight="1" x14ac:dyDescent="0.25">
      <c r="A862" s="1"/>
      <c r="B862" s="1"/>
      <c r="C862" s="1"/>
      <c r="D862" s="438">
        <v>2500</v>
      </c>
      <c r="E862" s="438">
        <f t="shared" ref="E862" si="364">SUM(E861)</f>
        <v>788.77</v>
      </c>
      <c r="F862" s="467"/>
      <c r="G862" s="438">
        <v>2500</v>
      </c>
      <c r="H862" s="438">
        <f>SUM(H861)</f>
        <v>1578.92</v>
      </c>
      <c r="I862" s="438">
        <f>SUM(I861)</f>
        <v>1530.93</v>
      </c>
      <c r="J862" s="438">
        <f t="shared" ref="J862" si="365">SUM(J861)</f>
        <v>1623.37</v>
      </c>
    </row>
    <row r="863" spans="1:10" ht="13.5" customHeight="1" thickBot="1" x14ac:dyDescent="0.3">
      <c r="A863" s="1"/>
      <c r="B863" s="1"/>
      <c r="C863" s="39" t="s">
        <v>894</v>
      </c>
      <c r="D863" s="451">
        <v>9869.7999999999993</v>
      </c>
      <c r="E863" s="451">
        <f t="shared" ref="E863" si="366">SUM(E854+E859+E862)</f>
        <v>3798.69</v>
      </c>
      <c r="F863" s="478"/>
      <c r="G863" s="451">
        <v>9869.7999999999993</v>
      </c>
      <c r="H863" s="451">
        <f>SUM(H854+H859+H862)</f>
        <v>7666.13</v>
      </c>
      <c r="I863" s="451">
        <f>SUM(I854+I859+I862)</f>
        <v>7716.2300000000005</v>
      </c>
      <c r="J863" s="451">
        <f t="shared" ref="J863" si="367">SUM(J854+J859+J862)</f>
        <v>7537.48</v>
      </c>
    </row>
    <row r="864" spans="1:10" ht="13.5" customHeight="1" thickTop="1" x14ac:dyDescent="0.25">
      <c r="A864" s="1"/>
      <c r="B864" s="1"/>
      <c r="C864" s="39"/>
      <c r="D864" s="437"/>
      <c r="E864" s="437"/>
      <c r="F864" s="466"/>
      <c r="G864" s="437"/>
      <c r="H864" s="437"/>
      <c r="I864" s="437"/>
      <c r="J864" s="437"/>
    </row>
    <row r="865" spans="1:10" ht="13.5" customHeight="1" x14ac:dyDescent="0.25">
      <c r="A865" s="1"/>
      <c r="B865" s="1"/>
      <c r="C865" s="39"/>
      <c r="D865" s="437"/>
      <c r="E865" s="437"/>
      <c r="F865" s="466"/>
      <c r="G865" s="437"/>
      <c r="H865" s="437"/>
      <c r="I865" s="437"/>
      <c r="J865" s="437"/>
    </row>
    <row r="866" spans="1:10" ht="13.5" customHeight="1" x14ac:dyDescent="0.25">
      <c r="A866" s="1"/>
      <c r="B866" s="1"/>
      <c r="C866" s="14" t="s">
        <v>895</v>
      </c>
      <c r="D866" s="437"/>
      <c r="E866" s="437"/>
      <c r="F866" s="466"/>
      <c r="G866" s="437"/>
      <c r="H866" s="437"/>
      <c r="I866" s="437"/>
      <c r="J866" s="437"/>
    </row>
    <row r="867" spans="1:10" ht="13.5" customHeight="1" x14ac:dyDescent="0.25">
      <c r="A867" s="1"/>
      <c r="B867" s="1" t="s">
        <v>896</v>
      </c>
      <c r="C867" s="1" t="s">
        <v>437</v>
      </c>
      <c r="D867" s="437">
        <v>101400</v>
      </c>
      <c r="E867" s="437">
        <v>39092.32</v>
      </c>
      <c r="F867" s="466">
        <f t="shared" ref="F867:F869" si="368">SUM(E867/G867)</f>
        <v>0.46538476190476191</v>
      </c>
      <c r="G867" s="437">
        <v>84000</v>
      </c>
      <c r="H867" s="437">
        <v>84646.17</v>
      </c>
      <c r="I867" s="437">
        <v>77285.850000000006</v>
      </c>
      <c r="J867" s="437">
        <v>75509.17</v>
      </c>
    </row>
    <row r="868" spans="1:10" ht="13.5" customHeight="1" x14ac:dyDescent="0.25">
      <c r="A868" s="1"/>
      <c r="B868" s="1" t="s">
        <v>897</v>
      </c>
      <c r="C868" s="1" t="s">
        <v>439</v>
      </c>
      <c r="D868" s="437">
        <v>766948</v>
      </c>
      <c r="E868" s="437">
        <v>334914.65000000002</v>
      </c>
      <c r="F868" s="466">
        <f t="shared" si="368"/>
        <v>0.45750804941253292</v>
      </c>
      <c r="G868" s="437">
        <v>732041</v>
      </c>
      <c r="H868" s="437">
        <v>691629.39</v>
      </c>
      <c r="I868" s="437">
        <v>543378.31999999995</v>
      </c>
      <c r="J868" s="437">
        <v>496536.98</v>
      </c>
    </row>
    <row r="869" spans="1:10" ht="13.5" customHeight="1" x14ac:dyDescent="0.25">
      <c r="A869" s="1"/>
      <c r="B869" s="1" t="s">
        <v>898</v>
      </c>
      <c r="C869" s="1" t="s">
        <v>443</v>
      </c>
      <c r="D869" s="437">
        <v>11796</v>
      </c>
      <c r="E869" s="437">
        <v>6793.8</v>
      </c>
      <c r="F869" s="466">
        <f t="shared" si="368"/>
        <v>0.57594099694811807</v>
      </c>
      <c r="G869" s="437">
        <v>11796</v>
      </c>
      <c r="H869" s="437">
        <v>12565.81</v>
      </c>
      <c r="I869" s="437">
        <v>35460.68</v>
      </c>
      <c r="J869" s="437">
        <v>32412.080000000002</v>
      </c>
    </row>
    <row r="870" spans="1:10" ht="13.5" customHeight="1" x14ac:dyDescent="0.25">
      <c r="A870" s="1"/>
      <c r="B870" s="1" t="s">
        <v>899</v>
      </c>
      <c r="C870" s="1" t="s">
        <v>900</v>
      </c>
      <c r="D870" s="437">
        <v>0</v>
      </c>
      <c r="E870" s="440"/>
      <c r="F870" s="466"/>
      <c r="G870" s="440"/>
      <c r="H870" s="439">
        <v>0</v>
      </c>
      <c r="I870" s="439">
        <v>0</v>
      </c>
      <c r="J870" s="437">
        <v>296.64</v>
      </c>
    </row>
    <row r="871" spans="1:10" ht="13.5" customHeight="1" x14ac:dyDescent="0.25">
      <c r="A871" s="1"/>
      <c r="B871" s="1" t="s">
        <v>901</v>
      </c>
      <c r="C871" s="1" t="s">
        <v>253</v>
      </c>
      <c r="D871" s="437">
        <v>9000</v>
      </c>
      <c r="E871" s="439">
        <v>4499.95</v>
      </c>
      <c r="F871" s="466">
        <f t="shared" ref="F871:F872" si="369">SUM(E871/G871)</f>
        <v>0.49999444444444441</v>
      </c>
      <c r="G871" s="440">
        <v>9000</v>
      </c>
      <c r="H871" s="439">
        <v>8999.9</v>
      </c>
      <c r="I871" s="437">
        <v>8999.9</v>
      </c>
      <c r="J871" s="437">
        <v>8999.9</v>
      </c>
    </row>
    <row r="872" spans="1:10" ht="13.5" customHeight="1" x14ac:dyDescent="0.25">
      <c r="A872" s="1"/>
      <c r="B872" s="1" t="s">
        <v>902</v>
      </c>
      <c r="C872" s="1" t="s">
        <v>255</v>
      </c>
      <c r="D872" s="437">
        <v>84000</v>
      </c>
      <c r="E872" s="437">
        <v>42000.01</v>
      </c>
      <c r="F872" s="466">
        <f t="shared" si="369"/>
        <v>0.5000001190476191</v>
      </c>
      <c r="G872" s="437">
        <v>84000</v>
      </c>
      <c r="H872" s="437">
        <v>84000.02</v>
      </c>
      <c r="I872" s="437">
        <v>70000.06</v>
      </c>
      <c r="J872" s="437">
        <v>68653.899999999994</v>
      </c>
    </row>
    <row r="873" spans="1:10" ht="13.5" customHeight="1" x14ac:dyDescent="0.25">
      <c r="A873" s="1"/>
      <c r="B873" s="1"/>
      <c r="C873" s="1"/>
      <c r="D873" s="438">
        <v>973144</v>
      </c>
      <c r="E873" s="438">
        <f t="shared" ref="E873" si="370">SUM(E867:E872)</f>
        <v>427300.73000000004</v>
      </c>
      <c r="F873" s="467"/>
      <c r="G873" s="438">
        <v>920837</v>
      </c>
      <c r="H873" s="438">
        <f>SUM(H867:H872)</f>
        <v>881841.29000000015</v>
      </c>
      <c r="I873" s="438">
        <f>SUM(I867:I872)</f>
        <v>735124.81</v>
      </c>
      <c r="J873" s="438">
        <f t="shared" ref="J873" si="371">SUM(J867:J872)</f>
        <v>682408.67</v>
      </c>
    </row>
    <row r="874" spans="1:10" ht="13.5" customHeight="1" x14ac:dyDescent="0.25">
      <c r="A874" s="1"/>
      <c r="B874" s="1"/>
      <c r="C874" s="1"/>
      <c r="D874" s="437"/>
      <c r="E874" s="437"/>
      <c r="F874" s="466"/>
      <c r="G874" s="437"/>
      <c r="H874" s="437"/>
      <c r="I874" s="437"/>
      <c r="J874" s="437"/>
    </row>
    <row r="875" spans="1:10" ht="13.5" customHeight="1" x14ac:dyDescent="0.25">
      <c r="A875" s="1"/>
      <c r="B875" s="1" t="s">
        <v>903</v>
      </c>
      <c r="C875" s="1" t="s">
        <v>257</v>
      </c>
      <c r="D875" s="437">
        <v>74445.516000000003</v>
      </c>
      <c r="E875" s="437">
        <v>30391.99</v>
      </c>
      <c r="F875" s="466">
        <f t="shared" ref="F875:F879" si="372">SUM(E875/G875)</f>
        <v>0.43143457295103649</v>
      </c>
      <c r="G875" s="437">
        <v>70444.03</v>
      </c>
      <c r="H875" s="437">
        <v>61528.46</v>
      </c>
      <c r="I875" s="437">
        <v>51455.02</v>
      </c>
      <c r="J875" s="437">
        <v>46996.03</v>
      </c>
    </row>
    <row r="876" spans="1:10" ht="13.5" customHeight="1" x14ac:dyDescent="0.25">
      <c r="A876" s="1"/>
      <c r="B876" s="1" t="s">
        <v>904</v>
      </c>
      <c r="C876" s="1" t="s">
        <v>259</v>
      </c>
      <c r="D876" s="437">
        <v>146452.38720000003</v>
      </c>
      <c r="E876" s="437">
        <v>72029.399999999994</v>
      </c>
      <c r="F876" s="466">
        <f t="shared" si="372"/>
        <v>0.49170823375470318</v>
      </c>
      <c r="G876" s="437">
        <v>146488.09</v>
      </c>
      <c r="H876" s="437">
        <v>128736.19</v>
      </c>
      <c r="I876" s="437">
        <v>111936.66</v>
      </c>
      <c r="J876" s="437">
        <v>111539.75</v>
      </c>
    </row>
    <row r="877" spans="1:10" ht="13.5" customHeight="1" x14ac:dyDescent="0.25">
      <c r="A877" s="1"/>
      <c r="B877" s="1" t="s">
        <v>905</v>
      </c>
      <c r="C877" s="1" t="s">
        <v>261</v>
      </c>
      <c r="D877" s="437">
        <v>146166.22879999995</v>
      </c>
      <c r="E877" s="437">
        <v>63586</v>
      </c>
      <c r="F877" s="466">
        <f t="shared" si="372"/>
        <v>0.45973630775913654</v>
      </c>
      <c r="G877" s="437">
        <v>138309.72</v>
      </c>
      <c r="H877" s="437">
        <v>132709.81</v>
      </c>
      <c r="I877" s="437">
        <v>107026.08</v>
      </c>
      <c r="J877" s="437">
        <v>99400.97</v>
      </c>
    </row>
    <row r="878" spans="1:10" ht="13.5" customHeight="1" x14ac:dyDescent="0.25">
      <c r="A878" s="1"/>
      <c r="B878" s="1" t="s">
        <v>906</v>
      </c>
      <c r="C878" s="1" t="s">
        <v>263</v>
      </c>
      <c r="D878" s="437">
        <v>1557.0303999999999</v>
      </c>
      <c r="E878" s="437">
        <v>677.47</v>
      </c>
      <c r="F878" s="466">
        <f t="shared" si="372"/>
        <v>0.45981918633852342</v>
      </c>
      <c r="G878" s="437">
        <v>1473.34</v>
      </c>
      <c r="H878" s="437">
        <v>1413.95</v>
      </c>
      <c r="I878" s="437">
        <v>1178.3</v>
      </c>
      <c r="J878" s="437">
        <v>1255.21</v>
      </c>
    </row>
    <row r="879" spans="1:10" ht="13.5" customHeight="1" x14ac:dyDescent="0.25">
      <c r="A879" s="1"/>
      <c r="B879" s="1" t="s">
        <v>907</v>
      </c>
      <c r="C879" s="1" t="s">
        <v>265</v>
      </c>
      <c r="D879" s="437">
        <v>5248.3200000000006</v>
      </c>
      <c r="E879" s="437">
        <v>2434.41</v>
      </c>
      <c r="F879" s="466">
        <f t="shared" si="372"/>
        <v>0.4952336197636949</v>
      </c>
      <c r="G879" s="437">
        <v>4915.68</v>
      </c>
      <c r="H879" s="437">
        <v>4187.24</v>
      </c>
      <c r="I879" s="437">
        <v>3295.36</v>
      </c>
      <c r="J879" s="437">
        <v>3392</v>
      </c>
    </row>
    <row r="880" spans="1:10" ht="13.5" customHeight="1" x14ac:dyDescent="0.25">
      <c r="A880" s="1"/>
      <c r="B880" s="1"/>
      <c r="C880" s="1"/>
      <c r="D880" s="438">
        <v>373869.48239999998</v>
      </c>
      <c r="E880" s="438">
        <f t="shared" ref="E880" si="373">SUM(E875:E879)</f>
        <v>169119.27000000002</v>
      </c>
      <c r="F880" s="467"/>
      <c r="G880" s="438">
        <f>SUM(G875:G879)</f>
        <v>361630.86</v>
      </c>
      <c r="H880" s="438">
        <f>SUM(H875:H879)</f>
        <v>328575.64999999997</v>
      </c>
      <c r="I880" s="438">
        <f>SUM(I875:I879)</f>
        <v>274891.42</v>
      </c>
      <c r="J880" s="438">
        <f t="shared" ref="J880" si="374">SUM(J875:J879)</f>
        <v>262583.95999999996</v>
      </c>
    </row>
    <row r="881" spans="1:10" ht="13.5" customHeight="1" x14ac:dyDescent="0.25">
      <c r="A881" s="1"/>
      <c r="B881" s="1"/>
      <c r="C881" s="1"/>
      <c r="D881" s="437"/>
      <c r="E881" s="437"/>
      <c r="F881" s="466"/>
      <c r="G881" s="437"/>
      <c r="H881" s="437"/>
      <c r="I881" s="437"/>
      <c r="J881" s="437"/>
    </row>
    <row r="882" spans="1:10" ht="13.5" customHeight="1" x14ac:dyDescent="0.25">
      <c r="A882" s="1"/>
      <c r="B882" s="1" t="s">
        <v>908</v>
      </c>
      <c r="C882" s="1" t="s">
        <v>267</v>
      </c>
      <c r="D882" s="437">
        <v>6000</v>
      </c>
      <c r="E882" s="437">
        <v>973</v>
      </c>
      <c r="F882" s="466">
        <f t="shared" ref="F882:F884" si="375">SUM(E882/G882)</f>
        <v>0.16216666666666665</v>
      </c>
      <c r="G882" s="437">
        <v>6000</v>
      </c>
      <c r="H882" s="437">
        <v>3478.5</v>
      </c>
      <c r="I882" s="437">
        <v>3475.81</v>
      </c>
      <c r="J882" s="437">
        <v>6290.61</v>
      </c>
    </row>
    <row r="883" spans="1:10" ht="13.5" customHeight="1" x14ac:dyDescent="0.25">
      <c r="A883" s="1"/>
      <c r="B883" s="1" t="s">
        <v>909</v>
      </c>
      <c r="C883" s="1" t="s">
        <v>269</v>
      </c>
      <c r="D883" s="437">
        <v>5300</v>
      </c>
      <c r="E883" s="437">
        <v>1263.1300000000001</v>
      </c>
      <c r="F883" s="466">
        <f t="shared" si="375"/>
        <v>0.23832641509433963</v>
      </c>
      <c r="G883" s="437">
        <v>5300</v>
      </c>
      <c r="H883" s="437">
        <v>3921.44</v>
      </c>
      <c r="I883" s="437">
        <v>4756.3900000000003</v>
      </c>
      <c r="J883" s="437">
        <v>4924.57</v>
      </c>
    </row>
    <row r="884" spans="1:10" ht="13.5" customHeight="1" x14ac:dyDescent="0.25">
      <c r="A884" s="1"/>
      <c r="B884" s="1" t="s">
        <v>910</v>
      </c>
      <c r="C884" s="1" t="s">
        <v>492</v>
      </c>
      <c r="D884" s="437">
        <v>3000</v>
      </c>
      <c r="E884" s="437">
        <v>1199.3800000000001</v>
      </c>
      <c r="F884" s="466">
        <f t="shared" si="375"/>
        <v>0.39979333333333339</v>
      </c>
      <c r="G884" s="437">
        <v>3000</v>
      </c>
      <c r="H884" s="437">
        <v>2080</v>
      </c>
      <c r="I884" s="437">
        <v>4141.74</v>
      </c>
      <c r="J884" s="437">
        <v>948.56</v>
      </c>
    </row>
    <row r="885" spans="1:10" ht="13.5" customHeight="1" x14ac:dyDescent="0.25">
      <c r="A885" s="1"/>
      <c r="B885" s="1" t="s">
        <v>911</v>
      </c>
      <c r="C885" s="1" t="s">
        <v>912</v>
      </c>
      <c r="D885" s="437">
        <v>0</v>
      </c>
      <c r="E885" s="440"/>
      <c r="F885" s="468"/>
      <c r="G885" s="440">
        <v>0</v>
      </c>
      <c r="H885" s="439">
        <v>1992.99</v>
      </c>
      <c r="I885" s="439">
        <v>1199.94</v>
      </c>
      <c r="J885" s="437">
        <v>577.49</v>
      </c>
    </row>
    <row r="886" spans="1:10" ht="13.5" customHeight="1" x14ac:dyDescent="0.25">
      <c r="A886" s="1"/>
      <c r="B886" s="1" t="s">
        <v>913</v>
      </c>
      <c r="C886" s="1" t="s">
        <v>914</v>
      </c>
      <c r="D886" s="437">
        <v>0</v>
      </c>
      <c r="E886" s="440"/>
      <c r="F886" s="468"/>
      <c r="G886" s="440">
        <v>0</v>
      </c>
      <c r="H886" s="439">
        <v>849.4</v>
      </c>
      <c r="I886" s="439">
        <v>2542.16</v>
      </c>
      <c r="J886" s="437">
        <v>453.79</v>
      </c>
    </row>
    <row r="887" spans="1:10" ht="13.5" customHeight="1" x14ac:dyDescent="0.25">
      <c r="A887" s="1"/>
      <c r="B887" s="1" t="s">
        <v>915</v>
      </c>
      <c r="C887" s="1" t="s">
        <v>275</v>
      </c>
      <c r="D887" s="437">
        <v>0</v>
      </c>
      <c r="E887" s="437">
        <v>61.98</v>
      </c>
      <c r="F887" s="466"/>
      <c r="G887" s="437">
        <v>0</v>
      </c>
      <c r="H887" s="437">
        <v>938.69</v>
      </c>
      <c r="I887" s="437">
        <v>1053.97</v>
      </c>
      <c r="J887" s="437">
        <v>173.05</v>
      </c>
    </row>
    <row r="888" spans="1:10" ht="13.5" customHeight="1" x14ac:dyDescent="0.25">
      <c r="A888" s="1"/>
      <c r="B888" s="1"/>
      <c r="C888" s="1"/>
      <c r="D888" s="441">
        <v>14300</v>
      </c>
      <c r="E888" s="441">
        <f t="shared" ref="E888" si="376">SUM(E882:E887)</f>
        <v>3497.4900000000002</v>
      </c>
      <c r="F888" s="469"/>
      <c r="G888" s="441">
        <v>14300</v>
      </c>
      <c r="H888" s="441">
        <f>SUM(H882:H887)</f>
        <v>13261.02</v>
      </c>
      <c r="I888" s="441">
        <f>SUM(I882:I887)</f>
        <v>17170.010000000002</v>
      </c>
      <c r="J888" s="441">
        <f t="shared" ref="J888" si="377">SUM(J882:J887)</f>
        <v>13368.07</v>
      </c>
    </row>
    <row r="889" spans="1:10" ht="13.5" customHeight="1" x14ac:dyDescent="0.25">
      <c r="A889" s="1"/>
      <c r="B889" s="1"/>
      <c r="C889" s="1"/>
      <c r="D889" s="440"/>
      <c r="E889" s="437"/>
      <c r="F889" s="466"/>
      <c r="G889" s="437"/>
      <c r="H889" s="437"/>
      <c r="I889" s="437"/>
      <c r="J889" s="437"/>
    </row>
    <row r="890" spans="1:10" ht="13.5" customHeight="1" x14ac:dyDescent="0.25">
      <c r="A890" s="1"/>
      <c r="B890" s="1" t="s">
        <v>916</v>
      </c>
      <c r="C890" s="1" t="s">
        <v>917</v>
      </c>
      <c r="D890" s="437">
        <v>500</v>
      </c>
      <c r="E890" s="437">
        <v>200</v>
      </c>
      <c r="F890" s="466">
        <f t="shared" ref="F890:F893" si="378">SUM(E890/G890)</f>
        <v>0.4</v>
      </c>
      <c r="G890" s="437">
        <v>500</v>
      </c>
      <c r="H890" s="437">
        <v>0</v>
      </c>
      <c r="I890" s="437">
        <v>518.27</v>
      </c>
      <c r="J890" s="437">
        <v>240.55</v>
      </c>
    </row>
    <row r="891" spans="1:10" ht="13.5" customHeight="1" x14ac:dyDescent="0.25">
      <c r="A891" s="1"/>
      <c r="B891" s="1" t="s">
        <v>918</v>
      </c>
      <c r="C891" s="1" t="s">
        <v>333</v>
      </c>
      <c r="D891" s="437">
        <v>750</v>
      </c>
      <c r="E891" s="439">
        <v>56</v>
      </c>
      <c r="F891" s="466">
        <f t="shared" si="378"/>
        <v>7.4666666666666673E-2</v>
      </c>
      <c r="G891" s="440">
        <v>750</v>
      </c>
      <c r="H891" s="439">
        <v>154.66999999999999</v>
      </c>
      <c r="I891" s="439">
        <v>186.42</v>
      </c>
      <c r="J891" s="437">
        <v>185.84</v>
      </c>
    </row>
    <row r="892" spans="1:10" ht="13.5" customHeight="1" x14ac:dyDescent="0.25">
      <c r="A892" s="1"/>
      <c r="B892" s="1" t="s">
        <v>919</v>
      </c>
      <c r="C892" s="1" t="s">
        <v>426</v>
      </c>
      <c r="D892" s="437">
        <v>9500</v>
      </c>
      <c r="E892" s="437">
        <v>2295</v>
      </c>
      <c r="F892" s="466">
        <f t="shared" si="378"/>
        <v>0.24157894736842106</v>
      </c>
      <c r="G892" s="437">
        <v>9500</v>
      </c>
      <c r="H892" s="437">
        <v>3374.14</v>
      </c>
      <c r="I892" s="437">
        <v>8311.5</v>
      </c>
      <c r="J892" s="437">
        <v>7231.84</v>
      </c>
    </row>
    <row r="893" spans="1:10" ht="13.5" customHeight="1" x14ac:dyDescent="0.25">
      <c r="A893" s="1"/>
      <c r="B893" s="1" t="s">
        <v>920</v>
      </c>
      <c r="C893" s="1" t="s">
        <v>285</v>
      </c>
      <c r="D893" s="437">
        <v>5000</v>
      </c>
      <c r="E893" s="437">
        <v>3918</v>
      </c>
      <c r="F893" s="466">
        <f t="shared" si="378"/>
        <v>0.71236363636363631</v>
      </c>
      <c r="G893" s="437">
        <v>5500</v>
      </c>
      <c r="H893" s="437">
        <v>5053.7</v>
      </c>
      <c r="I893" s="437">
        <v>4507.58</v>
      </c>
      <c r="J893" s="437">
        <v>5248.34</v>
      </c>
    </row>
    <row r="894" spans="1:10" ht="13.5" customHeight="1" x14ac:dyDescent="0.25">
      <c r="A894" s="1"/>
      <c r="B894" s="1" t="s">
        <v>921</v>
      </c>
      <c r="C894" s="1" t="s">
        <v>509</v>
      </c>
      <c r="D894" s="437">
        <v>0</v>
      </c>
      <c r="E894" s="437">
        <v>78.459999999999994</v>
      </c>
      <c r="F894" s="466"/>
      <c r="G894" s="437">
        <v>0</v>
      </c>
      <c r="H894" s="437">
        <v>7</v>
      </c>
      <c r="I894" s="437">
        <v>38.75</v>
      </c>
      <c r="J894" s="437">
        <v>122.76</v>
      </c>
    </row>
    <row r="895" spans="1:10" ht="13.5" customHeight="1" x14ac:dyDescent="0.25">
      <c r="A895" s="1"/>
      <c r="B895" s="22" t="s">
        <v>922</v>
      </c>
      <c r="C895" s="22" t="s">
        <v>431</v>
      </c>
      <c r="D895" s="437"/>
      <c r="E895" s="437"/>
      <c r="F895" s="466"/>
      <c r="G895" s="437">
        <v>0</v>
      </c>
      <c r="H895" s="437">
        <v>551.20000000000005</v>
      </c>
      <c r="I895" s="437"/>
      <c r="J895" s="437"/>
    </row>
    <row r="896" spans="1:10" ht="13.5" customHeight="1" x14ac:dyDescent="0.25">
      <c r="A896" s="1"/>
      <c r="B896" s="1" t="s">
        <v>923</v>
      </c>
      <c r="C896" s="1" t="s">
        <v>840</v>
      </c>
      <c r="D896" s="437">
        <v>1200</v>
      </c>
      <c r="E896" s="437">
        <v>813.61</v>
      </c>
      <c r="F896" s="466">
        <f>SUM(E896/G896)</f>
        <v>0.88919125683060107</v>
      </c>
      <c r="G896" s="437">
        <v>915</v>
      </c>
      <c r="H896" s="437">
        <v>1154.7</v>
      </c>
      <c r="I896" s="437">
        <v>911.76</v>
      </c>
      <c r="J896" s="437">
        <v>911.76</v>
      </c>
    </row>
    <row r="897" spans="1:10" ht="13.5" customHeight="1" x14ac:dyDescent="0.25">
      <c r="A897" s="1"/>
      <c r="B897" s="1" t="s">
        <v>924</v>
      </c>
      <c r="C897" s="1" t="s">
        <v>287</v>
      </c>
      <c r="D897" s="437">
        <v>0</v>
      </c>
      <c r="E897" s="439">
        <v>177.5</v>
      </c>
      <c r="F897" s="466"/>
      <c r="G897" s="440">
        <v>0</v>
      </c>
      <c r="H897" s="439">
        <v>142</v>
      </c>
      <c r="I897" s="439">
        <v>142</v>
      </c>
      <c r="J897" s="440">
        <v>0</v>
      </c>
    </row>
    <row r="898" spans="1:10" ht="13.5" customHeight="1" x14ac:dyDescent="0.25">
      <c r="A898" s="1"/>
      <c r="B898" s="1" t="s">
        <v>925</v>
      </c>
      <c r="C898" s="1" t="s">
        <v>289</v>
      </c>
      <c r="D898" s="437">
        <v>6000</v>
      </c>
      <c r="E898" s="437">
        <v>3065.69</v>
      </c>
      <c r="F898" s="466">
        <f>SUM(E898/G898)</f>
        <v>0.51094833333333334</v>
      </c>
      <c r="G898" s="437">
        <v>6000</v>
      </c>
      <c r="H898" s="437">
        <v>6239.8</v>
      </c>
      <c r="I898" s="437">
        <v>4374.57</v>
      </c>
      <c r="J898" s="437">
        <v>4413.45</v>
      </c>
    </row>
    <row r="899" spans="1:10" ht="13.5" customHeight="1" x14ac:dyDescent="0.25">
      <c r="A899" s="1"/>
      <c r="B899" s="1"/>
      <c r="C899" s="1"/>
      <c r="D899" s="438">
        <v>22950</v>
      </c>
      <c r="E899" s="438">
        <f t="shared" ref="E899" si="379">SUM(E890:E898)</f>
        <v>10604.26</v>
      </c>
      <c r="F899" s="467"/>
      <c r="G899" s="438">
        <v>23165</v>
      </c>
      <c r="H899" s="438">
        <f>SUM(H890:H898)</f>
        <v>16677.210000000003</v>
      </c>
      <c r="I899" s="438">
        <f>SUM(I890:I898)</f>
        <v>18990.849999999999</v>
      </c>
      <c r="J899" s="438">
        <f t="shared" ref="J899" si="380">SUM(J890:J898)</f>
        <v>18354.54</v>
      </c>
    </row>
    <row r="900" spans="1:10" ht="13.5" customHeight="1" thickBot="1" x14ac:dyDescent="0.3">
      <c r="A900" s="1"/>
      <c r="B900" s="1"/>
      <c r="C900" s="1"/>
      <c r="D900" s="451">
        <v>1384263.4824000001</v>
      </c>
      <c r="E900" s="451">
        <f t="shared" ref="E900" si="381">SUM(E873+E880+E888+E899)</f>
        <v>610521.75</v>
      </c>
      <c r="F900" s="478"/>
      <c r="G900" s="451">
        <v>1319932.8500000001</v>
      </c>
      <c r="H900" s="451">
        <f>SUM(H873+H880+H888+H899)</f>
        <v>1240355.1700000002</v>
      </c>
      <c r="I900" s="451">
        <f>SUM(I873+I880+I888+I899)</f>
        <v>1046177.09</v>
      </c>
      <c r="J900" s="451">
        <f t="shared" ref="J900" si="382">SUM(J873+J880+J888+J899)</f>
        <v>976715.24</v>
      </c>
    </row>
    <row r="901" spans="1:10" ht="13.5" customHeight="1" thickTop="1" x14ac:dyDescent="0.25">
      <c r="A901" s="1"/>
      <c r="B901" s="1"/>
      <c r="C901" s="1"/>
      <c r="D901" s="437"/>
      <c r="E901" s="437"/>
      <c r="F901" s="466"/>
      <c r="G901" s="437"/>
      <c r="H901" s="437"/>
      <c r="I901" s="437"/>
      <c r="J901" s="437"/>
    </row>
    <row r="902" spans="1:10" ht="13.5" customHeight="1" x14ac:dyDescent="0.25">
      <c r="A902" s="1"/>
      <c r="B902" s="1"/>
      <c r="C902" s="14" t="s">
        <v>926</v>
      </c>
      <c r="D902" s="437"/>
      <c r="E902" s="437"/>
      <c r="F902" s="466"/>
      <c r="G902" s="437"/>
      <c r="H902" s="437"/>
      <c r="I902" s="437"/>
      <c r="J902" s="437"/>
    </row>
    <row r="903" spans="1:10" ht="13.5" customHeight="1" x14ac:dyDescent="0.25">
      <c r="A903" s="1"/>
      <c r="B903" s="1" t="s">
        <v>927</v>
      </c>
      <c r="C903" s="1" t="s">
        <v>439</v>
      </c>
      <c r="D903" s="437">
        <v>125779</v>
      </c>
      <c r="E903" s="437">
        <v>54857.26</v>
      </c>
      <c r="F903" s="466">
        <f t="shared" ref="F903:F904" si="383">SUM(E903/G903)</f>
        <v>0.45795288342738838</v>
      </c>
      <c r="G903" s="437">
        <v>119788</v>
      </c>
      <c r="H903" s="437">
        <v>118536.92</v>
      </c>
      <c r="I903" s="437">
        <v>108061.09</v>
      </c>
      <c r="J903" s="437">
        <v>103889.92</v>
      </c>
    </row>
    <row r="904" spans="1:10" ht="13.5" customHeight="1" x14ac:dyDescent="0.25">
      <c r="A904" s="1"/>
      <c r="B904" s="1" t="s">
        <v>928</v>
      </c>
      <c r="C904" s="1" t="s">
        <v>441</v>
      </c>
      <c r="D904" s="437">
        <v>28200</v>
      </c>
      <c r="E904" s="437">
        <v>5840</v>
      </c>
      <c r="F904" s="466">
        <f t="shared" si="383"/>
        <v>0.20709219858156028</v>
      </c>
      <c r="G904" s="437">
        <v>28200</v>
      </c>
      <c r="H904" s="437">
        <v>34334.1</v>
      </c>
      <c r="I904" s="437">
        <v>30061.02</v>
      </c>
      <c r="J904" s="437">
        <v>30513.18</v>
      </c>
    </row>
    <row r="905" spans="1:10" ht="13.5" customHeight="1" x14ac:dyDescent="0.25">
      <c r="A905" s="1"/>
      <c r="B905" s="1" t="s">
        <v>929</v>
      </c>
      <c r="C905" s="1" t="s">
        <v>443</v>
      </c>
      <c r="D905" s="437">
        <v>0</v>
      </c>
      <c r="E905" s="437"/>
      <c r="F905" s="466"/>
      <c r="G905" s="437">
        <v>0</v>
      </c>
      <c r="H905" s="437">
        <v>0</v>
      </c>
      <c r="I905" s="437">
        <v>7047.83</v>
      </c>
      <c r="J905" s="437">
        <v>6744.88</v>
      </c>
    </row>
    <row r="906" spans="1:10" ht="13.5" customHeight="1" x14ac:dyDescent="0.25">
      <c r="A906" s="1"/>
      <c r="B906" s="1" t="s">
        <v>930</v>
      </c>
      <c r="C906" s="1" t="s">
        <v>674</v>
      </c>
      <c r="D906" s="437">
        <v>1000</v>
      </c>
      <c r="E906" s="437">
        <v>499.98</v>
      </c>
      <c r="F906" s="466">
        <f>SUM(E906/G906)</f>
        <v>0.49998000000000004</v>
      </c>
      <c r="G906" s="437">
        <v>1000</v>
      </c>
      <c r="H906" s="437">
        <v>999.96</v>
      </c>
      <c r="I906" s="437">
        <v>999.96</v>
      </c>
      <c r="J906" s="437">
        <v>999.96</v>
      </c>
    </row>
    <row r="907" spans="1:10" ht="13.5" customHeight="1" x14ac:dyDescent="0.25">
      <c r="A907" s="1"/>
      <c r="B907" s="1"/>
      <c r="C907" s="1"/>
      <c r="D907" s="438">
        <v>154979</v>
      </c>
      <c r="E907" s="438">
        <f t="shared" ref="E907" si="384">SUM(E903:E906)</f>
        <v>61197.240000000005</v>
      </c>
      <c r="F907" s="467"/>
      <c r="G907" s="438">
        <v>148988</v>
      </c>
      <c r="H907" s="438">
        <f>SUM(H903:H906)</f>
        <v>153870.97999999998</v>
      </c>
      <c r="I907" s="438">
        <f>SUM(I903:I906)</f>
        <v>146169.89999999997</v>
      </c>
      <c r="J907" s="438">
        <f t="shared" ref="J907" si="385">SUM(J903:J906)</f>
        <v>142147.94</v>
      </c>
    </row>
    <row r="908" spans="1:10" ht="13.5" customHeight="1" x14ac:dyDescent="0.25">
      <c r="A908" s="1"/>
      <c r="B908" s="1"/>
      <c r="C908" s="1"/>
      <c r="D908" s="437"/>
      <c r="E908" s="437"/>
      <c r="F908" s="466"/>
      <c r="G908" s="437"/>
      <c r="H908" s="437"/>
      <c r="I908" s="437"/>
      <c r="J908" s="437"/>
    </row>
    <row r="909" spans="1:10" ht="13.5" customHeight="1" x14ac:dyDescent="0.25">
      <c r="A909" s="1"/>
      <c r="B909" s="1" t="s">
        <v>931</v>
      </c>
      <c r="C909" s="1" t="s">
        <v>257</v>
      </c>
      <c r="D909" s="437">
        <v>11855.8935</v>
      </c>
      <c r="E909" s="437">
        <v>4234.8</v>
      </c>
      <c r="F909" s="466">
        <f t="shared" ref="F909:F913" si="386">SUM(E909/G909)</f>
        <v>0.37155255764820255</v>
      </c>
      <c r="G909" s="437">
        <v>11397.58</v>
      </c>
      <c r="H909" s="437">
        <v>10675.55</v>
      </c>
      <c r="I909" s="437">
        <v>10074.959999999999</v>
      </c>
      <c r="J909" s="437">
        <v>9939.36</v>
      </c>
    </row>
    <row r="910" spans="1:10" ht="13.5" customHeight="1" x14ac:dyDescent="0.25">
      <c r="A910" s="1"/>
      <c r="B910" s="1" t="s">
        <v>932</v>
      </c>
      <c r="C910" s="1" t="s">
        <v>259</v>
      </c>
      <c r="D910" s="437">
        <v>31382.654400000003</v>
      </c>
      <c r="E910" s="437">
        <v>16221.24</v>
      </c>
      <c r="F910" s="466">
        <f t="shared" si="386"/>
        <v>0.5167596359384905</v>
      </c>
      <c r="G910" s="437">
        <v>31390.3</v>
      </c>
      <c r="H910" s="437">
        <v>31067.7</v>
      </c>
      <c r="I910" s="437">
        <v>30528.18</v>
      </c>
      <c r="J910" s="437">
        <v>30420</v>
      </c>
    </row>
    <row r="911" spans="1:10" ht="13.5" customHeight="1" x14ac:dyDescent="0.25">
      <c r="A911" s="1"/>
      <c r="B911" s="1" t="s">
        <v>933</v>
      </c>
      <c r="C911" s="1" t="s">
        <v>261</v>
      </c>
      <c r="D911" s="437">
        <v>23277.845799999999</v>
      </c>
      <c r="E911" s="437">
        <v>9189.75</v>
      </c>
      <c r="F911" s="466">
        <f t="shared" si="386"/>
        <v>0.41066002323710787</v>
      </c>
      <c r="G911" s="437">
        <v>22378</v>
      </c>
      <c r="H911" s="437">
        <v>23109.439999999999</v>
      </c>
      <c r="I911" s="437">
        <v>21044.13</v>
      </c>
      <c r="J911" s="437">
        <v>20584.810000000001</v>
      </c>
    </row>
    <row r="912" spans="1:10" ht="13.5" customHeight="1" x14ac:dyDescent="0.25">
      <c r="A912" s="1"/>
      <c r="B912" s="1" t="s">
        <v>934</v>
      </c>
      <c r="C912" s="1" t="s">
        <v>263</v>
      </c>
      <c r="D912" s="437">
        <v>247.96640000000002</v>
      </c>
      <c r="E912" s="437">
        <v>97.88</v>
      </c>
      <c r="F912" s="466">
        <f t="shared" si="386"/>
        <v>0.41060491651984227</v>
      </c>
      <c r="G912" s="437">
        <v>238.38</v>
      </c>
      <c r="H912" s="437">
        <v>246.16</v>
      </c>
      <c r="I912" s="437">
        <v>231.66</v>
      </c>
      <c r="J912" s="437">
        <v>259.89999999999998</v>
      </c>
    </row>
    <row r="913" spans="1:10" ht="13.5" customHeight="1" x14ac:dyDescent="0.25">
      <c r="A913" s="1"/>
      <c r="B913" s="1" t="s">
        <v>935</v>
      </c>
      <c r="C913" s="1" t="s">
        <v>265</v>
      </c>
      <c r="D913" s="437">
        <v>1124.6399999999999</v>
      </c>
      <c r="E913" s="437">
        <v>550.11</v>
      </c>
      <c r="F913" s="466">
        <f t="shared" si="386"/>
        <v>0.52224310776942362</v>
      </c>
      <c r="G913" s="437">
        <v>1053.3599999999999</v>
      </c>
      <c r="H913" s="437">
        <v>1011.96</v>
      </c>
      <c r="I913" s="437">
        <v>971.88</v>
      </c>
      <c r="J913" s="437">
        <v>939.72</v>
      </c>
    </row>
    <row r="914" spans="1:10" ht="13.5" customHeight="1" x14ac:dyDescent="0.25">
      <c r="A914" s="1"/>
      <c r="B914" s="1"/>
      <c r="C914" s="1"/>
      <c r="D914" s="438">
        <v>67889.000100000005</v>
      </c>
      <c r="E914" s="438">
        <f t="shared" ref="E914" si="387">SUM(E909:E913)</f>
        <v>30293.780000000002</v>
      </c>
      <c r="F914" s="467"/>
      <c r="G914" s="438">
        <v>66457.62</v>
      </c>
      <c r="H914" s="438">
        <f>SUM(H909:H913)</f>
        <v>66110.810000000012</v>
      </c>
      <c r="I914" s="438">
        <f>SUM(I909:I913)</f>
        <v>62850.810000000005</v>
      </c>
      <c r="J914" s="438">
        <f t="shared" ref="J914" si="388">SUM(J909:J913)</f>
        <v>62143.79</v>
      </c>
    </row>
    <row r="915" spans="1:10" ht="13.5" customHeight="1" x14ac:dyDescent="0.25">
      <c r="A915" s="1"/>
      <c r="B915" s="1"/>
      <c r="C915" s="1"/>
      <c r="D915" s="437"/>
      <c r="E915" s="437"/>
      <c r="F915" s="466"/>
      <c r="G915" s="437"/>
      <c r="H915" s="437"/>
      <c r="I915" s="437"/>
      <c r="J915" s="437"/>
    </row>
    <row r="916" spans="1:10" ht="13.5" customHeight="1" x14ac:dyDescent="0.25">
      <c r="A916" s="1"/>
      <c r="B916" s="1" t="s">
        <v>936</v>
      </c>
      <c r="C916" s="1" t="s">
        <v>267</v>
      </c>
      <c r="D916" s="437">
        <v>4800</v>
      </c>
      <c r="E916" s="437">
        <v>1873.43</v>
      </c>
      <c r="F916" s="466">
        <f t="shared" ref="F916:F920" si="389">SUM(E916/G916)</f>
        <v>0.39029791666666669</v>
      </c>
      <c r="G916" s="437">
        <v>4800</v>
      </c>
      <c r="H916" s="437">
        <v>4210.96</v>
      </c>
      <c r="I916" s="437">
        <v>4806.28</v>
      </c>
      <c r="J916" s="437">
        <v>2407.4499999999998</v>
      </c>
    </row>
    <row r="917" spans="1:10" ht="13.5" customHeight="1" x14ac:dyDescent="0.25">
      <c r="A917" s="1"/>
      <c r="B917" s="1" t="s">
        <v>937</v>
      </c>
      <c r="C917" s="1" t="s">
        <v>488</v>
      </c>
      <c r="D917" s="437">
        <v>3500</v>
      </c>
      <c r="E917" s="437">
        <v>795.85</v>
      </c>
      <c r="F917" s="466">
        <f t="shared" si="389"/>
        <v>0.2273857142857143</v>
      </c>
      <c r="G917" s="437">
        <v>3500</v>
      </c>
      <c r="H917" s="437">
        <v>1079.42</v>
      </c>
      <c r="I917" s="437">
        <v>1937.85</v>
      </c>
      <c r="J917" s="437">
        <v>1075.47</v>
      </c>
    </row>
    <row r="918" spans="1:10" ht="13.5" customHeight="1" x14ac:dyDescent="0.25">
      <c r="A918" s="1"/>
      <c r="B918" s="1" t="s">
        <v>938</v>
      </c>
      <c r="C918" s="1" t="s">
        <v>939</v>
      </c>
      <c r="D918" s="437">
        <v>400</v>
      </c>
      <c r="E918" s="440"/>
      <c r="F918" s="466">
        <f t="shared" si="389"/>
        <v>0</v>
      </c>
      <c r="G918" s="440">
        <v>400</v>
      </c>
      <c r="H918" s="439">
        <v>0</v>
      </c>
      <c r="I918" s="440">
        <v>0</v>
      </c>
      <c r="J918" s="440">
        <v>0</v>
      </c>
    </row>
    <row r="919" spans="1:10" ht="13.5" customHeight="1" x14ac:dyDescent="0.25">
      <c r="A919" s="1"/>
      <c r="B919" s="1" t="s">
        <v>940</v>
      </c>
      <c r="C919" s="1" t="s">
        <v>490</v>
      </c>
      <c r="D919" s="437">
        <v>700</v>
      </c>
      <c r="E919" s="440"/>
      <c r="F919" s="466">
        <f t="shared" si="389"/>
        <v>0</v>
      </c>
      <c r="G919" s="440">
        <v>700</v>
      </c>
      <c r="H919" s="439">
        <v>0</v>
      </c>
      <c r="I919" s="440">
        <v>0</v>
      </c>
      <c r="J919" s="440">
        <v>0</v>
      </c>
    </row>
    <row r="920" spans="1:10" ht="13.5" customHeight="1" x14ac:dyDescent="0.25">
      <c r="A920" s="1"/>
      <c r="B920" s="1" t="s">
        <v>941</v>
      </c>
      <c r="C920" s="1" t="s">
        <v>455</v>
      </c>
      <c r="D920" s="437">
        <v>200</v>
      </c>
      <c r="E920" s="440"/>
      <c r="F920" s="466">
        <f t="shared" si="389"/>
        <v>0</v>
      </c>
      <c r="G920" s="440">
        <v>200</v>
      </c>
      <c r="H920" s="439">
        <v>0</v>
      </c>
      <c r="I920" s="440">
        <v>0</v>
      </c>
      <c r="J920" s="440">
        <v>0</v>
      </c>
    </row>
    <row r="921" spans="1:10" ht="13.5" customHeight="1" x14ac:dyDescent="0.25">
      <c r="A921" s="1"/>
      <c r="B921" s="1" t="s">
        <v>942</v>
      </c>
      <c r="C921" s="1" t="s">
        <v>275</v>
      </c>
      <c r="D921" s="437">
        <v>0</v>
      </c>
      <c r="E921" s="439">
        <v>89.98</v>
      </c>
      <c r="F921" s="466"/>
      <c r="G921" s="440">
        <v>0</v>
      </c>
      <c r="H921" s="439">
        <v>613.04</v>
      </c>
      <c r="I921" s="440">
        <v>0</v>
      </c>
      <c r="J921" s="437">
        <v>947.58</v>
      </c>
    </row>
    <row r="922" spans="1:10" ht="13.5" customHeight="1" x14ac:dyDescent="0.25">
      <c r="A922" s="1"/>
      <c r="B922" s="1"/>
      <c r="C922" s="1"/>
      <c r="D922" s="441">
        <v>9600</v>
      </c>
      <c r="E922" s="441">
        <f t="shared" ref="E922" si="390">SUM(E916:E921)</f>
        <v>2759.26</v>
      </c>
      <c r="F922" s="469"/>
      <c r="G922" s="441">
        <v>9600</v>
      </c>
      <c r="H922" s="441">
        <f>SUM(H916:H921)</f>
        <v>5903.42</v>
      </c>
      <c r="I922" s="441">
        <f>SUM(I916:I921)</f>
        <v>6744.1299999999992</v>
      </c>
      <c r="J922" s="441">
        <f t="shared" ref="J922" si="391">SUM(J916:J921)</f>
        <v>4430.5</v>
      </c>
    </row>
    <row r="923" spans="1:10" ht="13.5" customHeight="1" x14ac:dyDescent="0.25">
      <c r="A923" s="1"/>
      <c r="B923" s="1"/>
      <c r="C923" s="1"/>
      <c r="D923" s="440"/>
      <c r="E923" s="440"/>
      <c r="F923" s="468"/>
      <c r="G923" s="440"/>
      <c r="H923" s="440"/>
      <c r="I923" s="440"/>
      <c r="J923" s="437"/>
    </row>
    <row r="924" spans="1:10" ht="13.5" customHeight="1" x14ac:dyDescent="0.25">
      <c r="A924" s="1"/>
      <c r="B924" s="1" t="s">
        <v>943</v>
      </c>
      <c r="C924" s="1" t="s">
        <v>279</v>
      </c>
      <c r="D924" s="437">
        <v>2500</v>
      </c>
      <c r="E924" s="437">
        <v>937.5</v>
      </c>
      <c r="F924" s="466">
        <f t="shared" ref="F924:F930" si="392">SUM(E924/G924)</f>
        <v>0.375</v>
      </c>
      <c r="G924" s="437">
        <v>2500</v>
      </c>
      <c r="H924" s="437">
        <v>0</v>
      </c>
      <c r="I924" s="437">
        <v>937.5</v>
      </c>
      <c r="J924" s="440">
        <v>0</v>
      </c>
    </row>
    <row r="925" spans="1:10" ht="13.5" customHeight="1" x14ac:dyDescent="0.25">
      <c r="A925" s="1"/>
      <c r="B925" s="1" t="s">
        <v>944</v>
      </c>
      <c r="C925" s="1" t="s">
        <v>281</v>
      </c>
      <c r="D925" s="437">
        <v>250</v>
      </c>
      <c r="E925" s="440"/>
      <c r="F925" s="466">
        <f t="shared" si="392"/>
        <v>0</v>
      </c>
      <c r="G925" s="440">
        <v>250</v>
      </c>
      <c r="H925" s="439">
        <v>0</v>
      </c>
      <c r="I925" s="440">
        <v>0</v>
      </c>
      <c r="J925" s="440">
        <v>0</v>
      </c>
    </row>
    <row r="926" spans="1:10" ht="13.5" customHeight="1" x14ac:dyDescent="0.25">
      <c r="A926" s="1"/>
      <c r="B926" s="1" t="s">
        <v>945</v>
      </c>
      <c r="C926" s="1" t="s">
        <v>426</v>
      </c>
      <c r="D926" s="437">
        <v>2500</v>
      </c>
      <c r="E926" s="439">
        <v>390</v>
      </c>
      <c r="F926" s="466">
        <f t="shared" si="392"/>
        <v>0.156</v>
      </c>
      <c r="G926" s="440">
        <v>2500</v>
      </c>
      <c r="H926" s="439">
        <v>0</v>
      </c>
      <c r="I926" s="439">
        <v>846.57</v>
      </c>
      <c r="J926" s="437">
        <v>2382.25</v>
      </c>
    </row>
    <row r="927" spans="1:10" ht="13.5" customHeight="1" x14ac:dyDescent="0.25">
      <c r="A927" s="1"/>
      <c r="B927" s="1" t="s">
        <v>946</v>
      </c>
      <c r="C927" s="1" t="s">
        <v>285</v>
      </c>
      <c r="D927" s="437">
        <v>750</v>
      </c>
      <c r="E927" s="437">
        <v>362</v>
      </c>
      <c r="F927" s="466">
        <f t="shared" si="392"/>
        <v>0.48266666666666669</v>
      </c>
      <c r="G927" s="437">
        <v>750</v>
      </c>
      <c r="H927" s="437">
        <v>0</v>
      </c>
      <c r="I927" s="437">
        <v>50</v>
      </c>
      <c r="J927" s="437">
        <v>100</v>
      </c>
    </row>
    <row r="928" spans="1:10" ht="13.5" customHeight="1" x14ac:dyDescent="0.25">
      <c r="A928" s="1"/>
      <c r="B928" s="1" t="s">
        <v>947</v>
      </c>
      <c r="C928" s="1" t="s">
        <v>509</v>
      </c>
      <c r="D928" s="437">
        <v>1500</v>
      </c>
      <c r="E928" s="440"/>
      <c r="F928" s="466">
        <f t="shared" si="392"/>
        <v>0</v>
      </c>
      <c r="G928" s="440">
        <v>1500</v>
      </c>
      <c r="H928" s="439">
        <v>136.62</v>
      </c>
      <c r="I928" s="439">
        <v>75</v>
      </c>
      <c r="J928" s="437">
        <v>1576.9</v>
      </c>
    </row>
    <row r="929" spans="1:10" ht="13.5" customHeight="1" x14ac:dyDescent="0.25">
      <c r="A929" s="1"/>
      <c r="B929" s="1" t="s">
        <v>948</v>
      </c>
      <c r="C929" s="1" t="s">
        <v>431</v>
      </c>
      <c r="D929" s="437">
        <v>3600</v>
      </c>
      <c r="E929" s="437">
        <v>3600</v>
      </c>
      <c r="F929" s="466">
        <f t="shared" si="392"/>
        <v>1</v>
      </c>
      <c r="G929" s="437">
        <v>3600</v>
      </c>
      <c r="H929" s="437">
        <v>3600</v>
      </c>
      <c r="I929" s="437">
        <v>3600</v>
      </c>
      <c r="J929" s="437">
        <v>3600</v>
      </c>
    </row>
    <row r="930" spans="1:10" ht="13.5" customHeight="1" x14ac:dyDescent="0.25">
      <c r="A930" s="1"/>
      <c r="B930" s="1" t="s">
        <v>949</v>
      </c>
      <c r="C930" s="1" t="s">
        <v>289</v>
      </c>
      <c r="D930" s="437">
        <v>3600</v>
      </c>
      <c r="E930" s="437">
        <v>713.61</v>
      </c>
      <c r="F930" s="466">
        <f t="shared" si="392"/>
        <v>0.19822500000000001</v>
      </c>
      <c r="G930" s="437">
        <v>3600</v>
      </c>
      <c r="H930" s="437">
        <v>1902.96</v>
      </c>
      <c r="I930" s="437">
        <v>2960.32</v>
      </c>
      <c r="J930" s="437">
        <v>3113.99</v>
      </c>
    </row>
    <row r="931" spans="1:10" ht="13.5" customHeight="1" x14ac:dyDescent="0.25">
      <c r="A931" s="1"/>
      <c r="B931" s="1"/>
      <c r="C931" s="1"/>
      <c r="D931" s="438">
        <v>14700</v>
      </c>
      <c r="E931" s="438">
        <f t="shared" ref="E931" si="393">SUM(E924:E930)</f>
        <v>6003.11</v>
      </c>
      <c r="F931" s="467"/>
      <c r="G931" s="438">
        <v>14700</v>
      </c>
      <c r="H931" s="438">
        <f>SUM(H924:H930)</f>
        <v>5639.58</v>
      </c>
      <c r="I931" s="438">
        <f>SUM(I924:I930)</f>
        <v>8469.39</v>
      </c>
      <c r="J931" s="438">
        <f t="shared" ref="J931" si="394">SUM(J925:J930)</f>
        <v>10773.14</v>
      </c>
    </row>
    <row r="932" spans="1:10" ht="13.5" customHeight="1" x14ac:dyDescent="0.25">
      <c r="A932" s="1"/>
      <c r="B932" s="1"/>
      <c r="C932" s="1"/>
      <c r="D932" s="437"/>
      <c r="E932" s="437"/>
      <c r="F932" s="466"/>
      <c r="G932" s="437"/>
      <c r="H932" s="437"/>
      <c r="I932" s="437"/>
      <c r="J932" s="437"/>
    </row>
    <row r="933" spans="1:10" ht="13.5" customHeight="1" x14ac:dyDescent="0.25">
      <c r="A933" s="1"/>
      <c r="B933" s="1" t="s">
        <v>950</v>
      </c>
      <c r="C933" s="1" t="s">
        <v>951</v>
      </c>
      <c r="D933" s="437">
        <v>0</v>
      </c>
      <c r="E933" s="440"/>
      <c r="F933" s="468"/>
      <c r="G933" s="440">
        <v>0</v>
      </c>
      <c r="H933" s="440">
        <v>0</v>
      </c>
      <c r="I933" s="437">
        <v>33630.76</v>
      </c>
      <c r="J933" s="440">
        <v>0</v>
      </c>
    </row>
    <row r="934" spans="1:10" ht="13.5" customHeight="1" x14ac:dyDescent="0.25">
      <c r="A934" s="1"/>
      <c r="B934" s="1" t="s">
        <v>952</v>
      </c>
      <c r="C934" s="1" t="s">
        <v>843</v>
      </c>
      <c r="D934" s="437">
        <v>0</v>
      </c>
      <c r="E934" s="437"/>
      <c r="F934" s="466"/>
      <c r="G934" s="437">
        <v>0</v>
      </c>
      <c r="H934" s="437">
        <v>0</v>
      </c>
      <c r="I934" s="437">
        <v>0</v>
      </c>
      <c r="J934" s="437">
        <v>0</v>
      </c>
    </row>
    <row r="935" spans="1:10" ht="13.5" customHeight="1" x14ac:dyDescent="0.25">
      <c r="A935" s="1"/>
      <c r="B935" s="1"/>
      <c r="C935" s="1"/>
      <c r="D935" s="438">
        <v>0</v>
      </c>
      <c r="E935" s="438">
        <f t="shared" ref="E935" si="395">SUM(E933:E934)</f>
        <v>0</v>
      </c>
      <c r="F935" s="467"/>
      <c r="G935" s="438">
        <v>0</v>
      </c>
      <c r="H935" s="438">
        <f>SUM(H933:H934)</f>
        <v>0</v>
      </c>
      <c r="I935" s="438">
        <f>SUM(I933:I934)</f>
        <v>33630.76</v>
      </c>
      <c r="J935" s="438">
        <f t="shared" ref="J935" si="396">SUM(J933:J934)</f>
        <v>0</v>
      </c>
    </row>
    <row r="936" spans="1:10" ht="13.5" customHeight="1" thickBot="1" x14ac:dyDescent="0.3">
      <c r="A936" s="1"/>
      <c r="B936" s="1"/>
      <c r="C936" s="39" t="s">
        <v>953</v>
      </c>
      <c r="D936" s="451">
        <v>247168.0001</v>
      </c>
      <c r="E936" s="451">
        <f t="shared" ref="E936" si="397">SUM(E907+E914+E922+E931+E935)</f>
        <v>100253.39</v>
      </c>
      <c r="F936" s="478"/>
      <c r="G936" s="451">
        <v>239745.62</v>
      </c>
      <c r="H936" s="451">
        <f>SUM(H907+H914+H922+H931+H935)</f>
        <v>231524.78999999998</v>
      </c>
      <c r="I936" s="451">
        <f>SUM(I907+I914+I922+I931+I935)</f>
        <v>257864.99</v>
      </c>
      <c r="J936" s="451">
        <f t="shared" ref="J936" si="398">SUM(J907+J914+J922+J931+J935)</f>
        <v>219495.37</v>
      </c>
    </row>
    <row r="937" spans="1:10" ht="13.5" customHeight="1" thickTop="1" x14ac:dyDescent="0.25">
      <c r="A937" s="1"/>
      <c r="B937" s="1"/>
      <c r="C937" s="1"/>
      <c r="D937" s="437"/>
      <c r="E937" s="437"/>
      <c r="F937" s="466"/>
      <c r="G937" s="437"/>
      <c r="H937" s="437"/>
      <c r="I937" s="437"/>
      <c r="J937" s="437"/>
    </row>
    <row r="938" spans="1:10" ht="13.5" customHeight="1" x14ac:dyDescent="0.25">
      <c r="A938" s="1"/>
      <c r="B938" s="1"/>
      <c r="C938" s="14" t="s">
        <v>954</v>
      </c>
      <c r="D938" s="437"/>
      <c r="E938" s="437"/>
      <c r="F938" s="466"/>
      <c r="G938" s="437"/>
      <c r="H938" s="437"/>
      <c r="I938" s="437"/>
      <c r="J938" s="437"/>
    </row>
    <row r="939" spans="1:10" ht="13.5" customHeight="1" x14ac:dyDescent="0.25">
      <c r="A939" s="1"/>
      <c r="B939" s="1" t="s">
        <v>955</v>
      </c>
      <c r="C939" s="1" t="s">
        <v>625</v>
      </c>
      <c r="D939" s="437">
        <v>9000</v>
      </c>
      <c r="E939" s="437">
        <v>4219.57</v>
      </c>
      <c r="F939" s="466">
        <f t="shared" ref="F939:F940" si="399">SUM(E939/G939)</f>
        <v>0.4688411111111111</v>
      </c>
      <c r="G939" s="437">
        <v>9000</v>
      </c>
      <c r="H939" s="437">
        <v>9037.98</v>
      </c>
      <c r="I939" s="437">
        <v>7702.96</v>
      </c>
      <c r="J939" s="437">
        <v>6898.12</v>
      </c>
    </row>
    <row r="940" spans="1:10" ht="13.5" customHeight="1" x14ac:dyDescent="0.25">
      <c r="A940" s="1"/>
      <c r="B940" s="1" t="s">
        <v>956</v>
      </c>
      <c r="C940" s="1" t="s">
        <v>439</v>
      </c>
      <c r="D940" s="437">
        <v>912913</v>
      </c>
      <c r="E940" s="437">
        <v>367620.25</v>
      </c>
      <c r="F940" s="466">
        <f t="shared" si="399"/>
        <v>0.44158376416209411</v>
      </c>
      <c r="G940" s="437">
        <v>832504</v>
      </c>
      <c r="H940" s="437">
        <v>795325.58</v>
      </c>
      <c r="I940" s="437">
        <v>882083.33</v>
      </c>
      <c r="J940" s="437">
        <v>834366.59</v>
      </c>
    </row>
    <row r="941" spans="1:10" ht="13.5" customHeight="1" x14ac:dyDescent="0.25">
      <c r="A941" s="1"/>
      <c r="B941" s="1" t="s">
        <v>957</v>
      </c>
      <c r="C941" s="1" t="s">
        <v>441</v>
      </c>
      <c r="D941" s="437">
        <v>0</v>
      </c>
      <c r="E941" s="440"/>
      <c r="F941" s="466"/>
      <c r="G941" s="440">
        <v>0</v>
      </c>
      <c r="H941" s="439">
        <v>6144</v>
      </c>
      <c r="I941" s="439">
        <v>5829.51</v>
      </c>
      <c r="J941" s="437">
        <v>2050</v>
      </c>
    </row>
    <row r="942" spans="1:10" ht="13.5" customHeight="1" x14ac:dyDescent="0.25">
      <c r="A942" s="1"/>
      <c r="B942" s="1" t="s">
        <v>958</v>
      </c>
      <c r="C942" s="22" t="s">
        <v>959</v>
      </c>
      <c r="D942" s="437">
        <v>7200</v>
      </c>
      <c r="E942" s="437">
        <v>4246.2</v>
      </c>
      <c r="F942" s="466">
        <f>SUM(E942/G942)</f>
        <v>0.58975</v>
      </c>
      <c r="G942" s="437">
        <v>7200</v>
      </c>
      <c r="H942" s="437">
        <v>7581.02</v>
      </c>
      <c r="I942" s="437">
        <v>24274.84</v>
      </c>
      <c r="J942" s="437">
        <v>29865.5</v>
      </c>
    </row>
    <row r="943" spans="1:10" ht="13.5" customHeight="1" x14ac:dyDescent="0.25">
      <c r="A943" s="1"/>
      <c r="B943" s="1" t="s">
        <v>960</v>
      </c>
      <c r="C943" s="1" t="s">
        <v>961</v>
      </c>
      <c r="D943" s="437">
        <v>0</v>
      </c>
      <c r="E943" s="440"/>
      <c r="F943" s="466"/>
      <c r="G943" s="440">
        <v>0</v>
      </c>
      <c r="H943" s="439">
        <v>794.79</v>
      </c>
      <c r="I943" s="440">
        <v>0</v>
      </c>
      <c r="J943" s="437">
        <v>0</v>
      </c>
    </row>
    <row r="944" spans="1:10" ht="13.5" customHeight="1" x14ac:dyDescent="0.25">
      <c r="A944" s="1"/>
      <c r="B944" s="1" t="s">
        <v>962</v>
      </c>
      <c r="C944" s="1" t="s">
        <v>674</v>
      </c>
      <c r="D944" s="437">
        <v>1500</v>
      </c>
      <c r="E944" s="437">
        <v>749.97</v>
      </c>
      <c r="F944" s="466">
        <f t="shared" ref="F944:F945" si="400">SUM(E944/G944)</f>
        <v>0.49998000000000004</v>
      </c>
      <c r="G944" s="437">
        <v>1500</v>
      </c>
      <c r="H944" s="437">
        <v>1499.94</v>
      </c>
      <c r="I944" s="437">
        <v>1499.94</v>
      </c>
      <c r="J944" s="437">
        <f>1499.94+292.7</f>
        <v>1792.64</v>
      </c>
    </row>
    <row r="945" spans="1:10" ht="13.5" customHeight="1" x14ac:dyDescent="0.25">
      <c r="A945" s="1"/>
      <c r="B945" s="1" t="s">
        <v>963</v>
      </c>
      <c r="C945" s="1" t="s">
        <v>253</v>
      </c>
      <c r="D945" s="437">
        <v>9000</v>
      </c>
      <c r="E945" s="437">
        <v>4499.96</v>
      </c>
      <c r="F945" s="466">
        <f t="shared" si="400"/>
        <v>0.49999555555555558</v>
      </c>
      <c r="G945" s="437">
        <v>9000</v>
      </c>
      <c r="H945" s="437">
        <v>8999.9</v>
      </c>
      <c r="I945" s="437">
        <v>8999.9</v>
      </c>
      <c r="J945" s="437">
        <v>8999.9</v>
      </c>
    </row>
    <row r="946" spans="1:10" ht="13.5" customHeight="1" x14ac:dyDescent="0.25">
      <c r="A946" s="1"/>
      <c r="B946" s="1" t="s">
        <v>964</v>
      </c>
      <c r="C946" s="1" t="s">
        <v>255</v>
      </c>
      <c r="D946" s="437">
        <v>0</v>
      </c>
      <c r="E946" s="437"/>
      <c r="F946" s="466"/>
      <c r="G946" s="437">
        <v>0</v>
      </c>
      <c r="H946" s="437">
        <v>0</v>
      </c>
      <c r="I946" s="437">
        <v>2423.16</v>
      </c>
      <c r="J946" s="437">
        <v>3500.12</v>
      </c>
    </row>
    <row r="947" spans="1:10" ht="13.5" customHeight="1" x14ac:dyDescent="0.25">
      <c r="A947" s="1"/>
      <c r="B947" s="1"/>
      <c r="C947" s="1"/>
      <c r="D947" s="438">
        <v>939613</v>
      </c>
      <c r="E947" s="438">
        <f t="shared" ref="E947" si="401">SUM(E939:E946)</f>
        <v>381335.95</v>
      </c>
      <c r="F947" s="467"/>
      <c r="G947" s="438">
        <v>859204</v>
      </c>
      <c r="H947" s="438">
        <f>SUM(H939:H946)</f>
        <v>829383.21</v>
      </c>
      <c r="I947" s="438">
        <f>SUM(I939:I946)</f>
        <v>932813.6399999999</v>
      </c>
      <c r="J947" s="438">
        <f t="shared" ref="J947" si="402">SUM(J939:J946)</f>
        <v>887472.87</v>
      </c>
    </row>
    <row r="948" spans="1:10" ht="13.5" customHeight="1" x14ac:dyDescent="0.25">
      <c r="A948" s="1"/>
      <c r="B948" s="1"/>
      <c r="C948" s="1"/>
      <c r="D948" s="437"/>
      <c r="E948" s="437"/>
      <c r="F948" s="466"/>
      <c r="G948" s="437"/>
      <c r="H948" s="437"/>
      <c r="I948" s="437"/>
      <c r="J948" s="437"/>
    </row>
    <row r="949" spans="1:10" ht="13.5" customHeight="1" x14ac:dyDescent="0.25">
      <c r="A949" s="1"/>
      <c r="B949" s="1" t="s">
        <v>965</v>
      </c>
      <c r="C949" s="1" t="s">
        <v>257</v>
      </c>
      <c r="D949" s="437">
        <v>71819.73000000001</v>
      </c>
      <c r="E949" s="437">
        <v>27016.76</v>
      </c>
      <c r="F949" s="466">
        <f t="shared" ref="F949:F953" si="403">SUM(E949/G949)</f>
        <v>0.40989503941730265</v>
      </c>
      <c r="G949" s="437">
        <v>65911.41</v>
      </c>
      <c r="H949" s="437">
        <v>59331.38</v>
      </c>
      <c r="I949" s="437">
        <v>66612.710000000006</v>
      </c>
      <c r="J949" s="437">
        <v>63356.43</v>
      </c>
    </row>
    <row r="950" spans="1:10" ht="13.5" customHeight="1" x14ac:dyDescent="0.25">
      <c r="A950" s="1"/>
      <c r="B950" s="1" t="s">
        <v>966</v>
      </c>
      <c r="C950" s="1" t="s">
        <v>259</v>
      </c>
      <c r="D950" s="437">
        <v>167374.15680000003</v>
      </c>
      <c r="E950" s="437">
        <v>55549.760000000002</v>
      </c>
      <c r="F950" s="466">
        <f t="shared" si="403"/>
        <v>0.35392941718563797</v>
      </c>
      <c r="G950" s="437">
        <v>156951.51999999999</v>
      </c>
      <c r="H950" s="437">
        <v>120526.58</v>
      </c>
      <c r="I950" s="437">
        <v>136988.35</v>
      </c>
      <c r="J950" s="437">
        <v>148722.87</v>
      </c>
    </row>
    <row r="951" spans="1:10" ht="13.5" customHeight="1" x14ac:dyDescent="0.25">
      <c r="A951" s="1"/>
      <c r="B951" s="1" t="s">
        <v>967</v>
      </c>
      <c r="C951" s="1" t="s">
        <v>261</v>
      </c>
      <c r="D951" s="437">
        <v>141010.764</v>
      </c>
      <c r="E951" s="437">
        <v>57088.91</v>
      </c>
      <c r="F951" s="466">
        <f t="shared" si="403"/>
        <v>0.44114633162705591</v>
      </c>
      <c r="G951" s="437">
        <v>129410.37</v>
      </c>
      <c r="H951" s="437">
        <v>124844.56</v>
      </c>
      <c r="I951" s="437">
        <v>135635.99</v>
      </c>
      <c r="J951" s="437">
        <v>128574.46</v>
      </c>
    </row>
    <row r="952" spans="1:10" ht="13.5" customHeight="1" x14ac:dyDescent="0.25">
      <c r="A952" s="1"/>
      <c r="B952" s="1" t="s">
        <v>968</v>
      </c>
      <c r="C952" s="1" t="s">
        <v>263</v>
      </c>
      <c r="D952" s="437">
        <v>1502.1120000000003</v>
      </c>
      <c r="E952" s="437">
        <v>608.15</v>
      </c>
      <c r="F952" s="466">
        <f t="shared" si="403"/>
        <v>0.44115513514297733</v>
      </c>
      <c r="G952" s="437">
        <v>1378.54</v>
      </c>
      <c r="H952" s="437">
        <v>1330.07</v>
      </c>
      <c r="I952" s="437">
        <v>1493.62</v>
      </c>
      <c r="J952" s="437">
        <v>1620.68</v>
      </c>
    </row>
    <row r="953" spans="1:10" ht="13.5" customHeight="1" x14ac:dyDescent="0.25">
      <c r="A953" s="1"/>
      <c r="B953" s="1" t="s">
        <v>969</v>
      </c>
      <c r="C953" s="1" t="s">
        <v>265</v>
      </c>
      <c r="D953" s="437">
        <v>5998.0800000000008</v>
      </c>
      <c r="E953" s="437">
        <v>2048.1999999999998</v>
      </c>
      <c r="F953" s="466">
        <f t="shared" si="403"/>
        <v>0.38888888888888884</v>
      </c>
      <c r="G953" s="437">
        <v>5266.8</v>
      </c>
      <c r="H953" s="437">
        <v>4578.1499999999996</v>
      </c>
      <c r="I953" s="437">
        <v>4873.37</v>
      </c>
      <c r="J953" s="437">
        <v>4593.8999999999996</v>
      </c>
    </row>
    <row r="954" spans="1:10" ht="13.5" customHeight="1" x14ac:dyDescent="0.25">
      <c r="A954" s="1"/>
      <c r="B954" s="1"/>
      <c r="C954" s="1"/>
      <c r="D954" s="438">
        <v>387704.8428000001</v>
      </c>
      <c r="E954" s="438">
        <f t="shared" ref="E954" si="404">SUM(E949:E953)</f>
        <v>142311.78</v>
      </c>
      <c r="F954" s="467"/>
      <c r="G954" s="438">
        <v>358918.64</v>
      </c>
      <c r="H954" s="438">
        <f>SUM(H949:H953)</f>
        <v>310610.74000000005</v>
      </c>
      <c r="I954" s="438">
        <f>SUM(I949:I953)</f>
        <v>345604.04</v>
      </c>
      <c r="J954" s="438">
        <f t="shared" ref="J954" si="405">SUM(J949:J953)</f>
        <v>346868.34</v>
      </c>
    </row>
    <row r="955" spans="1:10" ht="13.5" customHeight="1" x14ac:dyDescent="0.25">
      <c r="A955" s="1"/>
      <c r="B955" s="1"/>
      <c r="C955" s="1"/>
      <c r="D955" s="437"/>
      <c r="E955" s="437"/>
      <c r="F955" s="466"/>
      <c r="G955" s="437"/>
      <c r="H955" s="437"/>
      <c r="I955" s="437"/>
      <c r="J955" s="437"/>
    </row>
    <row r="956" spans="1:10" ht="13.5" customHeight="1" x14ac:dyDescent="0.25">
      <c r="A956" s="1"/>
      <c r="B956" s="1" t="s">
        <v>970</v>
      </c>
      <c r="C956" s="1" t="s">
        <v>267</v>
      </c>
      <c r="D956" s="437">
        <v>7000</v>
      </c>
      <c r="E956" s="437">
        <v>3926.14</v>
      </c>
      <c r="F956" s="466">
        <f t="shared" ref="F956:F960" si="406">SUM(E956/G956)</f>
        <v>0.56087714285714285</v>
      </c>
      <c r="G956" s="437">
        <v>7000</v>
      </c>
      <c r="H956" s="437">
        <v>5635.67</v>
      </c>
      <c r="I956" s="437">
        <v>7455.96</v>
      </c>
      <c r="J956" s="437">
        <v>5668.82</v>
      </c>
    </row>
    <row r="957" spans="1:10" ht="13.5" customHeight="1" x14ac:dyDescent="0.25">
      <c r="A957" s="1"/>
      <c r="B957" s="1" t="s">
        <v>971</v>
      </c>
      <c r="C957" s="1" t="s">
        <v>269</v>
      </c>
      <c r="D957" s="437">
        <v>500</v>
      </c>
      <c r="E957" s="437">
        <v>265.55</v>
      </c>
      <c r="F957" s="466">
        <f t="shared" si="406"/>
        <v>0.53110000000000002</v>
      </c>
      <c r="G957" s="437">
        <v>500</v>
      </c>
      <c r="H957" s="437">
        <v>631.75</v>
      </c>
      <c r="I957" s="437">
        <v>722.11</v>
      </c>
      <c r="J957" s="437">
        <v>915.14</v>
      </c>
    </row>
    <row r="958" spans="1:10" ht="13.5" customHeight="1" x14ac:dyDescent="0.25">
      <c r="A958" s="1"/>
      <c r="B958" s="1" t="s">
        <v>972</v>
      </c>
      <c r="C958" s="1" t="s">
        <v>488</v>
      </c>
      <c r="D958" s="437">
        <v>8000</v>
      </c>
      <c r="E958" s="437">
        <v>3076.93</v>
      </c>
      <c r="F958" s="466">
        <f t="shared" si="406"/>
        <v>0.47337384615384615</v>
      </c>
      <c r="G958" s="437">
        <v>6500</v>
      </c>
      <c r="H958" s="437">
        <v>3424.05</v>
      </c>
      <c r="I958" s="437">
        <v>6256.38</v>
      </c>
      <c r="J958" s="437">
        <v>6721.76</v>
      </c>
    </row>
    <row r="959" spans="1:10" ht="13.5" customHeight="1" x14ac:dyDescent="0.25">
      <c r="A959" s="1"/>
      <c r="B959" s="1" t="s">
        <v>973</v>
      </c>
      <c r="C959" s="1" t="s">
        <v>490</v>
      </c>
      <c r="D959" s="437">
        <v>2000</v>
      </c>
      <c r="E959" s="439">
        <v>556</v>
      </c>
      <c r="F959" s="466">
        <f t="shared" si="406"/>
        <v>0.27800000000000002</v>
      </c>
      <c r="G959" s="439">
        <v>2000</v>
      </c>
      <c r="H959" s="439">
        <v>550</v>
      </c>
      <c r="I959" s="439">
        <v>564</v>
      </c>
      <c r="J959" s="437">
        <v>886</v>
      </c>
    </row>
    <row r="960" spans="1:10" ht="13.5" customHeight="1" x14ac:dyDescent="0.25">
      <c r="A960" s="1"/>
      <c r="B960" s="1" t="s">
        <v>974</v>
      </c>
      <c r="C960" s="1" t="s">
        <v>492</v>
      </c>
      <c r="D960" s="437">
        <v>2000</v>
      </c>
      <c r="E960" s="439">
        <v>1815</v>
      </c>
      <c r="F960" s="466">
        <f t="shared" si="406"/>
        <v>0.90749999999999997</v>
      </c>
      <c r="G960" s="440">
        <v>2000</v>
      </c>
      <c r="H960" s="439">
        <v>92</v>
      </c>
      <c r="I960" s="439">
        <v>1265</v>
      </c>
      <c r="J960" s="437">
        <v>180.24</v>
      </c>
    </row>
    <row r="961" spans="1:10" ht="13.5" customHeight="1" x14ac:dyDescent="0.25">
      <c r="A961" s="1"/>
      <c r="B961" s="1" t="s">
        <v>975</v>
      </c>
      <c r="C961" s="1" t="s">
        <v>976</v>
      </c>
      <c r="D961" s="437">
        <v>0</v>
      </c>
      <c r="E961" s="440"/>
      <c r="F961" s="466"/>
      <c r="G961" s="440">
        <v>0</v>
      </c>
      <c r="H961" s="439">
        <v>5775</v>
      </c>
      <c r="I961" s="439">
        <v>0</v>
      </c>
      <c r="J961" s="440">
        <v>0</v>
      </c>
    </row>
    <row r="962" spans="1:10" ht="13.5" customHeight="1" x14ac:dyDescent="0.25">
      <c r="A962" s="1"/>
      <c r="B962" s="1" t="s">
        <v>977</v>
      </c>
      <c r="C962" s="1" t="s">
        <v>455</v>
      </c>
      <c r="D962" s="437">
        <v>750</v>
      </c>
      <c r="E962" s="439">
        <v>324.72000000000003</v>
      </c>
      <c r="F962" s="466">
        <f t="shared" ref="F962:F963" si="407">SUM(E962/G962)</f>
        <v>0.43296000000000001</v>
      </c>
      <c r="G962" s="439">
        <v>750</v>
      </c>
      <c r="H962" s="439">
        <v>403.96</v>
      </c>
      <c r="I962" s="439">
        <v>0</v>
      </c>
      <c r="J962" s="437">
        <v>319.97000000000003</v>
      </c>
    </row>
    <row r="963" spans="1:10" ht="13.5" customHeight="1" x14ac:dyDescent="0.25">
      <c r="A963" s="1"/>
      <c r="B963" s="1" t="s">
        <v>978</v>
      </c>
      <c r="C963" s="1" t="s">
        <v>275</v>
      </c>
      <c r="D963" s="437">
        <v>500</v>
      </c>
      <c r="E963" s="437">
        <v>1271.3699999999999</v>
      </c>
      <c r="F963" s="466">
        <f t="shared" si="407"/>
        <v>2.5427399999999998</v>
      </c>
      <c r="G963" s="437">
        <v>500</v>
      </c>
      <c r="H963" s="437">
        <v>954.16</v>
      </c>
      <c r="I963" s="437">
        <v>692.69</v>
      </c>
      <c r="J963" s="440">
        <v>0</v>
      </c>
    </row>
    <row r="964" spans="1:10" ht="13.5" customHeight="1" x14ac:dyDescent="0.25">
      <c r="A964" s="1"/>
      <c r="B964" s="1"/>
      <c r="C964" s="1"/>
      <c r="D964" s="438">
        <v>20750</v>
      </c>
      <c r="E964" s="438">
        <f t="shared" ref="E964" si="408">SUM(E956:E963)</f>
        <v>11235.71</v>
      </c>
      <c r="F964" s="467"/>
      <c r="G964" s="438">
        <v>19250</v>
      </c>
      <c r="H964" s="438">
        <f>SUM(H956:H963)</f>
        <v>17466.59</v>
      </c>
      <c r="I964" s="438">
        <f>SUM(I956:I963)</f>
        <v>16956.14</v>
      </c>
      <c r="J964" s="438">
        <f t="shared" ref="J964" si="409">SUM(J956:J963)</f>
        <v>14691.93</v>
      </c>
    </row>
    <row r="965" spans="1:10" ht="13.5" customHeight="1" x14ac:dyDescent="0.25">
      <c r="A965" s="1"/>
      <c r="B965" s="1"/>
      <c r="C965" s="1"/>
      <c r="D965" s="437"/>
      <c r="E965" s="437"/>
      <c r="F965" s="466"/>
      <c r="G965" s="437"/>
      <c r="H965" s="437"/>
      <c r="I965" s="437"/>
      <c r="J965" s="440"/>
    </row>
    <row r="966" spans="1:10" ht="13.5" customHeight="1" x14ac:dyDescent="0.25">
      <c r="A966" s="1"/>
      <c r="B966" s="1" t="s">
        <v>979</v>
      </c>
      <c r="C966" s="1" t="s">
        <v>917</v>
      </c>
      <c r="D966" s="437">
        <v>5000</v>
      </c>
      <c r="E966" s="437">
        <v>2459.58</v>
      </c>
      <c r="F966" s="466">
        <f t="shared" ref="F966:F974" si="410">SUM(E966/G966)</f>
        <v>0.49191599999999996</v>
      </c>
      <c r="G966" s="437">
        <v>5000</v>
      </c>
      <c r="H966" s="437">
        <v>3421</v>
      </c>
      <c r="I966" s="437">
        <v>3932.5</v>
      </c>
      <c r="J966" s="437">
        <v>6457.66</v>
      </c>
    </row>
    <row r="967" spans="1:10" ht="13.5" customHeight="1" x14ac:dyDescent="0.25">
      <c r="A967" s="1"/>
      <c r="B967" s="1" t="s">
        <v>980</v>
      </c>
      <c r="C967" s="1" t="s">
        <v>279</v>
      </c>
      <c r="D967" s="437">
        <v>10000</v>
      </c>
      <c r="E967" s="437">
        <v>2750</v>
      </c>
      <c r="F967" s="466">
        <f t="shared" si="410"/>
        <v>0.27500000000000002</v>
      </c>
      <c r="G967" s="437">
        <v>10000</v>
      </c>
      <c r="H967" s="437">
        <v>2965</v>
      </c>
      <c r="I967" s="437">
        <v>3368.5</v>
      </c>
      <c r="J967" s="437">
        <v>6408.5</v>
      </c>
    </row>
    <row r="968" spans="1:10" ht="13.5" customHeight="1" x14ac:dyDescent="0.25">
      <c r="A968" s="1"/>
      <c r="B968" s="1" t="s">
        <v>981</v>
      </c>
      <c r="C968" s="1" t="s">
        <v>982</v>
      </c>
      <c r="D968" s="437">
        <v>500</v>
      </c>
      <c r="E968" s="440"/>
      <c r="F968" s="466">
        <f t="shared" si="410"/>
        <v>0</v>
      </c>
      <c r="G968" s="440">
        <v>500</v>
      </c>
      <c r="H968" s="439">
        <v>0</v>
      </c>
      <c r="I968" s="440">
        <v>0</v>
      </c>
      <c r="J968" s="440">
        <v>0</v>
      </c>
    </row>
    <row r="969" spans="1:10" ht="13.5" customHeight="1" x14ac:dyDescent="0.25">
      <c r="A969" s="1"/>
      <c r="B969" s="1" t="s">
        <v>983</v>
      </c>
      <c r="C969" s="1" t="s">
        <v>426</v>
      </c>
      <c r="D969" s="437">
        <v>9500</v>
      </c>
      <c r="E969" s="437">
        <v>3501.43</v>
      </c>
      <c r="F969" s="466">
        <f t="shared" si="410"/>
        <v>0.36857157894736842</v>
      </c>
      <c r="G969" s="437">
        <v>9500</v>
      </c>
      <c r="H969" s="437">
        <v>4089.18</v>
      </c>
      <c r="I969" s="437">
        <v>4938.21</v>
      </c>
      <c r="J969" s="437">
        <v>4859.26</v>
      </c>
    </row>
    <row r="970" spans="1:10" ht="13.5" customHeight="1" x14ac:dyDescent="0.25">
      <c r="A970" s="1"/>
      <c r="B970" s="1" t="s">
        <v>984</v>
      </c>
      <c r="C970" s="1" t="s">
        <v>285</v>
      </c>
      <c r="D970" s="437">
        <v>5000</v>
      </c>
      <c r="E970" s="437">
        <v>2708</v>
      </c>
      <c r="F970" s="466">
        <f t="shared" si="410"/>
        <v>0.54159999999999997</v>
      </c>
      <c r="G970" s="437">
        <v>5000</v>
      </c>
      <c r="H970" s="437">
        <v>4006</v>
      </c>
      <c r="I970" s="437">
        <v>4218</v>
      </c>
      <c r="J970" s="437">
        <v>3885</v>
      </c>
    </row>
    <row r="971" spans="1:10" ht="13.5" customHeight="1" x14ac:dyDescent="0.25">
      <c r="A971" s="1"/>
      <c r="B971" s="1" t="s">
        <v>985</v>
      </c>
      <c r="C971" s="1" t="s">
        <v>509</v>
      </c>
      <c r="D971" s="437">
        <v>1500</v>
      </c>
      <c r="E971" s="437">
        <v>731.93</v>
      </c>
      <c r="F971" s="466">
        <f t="shared" si="410"/>
        <v>0.48795333333333329</v>
      </c>
      <c r="G971" s="437">
        <v>1500</v>
      </c>
      <c r="H971" s="437">
        <v>2496.35</v>
      </c>
      <c r="I971" s="437">
        <v>1603.89</v>
      </c>
      <c r="J971" s="437">
        <v>807.96</v>
      </c>
    </row>
    <row r="972" spans="1:10" ht="13.5" customHeight="1" x14ac:dyDescent="0.25">
      <c r="A972" s="1"/>
      <c r="B972" s="1" t="s">
        <v>986</v>
      </c>
      <c r="C972" s="1" t="s">
        <v>840</v>
      </c>
      <c r="D972" s="437">
        <v>2000</v>
      </c>
      <c r="E972" s="437">
        <v>2055.37</v>
      </c>
      <c r="F972" s="466">
        <f t="shared" si="410"/>
        <v>1.027685</v>
      </c>
      <c r="G972" s="437">
        <v>2000</v>
      </c>
      <c r="H972" s="437">
        <v>2142.62</v>
      </c>
      <c r="I972" s="437">
        <v>2571.17</v>
      </c>
      <c r="J972" s="437">
        <v>1823.52</v>
      </c>
    </row>
    <row r="973" spans="1:10" ht="13.5" customHeight="1" x14ac:dyDescent="0.25">
      <c r="A973" s="1"/>
      <c r="B973" s="1" t="s">
        <v>987</v>
      </c>
      <c r="C973" s="1" t="s">
        <v>287</v>
      </c>
      <c r="D973" s="437">
        <v>200</v>
      </c>
      <c r="E973" s="439">
        <v>497</v>
      </c>
      <c r="F973" s="466">
        <f t="shared" si="410"/>
        <v>2.4849999999999999</v>
      </c>
      <c r="G973" s="440">
        <v>200</v>
      </c>
      <c r="H973" s="439">
        <v>142</v>
      </c>
      <c r="I973" s="440">
        <v>0</v>
      </c>
      <c r="J973" s="437">
        <v>71</v>
      </c>
    </row>
    <row r="974" spans="1:10" ht="13.5" customHeight="1" x14ac:dyDescent="0.25">
      <c r="A974" s="1"/>
      <c r="B974" s="1" t="s">
        <v>988</v>
      </c>
      <c r="C974" s="1" t="s">
        <v>289</v>
      </c>
      <c r="D974" s="437">
        <v>8000</v>
      </c>
      <c r="E974" s="437">
        <v>3533.89</v>
      </c>
      <c r="F974" s="466">
        <f t="shared" si="410"/>
        <v>0.44173625</v>
      </c>
      <c r="G974" s="437">
        <v>8000</v>
      </c>
      <c r="H974" s="437">
        <v>7433.35</v>
      </c>
      <c r="I974" s="437">
        <v>8020.43</v>
      </c>
      <c r="J974" s="437">
        <v>9169.0499999999993</v>
      </c>
    </row>
    <row r="975" spans="1:10" ht="13.5" customHeight="1" x14ac:dyDescent="0.25">
      <c r="A975" s="1"/>
      <c r="B975" s="1"/>
      <c r="C975" s="1"/>
      <c r="D975" s="438">
        <v>41700</v>
      </c>
      <c r="E975" s="438">
        <f t="shared" ref="E975" si="411">SUM(E966:E974)</f>
        <v>18237.2</v>
      </c>
      <c r="F975" s="467"/>
      <c r="G975" s="438">
        <v>41700</v>
      </c>
      <c r="H975" s="438">
        <f>SUM(H966:H974)</f>
        <v>26695.5</v>
      </c>
      <c r="I975" s="438">
        <f>SUM(I966:I974)</f>
        <v>28652.699999999997</v>
      </c>
      <c r="J975" s="438">
        <f t="shared" ref="J975" si="412">SUM(J966:J974)</f>
        <v>33481.949999999997</v>
      </c>
    </row>
    <row r="976" spans="1:10" ht="13.5" customHeight="1" thickBot="1" x14ac:dyDescent="0.3">
      <c r="A976" s="1"/>
      <c r="B976" s="1"/>
      <c r="C976" s="39" t="s">
        <v>989</v>
      </c>
      <c r="D976" s="451">
        <v>1389767.8428000002</v>
      </c>
      <c r="E976" s="451">
        <f t="shared" ref="E976" si="413">SUM(E947+E954+E964+E975)</f>
        <v>553120.6399999999</v>
      </c>
      <c r="F976" s="478"/>
      <c r="G976" s="451">
        <v>1279072.6299999999</v>
      </c>
      <c r="H976" s="451">
        <f>SUM(H947+H954+H964+H975)</f>
        <v>1184156.04</v>
      </c>
      <c r="I976" s="451">
        <f>SUM(I947+I954+I964+I975)</f>
        <v>1324026.5199999998</v>
      </c>
      <c r="J976" s="451">
        <f t="shared" ref="J976" si="414">SUM(J947+J954+J964+J975)</f>
        <v>1282515.0899999999</v>
      </c>
    </row>
    <row r="977" spans="1:10" ht="13.5" customHeight="1" thickTop="1" x14ac:dyDescent="0.25">
      <c r="A977" s="1"/>
      <c r="B977" s="1"/>
      <c r="C977" s="1"/>
      <c r="D977" s="437"/>
      <c r="E977" s="437"/>
      <c r="F977" s="466"/>
      <c r="G977" s="437"/>
      <c r="H977" s="437"/>
      <c r="I977" s="437"/>
      <c r="J977" s="437"/>
    </row>
    <row r="978" spans="1:10" ht="13.5" customHeight="1" x14ac:dyDescent="0.25">
      <c r="A978" s="1"/>
      <c r="B978" s="1"/>
      <c r="C978" s="14" t="s">
        <v>990</v>
      </c>
      <c r="D978" s="437"/>
      <c r="E978" s="437"/>
      <c r="F978" s="466"/>
      <c r="G978" s="437"/>
      <c r="H978" s="437"/>
      <c r="I978" s="437"/>
      <c r="J978" s="437"/>
    </row>
    <row r="979" spans="1:10" ht="13.5" customHeight="1" x14ac:dyDescent="0.25">
      <c r="A979" s="1"/>
      <c r="B979" s="1" t="s">
        <v>991</v>
      </c>
      <c r="C979" s="1" t="s">
        <v>267</v>
      </c>
      <c r="D979" s="437">
        <v>2500</v>
      </c>
      <c r="E979" s="440"/>
      <c r="F979" s="466">
        <f t="shared" ref="F979:F983" si="415">SUM(E979/G979)</f>
        <v>0</v>
      </c>
      <c r="G979" s="440">
        <v>2500</v>
      </c>
      <c r="H979" s="439">
        <v>0</v>
      </c>
      <c r="I979" s="439">
        <v>381.9</v>
      </c>
      <c r="J979" s="437">
        <v>389.39</v>
      </c>
    </row>
    <row r="980" spans="1:10" ht="13.5" customHeight="1" x14ac:dyDescent="0.25">
      <c r="A980" s="1"/>
      <c r="B980" s="1" t="s">
        <v>992</v>
      </c>
      <c r="C980" s="1" t="s">
        <v>269</v>
      </c>
      <c r="D980" s="437">
        <v>500</v>
      </c>
      <c r="E980" s="440"/>
      <c r="F980" s="466">
        <f t="shared" si="415"/>
        <v>0</v>
      </c>
      <c r="G980" s="440">
        <v>500</v>
      </c>
      <c r="H980" s="439">
        <v>96.75</v>
      </c>
      <c r="I980" s="439">
        <v>25.8</v>
      </c>
      <c r="J980" s="437">
        <v>293.24</v>
      </c>
    </row>
    <row r="981" spans="1:10" ht="13.5" customHeight="1" x14ac:dyDescent="0.25">
      <c r="A981" s="1"/>
      <c r="B981" s="1" t="s">
        <v>993</v>
      </c>
      <c r="C981" s="1" t="s">
        <v>994</v>
      </c>
      <c r="D981" s="437">
        <v>1380</v>
      </c>
      <c r="E981" s="440"/>
      <c r="F981" s="466">
        <f t="shared" si="415"/>
        <v>0</v>
      </c>
      <c r="G981" s="440">
        <v>1380</v>
      </c>
      <c r="H981" s="439">
        <v>0</v>
      </c>
      <c r="I981" s="440">
        <v>0</v>
      </c>
      <c r="J981" s="440">
        <v>0</v>
      </c>
    </row>
    <row r="982" spans="1:10" ht="13.5" customHeight="1" x14ac:dyDescent="0.25">
      <c r="A982" s="1"/>
      <c r="B982" s="1" t="s">
        <v>995</v>
      </c>
      <c r="C982" s="1" t="s">
        <v>996</v>
      </c>
      <c r="D982" s="437">
        <v>1000</v>
      </c>
      <c r="E982" s="440"/>
      <c r="F982" s="466">
        <f t="shared" si="415"/>
        <v>0</v>
      </c>
      <c r="G982" s="440">
        <v>1000</v>
      </c>
      <c r="H982" s="439">
        <v>0</v>
      </c>
      <c r="I982" s="440">
        <v>0</v>
      </c>
      <c r="J982" s="440">
        <v>0</v>
      </c>
    </row>
    <row r="983" spans="1:10" ht="13.5" customHeight="1" x14ac:dyDescent="0.25">
      <c r="A983" s="1"/>
      <c r="B983" s="1" t="s">
        <v>997</v>
      </c>
      <c r="C983" s="1" t="s">
        <v>275</v>
      </c>
      <c r="D983" s="437">
        <v>120</v>
      </c>
      <c r="E983" s="440"/>
      <c r="F983" s="466">
        <f t="shared" si="415"/>
        <v>0</v>
      </c>
      <c r="G983" s="440">
        <v>120</v>
      </c>
      <c r="H983" s="439">
        <v>0</v>
      </c>
      <c r="I983" s="440">
        <v>0</v>
      </c>
      <c r="J983" s="437">
        <v>179.97</v>
      </c>
    </row>
    <row r="984" spans="1:10" ht="13.5" customHeight="1" x14ac:dyDescent="0.25">
      <c r="A984" s="1"/>
      <c r="B984" s="1"/>
      <c r="C984" s="1"/>
      <c r="D984" s="438">
        <v>5500</v>
      </c>
      <c r="E984" s="438">
        <f t="shared" ref="E984" si="416">SUM(E979:E983)</f>
        <v>0</v>
      </c>
      <c r="F984" s="467"/>
      <c r="G984" s="438">
        <v>5500</v>
      </c>
      <c r="H984" s="438">
        <f>SUM(H979:H983)</f>
        <v>96.75</v>
      </c>
      <c r="I984" s="438">
        <f>SUM(I979:I983)</f>
        <v>407.7</v>
      </c>
      <c r="J984" s="438">
        <f t="shared" ref="J984" si="417">SUM(J979:J983)</f>
        <v>862.6</v>
      </c>
    </row>
    <row r="985" spans="1:10" ht="13.5" customHeight="1" x14ac:dyDescent="0.25">
      <c r="A985" s="1"/>
      <c r="B985" s="1"/>
      <c r="C985" s="1"/>
      <c r="D985" s="437"/>
      <c r="E985" s="440"/>
      <c r="F985" s="468"/>
      <c r="G985" s="440"/>
      <c r="H985" s="440"/>
      <c r="I985" s="440"/>
      <c r="J985" s="437"/>
    </row>
    <row r="986" spans="1:10" ht="13.5" customHeight="1" x14ac:dyDescent="0.25">
      <c r="A986" s="1"/>
      <c r="B986" s="1" t="s">
        <v>998</v>
      </c>
      <c r="C986" s="1" t="s">
        <v>999</v>
      </c>
      <c r="D986" s="437">
        <v>212900</v>
      </c>
      <c r="E986" s="437"/>
      <c r="F986" s="466">
        <f t="shared" ref="F986:F997" si="418">SUM(E986/G986)</f>
        <v>0</v>
      </c>
      <c r="G986" s="437">
        <v>212900</v>
      </c>
      <c r="H986" s="437">
        <v>13604.69</v>
      </c>
      <c r="I986" s="437">
        <v>62769.69</v>
      </c>
      <c r="J986" s="437">
        <v>26479.73</v>
      </c>
    </row>
    <row r="987" spans="1:10" ht="13.5" customHeight="1" x14ac:dyDescent="0.25">
      <c r="A987" s="1"/>
      <c r="B987" s="1" t="s">
        <v>1000</v>
      </c>
      <c r="C987" s="1" t="s">
        <v>1001</v>
      </c>
      <c r="D987" s="437">
        <v>40000</v>
      </c>
      <c r="E987" s="440"/>
      <c r="F987" s="466">
        <f t="shared" si="418"/>
        <v>0</v>
      </c>
      <c r="G987" s="440">
        <v>40000</v>
      </c>
      <c r="H987" s="439">
        <v>0</v>
      </c>
      <c r="I987" s="440">
        <v>0</v>
      </c>
      <c r="J987" s="440">
        <v>0</v>
      </c>
    </row>
    <row r="988" spans="1:10" ht="13.5" customHeight="1" x14ac:dyDescent="0.25">
      <c r="A988" s="1"/>
      <c r="B988" s="1" t="s">
        <v>1002</v>
      </c>
      <c r="C988" s="1" t="s">
        <v>917</v>
      </c>
      <c r="D988" s="437">
        <v>10000</v>
      </c>
      <c r="E988" s="437"/>
      <c r="F988" s="466">
        <f t="shared" si="418"/>
        <v>0</v>
      </c>
      <c r="G988" s="437">
        <v>10000</v>
      </c>
      <c r="H988" s="437">
        <v>0</v>
      </c>
      <c r="I988" s="437">
        <v>14113.32</v>
      </c>
      <c r="J988" s="437">
        <v>5626.29</v>
      </c>
    </row>
    <row r="989" spans="1:10" ht="13.5" customHeight="1" x14ac:dyDescent="0.25">
      <c r="A989" s="1"/>
      <c r="B989" s="1" t="s">
        <v>1003</v>
      </c>
      <c r="C989" s="1" t="s">
        <v>277</v>
      </c>
      <c r="D989" s="437">
        <v>10000</v>
      </c>
      <c r="E989" s="440"/>
      <c r="F989" s="466">
        <f t="shared" si="418"/>
        <v>0</v>
      </c>
      <c r="G989" s="440">
        <v>10000</v>
      </c>
      <c r="H989" s="439">
        <v>0</v>
      </c>
      <c r="I989" s="440">
        <v>0</v>
      </c>
      <c r="J989" s="440">
        <v>0</v>
      </c>
    </row>
    <row r="990" spans="1:10" ht="13.5" customHeight="1" x14ac:dyDescent="0.25">
      <c r="A990" s="1"/>
      <c r="B990" s="1" t="s">
        <v>1004</v>
      </c>
      <c r="C990" s="1" t="s">
        <v>279</v>
      </c>
      <c r="D990" s="437">
        <v>63627</v>
      </c>
      <c r="E990" s="437"/>
      <c r="F990" s="466">
        <f t="shared" si="418"/>
        <v>0</v>
      </c>
      <c r="G990" s="437">
        <v>63627</v>
      </c>
      <c r="H990" s="437">
        <v>4068.75</v>
      </c>
      <c r="I990" s="437">
        <v>97060.7</v>
      </c>
      <c r="J990" s="437">
        <v>64325.55</v>
      </c>
    </row>
    <row r="991" spans="1:10" ht="13.5" customHeight="1" x14ac:dyDescent="0.25">
      <c r="A991" s="1"/>
      <c r="B991" s="1" t="s">
        <v>1005</v>
      </c>
      <c r="C991" s="1" t="s">
        <v>982</v>
      </c>
      <c r="D991" s="437">
        <v>2500</v>
      </c>
      <c r="E991" s="440"/>
      <c r="F991" s="466">
        <f t="shared" si="418"/>
        <v>0</v>
      </c>
      <c r="G991" s="440">
        <v>2500</v>
      </c>
      <c r="H991" s="439">
        <v>0</v>
      </c>
      <c r="I991" s="440">
        <v>0</v>
      </c>
      <c r="J991" s="440">
        <v>0</v>
      </c>
    </row>
    <row r="992" spans="1:10" ht="13.5" customHeight="1" x14ac:dyDescent="0.25">
      <c r="A992" s="1"/>
      <c r="B992" s="1" t="s">
        <v>1006</v>
      </c>
      <c r="C992" s="1" t="s">
        <v>283</v>
      </c>
      <c r="D992" s="437">
        <v>1000</v>
      </c>
      <c r="E992" s="440"/>
      <c r="F992" s="466">
        <f t="shared" si="418"/>
        <v>0</v>
      </c>
      <c r="G992" s="440">
        <v>1000</v>
      </c>
      <c r="H992" s="439">
        <v>0</v>
      </c>
      <c r="I992" s="440">
        <v>0</v>
      </c>
      <c r="J992" s="440">
        <v>0</v>
      </c>
    </row>
    <row r="993" spans="1:10" ht="13.5" customHeight="1" x14ac:dyDescent="0.25">
      <c r="A993" s="1"/>
      <c r="B993" s="28" t="s">
        <v>1007</v>
      </c>
      <c r="C993" s="28" t="s">
        <v>429</v>
      </c>
      <c r="D993" s="437">
        <v>1200</v>
      </c>
      <c r="E993" s="440"/>
      <c r="F993" s="466">
        <f t="shared" si="418"/>
        <v>0</v>
      </c>
      <c r="G993" s="440">
        <v>1200</v>
      </c>
      <c r="H993" s="439">
        <v>0</v>
      </c>
      <c r="I993" s="440">
        <v>0</v>
      </c>
      <c r="J993" s="437">
        <v>0</v>
      </c>
    </row>
    <row r="994" spans="1:10" ht="13.5" customHeight="1" x14ac:dyDescent="0.25">
      <c r="A994" s="1"/>
      <c r="B994" s="28" t="s">
        <v>1008</v>
      </c>
      <c r="C994" s="28" t="s">
        <v>431</v>
      </c>
      <c r="D994" s="437">
        <v>500</v>
      </c>
      <c r="E994" s="440"/>
      <c r="F994" s="466">
        <f t="shared" si="418"/>
        <v>0</v>
      </c>
      <c r="G994" s="440">
        <v>500</v>
      </c>
      <c r="H994" s="439">
        <v>0</v>
      </c>
      <c r="I994" s="440">
        <v>0</v>
      </c>
      <c r="J994" s="437">
        <v>0</v>
      </c>
    </row>
    <row r="995" spans="1:10" ht="13.5" customHeight="1" x14ac:dyDescent="0.25">
      <c r="A995" s="1"/>
      <c r="B995" s="28" t="s">
        <v>1009</v>
      </c>
      <c r="C995" s="28" t="s">
        <v>1010</v>
      </c>
      <c r="D995" s="437">
        <v>26373</v>
      </c>
      <c r="E995" s="439">
        <v>26373</v>
      </c>
      <c r="F995" s="466">
        <f t="shared" si="418"/>
        <v>1</v>
      </c>
      <c r="G995" s="440">
        <v>26373</v>
      </c>
      <c r="H995" s="439">
        <v>26373</v>
      </c>
      <c r="I995" s="440">
        <v>0</v>
      </c>
      <c r="J995" s="437">
        <v>0</v>
      </c>
    </row>
    <row r="996" spans="1:10" ht="13.5" customHeight="1" x14ac:dyDescent="0.25">
      <c r="A996" s="1"/>
      <c r="B996" s="1" t="s">
        <v>1011</v>
      </c>
      <c r="C996" s="1" t="s">
        <v>1012</v>
      </c>
      <c r="D996" s="437">
        <v>1700</v>
      </c>
      <c r="E996" s="440"/>
      <c r="F996" s="466">
        <f t="shared" si="418"/>
        <v>0</v>
      </c>
      <c r="G996" s="440">
        <v>1700</v>
      </c>
      <c r="H996" s="439">
        <v>0</v>
      </c>
      <c r="I996" s="440">
        <v>0</v>
      </c>
      <c r="J996" s="437">
        <v>95.57</v>
      </c>
    </row>
    <row r="997" spans="1:10" ht="13.5" customHeight="1" x14ac:dyDescent="0.25">
      <c r="A997" s="1"/>
      <c r="B997" s="1" t="s">
        <v>1013</v>
      </c>
      <c r="C997" s="1" t="s">
        <v>289</v>
      </c>
      <c r="D997" s="437">
        <v>1000</v>
      </c>
      <c r="E997" s="440"/>
      <c r="F997" s="466">
        <f t="shared" si="418"/>
        <v>0</v>
      </c>
      <c r="G997" s="440">
        <v>1000</v>
      </c>
      <c r="H997" s="439">
        <v>0</v>
      </c>
      <c r="I997" s="440">
        <v>0</v>
      </c>
      <c r="J997" s="440">
        <v>0</v>
      </c>
    </row>
    <row r="998" spans="1:10" ht="13.5" customHeight="1" x14ac:dyDescent="0.25">
      <c r="A998" s="1"/>
      <c r="B998" s="1"/>
      <c r="C998" s="1"/>
      <c r="D998" s="438">
        <v>370800</v>
      </c>
      <c r="E998" s="438">
        <f t="shared" ref="E998" si="419">SUM(E986:E997)</f>
        <v>26373</v>
      </c>
      <c r="F998" s="467"/>
      <c r="G998" s="438">
        <v>370800</v>
      </c>
      <c r="H998" s="438">
        <f>SUM(H986:H997)</f>
        <v>44046.44</v>
      </c>
      <c r="I998" s="438">
        <f>SUM(I986:I997)</f>
        <v>173943.71000000002</v>
      </c>
      <c r="J998" s="438">
        <f t="shared" ref="J998" si="420">SUM(J986:J997)</f>
        <v>96527.140000000014</v>
      </c>
    </row>
    <row r="999" spans="1:10" ht="13.5" customHeight="1" x14ac:dyDescent="0.25">
      <c r="A999" s="1"/>
      <c r="B999" s="1"/>
      <c r="C999" s="1"/>
      <c r="D999" s="437"/>
      <c r="E999" s="440"/>
      <c r="F999" s="468"/>
      <c r="G999" s="440"/>
      <c r="H999" s="440"/>
      <c r="I999" s="440"/>
      <c r="J999" s="440"/>
    </row>
    <row r="1000" spans="1:10" ht="13.5" customHeight="1" x14ac:dyDescent="0.25">
      <c r="A1000" s="1"/>
      <c r="B1000" s="1" t="s">
        <v>1014</v>
      </c>
      <c r="C1000" s="1" t="s">
        <v>1015</v>
      </c>
      <c r="D1000" s="437">
        <v>0</v>
      </c>
      <c r="E1000" s="440"/>
      <c r="F1000" s="468"/>
      <c r="G1000" s="440">
        <v>0</v>
      </c>
      <c r="H1000" s="439">
        <v>0</v>
      </c>
      <c r="I1000" s="440">
        <v>0</v>
      </c>
      <c r="J1000" s="440">
        <v>0</v>
      </c>
    </row>
    <row r="1001" spans="1:10" ht="13.5" customHeight="1" x14ac:dyDescent="0.25">
      <c r="A1001" s="1"/>
      <c r="B1001" s="1" t="s">
        <v>1016</v>
      </c>
      <c r="C1001" s="1" t="s">
        <v>1017</v>
      </c>
      <c r="D1001" s="437">
        <v>0</v>
      </c>
      <c r="E1001" s="440"/>
      <c r="F1001" s="468"/>
      <c r="G1001" s="440">
        <v>0</v>
      </c>
      <c r="H1001" s="439">
        <v>0</v>
      </c>
      <c r="I1001" s="440">
        <v>0</v>
      </c>
      <c r="J1001" s="440">
        <v>0</v>
      </c>
    </row>
    <row r="1002" spans="1:10" ht="13.5" customHeight="1" x14ac:dyDescent="0.25">
      <c r="A1002" s="1"/>
      <c r="B1002" s="1"/>
      <c r="C1002" s="1"/>
      <c r="D1002" s="438">
        <v>0</v>
      </c>
      <c r="E1002" s="438">
        <f t="shared" ref="E1002" si="421">SUM(E1000:E1001)</f>
        <v>0</v>
      </c>
      <c r="F1002" s="467"/>
      <c r="G1002" s="438">
        <v>0</v>
      </c>
      <c r="H1002" s="438">
        <f>SUM(H1000:H1001)</f>
        <v>0</v>
      </c>
      <c r="I1002" s="438">
        <f>SUM(I1000:I1001)</f>
        <v>0</v>
      </c>
      <c r="J1002" s="438">
        <f t="shared" ref="J1002" si="422">SUM(J1000:J1001)</f>
        <v>0</v>
      </c>
    </row>
    <row r="1003" spans="1:10" ht="13.5" customHeight="1" x14ac:dyDescent="0.25">
      <c r="A1003" s="1"/>
      <c r="B1003" s="1"/>
      <c r="C1003" s="1"/>
      <c r="D1003" s="437"/>
      <c r="E1003" s="440"/>
      <c r="F1003" s="468"/>
      <c r="G1003" s="440"/>
      <c r="H1003" s="440"/>
      <c r="I1003" s="440"/>
      <c r="J1003" s="440"/>
    </row>
    <row r="1004" spans="1:10" ht="13.5" customHeight="1" x14ac:dyDescent="0.25">
      <c r="A1004" s="1"/>
      <c r="B1004" s="1" t="s">
        <v>1018</v>
      </c>
      <c r="C1004" s="1" t="s">
        <v>1019</v>
      </c>
      <c r="D1004" s="437">
        <v>5000</v>
      </c>
      <c r="E1004" s="440"/>
      <c r="F1004" s="466">
        <f t="shared" ref="F1004:F1006" si="423">SUM(E1004/G1004)</f>
        <v>0</v>
      </c>
      <c r="G1004" s="440">
        <v>5000</v>
      </c>
      <c r="H1004" s="439">
        <v>0</v>
      </c>
      <c r="I1004" s="440">
        <v>0</v>
      </c>
      <c r="J1004" s="440">
        <v>0</v>
      </c>
    </row>
    <row r="1005" spans="1:10" ht="13.5" customHeight="1" x14ac:dyDescent="0.25">
      <c r="A1005" s="1"/>
      <c r="B1005" s="1" t="s">
        <v>1020</v>
      </c>
      <c r="C1005" s="1" t="s">
        <v>1021</v>
      </c>
      <c r="D1005" s="437">
        <v>12500</v>
      </c>
      <c r="E1005" s="440"/>
      <c r="F1005" s="466">
        <f t="shared" si="423"/>
        <v>0</v>
      </c>
      <c r="G1005" s="440">
        <v>12500</v>
      </c>
      <c r="H1005" s="439">
        <v>0</v>
      </c>
      <c r="I1005" s="440">
        <v>0</v>
      </c>
      <c r="J1005" s="440">
        <v>0</v>
      </c>
    </row>
    <row r="1006" spans="1:10" ht="13.5" customHeight="1" x14ac:dyDescent="0.25">
      <c r="A1006" s="1"/>
      <c r="B1006" s="1" t="s">
        <v>1022</v>
      </c>
      <c r="C1006" s="1" t="s">
        <v>73</v>
      </c>
      <c r="D1006" s="437">
        <v>5000</v>
      </c>
      <c r="E1006" s="440"/>
      <c r="F1006" s="466">
        <f t="shared" si="423"/>
        <v>0</v>
      </c>
      <c r="G1006" s="440">
        <v>5000</v>
      </c>
      <c r="H1006" s="439">
        <v>0</v>
      </c>
      <c r="I1006" s="440">
        <v>0</v>
      </c>
      <c r="J1006" s="440">
        <v>0</v>
      </c>
    </row>
    <row r="1007" spans="1:10" ht="13.5" customHeight="1" x14ac:dyDescent="0.25">
      <c r="A1007" s="1"/>
      <c r="B1007" s="1"/>
      <c r="C1007" s="1"/>
      <c r="D1007" s="438">
        <v>22500</v>
      </c>
      <c r="E1007" s="438">
        <f t="shared" ref="E1007" si="424">SUM(E1004:E1006)</f>
        <v>0</v>
      </c>
      <c r="F1007" s="467"/>
      <c r="G1007" s="438">
        <v>22500</v>
      </c>
      <c r="H1007" s="438">
        <f>SUM(H1004:H1006)</f>
        <v>0</v>
      </c>
      <c r="I1007" s="438">
        <f>SUM(I1004:I1006)</f>
        <v>0</v>
      </c>
      <c r="J1007" s="438">
        <f t="shared" ref="J1007" si="425">SUM(J1004:J1006)</f>
        <v>0</v>
      </c>
    </row>
    <row r="1008" spans="1:10" ht="13.5" customHeight="1" thickBot="1" x14ac:dyDescent="0.3">
      <c r="A1008" s="1"/>
      <c r="B1008" s="1"/>
      <c r="C1008" s="39" t="s">
        <v>1023</v>
      </c>
      <c r="D1008" s="451">
        <v>398800</v>
      </c>
      <c r="E1008" s="451">
        <f t="shared" ref="E1008" si="426">SUM(E984+E998+E1002+E1007)</f>
        <v>26373</v>
      </c>
      <c r="F1008" s="478"/>
      <c r="G1008" s="451">
        <v>398800</v>
      </c>
      <c r="H1008" s="451">
        <f>SUM(H984+H998+H1002+H1007)</f>
        <v>44143.19</v>
      </c>
      <c r="I1008" s="451">
        <f>SUM(I984+I998+I1002+I1007)</f>
        <v>174351.41000000003</v>
      </c>
      <c r="J1008" s="451">
        <f t="shared" ref="J1008" si="427">SUM(J984+J998+J1002+J1007)</f>
        <v>97389.74000000002</v>
      </c>
    </row>
    <row r="1009" spans="1:10" ht="13.5" customHeight="1" thickTop="1" x14ac:dyDescent="0.25">
      <c r="A1009" s="1"/>
      <c r="B1009" s="45"/>
      <c r="C1009" s="1"/>
      <c r="D1009" s="437"/>
      <c r="E1009" s="440"/>
      <c r="F1009" s="468"/>
      <c r="G1009" s="440"/>
      <c r="H1009" s="440"/>
      <c r="I1009" s="440"/>
      <c r="J1009" s="440"/>
    </row>
    <row r="1010" spans="1:10" ht="13.5" customHeight="1" x14ac:dyDescent="0.25">
      <c r="A1010" s="1"/>
      <c r="B1010" s="1"/>
      <c r="C1010" s="14"/>
      <c r="D1010" s="437"/>
      <c r="E1010" s="440"/>
      <c r="F1010" s="468"/>
      <c r="G1010" s="440"/>
      <c r="H1010" s="440"/>
      <c r="I1010" s="440"/>
      <c r="J1010" s="440"/>
    </row>
    <row r="1011" spans="1:10" ht="13.5" customHeight="1" x14ac:dyDescent="0.25">
      <c r="A1011" s="1"/>
      <c r="B1011" s="1"/>
      <c r="C1011" s="14" t="s">
        <v>1024</v>
      </c>
      <c r="D1011" s="437"/>
      <c r="E1011" s="440"/>
      <c r="F1011" s="468"/>
      <c r="G1011" s="440"/>
      <c r="H1011" s="440"/>
      <c r="I1011" s="440"/>
      <c r="J1011" s="440"/>
    </row>
    <row r="1012" spans="1:10" ht="13.5" customHeight="1" x14ac:dyDescent="0.25">
      <c r="A1012" s="1"/>
      <c r="B1012" s="1" t="s">
        <v>1025</v>
      </c>
      <c r="C1012" s="1" t="s">
        <v>439</v>
      </c>
      <c r="D1012" s="437">
        <v>532995</v>
      </c>
      <c r="E1012" s="437">
        <v>224809.4</v>
      </c>
      <c r="F1012" s="466">
        <f>SUM(E1012/G1012)</f>
        <v>0.44975282634225</v>
      </c>
      <c r="G1012" s="437">
        <v>499851</v>
      </c>
      <c r="H1012" s="437">
        <v>495349.42</v>
      </c>
      <c r="I1012" s="437">
        <v>467367.87</v>
      </c>
      <c r="J1012" s="437">
        <v>430212.77</v>
      </c>
    </row>
    <row r="1013" spans="1:10" ht="13.5" customHeight="1" x14ac:dyDescent="0.25">
      <c r="A1013" s="1"/>
      <c r="B1013" s="1" t="s">
        <v>1026</v>
      </c>
      <c r="C1013" s="1" t="s">
        <v>441</v>
      </c>
      <c r="D1013" s="437">
        <v>0</v>
      </c>
      <c r="E1013" s="440"/>
      <c r="F1013" s="466"/>
      <c r="G1013" s="440">
        <v>0</v>
      </c>
      <c r="H1013" s="439">
        <v>0</v>
      </c>
      <c r="I1013" s="440">
        <v>0</v>
      </c>
      <c r="J1013" s="440">
        <v>0</v>
      </c>
    </row>
    <row r="1014" spans="1:10" ht="13.5" customHeight="1" x14ac:dyDescent="0.25">
      <c r="A1014" s="1"/>
      <c r="B1014" s="1" t="s">
        <v>1027</v>
      </c>
      <c r="C1014" s="1" t="s">
        <v>443</v>
      </c>
      <c r="D1014" s="437">
        <v>0</v>
      </c>
      <c r="E1014" s="437"/>
      <c r="F1014" s="466"/>
      <c r="G1014" s="437">
        <v>0</v>
      </c>
      <c r="H1014" s="437">
        <v>0</v>
      </c>
      <c r="I1014" s="437">
        <v>18130.38</v>
      </c>
      <c r="J1014" s="437">
        <v>15924.65</v>
      </c>
    </row>
    <row r="1015" spans="1:10" ht="13.5" customHeight="1" x14ac:dyDescent="0.25">
      <c r="A1015" s="1"/>
      <c r="B1015" s="1" t="s">
        <v>1028</v>
      </c>
      <c r="C1015" s="1" t="s">
        <v>445</v>
      </c>
      <c r="D1015" s="437">
        <v>0</v>
      </c>
      <c r="E1015" s="439">
        <v>207.15</v>
      </c>
      <c r="F1015" s="466"/>
      <c r="G1015" s="440">
        <v>0</v>
      </c>
      <c r="H1015" s="439">
        <v>0</v>
      </c>
      <c r="I1015" s="440">
        <v>0</v>
      </c>
      <c r="J1015" s="437">
        <v>0</v>
      </c>
    </row>
    <row r="1016" spans="1:10" ht="13.5" customHeight="1" x14ac:dyDescent="0.25">
      <c r="A1016" s="1"/>
      <c r="B1016" s="1" t="s">
        <v>1029</v>
      </c>
      <c r="C1016" s="1" t="s">
        <v>251</v>
      </c>
      <c r="D1016" s="437">
        <v>500</v>
      </c>
      <c r="E1016" s="439">
        <v>207.15</v>
      </c>
      <c r="F1016" s="466">
        <f>SUM(E1016/G1016)</f>
        <v>0.4143</v>
      </c>
      <c r="G1016" s="440">
        <v>500</v>
      </c>
      <c r="H1016" s="439">
        <v>0</v>
      </c>
      <c r="I1016" s="439">
        <v>40.630000000000003</v>
      </c>
      <c r="J1016" s="440">
        <v>306.43</v>
      </c>
    </row>
    <row r="1017" spans="1:10" ht="13.5" customHeight="1" x14ac:dyDescent="0.25">
      <c r="A1017" s="1"/>
      <c r="B1017" s="1"/>
      <c r="C1017" s="1"/>
      <c r="D1017" s="438">
        <v>533495</v>
      </c>
      <c r="E1017" s="438">
        <f t="shared" ref="E1017" si="428">SUM(E1012:E1016)</f>
        <v>225223.69999999998</v>
      </c>
      <c r="F1017" s="467"/>
      <c r="G1017" s="438">
        <v>500351</v>
      </c>
      <c r="H1017" s="438">
        <f>SUM(H1012:H1016)</f>
        <v>495349.42</v>
      </c>
      <c r="I1017" s="438">
        <f>SUM(I1012:I1016)</f>
        <v>485538.88</v>
      </c>
      <c r="J1017" s="438">
        <f t="shared" ref="J1017" si="429">SUM(J1012:J1016)</f>
        <v>446443.85000000003</v>
      </c>
    </row>
    <row r="1018" spans="1:10" ht="13.5" customHeight="1" x14ac:dyDescent="0.25">
      <c r="A1018" s="1"/>
      <c r="B1018" s="1"/>
      <c r="C1018" s="1"/>
      <c r="D1018" s="437"/>
      <c r="E1018" s="440"/>
      <c r="F1018" s="468"/>
      <c r="G1018" s="440"/>
      <c r="H1018" s="440"/>
      <c r="I1018" s="440"/>
      <c r="J1018" s="440"/>
    </row>
    <row r="1019" spans="1:10" ht="13.5" customHeight="1" x14ac:dyDescent="0.25">
      <c r="A1019" s="1"/>
      <c r="B1019" s="1" t="s">
        <v>1030</v>
      </c>
      <c r="C1019" s="1" t="s">
        <v>257</v>
      </c>
      <c r="D1019" s="437">
        <v>40812.3675</v>
      </c>
      <c r="E1019" s="437">
        <v>15284.24</v>
      </c>
      <c r="F1019" s="466">
        <f t="shared" ref="F1019:F1023" si="430">SUM(E1019/G1019)</f>
        <v>0.39930767552711366</v>
      </c>
      <c r="G1019" s="437">
        <v>38276.85</v>
      </c>
      <c r="H1019" s="437">
        <v>33391.599999999999</v>
      </c>
      <c r="I1019" s="437">
        <v>32352.6</v>
      </c>
      <c r="J1019" s="437">
        <v>30029.03</v>
      </c>
    </row>
    <row r="1020" spans="1:10" ht="13.5" customHeight="1" x14ac:dyDescent="0.25">
      <c r="A1020" s="1"/>
      <c r="B1020" s="1" t="s">
        <v>1031</v>
      </c>
      <c r="C1020" s="1" t="s">
        <v>259</v>
      </c>
      <c r="D1020" s="437">
        <v>94147.963200000013</v>
      </c>
      <c r="E1020" s="437">
        <v>43012.32</v>
      </c>
      <c r="F1020" s="466">
        <f t="shared" si="430"/>
        <v>0.4567474180720989</v>
      </c>
      <c r="G1020" s="437">
        <v>94170.91</v>
      </c>
      <c r="H1020" s="437">
        <v>92890.91</v>
      </c>
      <c r="I1020" s="437">
        <v>87335.34</v>
      </c>
      <c r="J1020" s="437">
        <v>80274.17</v>
      </c>
    </row>
    <row r="1021" spans="1:10" ht="13.5" customHeight="1" x14ac:dyDescent="0.25">
      <c r="A1021" s="1"/>
      <c r="B1021" s="1" t="s">
        <v>1032</v>
      </c>
      <c r="C1021" s="1" t="s">
        <v>261</v>
      </c>
      <c r="D1021" s="437">
        <v>80130.948999999993</v>
      </c>
      <c r="E1021" s="437">
        <v>33797.58</v>
      </c>
      <c r="F1021" s="466">
        <f t="shared" si="430"/>
        <v>0.44971865289772611</v>
      </c>
      <c r="G1021" s="437">
        <v>75152.72</v>
      </c>
      <c r="H1021" s="437">
        <v>74401.41</v>
      </c>
      <c r="I1021" s="437">
        <v>70566.48</v>
      </c>
      <c r="J1021" s="437">
        <v>64649.56</v>
      </c>
    </row>
    <row r="1022" spans="1:10" ht="13.5" customHeight="1" x14ac:dyDescent="0.25">
      <c r="A1022" s="1"/>
      <c r="B1022" s="1" t="s">
        <v>1033</v>
      </c>
      <c r="C1022" s="1" t="s">
        <v>263</v>
      </c>
      <c r="D1022" s="437">
        <v>853.5920000000001</v>
      </c>
      <c r="E1022" s="437">
        <v>360.03</v>
      </c>
      <c r="F1022" s="466">
        <f t="shared" si="430"/>
        <v>0.44972269411412014</v>
      </c>
      <c r="G1022" s="437">
        <v>800.56</v>
      </c>
      <c r="H1022" s="437">
        <v>792.56</v>
      </c>
      <c r="I1022" s="437">
        <v>776.88</v>
      </c>
      <c r="J1022" s="437">
        <v>815.79</v>
      </c>
    </row>
    <row r="1023" spans="1:10" ht="13.5" customHeight="1" x14ac:dyDescent="0.25">
      <c r="A1023" s="1"/>
      <c r="B1023" s="1" t="s">
        <v>1034</v>
      </c>
      <c r="C1023" s="1" t="s">
        <v>265</v>
      </c>
      <c r="D1023" s="437">
        <v>3373.9200000000005</v>
      </c>
      <c r="E1023" s="437">
        <v>1433.74</v>
      </c>
      <c r="F1023" s="466">
        <f t="shared" si="430"/>
        <v>0.45370370370370372</v>
      </c>
      <c r="G1023" s="437">
        <v>3160.08</v>
      </c>
      <c r="H1023" s="437">
        <v>3008</v>
      </c>
      <c r="I1023" s="437">
        <v>2779.42</v>
      </c>
      <c r="J1023" s="437">
        <v>2481.6799999999998</v>
      </c>
    </row>
    <row r="1024" spans="1:10" ht="13.5" customHeight="1" x14ac:dyDescent="0.25">
      <c r="A1024" s="1"/>
      <c r="B1024" s="1"/>
      <c r="C1024" s="1"/>
      <c r="D1024" s="438">
        <v>219318.79170000003</v>
      </c>
      <c r="E1024" s="438">
        <f t="shared" ref="E1024" si="431">SUM(E1019:E1023)</f>
        <v>93887.91</v>
      </c>
      <c r="F1024" s="467"/>
      <c r="G1024" s="438">
        <v>211561.13</v>
      </c>
      <c r="H1024" s="438">
        <f>SUM(H1019:H1023)</f>
        <v>204484.48000000001</v>
      </c>
      <c r="I1024" s="438">
        <f>SUM(I1019:I1023)</f>
        <v>193810.72</v>
      </c>
      <c r="J1024" s="438">
        <f t="shared" ref="J1024" si="432">SUM(J1019:J1023)</f>
        <v>178250.23</v>
      </c>
    </row>
    <row r="1025" spans="1:10" ht="13.5" customHeight="1" x14ac:dyDescent="0.25">
      <c r="A1025" s="1"/>
      <c r="B1025" s="1"/>
      <c r="C1025" s="1"/>
      <c r="D1025" s="437"/>
      <c r="E1025" s="437"/>
      <c r="F1025" s="466"/>
      <c r="G1025" s="437"/>
      <c r="H1025" s="437"/>
      <c r="I1025" s="437"/>
      <c r="J1025" s="437"/>
    </row>
    <row r="1026" spans="1:10" ht="13.5" customHeight="1" x14ac:dyDescent="0.25">
      <c r="A1026" s="1"/>
      <c r="B1026" s="1" t="s">
        <v>1035</v>
      </c>
      <c r="C1026" s="1" t="s">
        <v>267</v>
      </c>
      <c r="D1026" s="437">
        <v>2000</v>
      </c>
      <c r="E1026" s="437">
        <v>451.25</v>
      </c>
      <c r="F1026" s="466">
        <f t="shared" ref="F1026:F1027" si="433">SUM(E1026/G1026)</f>
        <v>0.22562499999999999</v>
      </c>
      <c r="G1026" s="437">
        <v>2000</v>
      </c>
      <c r="H1026" s="437">
        <v>1795.34</v>
      </c>
      <c r="I1026" s="437">
        <v>993.66</v>
      </c>
      <c r="J1026" s="437">
        <v>1375.14</v>
      </c>
    </row>
    <row r="1027" spans="1:10" ht="13.5" customHeight="1" x14ac:dyDescent="0.25">
      <c r="A1027" s="1"/>
      <c r="B1027" s="1" t="s">
        <v>1036</v>
      </c>
      <c r="C1027" s="1" t="s">
        <v>269</v>
      </c>
      <c r="D1027" s="437">
        <v>430</v>
      </c>
      <c r="E1027" s="437">
        <v>314.64</v>
      </c>
      <c r="F1027" s="466">
        <f t="shared" si="433"/>
        <v>0.73172093023255813</v>
      </c>
      <c r="G1027" s="437">
        <v>430</v>
      </c>
      <c r="H1027" s="437">
        <v>270.36</v>
      </c>
      <c r="I1027" s="437">
        <v>365.88</v>
      </c>
      <c r="J1027" s="437">
        <v>235.52</v>
      </c>
    </row>
    <row r="1028" spans="1:10" ht="13.5" customHeight="1" x14ac:dyDescent="0.25">
      <c r="A1028" s="1"/>
      <c r="B1028" s="1" t="s">
        <v>1037</v>
      </c>
      <c r="C1028" s="1" t="s">
        <v>1038</v>
      </c>
      <c r="D1028" s="437">
        <v>0</v>
      </c>
      <c r="E1028" s="437"/>
      <c r="F1028" s="466"/>
      <c r="G1028" s="437">
        <v>0</v>
      </c>
      <c r="H1028" s="437">
        <v>1353.3</v>
      </c>
      <c r="I1028" s="437">
        <v>659.99</v>
      </c>
      <c r="J1028" s="437">
        <v>2639.96</v>
      </c>
    </row>
    <row r="1029" spans="1:10" ht="13.5" customHeight="1" x14ac:dyDescent="0.25">
      <c r="A1029" s="1"/>
      <c r="B1029" s="1" t="s">
        <v>1039</v>
      </c>
      <c r="C1029" s="1" t="s">
        <v>455</v>
      </c>
      <c r="D1029" s="437">
        <v>0</v>
      </c>
      <c r="E1029" s="437">
        <v>131.24</v>
      </c>
      <c r="F1029" s="466"/>
      <c r="G1029" s="437">
        <v>0</v>
      </c>
      <c r="H1029" s="437">
        <v>671.98</v>
      </c>
      <c r="I1029" s="437">
        <v>292.41000000000003</v>
      </c>
      <c r="J1029" s="440">
        <v>0</v>
      </c>
    </row>
    <row r="1030" spans="1:10" ht="13.5" customHeight="1" x14ac:dyDescent="0.25">
      <c r="A1030" s="1"/>
      <c r="B1030" s="1" t="s">
        <v>1040</v>
      </c>
      <c r="C1030" s="1" t="s">
        <v>275</v>
      </c>
      <c r="D1030" s="437">
        <v>750</v>
      </c>
      <c r="E1030" s="437">
        <v>536.91</v>
      </c>
      <c r="F1030" s="466">
        <f>SUM(E1030/G1030)</f>
        <v>0.71587999999999996</v>
      </c>
      <c r="G1030" s="437">
        <v>750</v>
      </c>
      <c r="H1030" s="437">
        <v>971.76</v>
      </c>
      <c r="I1030" s="437">
        <v>1965.64</v>
      </c>
      <c r="J1030" s="437">
        <v>733.58</v>
      </c>
    </row>
    <row r="1031" spans="1:10" ht="13.5" customHeight="1" x14ac:dyDescent="0.25">
      <c r="A1031" s="1"/>
      <c r="B1031" s="1"/>
      <c r="C1031" s="1"/>
      <c r="D1031" s="438">
        <v>3180</v>
      </c>
      <c r="E1031" s="438">
        <f t="shared" ref="E1031" si="434">SUM(E1026:E1030)</f>
        <v>1434.04</v>
      </c>
      <c r="F1031" s="467"/>
      <c r="G1031" s="438">
        <v>3180</v>
      </c>
      <c r="H1031" s="438">
        <f>SUM(H1026:H1030)</f>
        <v>5062.74</v>
      </c>
      <c r="I1031" s="438">
        <f>SUM(I1026:I1030)</f>
        <v>4277.58</v>
      </c>
      <c r="J1031" s="438">
        <f t="shared" ref="J1031" si="435">SUM(J1026:J1030)</f>
        <v>4984.2</v>
      </c>
    </row>
    <row r="1032" spans="1:10" ht="13.5" customHeight="1" x14ac:dyDescent="0.25">
      <c r="A1032" s="1"/>
      <c r="B1032" s="1"/>
      <c r="C1032" s="1"/>
      <c r="D1032" s="437"/>
      <c r="E1032" s="437"/>
      <c r="F1032" s="466"/>
      <c r="G1032" s="437"/>
      <c r="H1032" s="437"/>
      <c r="I1032" s="437"/>
      <c r="J1032" s="437"/>
    </row>
    <row r="1033" spans="1:10" ht="13.5" customHeight="1" x14ac:dyDescent="0.25">
      <c r="A1033" s="1"/>
      <c r="B1033" s="1" t="s">
        <v>1041</v>
      </c>
      <c r="C1033" s="1" t="s">
        <v>279</v>
      </c>
      <c r="D1033" s="437">
        <v>500</v>
      </c>
      <c r="E1033" s="440"/>
      <c r="F1033" s="466">
        <f t="shared" ref="F1033:F1036" si="436">SUM(E1033/G1033)</f>
        <v>0</v>
      </c>
      <c r="G1033" s="439">
        <v>500</v>
      </c>
      <c r="H1033" s="439">
        <v>0</v>
      </c>
      <c r="I1033" s="440">
        <v>0</v>
      </c>
      <c r="J1033" s="440">
        <v>0</v>
      </c>
    </row>
    <row r="1034" spans="1:10" ht="13.5" customHeight="1" x14ac:dyDescent="0.25">
      <c r="A1034" s="1"/>
      <c r="B1034" s="1" t="s">
        <v>1042</v>
      </c>
      <c r="C1034" s="1" t="s">
        <v>333</v>
      </c>
      <c r="D1034" s="437">
        <v>200</v>
      </c>
      <c r="E1034" s="437"/>
      <c r="F1034" s="466">
        <f t="shared" si="436"/>
        <v>0</v>
      </c>
      <c r="G1034" s="437">
        <v>200</v>
      </c>
      <c r="H1034" s="437">
        <v>176.33</v>
      </c>
      <c r="I1034" s="437">
        <v>68.91</v>
      </c>
      <c r="J1034" s="440">
        <v>0</v>
      </c>
    </row>
    <row r="1035" spans="1:10" ht="13.5" customHeight="1" x14ac:dyDescent="0.25">
      <c r="A1035" s="1"/>
      <c r="B1035" s="1" t="s">
        <v>1043</v>
      </c>
      <c r="C1035" s="1" t="s">
        <v>426</v>
      </c>
      <c r="D1035" s="437">
        <v>4000</v>
      </c>
      <c r="E1035" s="437">
        <v>670</v>
      </c>
      <c r="F1035" s="466">
        <f t="shared" si="436"/>
        <v>0.16750000000000001</v>
      </c>
      <c r="G1035" s="437">
        <v>4000</v>
      </c>
      <c r="H1035" s="437">
        <v>609</v>
      </c>
      <c r="I1035" s="437">
        <v>1659.67</v>
      </c>
      <c r="J1035" s="437">
        <v>1746.59</v>
      </c>
    </row>
    <row r="1036" spans="1:10" ht="13.5" customHeight="1" x14ac:dyDescent="0.25">
      <c r="A1036" s="1"/>
      <c r="B1036" s="1" t="s">
        <v>1044</v>
      </c>
      <c r="C1036" s="1" t="s">
        <v>285</v>
      </c>
      <c r="D1036" s="437">
        <v>1100</v>
      </c>
      <c r="E1036" s="437">
        <v>799.88</v>
      </c>
      <c r="F1036" s="466">
        <f t="shared" si="436"/>
        <v>0.79988000000000004</v>
      </c>
      <c r="G1036" s="437">
        <v>1000</v>
      </c>
      <c r="H1036" s="437">
        <v>989.88</v>
      </c>
      <c r="I1036" s="437">
        <v>1119.8800000000001</v>
      </c>
      <c r="J1036" s="437">
        <v>1218</v>
      </c>
    </row>
    <row r="1037" spans="1:10" ht="13.5" customHeight="1" x14ac:dyDescent="0.25">
      <c r="A1037" s="1"/>
      <c r="B1037" s="22" t="s">
        <v>1045</v>
      </c>
      <c r="C1037" s="22" t="s">
        <v>840</v>
      </c>
      <c r="D1037" s="437">
        <v>0</v>
      </c>
      <c r="E1037" s="437">
        <v>93.71</v>
      </c>
      <c r="F1037" s="466"/>
      <c r="G1037" s="437"/>
      <c r="H1037" s="437">
        <v>125</v>
      </c>
      <c r="I1037" s="437">
        <v>0</v>
      </c>
      <c r="J1037" s="437">
        <v>0</v>
      </c>
    </row>
    <row r="1038" spans="1:10" ht="13.5" customHeight="1" x14ac:dyDescent="0.25">
      <c r="A1038" s="1"/>
      <c r="B1038" s="1" t="s">
        <v>1046</v>
      </c>
      <c r="C1038" s="1" t="s">
        <v>287</v>
      </c>
      <c r="D1038" s="437">
        <v>105</v>
      </c>
      <c r="E1038" s="437">
        <v>142</v>
      </c>
      <c r="F1038" s="466">
        <f t="shared" ref="F1038:F1039" si="437">SUM(E1038/G1038)</f>
        <v>1.3523809523809525</v>
      </c>
      <c r="G1038" s="437">
        <v>105</v>
      </c>
      <c r="H1038" s="437">
        <v>92.5</v>
      </c>
      <c r="I1038" s="437">
        <v>142</v>
      </c>
      <c r="J1038" s="437">
        <v>92.5</v>
      </c>
    </row>
    <row r="1039" spans="1:10" ht="13.5" customHeight="1" x14ac:dyDescent="0.25">
      <c r="A1039" s="1"/>
      <c r="B1039" s="1" t="s">
        <v>1047</v>
      </c>
      <c r="C1039" s="1" t="s">
        <v>289</v>
      </c>
      <c r="D1039" s="437">
        <v>4450</v>
      </c>
      <c r="E1039" s="437">
        <v>1152.58</v>
      </c>
      <c r="F1039" s="466">
        <f t="shared" si="437"/>
        <v>0.25900674157303372</v>
      </c>
      <c r="G1039" s="437">
        <v>4450</v>
      </c>
      <c r="H1039" s="437">
        <v>3831.22</v>
      </c>
      <c r="I1039" s="437">
        <v>3504.72</v>
      </c>
      <c r="J1039" s="437">
        <v>3507.05</v>
      </c>
    </row>
    <row r="1040" spans="1:10" ht="13.5" customHeight="1" x14ac:dyDescent="0.25">
      <c r="A1040" s="1"/>
      <c r="B1040" s="1"/>
      <c r="C1040" s="1"/>
      <c r="D1040" s="438">
        <v>10355</v>
      </c>
      <c r="E1040" s="438">
        <f t="shared" ref="E1040" si="438">SUM(E1033:E1039)</f>
        <v>2858.17</v>
      </c>
      <c r="F1040" s="467"/>
      <c r="G1040" s="438">
        <v>10355</v>
      </c>
      <c r="H1040" s="438">
        <f>SUM(H1033:H1039)</f>
        <v>5823.93</v>
      </c>
      <c r="I1040" s="438">
        <f>SUM(I1033:I1039)</f>
        <v>6495.18</v>
      </c>
      <c r="J1040" s="438">
        <f t="shared" ref="J1040" si="439">SUM(J1033:J1039)</f>
        <v>6564.14</v>
      </c>
    </row>
    <row r="1041" spans="1:10" ht="13.5" customHeight="1" x14ac:dyDescent="0.25">
      <c r="A1041" s="1"/>
      <c r="B1041" s="1"/>
      <c r="C1041" s="1"/>
      <c r="D1041" s="437"/>
      <c r="E1041" s="437"/>
      <c r="F1041" s="466"/>
      <c r="G1041" s="437"/>
      <c r="H1041" s="437"/>
      <c r="I1041" s="437"/>
      <c r="J1041" s="437"/>
    </row>
    <row r="1042" spans="1:10" ht="13.5" customHeight="1" x14ac:dyDescent="0.25">
      <c r="A1042" s="1"/>
      <c r="B1042" s="1" t="s">
        <v>1048</v>
      </c>
      <c r="C1042" s="1" t="s">
        <v>859</v>
      </c>
      <c r="D1042" s="440" t="s">
        <v>12</v>
      </c>
      <c r="E1042" s="440"/>
      <c r="F1042" s="468"/>
      <c r="G1042" s="440" t="s">
        <v>12</v>
      </c>
      <c r="H1042" s="439">
        <v>0</v>
      </c>
      <c r="I1042" s="440" t="s">
        <v>12</v>
      </c>
      <c r="J1042" s="440" t="s">
        <v>12</v>
      </c>
    </row>
    <row r="1043" spans="1:10" ht="13.5" customHeight="1" x14ac:dyDescent="0.25">
      <c r="A1043" s="1"/>
      <c r="B1043" s="1"/>
      <c r="C1043" s="1"/>
      <c r="D1043" s="441">
        <v>0</v>
      </c>
      <c r="E1043" s="441">
        <f t="shared" ref="E1043" si="440">SUM(E1042)</f>
        <v>0</v>
      </c>
      <c r="F1043" s="469"/>
      <c r="G1043" s="441">
        <v>0</v>
      </c>
      <c r="H1043" s="441">
        <f>SUM(H1042)</f>
        <v>0</v>
      </c>
      <c r="I1043" s="441">
        <f>SUM(I1042)</f>
        <v>0</v>
      </c>
      <c r="J1043" s="441">
        <f t="shared" ref="J1043" si="441">SUM(J1042)</f>
        <v>0</v>
      </c>
    </row>
    <row r="1044" spans="1:10" ht="13.5" customHeight="1" thickBot="1" x14ac:dyDescent="0.3">
      <c r="A1044" s="1"/>
      <c r="B1044" s="1"/>
      <c r="C1044" s="39" t="s">
        <v>1049</v>
      </c>
      <c r="D1044" s="453">
        <v>766348.79170000006</v>
      </c>
      <c r="E1044" s="453">
        <f t="shared" ref="E1044" si="442">SUM(E1017+E1024+E1031+E1040+E1043)</f>
        <v>323403.81999999995</v>
      </c>
      <c r="F1044" s="479"/>
      <c r="G1044" s="455">
        <v>725447.13</v>
      </c>
      <c r="H1044" s="453">
        <f>SUM(H1017+H1024+H1031+H1040+H1043)</f>
        <v>710720.57000000007</v>
      </c>
      <c r="I1044" s="453">
        <f>SUM(I1017+I1024+I1031+I1040+I1043)</f>
        <v>690122.36</v>
      </c>
      <c r="J1044" s="453">
        <f t="shared" ref="J1044" si="443">SUM(J1017+J1024+J1031+J1040+J1043)</f>
        <v>636242.42000000004</v>
      </c>
    </row>
    <row r="1045" spans="1:10" ht="13.5" customHeight="1" thickTop="1" x14ac:dyDescent="0.25">
      <c r="A1045" s="1"/>
      <c r="B1045" s="1"/>
      <c r="C1045" s="1"/>
      <c r="D1045" s="440"/>
      <c r="E1045" s="440"/>
      <c r="F1045" s="468"/>
      <c r="G1045" s="440"/>
      <c r="H1045" s="440"/>
      <c r="I1045" s="440"/>
      <c r="J1045" s="440"/>
    </row>
    <row r="1046" spans="1:10" ht="13.5" customHeight="1" x14ac:dyDescent="0.25">
      <c r="A1046" s="1"/>
      <c r="B1046" s="1"/>
      <c r="C1046" s="14" t="s">
        <v>1050</v>
      </c>
      <c r="D1046" s="440"/>
      <c r="E1046" s="440"/>
      <c r="F1046" s="468"/>
      <c r="G1046" s="440"/>
      <c r="H1046" s="440"/>
      <c r="I1046" s="440"/>
      <c r="J1046" s="440"/>
    </row>
    <row r="1047" spans="1:10" ht="13.5" customHeight="1" x14ac:dyDescent="0.25">
      <c r="A1047" s="1"/>
      <c r="B1047" s="1" t="s">
        <v>1051</v>
      </c>
      <c r="C1047" s="1" t="s">
        <v>439</v>
      </c>
      <c r="D1047" s="437">
        <v>226082</v>
      </c>
      <c r="E1047" s="437">
        <v>103331.45</v>
      </c>
      <c r="F1047" s="466">
        <f>SUM(E1047/G1047)</f>
        <v>0.48950211989862386</v>
      </c>
      <c r="G1047" s="437">
        <v>211095</v>
      </c>
      <c r="H1047" s="437">
        <v>211557.34</v>
      </c>
      <c r="I1047" s="437">
        <v>195152.57</v>
      </c>
      <c r="J1047" s="437">
        <v>180914.47</v>
      </c>
    </row>
    <row r="1048" spans="1:10" ht="13.5" customHeight="1" x14ac:dyDescent="0.25">
      <c r="A1048" s="1"/>
      <c r="B1048" s="1" t="s">
        <v>1052</v>
      </c>
      <c r="C1048" s="1" t="s">
        <v>441</v>
      </c>
      <c r="D1048" s="437">
        <v>0</v>
      </c>
      <c r="E1048" s="440"/>
      <c r="F1048" s="468"/>
      <c r="G1048" s="440">
        <v>0</v>
      </c>
      <c r="H1048" s="439">
        <v>0</v>
      </c>
      <c r="I1048" s="440" t="s">
        <v>12</v>
      </c>
      <c r="J1048" s="440" t="s">
        <v>12</v>
      </c>
    </row>
    <row r="1049" spans="1:10" ht="13.5" customHeight="1" x14ac:dyDescent="0.25">
      <c r="A1049" s="1"/>
      <c r="B1049" s="1" t="s">
        <v>1053</v>
      </c>
      <c r="C1049" s="1" t="s">
        <v>443</v>
      </c>
      <c r="D1049" s="437">
        <v>0</v>
      </c>
      <c r="E1049" s="437"/>
      <c r="F1049" s="466"/>
      <c r="G1049" s="437">
        <v>0</v>
      </c>
      <c r="H1049" s="437">
        <v>0</v>
      </c>
      <c r="I1049" s="437">
        <v>13850.13</v>
      </c>
      <c r="J1049" s="437">
        <v>12335.51</v>
      </c>
    </row>
    <row r="1050" spans="1:10" ht="13.5" customHeight="1" x14ac:dyDescent="0.25">
      <c r="A1050" s="1"/>
      <c r="B1050" s="1" t="s">
        <v>1054</v>
      </c>
      <c r="C1050" s="1" t="s">
        <v>1055</v>
      </c>
      <c r="D1050" s="437">
        <v>0</v>
      </c>
      <c r="E1050" s="440"/>
      <c r="F1050" s="468"/>
      <c r="G1050" s="440">
        <v>0</v>
      </c>
      <c r="H1050" s="439">
        <v>0</v>
      </c>
      <c r="I1050" s="440" t="s">
        <v>12</v>
      </c>
      <c r="J1050" s="437"/>
    </row>
    <row r="1051" spans="1:10" ht="13.5" customHeight="1" x14ac:dyDescent="0.25">
      <c r="A1051" s="1"/>
      <c r="B1051" s="1" t="s">
        <v>1056</v>
      </c>
      <c r="C1051" s="1" t="s">
        <v>251</v>
      </c>
      <c r="D1051" s="437">
        <v>7000</v>
      </c>
      <c r="E1051" s="439">
        <v>4157.8999999999996</v>
      </c>
      <c r="F1051" s="466">
        <f>SUM(E1051/G1051)</f>
        <v>0.59398571428571423</v>
      </c>
      <c r="G1051" s="439">
        <v>7000</v>
      </c>
      <c r="H1051" s="439">
        <v>9134.6</v>
      </c>
      <c r="I1051" s="439">
        <v>620.42999999999995</v>
      </c>
      <c r="J1051" s="440">
        <v>314.47000000000003</v>
      </c>
    </row>
    <row r="1052" spans="1:10" ht="13.5" customHeight="1" x14ac:dyDescent="0.25">
      <c r="A1052" s="1"/>
      <c r="B1052" s="1"/>
      <c r="C1052" s="1"/>
      <c r="D1052" s="438">
        <v>233082</v>
      </c>
      <c r="E1052" s="438">
        <f t="shared" ref="E1052" si="444">SUM(E1047:E1051)</f>
        <v>107489.34999999999</v>
      </c>
      <c r="F1052" s="467"/>
      <c r="G1052" s="438">
        <v>218095</v>
      </c>
      <c r="H1052" s="438">
        <f>SUM(H1047:H1051)</f>
        <v>220691.94</v>
      </c>
      <c r="I1052" s="438">
        <f>SUM(I1047:I1051)</f>
        <v>209623.13</v>
      </c>
      <c r="J1052" s="438">
        <f t="shared" ref="J1052" si="445">SUM(J1047:J1051)</f>
        <v>193564.45</v>
      </c>
    </row>
    <row r="1053" spans="1:10" ht="13.5" customHeight="1" x14ac:dyDescent="0.25">
      <c r="A1053" s="1"/>
      <c r="B1053" s="1"/>
      <c r="C1053" s="1"/>
      <c r="D1053" s="437"/>
      <c r="E1053" s="440"/>
      <c r="F1053" s="468"/>
      <c r="G1053" s="440"/>
      <c r="H1053" s="440"/>
      <c r="I1053" s="440"/>
      <c r="J1053" s="440"/>
    </row>
    <row r="1054" spans="1:10" ht="13.5" customHeight="1" x14ac:dyDescent="0.25">
      <c r="A1054" s="1"/>
      <c r="B1054" s="1" t="s">
        <v>1057</v>
      </c>
      <c r="C1054" s="1" t="s">
        <v>257</v>
      </c>
      <c r="D1054" s="437">
        <v>20496.338999999996</v>
      </c>
      <c r="E1054" s="437">
        <v>7678.09</v>
      </c>
      <c r="F1054" s="466">
        <f t="shared" ref="F1054:F1058" si="446">SUM(E1054/G1054)</f>
        <v>0.45962407286087553</v>
      </c>
      <c r="G1054" s="437">
        <v>16705.151999999998</v>
      </c>
      <c r="H1054" s="437">
        <v>15491.61</v>
      </c>
      <c r="I1054" s="437">
        <v>14520.06</v>
      </c>
      <c r="J1054" s="437">
        <v>13584.84</v>
      </c>
    </row>
    <row r="1055" spans="1:10" ht="13.5" customHeight="1" x14ac:dyDescent="0.25">
      <c r="A1055" s="1"/>
      <c r="B1055" s="1" t="s">
        <v>1058</v>
      </c>
      <c r="C1055" s="1" t="s">
        <v>259</v>
      </c>
      <c r="D1055" s="437">
        <v>52304.423999999999</v>
      </c>
      <c r="E1055" s="437">
        <v>20829.72</v>
      </c>
      <c r="F1055" s="466">
        <f t="shared" si="446"/>
        <v>0.49767882153422854</v>
      </c>
      <c r="G1055" s="437">
        <v>41853.74</v>
      </c>
      <c r="H1055" s="437">
        <v>41503.72</v>
      </c>
      <c r="I1055" s="437">
        <v>40704.239999999998</v>
      </c>
      <c r="J1055" s="437">
        <v>37179.75</v>
      </c>
    </row>
    <row r="1056" spans="1:10" ht="13.5" customHeight="1" x14ac:dyDescent="0.25">
      <c r="A1056" s="1"/>
      <c r="B1056" s="1" t="s">
        <v>1059</v>
      </c>
      <c r="C1056" s="1" t="s">
        <v>261</v>
      </c>
      <c r="D1056" s="437">
        <v>40242.485200000003</v>
      </c>
      <c r="E1056" s="437">
        <v>16144.89</v>
      </c>
      <c r="F1056" s="466">
        <f t="shared" si="446"/>
        <v>0.49223921433878659</v>
      </c>
      <c r="G1056" s="437">
        <v>32798.870000000003</v>
      </c>
      <c r="H1056" s="437">
        <v>33147.93</v>
      </c>
      <c r="I1056" s="437">
        <v>30465.52</v>
      </c>
      <c r="J1056" s="437">
        <v>28030.25</v>
      </c>
    </row>
    <row r="1057" spans="1:10" ht="13.5" customHeight="1" x14ac:dyDescent="0.25">
      <c r="A1057" s="1"/>
      <c r="B1057" s="1" t="s">
        <v>1060</v>
      </c>
      <c r="C1057" s="1" t="s">
        <v>263</v>
      </c>
      <c r="D1057" s="437">
        <v>428.6816</v>
      </c>
      <c r="E1057" s="437">
        <v>171.98</v>
      </c>
      <c r="F1057" s="466">
        <f t="shared" si="446"/>
        <v>0.49223100454279012</v>
      </c>
      <c r="G1057" s="437">
        <v>349.3888</v>
      </c>
      <c r="H1057" s="437">
        <v>353.11</v>
      </c>
      <c r="I1057" s="437">
        <v>335.42</v>
      </c>
      <c r="J1057" s="437">
        <v>354.29</v>
      </c>
    </row>
    <row r="1058" spans="1:10" ht="13.5" customHeight="1" x14ac:dyDescent="0.25">
      <c r="A1058" s="1"/>
      <c r="B1058" s="1" t="s">
        <v>1061</v>
      </c>
      <c r="C1058" s="1" t="s">
        <v>265</v>
      </c>
      <c r="D1058" s="437">
        <v>1874.4</v>
      </c>
      <c r="E1058" s="437">
        <v>702.24</v>
      </c>
      <c r="F1058" s="466">
        <f t="shared" si="446"/>
        <v>0.5</v>
      </c>
      <c r="G1058" s="437">
        <v>1404.48</v>
      </c>
      <c r="H1058" s="437">
        <v>1349.28</v>
      </c>
      <c r="I1058" s="437">
        <v>1295.8399999999999</v>
      </c>
      <c r="J1058" s="437">
        <v>1149.1199999999999</v>
      </c>
    </row>
    <row r="1059" spans="1:10" ht="13.5" customHeight="1" x14ac:dyDescent="0.25">
      <c r="A1059" s="1"/>
      <c r="B1059" s="1"/>
      <c r="C1059" s="1"/>
      <c r="D1059" s="438">
        <v>115346.32979999999</v>
      </c>
      <c r="E1059" s="438">
        <f t="shared" ref="E1059" si="447">SUM(E1054:E1058)</f>
        <v>45526.92</v>
      </c>
      <c r="F1059" s="467"/>
      <c r="G1059" s="438">
        <v>93111.63</v>
      </c>
      <c r="H1059" s="438">
        <f>SUM(H1054:H1058)</f>
        <v>91845.650000000009</v>
      </c>
      <c r="I1059" s="438">
        <f>SUM(I1054:I1058)</f>
        <v>87321.079999999987</v>
      </c>
      <c r="J1059" s="438">
        <f t="shared" ref="J1059" si="448">SUM(J1054:J1058)</f>
        <v>80298.249999999985</v>
      </c>
    </row>
    <row r="1060" spans="1:10" ht="13.5" customHeight="1" x14ac:dyDescent="0.25">
      <c r="A1060" s="1"/>
      <c r="B1060" s="1"/>
      <c r="C1060" s="1"/>
      <c r="D1060" s="437"/>
      <c r="E1060" s="437"/>
      <c r="F1060" s="466"/>
      <c r="G1060" s="437"/>
      <c r="H1060" s="437"/>
      <c r="I1060" s="437"/>
      <c r="J1060" s="437"/>
    </row>
    <row r="1061" spans="1:10" ht="13.5" customHeight="1" x14ac:dyDescent="0.25">
      <c r="A1061" s="1"/>
      <c r="B1061" s="1" t="s">
        <v>1062</v>
      </c>
      <c r="C1061" s="1" t="s">
        <v>267</v>
      </c>
      <c r="D1061" s="437">
        <v>500</v>
      </c>
      <c r="E1061" s="437">
        <v>125.12</v>
      </c>
      <c r="F1061" s="466">
        <f>SUM(E1061/G1061)</f>
        <v>0.25024000000000002</v>
      </c>
      <c r="G1061" s="437">
        <v>500</v>
      </c>
      <c r="H1061" s="437">
        <v>330.92</v>
      </c>
      <c r="I1061" s="437">
        <v>216.37</v>
      </c>
      <c r="J1061" s="437">
        <v>218.99</v>
      </c>
    </row>
    <row r="1062" spans="1:10" ht="13.5" customHeight="1" x14ac:dyDescent="0.25">
      <c r="A1062" s="1"/>
      <c r="B1062" s="1" t="s">
        <v>1063</v>
      </c>
      <c r="C1062" s="1" t="s">
        <v>273</v>
      </c>
      <c r="D1062" s="437">
        <v>0</v>
      </c>
      <c r="E1062" s="437">
        <v>599.97</v>
      </c>
      <c r="F1062" s="466"/>
      <c r="G1062" s="437">
        <v>0</v>
      </c>
      <c r="H1062" s="437">
        <v>0</v>
      </c>
      <c r="I1062" s="437">
        <v>569.99</v>
      </c>
      <c r="J1062" s="440">
        <v>0</v>
      </c>
    </row>
    <row r="1063" spans="1:10" ht="13.5" customHeight="1" x14ac:dyDescent="0.25">
      <c r="A1063" s="1"/>
      <c r="B1063" s="1" t="s">
        <v>1064</v>
      </c>
      <c r="C1063" s="1" t="s">
        <v>275</v>
      </c>
      <c r="D1063" s="440">
        <v>0</v>
      </c>
      <c r="E1063" s="439">
        <v>0</v>
      </c>
      <c r="F1063" s="468"/>
      <c r="G1063" s="440">
        <v>0</v>
      </c>
      <c r="H1063" s="439">
        <v>0</v>
      </c>
      <c r="I1063" s="440">
        <v>0</v>
      </c>
      <c r="J1063" s="440">
        <v>0</v>
      </c>
    </row>
    <row r="1064" spans="1:10" ht="13.5" customHeight="1" x14ac:dyDescent="0.25">
      <c r="A1064" s="1"/>
      <c r="B1064" s="1"/>
      <c r="C1064" s="1"/>
      <c r="D1064" s="441">
        <v>500</v>
      </c>
      <c r="E1064" s="441">
        <f t="shared" ref="E1064" si="449">SUM(E1061:E1063)</f>
        <v>725.09</v>
      </c>
      <c r="F1064" s="469"/>
      <c r="G1064" s="452">
        <v>500</v>
      </c>
      <c r="H1064" s="441">
        <f>SUM(H1061:H1063)</f>
        <v>330.92</v>
      </c>
      <c r="I1064" s="441">
        <f>SUM(I1061:I1063)</f>
        <v>786.36</v>
      </c>
      <c r="J1064" s="441">
        <f t="shared" ref="J1064" si="450">SUM(J1061:J1063)</f>
        <v>218.99</v>
      </c>
    </row>
    <row r="1065" spans="1:10" ht="13.5" customHeight="1" x14ac:dyDescent="0.25">
      <c r="A1065" s="1"/>
      <c r="B1065" s="1"/>
      <c r="C1065" s="1"/>
      <c r="D1065" s="440"/>
      <c r="E1065" s="440"/>
      <c r="F1065" s="468"/>
      <c r="G1065" s="440"/>
      <c r="H1065" s="440"/>
      <c r="I1065" s="440"/>
      <c r="J1065" s="440"/>
    </row>
    <row r="1066" spans="1:10" ht="13.5" customHeight="1" x14ac:dyDescent="0.25">
      <c r="A1066" s="1"/>
      <c r="B1066" s="1" t="s">
        <v>1065</v>
      </c>
      <c r="C1066" s="1" t="s">
        <v>333</v>
      </c>
      <c r="D1066" s="437">
        <v>1050</v>
      </c>
      <c r="E1066" s="439">
        <v>1773.97</v>
      </c>
      <c r="F1066" s="466">
        <f>SUM(E1066/G1066)</f>
        <v>1.6894952380952382</v>
      </c>
      <c r="G1066" s="440">
        <v>1050</v>
      </c>
      <c r="H1066" s="439">
        <v>1122.29</v>
      </c>
      <c r="I1066" s="439">
        <v>397.65</v>
      </c>
      <c r="J1066" s="437">
        <v>57.77</v>
      </c>
    </row>
    <row r="1067" spans="1:10" ht="13.5" customHeight="1" x14ac:dyDescent="0.25">
      <c r="A1067" s="1"/>
      <c r="B1067" s="1" t="s">
        <v>1066</v>
      </c>
      <c r="C1067" s="1" t="s">
        <v>426</v>
      </c>
      <c r="D1067" s="437">
        <v>0</v>
      </c>
      <c r="E1067" s="440"/>
      <c r="F1067" s="468"/>
      <c r="G1067" s="440">
        <v>0</v>
      </c>
      <c r="H1067" s="439">
        <v>0</v>
      </c>
      <c r="I1067" s="440">
        <v>0</v>
      </c>
      <c r="J1067" s="440">
        <v>0</v>
      </c>
    </row>
    <row r="1068" spans="1:10" ht="13.5" customHeight="1" x14ac:dyDescent="0.25">
      <c r="A1068" s="1"/>
      <c r="B1068" s="1"/>
      <c r="C1068" s="1"/>
      <c r="D1068" s="441">
        <v>1050</v>
      </c>
      <c r="E1068" s="441">
        <f t="shared" ref="E1068" si="451">SUM(E1066:E1067)</f>
        <v>1773.97</v>
      </c>
      <c r="F1068" s="469"/>
      <c r="G1068" s="441">
        <v>1050</v>
      </c>
      <c r="H1068" s="441">
        <f>SUM(H1066:H1067)</f>
        <v>1122.29</v>
      </c>
      <c r="I1068" s="441">
        <f>SUM(I1066:I1067)</f>
        <v>397.65</v>
      </c>
      <c r="J1068" s="441">
        <f t="shared" ref="J1068" si="452">SUM(J1066:J1067)</f>
        <v>57.77</v>
      </c>
    </row>
    <row r="1069" spans="1:10" ht="13.5" customHeight="1" x14ac:dyDescent="0.25">
      <c r="A1069" s="1"/>
      <c r="B1069" s="1"/>
      <c r="C1069" s="1"/>
      <c r="D1069" s="440"/>
      <c r="E1069" s="440"/>
      <c r="F1069" s="468"/>
      <c r="G1069" s="440"/>
      <c r="H1069" s="440"/>
      <c r="I1069" s="440"/>
      <c r="J1069" s="440"/>
    </row>
    <row r="1070" spans="1:10" ht="13.5" customHeight="1" x14ac:dyDescent="0.25">
      <c r="A1070" s="1"/>
      <c r="B1070" s="1" t="s">
        <v>1067</v>
      </c>
      <c r="C1070" s="1" t="s">
        <v>352</v>
      </c>
      <c r="D1070" s="437">
        <v>525</v>
      </c>
      <c r="E1070" s="440"/>
      <c r="F1070" s="468"/>
      <c r="G1070" s="439">
        <v>0</v>
      </c>
      <c r="H1070" s="439">
        <v>0</v>
      </c>
      <c r="I1070" s="440">
        <v>0</v>
      </c>
      <c r="J1070" s="440">
        <v>0</v>
      </c>
    </row>
    <row r="1071" spans="1:10" ht="13.5" customHeight="1" x14ac:dyDescent="0.25">
      <c r="A1071" s="1"/>
      <c r="B1071" s="1"/>
      <c r="C1071" s="1"/>
      <c r="D1071" s="438">
        <v>525</v>
      </c>
      <c r="E1071" s="438">
        <f t="shared" ref="E1071" si="453">SUM(E1070)</f>
        <v>0</v>
      </c>
      <c r="F1071" s="467"/>
      <c r="G1071" s="438">
        <v>0</v>
      </c>
      <c r="H1071" s="438">
        <f>SUM(H1070)</f>
        <v>0</v>
      </c>
      <c r="I1071" s="438">
        <f>SUM(I1070)</f>
        <v>0</v>
      </c>
      <c r="J1071" s="438">
        <f t="shared" ref="J1071" si="454">SUM(J1070)</f>
        <v>0</v>
      </c>
    </row>
    <row r="1072" spans="1:10" ht="13.5" customHeight="1" thickBot="1" x14ac:dyDescent="0.3">
      <c r="A1072" s="1"/>
      <c r="B1072" s="1"/>
      <c r="C1072" s="39" t="s">
        <v>1068</v>
      </c>
      <c r="D1072" s="443">
        <v>350503.32980000001</v>
      </c>
      <c r="E1072" s="443">
        <f t="shared" ref="E1072" si="455">SUM(E1052+E1059+E1064+E1068+E1071)</f>
        <v>155515.32999999999</v>
      </c>
      <c r="F1072" s="470"/>
      <c r="G1072" s="443">
        <v>312756.63</v>
      </c>
      <c r="H1072" s="443">
        <f>SUM(H1052+H1059+H1064+H1068+H1071)</f>
        <v>313990.8</v>
      </c>
      <c r="I1072" s="443">
        <f>SUM(I1052+I1059+I1064+I1068+I1071)</f>
        <v>298128.21999999997</v>
      </c>
      <c r="J1072" s="443">
        <f t="shared" ref="J1072" si="456">SUM(J1052+J1059+J1064+J1068+J1071)</f>
        <v>274139.46000000002</v>
      </c>
    </row>
    <row r="1073" spans="1:10" ht="13.5" customHeight="1" thickTop="1" x14ac:dyDescent="0.25">
      <c r="A1073" s="1"/>
      <c r="B1073" s="1"/>
      <c r="C1073" s="1"/>
      <c r="D1073" s="437"/>
      <c r="E1073" s="440"/>
      <c r="F1073" s="468"/>
      <c r="G1073" s="440"/>
      <c r="H1073" s="440"/>
      <c r="I1073" s="440"/>
      <c r="J1073" s="440"/>
    </row>
    <row r="1074" spans="1:10" ht="13.5" customHeight="1" x14ac:dyDescent="0.25">
      <c r="A1074" s="1"/>
      <c r="B1074" s="1"/>
      <c r="C1074" s="14" t="s">
        <v>1069</v>
      </c>
      <c r="D1074" s="437"/>
      <c r="E1074" s="440"/>
      <c r="F1074" s="468"/>
      <c r="G1074" s="440"/>
      <c r="H1074" s="440"/>
      <c r="I1074" s="440"/>
      <c r="J1074" s="440"/>
    </row>
    <row r="1075" spans="1:10" ht="13.5" customHeight="1" x14ac:dyDescent="0.25">
      <c r="A1075" s="1"/>
      <c r="B1075" s="1" t="s">
        <v>1070</v>
      </c>
      <c r="C1075" s="1" t="s">
        <v>437</v>
      </c>
      <c r="D1075" s="437">
        <v>63638</v>
      </c>
      <c r="E1075" s="437">
        <v>27782.19</v>
      </c>
      <c r="F1075" s="466">
        <f t="shared" ref="F1075:F1076" si="457">SUM(E1075/G1075)</f>
        <v>0.45839902981503783</v>
      </c>
      <c r="G1075" s="437">
        <v>60607</v>
      </c>
      <c r="H1075" s="437">
        <v>59974.95</v>
      </c>
      <c r="I1075" s="437">
        <v>54781.54</v>
      </c>
      <c r="J1075" s="437">
        <v>53522.83</v>
      </c>
    </row>
    <row r="1076" spans="1:10" ht="13.5" customHeight="1" x14ac:dyDescent="0.25">
      <c r="A1076" s="1"/>
      <c r="B1076" s="1" t="s">
        <v>1071</v>
      </c>
      <c r="C1076" s="1" t="s">
        <v>439</v>
      </c>
      <c r="D1076" s="437">
        <v>92196</v>
      </c>
      <c r="E1076" s="437">
        <v>42332.23</v>
      </c>
      <c r="F1076" s="466">
        <f t="shared" si="457"/>
        <v>0.46709879948801697</v>
      </c>
      <c r="G1076" s="437">
        <v>90628</v>
      </c>
      <c r="H1076" s="437">
        <v>93747.65</v>
      </c>
      <c r="I1076" s="437">
        <v>80273.25</v>
      </c>
      <c r="J1076" s="437">
        <v>78244.12</v>
      </c>
    </row>
    <row r="1077" spans="1:10" ht="13.5" customHeight="1" x14ac:dyDescent="0.25">
      <c r="A1077" s="1"/>
      <c r="B1077" s="1" t="s">
        <v>1072</v>
      </c>
      <c r="C1077" s="1" t="s">
        <v>443</v>
      </c>
      <c r="D1077" s="437">
        <v>0</v>
      </c>
      <c r="E1077" s="437"/>
      <c r="F1077" s="466"/>
      <c r="G1077" s="437">
        <v>0</v>
      </c>
      <c r="H1077" s="437">
        <v>0</v>
      </c>
      <c r="I1077" s="437">
        <v>11848.81</v>
      </c>
      <c r="J1077" s="437">
        <v>11431.17</v>
      </c>
    </row>
    <row r="1078" spans="1:10" ht="13.5" customHeight="1" x14ac:dyDescent="0.25">
      <c r="A1078" s="1"/>
      <c r="B1078" s="1" t="s">
        <v>1073</v>
      </c>
      <c r="C1078" s="1" t="s">
        <v>1055</v>
      </c>
      <c r="D1078" s="437">
        <v>0</v>
      </c>
      <c r="E1078" s="437">
        <v>651.91</v>
      </c>
      <c r="F1078" s="466"/>
      <c r="G1078" s="437">
        <v>0</v>
      </c>
      <c r="H1078" s="437">
        <v>701.35</v>
      </c>
      <c r="I1078" s="437">
        <v>0</v>
      </c>
      <c r="J1078" s="437">
        <v>0</v>
      </c>
    </row>
    <row r="1079" spans="1:10" ht="13.5" customHeight="1" x14ac:dyDescent="0.25">
      <c r="A1079" s="1"/>
      <c r="B1079" s="1" t="s">
        <v>1074</v>
      </c>
      <c r="C1079" s="1" t="s">
        <v>1075</v>
      </c>
      <c r="D1079" s="437">
        <v>4000</v>
      </c>
      <c r="E1079" s="437">
        <v>651.91</v>
      </c>
      <c r="F1079" s="466">
        <f>SUM(E1079/G1079)</f>
        <v>0.1629775</v>
      </c>
      <c r="G1079" s="437">
        <v>4000</v>
      </c>
      <c r="H1079" s="437">
        <v>2236.96</v>
      </c>
      <c r="I1079" s="437">
        <v>4799.3999999999996</v>
      </c>
      <c r="J1079" s="437">
        <f>2502.21+369.44</f>
        <v>2871.65</v>
      </c>
    </row>
    <row r="1080" spans="1:10" ht="13.5" customHeight="1" x14ac:dyDescent="0.25">
      <c r="A1080" s="1"/>
      <c r="B1080" s="1"/>
      <c r="C1080" s="1"/>
      <c r="D1080" s="438">
        <v>159834</v>
      </c>
      <c r="E1080" s="438">
        <f t="shared" ref="E1080" si="458">SUM(E1075:E1079)</f>
        <v>71418.240000000005</v>
      </c>
      <c r="F1080" s="467"/>
      <c r="G1080" s="438">
        <v>155235</v>
      </c>
      <c r="H1080" s="438">
        <f>SUM(H1075:H1079)</f>
        <v>156660.90999999997</v>
      </c>
      <c r="I1080" s="438">
        <f>SUM(I1075:I1079)</f>
        <v>151703</v>
      </c>
      <c r="J1080" s="438">
        <f t="shared" ref="J1080" si="459">SUM(J1075:J1079)</f>
        <v>146069.77000000002</v>
      </c>
    </row>
    <row r="1081" spans="1:10" ht="13.5" customHeight="1" x14ac:dyDescent="0.25">
      <c r="A1081" s="1"/>
      <c r="B1081" s="1"/>
      <c r="C1081" s="1"/>
      <c r="D1081" s="437"/>
      <c r="E1081" s="437"/>
      <c r="F1081" s="466"/>
      <c r="G1081" s="437"/>
      <c r="H1081" s="437"/>
      <c r="I1081" s="437"/>
      <c r="J1081" s="437"/>
    </row>
    <row r="1082" spans="1:10" ht="13.5" customHeight="1" x14ac:dyDescent="0.25">
      <c r="A1082" s="1"/>
      <c r="B1082" s="1" t="s">
        <v>1076</v>
      </c>
      <c r="C1082" s="1" t="s">
        <v>257</v>
      </c>
      <c r="D1082" s="437">
        <v>12227.300999999999</v>
      </c>
      <c r="E1082" s="437">
        <v>4515.8999999999996</v>
      </c>
      <c r="F1082" s="466">
        <f t="shared" ref="F1082:F1086" si="460">SUM(E1082/G1082)</f>
        <v>0.3802709448375981</v>
      </c>
      <c r="G1082" s="437">
        <v>11875.48</v>
      </c>
      <c r="H1082" s="437">
        <v>10129.620000000001</v>
      </c>
      <c r="I1082" s="437">
        <v>10049.17</v>
      </c>
      <c r="J1082" s="437">
        <v>9726.6200000000008</v>
      </c>
    </row>
    <row r="1083" spans="1:10" ht="13.5" customHeight="1" x14ac:dyDescent="0.25">
      <c r="A1083" s="1"/>
      <c r="B1083" s="1" t="s">
        <v>1077</v>
      </c>
      <c r="C1083" s="1" t="s">
        <v>259</v>
      </c>
      <c r="D1083" s="437">
        <v>31382.654400000003</v>
      </c>
      <c r="E1083" s="437">
        <v>15897.96</v>
      </c>
      <c r="F1083" s="466">
        <f t="shared" si="460"/>
        <v>0.50646091308461527</v>
      </c>
      <c r="G1083" s="437">
        <v>31390.3</v>
      </c>
      <c r="H1083" s="437">
        <v>30363.919999999998</v>
      </c>
      <c r="I1083" s="437">
        <v>30528.18</v>
      </c>
      <c r="J1083" s="437">
        <v>30420</v>
      </c>
    </row>
    <row r="1084" spans="1:10" ht="13.5" customHeight="1" x14ac:dyDescent="0.25">
      <c r="A1084" s="1"/>
      <c r="B1084" s="1" t="s">
        <v>1078</v>
      </c>
      <c r="C1084" s="1" t="s">
        <v>261</v>
      </c>
      <c r="D1084" s="437">
        <v>24007.066800000001</v>
      </c>
      <c r="E1084" s="437">
        <v>10742</v>
      </c>
      <c r="F1084" s="466">
        <f t="shared" si="460"/>
        <v>0.46070774522544317</v>
      </c>
      <c r="G1084" s="437">
        <v>23316.3</v>
      </c>
      <c r="H1084" s="437">
        <v>23541.88</v>
      </c>
      <c r="I1084" s="437">
        <v>22047.47</v>
      </c>
      <c r="J1084" s="437">
        <v>21148.95</v>
      </c>
    </row>
    <row r="1085" spans="1:10" ht="13.5" customHeight="1" x14ac:dyDescent="0.25">
      <c r="A1085" s="1"/>
      <c r="B1085" s="1" t="s">
        <v>1079</v>
      </c>
      <c r="C1085" s="1" t="s">
        <v>263</v>
      </c>
      <c r="D1085" s="437">
        <v>255.73440000000002</v>
      </c>
      <c r="E1085" s="437">
        <v>114.43</v>
      </c>
      <c r="F1085" s="466">
        <f t="shared" si="460"/>
        <v>0.46070537080280222</v>
      </c>
      <c r="G1085" s="437">
        <v>248.38</v>
      </c>
      <c r="H1085" s="437">
        <v>250.8</v>
      </c>
      <c r="I1085" s="437">
        <v>242.71</v>
      </c>
      <c r="J1085" s="437">
        <v>267.08</v>
      </c>
    </row>
    <row r="1086" spans="1:10" ht="13.5" customHeight="1" x14ac:dyDescent="0.25">
      <c r="A1086" s="1"/>
      <c r="B1086" s="1" t="s">
        <v>1080</v>
      </c>
      <c r="C1086" s="1" t="s">
        <v>265</v>
      </c>
      <c r="D1086" s="437">
        <v>1124.6399999999999</v>
      </c>
      <c r="E1086" s="437">
        <v>526.67999999999995</v>
      </c>
      <c r="F1086" s="466">
        <f t="shared" si="460"/>
        <v>0.5</v>
      </c>
      <c r="G1086" s="437">
        <v>1053.3599999999999</v>
      </c>
      <c r="H1086" s="437">
        <v>991.77</v>
      </c>
      <c r="I1086" s="437">
        <v>971.88</v>
      </c>
      <c r="J1086" s="437">
        <v>939.72</v>
      </c>
    </row>
    <row r="1087" spans="1:10" ht="13.5" customHeight="1" x14ac:dyDescent="0.25">
      <c r="A1087" s="1"/>
      <c r="B1087" s="1"/>
      <c r="C1087" s="1"/>
      <c r="D1087" s="438">
        <v>68997.396600000007</v>
      </c>
      <c r="E1087" s="438">
        <f t="shared" ref="E1087" si="461">SUM(E1082:E1086)</f>
        <v>31796.97</v>
      </c>
      <c r="F1087" s="467"/>
      <c r="G1087" s="438">
        <v>67883.81</v>
      </c>
      <c r="H1087" s="438">
        <f>SUM(H1082:H1086)</f>
        <v>65277.99</v>
      </c>
      <c r="I1087" s="438">
        <f>SUM(I1082:I1086)</f>
        <v>63839.409999999996</v>
      </c>
      <c r="J1087" s="438">
        <f t="shared" ref="J1087" si="462">SUM(J1082:J1086)</f>
        <v>62502.37000000001</v>
      </c>
    </row>
    <row r="1088" spans="1:10" ht="13.5" customHeight="1" x14ac:dyDescent="0.25">
      <c r="A1088" s="1"/>
      <c r="B1088" s="1"/>
      <c r="C1088" s="1"/>
      <c r="D1088" s="437"/>
      <c r="E1088" s="437"/>
      <c r="F1088" s="466"/>
      <c r="G1088" s="437"/>
      <c r="H1088" s="437"/>
      <c r="I1088" s="437"/>
      <c r="J1088" s="437"/>
    </row>
    <row r="1089" spans="1:10" ht="13.5" customHeight="1" x14ac:dyDescent="0.25">
      <c r="A1089" s="1"/>
      <c r="B1089" s="1" t="s">
        <v>1081</v>
      </c>
      <c r="C1089" s="1" t="s">
        <v>267</v>
      </c>
      <c r="D1089" s="437">
        <v>3000</v>
      </c>
      <c r="E1089" s="437">
        <v>752.15</v>
      </c>
      <c r="F1089" s="466">
        <f t="shared" ref="F1089:F1090" si="463">SUM(E1089/G1089)</f>
        <v>0.25071666666666664</v>
      </c>
      <c r="G1089" s="437">
        <v>3000</v>
      </c>
      <c r="H1089" s="437">
        <v>2547.27</v>
      </c>
      <c r="I1089" s="437">
        <v>2392.59</v>
      </c>
      <c r="J1089" s="437">
        <v>2808.36</v>
      </c>
    </row>
    <row r="1090" spans="1:10" ht="13.5" customHeight="1" x14ac:dyDescent="0.25">
      <c r="A1090" s="1"/>
      <c r="B1090" s="1" t="s">
        <v>1082</v>
      </c>
      <c r="C1090" s="1" t="s">
        <v>269</v>
      </c>
      <c r="D1090" s="437">
        <v>4000</v>
      </c>
      <c r="E1090" s="437">
        <v>1598.17</v>
      </c>
      <c r="F1090" s="466">
        <f t="shared" si="463"/>
        <v>0.39954250000000002</v>
      </c>
      <c r="G1090" s="437">
        <v>4000</v>
      </c>
      <c r="H1090" s="437">
        <v>4325</v>
      </c>
      <c r="I1090" s="437">
        <v>5192.8100000000004</v>
      </c>
      <c r="J1090" s="437">
        <v>4755.05</v>
      </c>
    </row>
    <row r="1091" spans="1:10" ht="13.5" customHeight="1" x14ac:dyDescent="0.25">
      <c r="A1091" s="1"/>
      <c r="B1091" s="1" t="s">
        <v>1083</v>
      </c>
      <c r="C1091" s="1" t="s">
        <v>492</v>
      </c>
      <c r="D1091" s="437">
        <v>0</v>
      </c>
      <c r="E1091" s="440"/>
      <c r="F1091" s="466"/>
      <c r="G1091" s="440">
        <v>0</v>
      </c>
      <c r="H1091" s="439">
        <v>0</v>
      </c>
      <c r="I1091" s="439">
        <v>77</v>
      </c>
      <c r="J1091" s="440">
        <v>0</v>
      </c>
    </row>
    <row r="1092" spans="1:10" ht="13.5" customHeight="1" x14ac:dyDescent="0.25">
      <c r="A1092" s="1"/>
      <c r="B1092" s="1" t="s">
        <v>1084</v>
      </c>
      <c r="C1092" s="1" t="s">
        <v>1085</v>
      </c>
      <c r="D1092" s="437">
        <v>600</v>
      </c>
      <c r="E1092" s="440"/>
      <c r="F1092" s="466">
        <f>SUM(E1092/G1092)</f>
        <v>0</v>
      </c>
      <c r="G1092" s="440">
        <v>600</v>
      </c>
      <c r="H1092" s="439">
        <v>1478</v>
      </c>
      <c r="I1092" s="440">
        <v>0</v>
      </c>
      <c r="J1092" s="440">
        <v>0</v>
      </c>
    </row>
    <row r="1093" spans="1:10" ht="13.5" customHeight="1" x14ac:dyDescent="0.25">
      <c r="A1093" s="1"/>
      <c r="B1093" s="1" t="s">
        <v>1086</v>
      </c>
      <c r="C1093" s="1" t="s">
        <v>455</v>
      </c>
      <c r="D1093" s="437">
        <v>0</v>
      </c>
      <c r="E1093" s="439">
        <v>287.99</v>
      </c>
      <c r="F1093" s="466"/>
      <c r="G1093" s="440">
        <v>0</v>
      </c>
      <c r="H1093" s="439">
        <v>0</v>
      </c>
      <c r="I1093" s="439">
        <v>319.98</v>
      </c>
      <c r="J1093" s="437">
        <v>365.86</v>
      </c>
    </row>
    <row r="1094" spans="1:10" ht="13.5" customHeight="1" x14ac:dyDescent="0.25">
      <c r="A1094" s="1"/>
      <c r="B1094" s="1" t="s">
        <v>1087</v>
      </c>
      <c r="C1094" s="1" t="s">
        <v>275</v>
      </c>
      <c r="D1094" s="437">
        <v>0</v>
      </c>
      <c r="E1094" s="437"/>
      <c r="F1094" s="466"/>
      <c r="G1094" s="437">
        <v>0</v>
      </c>
      <c r="H1094" s="437">
        <v>112.37</v>
      </c>
      <c r="I1094" s="437">
        <v>580.22</v>
      </c>
      <c r="J1094" s="440">
        <v>0</v>
      </c>
    </row>
    <row r="1095" spans="1:10" ht="13.5" customHeight="1" x14ac:dyDescent="0.25">
      <c r="A1095" s="1"/>
      <c r="B1095" s="1"/>
      <c r="C1095" s="1"/>
      <c r="D1095" s="441">
        <v>7600</v>
      </c>
      <c r="E1095" s="441">
        <f t="shared" ref="E1095" si="464">SUM(E1089:E1094)</f>
        <v>2638.3100000000004</v>
      </c>
      <c r="F1095" s="469"/>
      <c r="G1095" s="441">
        <v>7600</v>
      </c>
      <c r="H1095" s="441">
        <f>SUM(H1089:H1094)</f>
        <v>8462.6400000000012</v>
      </c>
      <c r="I1095" s="441">
        <f>SUM(I1089:I1094)</f>
        <v>8562.6</v>
      </c>
      <c r="J1095" s="441">
        <f t="shared" ref="J1095" si="465">SUM(J1089:J1094)</f>
        <v>7929.2699999999995</v>
      </c>
    </row>
    <row r="1096" spans="1:10" ht="13.5" customHeight="1" x14ac:dyDescent="0.25">
      <c r="A1096" s="1"/>
      <c r="B1096" s="1"/>
      <c r="C1096" s="1"/>
      <c r="D1096" s="440"/>
      <c r="E1096" s="437"/>
      <c r="F1096" s="466"/>
      <c r="G1096" s="437"/>
      <c r="H1096" s="437"/>
      <c r="I1096" s="437"/>
      <c r="J1096" s="440"/>
    </row>
    <row r="1097" spans="1:10" ht="13.5" customHeight="1" x14ac:dyDescent="0.25">
      <c r="A1097" s="1"/>
      <c r="B1097" s="1" t="s">
        <v>1088</v>
      </c>
      <c r="C1097" s="1" t="s">
        <v>283</v>
      </c>
      <c r="D1097" s="437">
        <v>2000</v>
      </c>
      <c r="E1097" s="437">
        <v>400</v>
      </c>
      <c r="F1097" s="466">
        <f t="shared" ref="F1097:F1100" si="466">SUM(E1097/G1097)</f>
        <v>0.2</v>
      </c>
      <c r="G1097" s="437">
        <v>2000</v>
      </c>
      <c r="H1097" s="437">
        <v>288</v>
      </c>
      <c r="I1097" s="437">
        <v>1285.25</v>
      </c>
      <c r="J1097" s="437">
        <v>1332.37</v>
      </c>
    </row>
    <row r="1098" spans="1:10" ht="13.5" customHeight="1" x14ac:dyDescent="0.25">
      <c r="A1098" s="1"/>
      <c r="B1098" s="1" t="s">
        <v>1089</v>
      </c>
      <c r="C1098" s="1" t="s">
        <v>502</v>
      </c>
      <c r="D1098" s="437">
        <v>150</v>
      </c>
      <c r="E1098" s="437">
        <v>150</v>
      </c>
      <c r="F1098" s="466">
        <f t="shared" si="466"/>
        <v>1</v>
      </c>
      <c r="G1098" s="437">
        <v>150</v>
      </c>
      <c r="H1098" s="437">
        <v>175</v>
      </c>
      <c r="I1098" s="437">
        <v>150</v>
      </c>
      <c r="J1098" s="437">
        <v>150</v>
      </c>
    </row>
    <row r="1099" spans="1:10" ht="13.5" customHeight="1" x14ac:dyDescent="0.25">
      <c r="A1099" s="1"/>
      <c r="B1099" s="1" t="s">
        <v>1090</v>
      </c>
      <c r="C1099" s="1" t="s">
        <v>287</v>
      </c>
      <c r="D1099" s="437">
        <v>325</v>
      </c>
      <c r="E1099" s="437">
        <v>147</v>
      </c>
      <c r="F1099" s="466">
        <f t="shared" si="466"/>
        <v>0.4523076923076923</v>
      </c>
      <c r="G1099" s="437">
        <v>325</v>
      </c>
      <c r="H1099" s="437">
        <v>147</v>
      </c>
      <c r="I1099" s="437">
        <v>324.5</v>
      </c>
      <c r="J1099" s="437">
        <v>147</v>
      </c>
    </row>
    <row r="1100" spans="1:10" ht="13.5" customHeight="1" x14ac:dyDescent="0.25">
      <c r="A1100" s="1"/>
      <c r="B1100" s="1" t="s">
        <v>1091</v>
      </c>
      <c r="C1100" s="1" t="s">
        <v>289</v>
      </c>
      <c r="D1100" s="437">
        <v>1000</v>
      </c>
      <c r="E1100" s="437"/>
      <c r="F1100" s="466">
        <f t="shared" si="466"/>
        <v>0</v>
      </c>
      <c r="G1100" s="437">
        <v>1000</v>
      </c>
      <c r="H1100" s="437">
        <v>246.03</v>
      </c>
      <c r="I1100" s="437">
        <v>1465.81</v>
      </c>
      <c r="J1100" s="437">
        <v>1445.83</v>
      </c>
    </row>
    <row r="1101" spans="1:10" ht="13.5" customHeight="1" x14ac:dyDescent="0.25">
      <c r="A1101" s="1"/>
      <c r="B1101" s="1"/>
      <c r="C1101" s="1"/>
      <c r="D1101" s="438">
        <v>3475</v>
      </c>
      <c r="E1101" s="438">
        <f t="shared" ref="E1101" si="467">SUM(E1097:E1100)</f>
        <v>697</v>
      </c>
      <c r="F1101" s="467"/>
      <c r="G1101" s="438">
        <v>3475</v>
      </c>
      <c r="H1101" s="438">
        <f>SUM(H1097:H1100)</f>
        <v>856.03</v>
      </c>
      <c r="I1101" s="438">
        <f>SUM(I1097:I1100)</f>
        <v>3225.56</v>
      </c>
      <c r="J1101" s="438">
        <f t="shared" ref="J1101" si="468">SUM(J1097:J1100)</f>
        <v>3075.2</v>
      </c>
    </row>
    <row r="1102" spans="1:10" ht="13.5" customHeight="1" thickBot="1" x14ac:dyDescent="0.3">
      <c r="A1102" s="1"/>
      <c r="B1102" s="1"/>
      <c r="C1102" s="39" t="s">
        <v>1092</v>
      </c>
      <c r="D1102" s="451">
        <v>239906.39660000001</v>
      </c>
      <c r="E1102" s="451">
        <f t="shared" ref="E1102" si="469">SUM(E1080+E1087+E1095+E1101)</f>
        <v>106550.52</v>
      </c>
      <c r="F1102" s="478"/>
      <c r="G1102" s="451">
        <v>234193.81</v>
      </c>
      <c r="H1102" s="451">
        <f>SUM(H1080+H1087+H1095+H1101)</f>
        <v>231257.56999999998</v>
      </c>
      <c r="I1102" s="451">
        <f>SUM(I1080+I1087+I1095+I1101)</f>
        <v>227330.57</v>
      </c>
      <c r="J1102" s="451">
        <f t="shared" ref="J1102" si="470">SUM(J1080+J1087+J1095+J1101)</f>
        <v>219576.61000000002</v>
      </c>
    </row>
    <row r="1103" spans="1:10" ht="13.5" customHeight="1" thickTop="1" x14ac:dyDescent="0.25">
      <c r="A1103" s="1"/>
      <c r="B1103" s="1"/>
      <c r="C1103" s="1"/>
      <c r="D1103" s="437"/>
      <c r="E1103" s="437"/>
      <c r="F1103" s="466"/>
      <c r="G1103" s="437"/>
      <c r="H1103" s="437"/>
      <c r="I1103" s="437"/>
      <c r="J1103" s="437"/>
    </row>
    <row r="1104" spans="1:10" ht="13.5" customHeight="1" x14ac:dyDescent="0.25">
      <c r="A1104" s="1"/>
      <c r="B1104" s="1"/>
      <c r="C1104" s="14" t="s">
        <v>1093</v>
      </c>
      <c r="D1104" s="437"/>
      <c r="E1104" s="437"/>
      <c r="F1104" s="466"/>
      <c r="G1104" s="437"/>
      <c r="H1104" s="437"/>
      <c r="I1104" s="437"/>
      <c r="J1104" s="437"/>
    </row>
    <row r="1105" spans="1:10" ht="13.5" customHeight="1" x14ac:dyDescent="0.25">
      <c r="A1105" s="1"/>
      <c r="B1105" s="1" t="s">
        <v>1094</v>
      </c>
      <c r="C1105" s="1" t="s">
        <v>439</v>
      </c>
      <c r="D1105" s="437">
        <v>93411</v>
      </c>
      <c r="E1105" s="437">
        <v>26284.33</v>
      </c>
      <c r="F1105" s="466">
        <f>SUM(E1105/G1105)</f>
        <v>0.46142001966154067</v>
      </c>
      <c r="G1105" s="437">
        <v>56964</v>
      </c>
      <c r="H1105" s="437">
        <v>56316.54</v>
      </c>
      <c r="I1105" s="437">
        <v>39582.879999999997</v>
      </c>
      <c r="J1105" s="440">
        <v>0</v>
      </c>
    </row>
    <row r="1106" spans="1:10" ht="13.5" customHeight="1" x14ac:dyDescent="0.25">
      <c r="A1106" s="1"/>
      <c r="B1106" s="1"/>
      <c r="C1106" s="1"/>
      <c r="D1106" s="438">
        <v>93411</v>
      </c>
      <c r="E1106" s="438">
        <f t="shared" ref="E1106" si="471">SUM(E1105)</f>
        <v>26284.33</v>
      </c>
      <c r="F1106" s="467"/>
      <c r="G1106" s="438">
        <v>56964</v>
      </c>
      <c r="H1106" s="438">
        <f>SUM(H1105)</f>
        <v>56316.54</v>
      </c>
      <c r="I1106" s="438">
        <f>SUM(I1105)</f>
        <v>39582.879999999997</v>
      </c>
      <c r="J1106" s="438">
        <f t="shared" ref="J1106" si="472">SUM(J1105)</f>
        <v>0</v>
      </c>
    </row>
    <row r="1107" spans="1:10" ht="13.5" customHeight="1" x14ac:dyDescent="0.25">
      <c r="A1107" s="1"/>
      <c r="B1107" s="1"/>
      <c r="C1107" s="1"/>
      <c r="D1107" s="437"/>
      <c r="E1107" s="437"/>
      <c r="F1107" s="466"/>
      <c r="G1107" s="437"/>
      <c r="H1107" s="437"/>
      <c r="I1107" s="437"/>
      <c r="J1107" s="440"/>
    </row>
    <row r="1108" spans="1:10" ht="13.5" customHeight="1" x14ac:dyDescent="0.25">
      <c r="A1108" s="1"/>
      <c r="B1108" s="1" t="s">
        <v>1095</v>
      </c>
      <c r="C1108" s="1" t="s">
        <v>257</v>
      </c>
      <c r="D1108" s="437">
        <v>7145.9414999999999</v>
      </c>
      <c r="E1108" s="437">
        <v>1787.55</v>
      </c>
      <c r="F1108" s="466">
        <f t="shared" ref="F1108:F1112" si="473">SUM(E1108/G1108)</f>
        <v>0.41020059452753782</v>
      </c>
      <c r="G1108" s="437">
        <v>4357.7460000000001</v>
      </c>
      <c r="H1108" s="437">
        <v>3844.74</v>
      </c>
      <c r="I1108" s="437">
        <v>2671.78</v>
      </c>
      <c r="J1108" s="440">
        <v>0</v>
      </c>
    </row>
    <row r="1109" spans="1:10" ht="13.5" customHeight="1" x14ac:dyDescent="0.25">
      <c r="A1109" s="1"/>
      <c r="B1109" s="1" t="s">
        <v>1096</v>
      </c>
      <c r="C1109" s="1" t="s">
        <v>259</v>
      </c>
      <c r="D1109" s="437">
        <v>20921.7696</v>
      </c>
      <c r="E1109" s="439">
        <v>5299.32</v>
      </c>
      <c r="F1109" s="466">
        <f t="shared" si="473"/>
        <v>0.50646107442779276</v>
      </c>
      <c r="G1109" s="439">
        <v>10463.43</v>
      </c>
      <c r="H1109" s="439">
        <v>10436.02</v>
      </c>
      <c r="I1109" s="439">
        <v>5117.92</v>
      </c>
      <c r="J1109" s="440">
        <v>0</v>
      </c>
    </row>
    <row r="1110" spans="1:10" ht="13.5" customHeight="1" x14ac:dyDescent="0.25">
      <c r="A1110" s="1"/>
      <c r="B1110" s="1" t="s">
        <v>1097</v>
      </c>
      <c r="C1110" s="1" t="s">
        <v>261</v>
      </c>
      <c r="D1110" s="437">
        <v>14030.332200000001</v>
      </c>
      <c r="E1110" s="437">
        <v>3939.83</v>
      </c>
      <c r="F1110" s="466">
        <f t="shared" si="473"/>
        <v>0.46047622776557712</v>
      </c>
      <c r="G1110" s="437">
        <v>8555.99</v>
      </c>
      <c r="H1110" s="437">
        <v>8466.82</v>
      </c>
      <c r="I1110" s="437">
        <v>5754.96</v>
      </c>
      <c r="J1110" s="440">
        <v>0</v>
      </c>
    </row>
    <row r="1111" spans="1:10" ht="13.5" customHeight="1" x14ac:dyDescent="0.25">
      <c r="A1111" s="1"/>
      <c r="B1111" s="1" t="s">
        <v>1098</v>
      </c>
      <c r="C1111" s="1" t="s">
        <v>263</v>
      </c>
      <c r="D1111" s="437">
        <v>149.45760000000001</v>
      </c>
      <c r="E1111" s="437">
        <v>41.97</v>
      </c>
      <c r="F1111" s="466">
        <f t="shared" si="473"/>
        <v>0.46048820307562666</v>
      </c>
      <c r="G1111" s="437">
        <v>91.142400000000009</v>
      </c>
      <c r="H1111" s="437">
        <v>90.19</v>
      </c>
      <c r="I1111" s="437">
        <v>63.33</v>
      </c>
      <c r="J1111" s="440">
        <v>0</v>
      </c>
    </row>
    <row r="1112" spans="1:10" ht="13.5" customHeight="1" x14ac:dyDescent="0.25">
      <c r="A1112" s="1"/>
      <c r="B1112" s="1" t="s">
        <v>1099</v>
      </c>
      <c r="C1112" s="1" t="s">
        <v>265</v>
      </c>
      <c r="D1112" s="437">
        <v>749.76</v>
      </c>
      <c r="E1112" s="439">
        <v>175.56</v>
      </c>
      <c r="F1112" s="466">
        <f t="shared" si="473"/>
        <v>0.5</v>
      </c>
      <c r="G1112" s="439">
        <v>351.12</v>
      </c>
      <c r="H1112" s="439">
        <v>337.32</v>
      </c>
      <c r="I1112" s="439">
        <v>163.04</v>
      </c>
      <c r="J1112" s="440">
        <v>0</v>
      </c>
    </row>
    <row r="1113" spans="1:10" ht="13.5" customHeight="1" x14ac:dyDescent="0.25">
      <c r="A1113" s="1"/>
      <c r="B1113" s="1"/>
      <c r="C1113" s="1"/>
      <c r="D1113" s="438">
        <v>42997.260900000008</v>
      </c>
      <c r="E1113" s="438">
        <f t="shared" ref="E1113" si="474">SUM(E1108:E1112)</f>
        <v>11244.23</v>
      </c>
      <c r="F1113" s="467"/>
      <c r="G1113" s="438">
        <f>SUM(G1108:G1112)</f>
        <v>23819.428399999997</v>
      </c>
      <c r="H1113" s="438">
        <f>SUM(H1108:H1112)</f>
        <v>23175.09</v>
      </c>
      <c r="I1113" s="438">
        <f>SUM(I1108:I1112)</f>
        <v>13771.03</v>
      </c>
      <c r="J1113" s="438">
        <f t="shared" ref="J1113" si="475">SUM(J1108:J1112)</f>
        <v>0</v>
      </c>
    </row>
    <row r="1114" spans="1:10" ht="13.5" customHeight="1" x14ac:dyDescent="0.25">
      <c r="A1114" s="1"/>
      <c r="B1114" s="1"/>
      <c r="C1114" s="1"/>
      <c r="D1114" s="437"/>
      <c r="E1114" s="440"/>
      <c r="F1114" s="468"/>
      <c r="G1114" s="440"/>
      <c r="H1114" s="440"/>
      <c r="I1114" s="440"/>
      <c r="J1114" s="440"/>
    </row>
    <row r="1115" spans="1:10" ht="13.5" customHeight="1" x14ac:dyDescent="0.25">
      <c r="A1115" s="1"/>
      <c r="B1115" s="1" t="s">
        <v>1100</v>
      </c>
      <c r="C1115" s="1" t="s">
        <v>267</v>
      </c>
      <c r="D1115" s="437">
        <v>2000</v>
      </c>
      <c r="E1115" s="437">
        <v>94</v>
      </c>
      <c r="F1115" s="466">
        <f t="shared" ref="F1115:F1116" si="476">SUM(E1115/G1115)</f>
        <v>4.7E-2</v>
      </c>
      <c r="G1115" s="437">
        <v>2000</v>
      </c>
      <c r="H1115" s="437">
        <v>607.22</v>
      </c>
      <c r="I1115" s="437">
        <v>843.83</v>
      </c>
      <c r="J1115" s="440">
        <v>0</v>
      </c>
    </row>
    <row r="1116" spans="1:10" ht="13.5" customHeight="1" x14ac:dyDescent="0.25">
      <c r="A1116" s="1"/>
      <c r="B1116" s="1" t="s">
        <v>1101</v>
      </c>
      <c r="C1116" s="1" t="s">
        <v>269</v>
      </c>
      <c r="D1116" s="437">
        <v>500</v>
      </c>
      <c r="E1116" s="439">
        <v>16.88</v>
      </c>
      <c r="F1116" s="466">
        <f t="shared" si="476"/>
        <v>3.3759999999999998E-2</v>
      </c>
      <c r="G1116" s="439">
        <v>500</v>
      </c>
      <c r="H1116" s="439">
        <v>106.1</v>
      </c>
      <c r="I1116" s="439">
        <v>83.15</v>
      </c>
      <c r="J1116" s="440">
        <v>0</v>
      </c>
    </row>
    <row r="1117" spans="1:10" ht="13.5" customHeight="1" x14ac:dyDescent="0.25">
      <c r="A1117" s="1"/>
      <c r="B1117" s="22" t="s">
        <v>1102</v>
      </c>
      <c r="C1117" s="22" t="s">
        <v>1085</v>
      </c>
      <c r="D1117" s="437">
        <v>0</v>
      </c>
      <c r="E1117" s="440"/>
      <c r="F1117" s="466"/>
      <c r="G1117" s="439">
        <v>0</v>
      </c>
      <c r="H1117" s="439">
        <v>579</v>
      </c>
      <c r="I1117" s="439"/>
      <c r="J1117" s="439"/>
    </row>
    <row r="1118" spans="1:10" ht="13.5" customHeight="1" x14ac:dyDescent="0.25">
      <c r="A1118" s="1"/>
      <c r="B1118" s="22" t="s">
        <v>1103</v>
      </c>
      <c r="C1118" s="22" t="s">
        <v>455</v>
      </c>
      <c r="D1118" s="437">
        <v>0</v>
      </c>
      <c r="E1118" s="440"/>
      <c r="F1118" s="466"/>
      <c r="G1118" s="439">
        <v>0</v>
      </c>
      <c r="H1118" s="439">
        <v>0</v>
      </c>
      <c r="I1118" s="439">
        <v>209.99</v>
      </c>
      <c r="J1118" s="439">
        <v>0</v>
      </c>
    </row>
    <row r="1119" spans="1:10" ht="13.5" customHeight="1" x14ac:dyDescent="0.25">
      <c r="A1119" s="1"/>
      <c r="B1119" s="1" t="s">
        <v>1104</v>
      </c>
      <c r="C1119" s="1" t="s">
        <v>275</v>
      </c>
      <c r="D1119" s="437">
        <v>600</v>
      </c>
      <c r="E1119" s="440"/>
      <c r="F1119" s="466">
        <f>SUM(E1119/G1119)</f>
        <v>0</v>
      </c>
      <c r="G1119" s="439">
        <v>600</v>
      </c>
      <c r="H1119" s="439">
        <v>1020.54</v>
      </c>
      <c r="I1119" s="439">
        <v>286</v>
      </c>
      <c r="J1119" s="440">
        <v>0</v>
      </c>
    </row>
    <row r="1120" spans="1:10" ht="13.5" customHeight="1" x14ac:dyDescent="0.25">
      <c r="A1120" s="1"/>
      <c r="B1120" s="1"/>
      <c r="C1120" s="1"/>
      <c r="D1120" s="438">
        <v>3100</v>
      </c>
      <c r="E1120" s="438">
        <f t="shared" ref="E1120" si="477">SUM(E1115:E1119)</f>
        <v>110.88</v>
      </c>
      <c r="F1120" s="467"/>
      <c r="G1120" s="438">
        <f>SUM(G1115:G1119)</f>
        <v>3100</v>
      </c>
      <c r="H1120" s="438">
        <f>SUM(H1115:H1119)</f>
        <v>2312.86</v>
      </c>
      <c r="I1120" s="438">
        <f>SUM(I1115:I1119)</f>
        <v>1422.97</v>
      </c>
      <c r="J1120" s="438">
        <f t="shared" ref="J1120" si="478">SUM(J1115:J1119)</f>
        <v>0</v>
      </c>
    </row>
    <row r="1121" spans="1:10" ht="13.5" customHeight="1" x14ac:dyDescent="0.25">
      <c r="A1121" s="1"/>
      <c r="B1121" s="1"/>
      <c r="C1121" s="1"/>
      <c r="D1121" s="437"/>
      <c r="E1121" s="440"/>
      <c r="F1121" s="468"/>
      <c r="G1121" s="440"/>
      <c r="H1121" s="440"/>
      <c r="I1121" s="440"/>
      <c r="J1121" s="440"/>
    </row>
    <row r="1122" spans="1:10" ht="13.5" customHeight="1" x14ac:dyDescent="0.25">
      <c r="A1122" s="1"/>
      <c r="B1122" s="1" t="s">
        <v>1105</v>
      </c>
      <c r="C1122" s="1" t="s">
        <v>281</v>
      </c>
      <c r="D1122" s="437">
        <v>500</v>
      </c>
      <c r="E1122" s="437"/>
      <c r="F1122" s="466">
        <f t="shared" ref="F1122:F1125" si="479">SUM(E1122/G1122)</f>
        <v>0</v>
      </c>
      <c r="G1122" s="437">
        <v>500</v>
      </c>
      <c r="H1122" s="437">
        <v>0</v>
      </c>
      <c r="I1122" s="437">
        <v>169.94</v>
      </c>
      <c r="J1122" s="440">
        <v>0</v>
      </c>
    </row>
    <row r="1123" spans="1:10" ht="13.5" customHeight="1" x14ac:dyDescent="0.25">
      <c r="A1123" s="1"/>
      <c r="B1123" s="1" t="s">
        <v>1106</v>
      </c>
      <c r="C1123" s="1" t="s">
        <v>283</v>
      </c>
      <c r="D1123" s="437">
        <v>1400</v>
      </c>
      <c r="E1123" s="440"/>
      <c r="F1123" s="466">
        <f t="shared" si="479"/>
        <v>0</v>
      </c>
      <c r="G1123" s="440">
        <v>1400</v>
      </c>
      <c r="H1123" s="439">
        <v>0</v>
      </c>
      <c r="I1123" s="439">
        <v>331.64</v>
      </c>
      <c r="J1123" s="440">
        <v>0</v>
      </c>
    </row>
    <row r="1124" spans="1:10" ht="13.5" customHeight="1" x14ac:dyDescent="0.25">
      <c r="A1124" s="1"/>
      <c r="B1124" s="22" t="s">
        <v>1107</v>
      </c>
      <c r="C1124" s="22" t="s">
        <v>285</v>
      </c>
      <c r="D1124" s="437">
        <v>250</v>
      </c>
      <c r="E1124" s="439">
        <v>219</v>
      </c>
      <c r="F1124" s="466">
        <f t="shared" si="479"/>
        <v>0.876</v>
      </c>
      <c r="G1124" s="439">
        <v>250</v>
      </c>
      <c r="H1124" s="439">
        <v>219</v>
      </c>
      <c r="I1124" s="439">
        <v>0</v>
      </c>
      <c r="J1124" s="439">
        <v>0</v>
      </c>
    </row>
    <row r="1125" spans="1:10" ht="13.5" customHeight="1" x14ac:dyDescent="0.25">
      <c r="A1125" s="1"/>
      <c r="B1125" s="1" t="s">
        <v>1108</v>
      </c>
      <c r="C1125" s="1" t="s">
        <v>289</v>
      </c>
      <c r="D1125" s="437">
        <v>1440</v>
      </c>
      <c r="E1125" s="439">
        <v>599.05999999999995</v>
      </c>
      <c r="F1125" s="466">
        <f t="shared" si="479"/>
        <v>0.41601388888888885</v>
      </c>
      <c r="G1125" s="440">
        <v>1440</v>
      </c>
      <c r="H1125" s="439">
        <v>1474.61</v>
      </c>
      <c r="I1125" s="440">
        <v>0</v>
      </c>
      <c r="J1125" s="440">
        <v>0</v>
      </c>
    </row>
    <row r="1126" spans="1:10" ht="13.5" customHeight="1" x14ac:dyDescent="0.25">
      <c r="A1126" s="1"/>
      <c r="B1126" s="1"/>
      <c r="C1126" s="1"/>
      <c r="D1126" s="438">
        <v>3590</v>
      </c>
      <c r="E1126" s="438">
        <f t="shared" ref="E1126" si="480">SUM(E1122:E1125)</f>
        <v>818.06</v>
      </c>
      <c r="F1126" s="467"/>
      <c r="G1126" s="438">
        <v>3590</v>
      </c>
      <c r="H1126" s="438">
        <f>SUM(H1122:H1125)</f>
        <v>1693.61</v>
      </c>
      <c r="I1126" s="438">
        <f>SUM(I1122:I1125)</f>
        <v>501.58</v>
      </c>
      <c r="J1126" s="438">
        <f t="shared" ref="J1126" si="481">SUM(J1122:J1125)</f>
        <v>0</v>
      </c>
    </row>
    <row r="1127" spans="1:10" ht="13.5" customHeight="1" thickBot="1" x14ac:dyDescent="0.3">
      <c r="A1127" s="1"/>
      <c r="B1127" s="1"/>
      <c r="C1127" s="39" t="s">
        <v>1093</v>
      </c>
      <c r="D1127" s="451">
        <v>143098.26089999999</v>
      </c>
      <c r="E1127" s="451">
        <f t="shared" ref="E1127" si="482">SUM(E1106+E1113+E1120+E1126)</f>
        <v>38457.499999999993</v>
      </c>
      <c r="F1127" s="478"/>
      <c r="G1127" s="451">
        <v>87473.44</v>
      </c>
      <c r="H1127" s="451">
        <f>SUM(H1106+H1113+H1120+H1126)</f>
        <v>83498.100000000006</v>
      </c>
      <c r="I1127" s="451">
        <f>SUM(I1106+I1113+I1120+I1126)</f>
        <v>55278.46</v>
      </c>
      <c r="J1127" s="451">
        <f t="shared" ref="J1127" si="483">SUM(J1106+J1113+J1120+J1126)</f>
        <v>0</v>
      </c>
    </row>
    <row r="1128" spans="1:10" ht="13.5" customHeight="1" thickTop="1" x14ac:dyDescent="0.25">
      <c r="A1128" s="1"/>
      <c r="B1128" s="1"/>
      <c r="C1128" s="1"/>
      <c r="D1128" s="437"/>
      <c r="E1128" s="440"/>
      <c r="F1128" s="468"/>
      <c r="G1128" s="440">
        <f>SUM(G1106+G1113+G1120+G1126)</f>
        <v>87473.428400000004</v>
      </c>
      <c r="H1128" s="440"/>
      <c r="I1128" s="440"/>
      <c r="J1128" s="440"/>
    </row>
    <row r="1129" spans="1:10" ht="13.5" customHeight="1" x14ac:dyDescent="0.25">
      <c r="A1129" s="1"/>
      <c r="B1129" s="1"/>
      <c r="C1129" s="14" t="s">
        <v>1109</v>
      </c>
      <c r="D1129" s="437"/>
      <c r="E1129" s="440"/>
      <c r="F1129" s="468"/>
      <c r="G1129" s="440"/>
      <c r="H1129" s="440"/>
      <c r="I1129" s="440"/>
      <c r="J1129" s="440"/>
    </row>
    <row r="1130" spans="1:10" ht="13.5" customHeight="1" x14ac:dyDescent="0.25">
      <c r="A1130" s="1"/>
      <c r="B1130" s="1" t="s">
        <v>1110</v>
      </c>
      <c r="C1130" s="1" t="s">
        <v>437</v>
      </c>
      <c r="D1130" s="437">
        <v>64804</v>
      </c>
      <c r="E1130" s="437">
        <v>28206.55</v>
      </c>
      <c r="F1130" s="466">
        <f t="shared" ref="F1130:F1132" si="484">SUM(E1130/G1130)</f>
        <v>0.45702307268544023</v>
      </c>
      <c r="G1130" s="437">
        <v>61718</v>
      </c>
      <c r="H1130" s="437">
        <v>61075.35</v>
      </c>
      <c r="I1130" s="437">
        <v>54810.94</v>
      </c>
      <c r="J1130" s="437">
        <v>53522.83</v>
      </c>
    </row>
    <row r="1131" spans="1:10" ht="13.5" customHeight="1" x14ac:dyDescent="0.25">
      <c r="A1131" s="1"/>
      <c r="B1131" s="1" t="s">
        <v>1111</v>
      </c>
      <c r="C1131" s="1" t="s">
        <v>439</v>
      </c>
      <c r="D1131" s="437">
        <v>497492</v>
      </c>
      <c r="E1131" s="437">
        <v>220598.38</v>
      </c>
      <c r="F1131" s="466">
        <f t="shared" si="484"/>
        <v>0.46755666993775052</v>
      </c>
      <c r="G1131" s="437">
        <v>471811</v>
      </c>
      <c r="H1131" s="437">
        <v>479190.74</v>
      </c>
      <c r="I1131" s="437">
        <v>432779.68</v>
      </c>
      <c r="J1131" s="437">
        <v>423493.35</v>
      </c>
    </row>
    <row r="1132" spans="1:10" ht="13.5" customHeight="1" x14ac:dyDescent="0.25">
      <c r="A1132" s="1"/>
      <c r="B1132" s="1" t="s">
        <v>1112</v>
      </c>
      <c r="C1132" s="1" t="s">
        <v>441</v>
      </c>
      <c r="D1132" s="437">
        <v>16380</v>
      </c>
      <c r="E1132" s="437">
        <v>5997.5</v>
      </c>
      <c r="F1132" s="466">
        <f t="shared" si="484"/>
        <v>0.38445512820512823</v>
      </c>
      <c r="G1132" s="437">
        <v>15600</v>
      </c>
      <c r="H1132" s="437">
        <v>13860</v>
      </c>
      <c r="I1132" s="437">
        <v>15183.62</v>
      </c>
      <c r="J1132" s="437">
        <v>14184.32</v>
      </c>
    </row>
    <row r="1133" spans="1:10" ht="13.5" customHeight="1" x14ac:dyDescent="0.25">
      <c r="A1133" s="1"/>
      <c r="B1133" s="1" t="s">
        <v>1113</v>
      </c>
      <c r="C1133" s="1" t="s">
        <v>443</v>
      </c>
      <c r="D1133" s="437">
        <v>0</v>
      </c>
      <c r="E1133" s="437"/>
      <c r="F1133" s="466"/>
      <c r="G1133" s="437">
        <v>0</v>
      </c>
      <c r="H1133" s="437">
        <v>0</v>
      </c>
      <c r="I1133" s="437">
        <v>35935.660000000003</v>
      </c>
      <c r="J1133" s="437">
        <v>34738.33</v>
      </c>
    </row>
    <row r="1134" spans="1:10" ht="13.5" customHeight="1" x14ac:dyDescent="0.25">
      <c r="A1134" s="1"/>
      <c r="B1134" s="1" t="s">
        <v>1114</v>
      </c>
      <c r="C1134" s="1" t="s">
        <v>1115</v>
      </c>
      <c r="D1134" s="437">
        <v>0</v>
      </c>
      <c r="E1134" s="440"/>
      <c r="F1134" s="466"/>
      <c r="G1134" s="440">
        <v>0</v>
      </c>
      <c r="H1134" s="439">
        <v>0</v>
      </c>
      <c r="I1134" s="440" t="s">
        <v>12</v>
      </c>
      <c r="J1134" s="440" t="s">
        <v>12</v>
      </c>
    </row>
    <row r="1135" spans="1:10" ht="13.5" customHeight="1" x14ac:dyDescent="0.25">
      <c r="A1135" s="1"/>
      <c r="B1135" s="1" t="s">
        <v>1116</v>
      </c>
      <c r="C1135" s="1" t="s">
        <v>251</v>
      </c>
      <c r="D1135" s="437">
        <v>1000</v>
      </c>
      <c r="E1135" s="437">
        <v>95.72</v>
      </c>
      <c r="F1135" s="466">
        <f>SUM(E1135/G1135)</f>
        <v>9.572E-2</v>
      </c>
      <c r="G1135" s="437">
        <v>1000</v>
      </c>
      <c r="H1135" s="437">
        <v>200.14</v>
      </c>
      <c r="I1135" s="437">
        <v>395.05</v>
      </c>
      <c r="J1135" s="437">
        <v>561.02</v>
      </c>
    </row>
    <row r="1136" spans="1:10" ht="13.5" customHeight="1" x14ac:dyDescent="0.25">
      <c r="A1136" s="1"/>
      <c r="B1136" s="1"/>
      <c r="C1136" s="1"/>
      <c r="D1136" s="438">
        <v>579676</v>
      </c>
      <c r="E1136" s="438">
        <f t="shared" ref="E1136" si="485">SUM(E1130:E1135)</f>
        <v>254898.15</v>
      </c>
      <c r="F1136" s="467"/>
      <c r="G1136" s="438">
        <v>550129</v>
      </c>
      <c r="H1136" s="438">
        <f>SUM(H1130:H1135)</f>
        <v>554326.23</v>
      </c>
      <c r="I1136" s="438">
        <f>SUM(I1130:I1135)</f>
        <v>539104.95000000007</v>
      </c>
      <c r="J1136" s="438">
        <f t="shared" ref="J1136" si="486">SUM(J1130:J1135)</f>
        <v>526499.85</v>
      </c>
    </row>
    <row r="1137" spans="1:10" ht="13.5" customHeight="1" x14ac:dyDescent="0.25">
      <c r="A1137" s="1"/>
      <c r="B1137" s="1"/>
      <c r="C1137" s="1"/>
      <c r="D1137" s="437"/>
      <c r="E1137" s="437"/>
      <c r="F1137" s="466"/>
      <c r="G1137" s="437"/>
      <c r="H1137" s="437"/>
      <c r="I1137" s="437"/>
      <c r="J1137" s="437"/>
    </row>
    <row r="1138" spans="1:10" ht="13.5" customHeight="1" x14ac:dyDescent="0.25">
      <c r="A1138" s="1"/>
      <c r="B1138" s="1" t="s">
        <v>1117</v>
      </c>
      <c r="C1138" s="1" t="s">
        <v>257</v>
      </c>
      <c r="D1138" s="437">
        <v>44345.214</v>
      </c>
      <c r="E1138" s="437">
        <v>17111.87</v>
      </c>
      <c r="F1138" s="466">
        <f t="shared" ref="F1138:F1142" si="487">SUM(E1138/G1138)</f>
        <v>0.40660384599025728</v>
      </c>
      <c r="G1138" s="437">
        <v>42084.87</v>
      </c>
      <c r="H1138" s="437">
        <v>37170.800000000003</v>
      </c>
      <c r="I1138" s="437">
        <v>36732.300000000003</v>
      </c>
      <c r="J1138" s="437">
        <v>35844.22</v>
      </c>
    </row>
    <row r="1139" spans="1:10" ht="13.5" customHeight="1" x14ac:dyDescent="0.25">
      <c r="A1139" s="1"/>
      <c r="B1139" s="1" t="s">
        <v>1118</v>
      </c>
      <c r="C1139" s="1" t="s">
        <v>259</v>
      </c>
      <c r="D1139" s="437">
        <v>146452.38720000003</v>
      </c>
      <c r="E1139" s="437">
        <v>67426.679999999993</v>
      </c>
      <c r="F1139" s="466">
        <f t="shared" si="487"/>
        <v>0.46028779541053472</v>
      </c>
      <c r="G1139" s="437">
        <v>146488.09</v>
      </c>
      <c r="H1139" s="437">
        <v>133857.60999999999</v>
      </c>
      <c r="I1139" s="437">
        <v>132303.06</v>
      </c>
      <c r="J1139" s="437">
        <v>136874.68</v>
      </c>
    </row>
    <row r="1140" spans="1:10" ht="13.5" customHeight="1" x14ac:dyDescent="0.25">
      <c r="A1140" s="1"/>
      <c r="B1140" s="1" t="s">
        <v>1119</v>
      </c>
      <c r="C1140" s="1" t="s">
        <v>1120</v>
      </c>
      <c r="D1140" s="437">
        <v>87067.335199999987</v>
      </c>
      <c r="E1140" s="437">
        <v>38307.07</v>
      </c>
      <c r="F1140" s="466">
        <f t="shared" si="487"/>
        <v>0.46360108232689146</v>
      </c>
      <c r="G1140" s="437">
        <v>82629.38</v>
      </c>
      <c r="H1140" s="437">
        <v>82992.08</v>
      </c>
      <c r="I1140" s="437">
        <v>78352.95</v>
      </c>
      <c r="J1140" s="437">
        <v>76242.37</v>
      </c>
    </row>
    <row r="1141" spans="1:10" ht="13.5" customHeight="1" x14ac:dyDescent="0.25">
      <c r="A1141" s="1"/>
      <c r="B1141" s="1" t="s">
        <v>1121</v>
      </c>
      <c r="C1141" s="1" t="s">
        <v>263</v>
      </c>
      <c r="D1141" s="437">
        <v>927.4816000000003</v>
      </c>
      <c r="E1141" s="437">
        <v>408.04</v>
      </c>
      <c r="F1141" s="466">
        <f t="shared" si="487"/>
        <v>0.4635711932379773</v>
      </c>
      <c r="G1141" s="437">
        <v>880.21</v>
      </c>
      <c r="H1141" s="437">
        <v>884.08</v>
      </c>
      <c r="I1141" s="437">
        <v>862.56</v>
      </c>
      <c r="J1141" s="437">
        <v>963.17</v>
      </c>
    </row>
    <row r="1142" spans="1:10" ht="13.5" customHeight="1" x14ac:dyDescent="0.25">
      <c r="A1142" s="1"/>
      <c r="B1142" s="1" t="s">
        <v>1122</v>
      </c>
      <c r="C1142" s="1" t="s">
        <v>265</v>
      </c>
      <c r="D1142" s="437">
        <v>5248.3200000000006</v>
      </c>
      <c r="E1142" s="437">
        <v>2282.2800000000002</v>
      </c>
      <c r="F1142" s="466">
        <f t="shared" si="487"/>
        <v>0.4642857142857143</v>
      </c>
      <c r="G1142" s="437">
        <v>4915.68</v>
      </c>
      <c r="H1142" s="437">
        <v>4357.28</v>
      </c>
      <c r="I1142" s="437">
        <v>4211.4799999999996</v>
      </c>
      <c r="J1142" s="437">
        <v>4227.88</v>
      </c>
    </row>
    <row r="1143" spans="1:10" ht="13.5" customHeight="1" x14ac:dyDescent="0.25">
      <c r="A1143" s="1"/>
      <c r="B1143" s="1"/>
      <c r="C1143" s="1"/>
      <c r="D1143" s="438">
        <v>284040.73800000001</v>
      </c>
      <c r="E1143" s="438">
        <f t="shared" ref="E1143" si="488">SUM(E1138:E1142)</f>
        <v>125535.93999999999</v>
      </c>
      <c r="F1143" s="467"/>
      <c r="G1143" s="438">
        <v>276998.21999999997</v>
      </c>
      <c r="H1143" s="438">
        <f>SUM(H1138:H1142)</f>
        <v>259261.84999999998</v>
      </c>
      <c r="I1143" s="438">
        <f>SUM(I1138:I1142)</f>
        <v>252462.35</v>
      </c>
      <c r="J1143" s="438">
        <f t="shared" ref="J1143" si="489">SUM(J1138:J1142)</f>
        <v>254152.32000000001</v>
      </c>
    </row>
    <row r="1144" spans="1:10" ht="13.5" customHeight="1" x14ac:dyDescent="0.25">
      <c r="A1144" s="1"/>
      <c r="B1144" s="1"/>
      <c r="C1144" s="1"/>
      <c r="D1144" s="437"/>
      <c r="E1144" s="437"/>
      <c r="F1144" s="466"/>
      <c r="G1144" s="437"/>
      <c r="H1144" s="437"/>
      <c r="I1144" s="437"/>
      <c r="J1144" s="437"/>
    </row>
    <row r="1145" spans="1:10" ht="13.5" customHeight="1" x14ac:dyDescent="0.25">
      <c r="A1145" s="1"/>
      <c r="B1145" s="1" t="s">
        <v>1123</v>
      </c>
      <c r="C1145" s="1" t="s">
        <v>267</v>
      </c>
      <c r="D1145" s="437">
        <v>10000</v>
      </c>
      <c r="E1145" s="437">
        <v>5283.19</v>
      </c>
      <c r="F1145" s="466">
        <f t="shared" ref="F1145:F1146" si="490">SUM(E1145/G1145)</f>
        <v>0.52831899999999998</v>
      </c>
      <c r="G1145" s="437">
        <v>10000</v>
      </c>
      <c r="H1145" s="437">
        <v>5699.35</v>
      </c>
      <c r="I1145" s="437">
        <v>8569.24</v>
      </c>
      <c r="J1145" s="437">
        <v>12180.4</v>
      </c>
    </row>
    <row r="1146" spans="1:10" ht="13.5" customHeight="1" x14ac:dyDescent="0.25">
      <c r="A1146" s="1"/>
      <c r="B1146" s="1" t="s">
        <v>1124</v>
      </c>
      <c r="C1146" s="1" t="s">
        <v>269</v>
      </c>
      <c r="D1146" s="437">
        <v>27087</v>
      </c>
      <c r="E1146" s="437">
        <v>3542.51</v>
      </c>
      <c r="F1146" s="466">
        <f t="shared" si="490"/>
        <v>0.13078266327020344</v>
      </c>
      <c r="G1146" s="437">
        <v>27087</v>
      </c>
      <c r="H1146" s="437">
        <v>8045.03</v>
      </c>
      <c r="I1146" s="437">
        <v>16989.580000000002</v>
      </c>
      <c r="J1146" s="437">
        <v>41534.92</v>
      </c>
    </row>
    <row r="1147" spans="1:10" ht="13.5" customHeight="1" x14ac:dyDescent="0.25">
      <c r="A1147" s="1"/>
      <c r="B1147" s="1" t="s">
        <v>1125</v>
      </c>
      <c r="C1147" s="1" t="s">
        <v>273</v>
      </c>
      <c r="D1147" s="437">
        <v>0</v>
      </c>
      <c r="E1147" s="440"/>
      <c r="F1147" s="466"/>
      <c r="G1147" s="440">
        <v>0</v>
      </c>
      <c r="H1147" s="439">
        <v>0</v>
      </c>
      <c r="I1147" s="440">
        <v>0</v>
      </c>
      <c r="J1147" s="440">
        <v>0</v>
      </c>
    </row>
    <row r="1148" spans="1:10" ht="13.5" customHeight="1" x14ac:dyDescent="0.25">
      <c r="A1148" s="1"/>
      <c r="B1148" s="1" t="s">
        <v>1126</v>
      </c>
      <c r="C1148" s="1" t="s">
        <v>455</v>
      </c>
      <c r="D1148" s="437">
        <v>500</v>
      </c>
      <c r="E1148" s="437"/>
      <c r="F1148" s="466">
        <f>SUM(E1148/G1148)</f>
        <v>0</v>
      </c>
      <c r="G1148" s="437">
        <v>500</v>
      </c>
      <c r="H1148" s="437">
        <v>177.9</v>
      </c>
      <c r="I1148" s="437">
        <v>756.54</v>
      </c>
      <c r="J1148" s="437">
        <v>207.97</v>
      </c>
    </row>
    <row r="1149" spans="1:10" ht="13.5" customHeight="1" x14ac:dyDescent="0.25">
      <c r="A1149" s="1"/>
      <c r="B1149" s="1" t="s">
        <v>1127</v>
      </c>
      <c r="C1149" s="1" t="s">
        <v>275</v>
      </c>
      <c r="D1149" s="437">
        <v>0</v>
      </c>
      <c r="E1149" s="437"/>
      <c r="F1149" s="466"/>
      <c r="G1149" s="437">
        <v>0</v>
      </c>
      <c r="H1149" s="437">
        <v>527.66</v>
      </c>
      <c r="I1149" s="437">
        <v>761.82</v>
      </c>
      <c r="J1149" s="437">
        <v>242.66</v>
      </c>
    </row>
    <row r="1150" spans="1:10" ht="13.5" customHeight="1" x14ac:dyDescent="0.25">
      <c r="A1150" s="1"/>
      <c r="B1150" s="1"/>
      <c r="C1150" s="1"/>
      <c r="D1150" s="441">
        <v>37587</v>
      </c>
      <c r="E1150" s="441">
        <f t="shared" ref="E1150" si="491">SUM(E1145:E1149)</f>
        <v>8825.7000000000007</v>
      </c>
      <c r="F1150" s="469"/>
      <c r="G1150" s="441">
        <v>37587</v>
      </c>
      <c r="H1150" s="441">
        <f>SUM(H1145:H1149)</f>
        <v>14449.94</v>
      </c>
      <c r="I1150" s="441">
        <f>SUM(I1145:I1149)</f>
        <v>27077.18</v>
      </c>
      <c r="J1150" s="441">
        <f t="shared" ref="J1150" si="492">SUM(J1145:J1149)</f>
        <v>54165.950000000004</v>
      </c>
    </row>
    <row r="1151" spans="1:10" ht="12.75" customHeight="1" x14ac:dyDescent="0.25">
      <c r="A1151" s="1"/>
      <c r="B1151" s="1"/>
      <c r="C1151" s="1"/>
      <c r="D1151" s="440"/>
      <c r="E1151" s="437"/>
      <c r="F1151" s="466"/>
      <c r="G1151" s="437"/>
      <c r="H1151" s="437"/>
      <c r="I1151" s="437"/>
      <c r="J1151" s="437"/>
    </row>
    <row r="1152" spans="1:10" ht="13.5" customHeight="1" x14ac:dyDescent="0.25">
      <c r="A1152" s="1"/>
      <c r="B1152" s="1" t="s">
        <v>1128</v>
      </c>
      <c r="C1152" s="1" t="s">
        <v>1129</v>
      </c>
      <c r="D1152" s="437">
        <v>33000</v>
      </c>
      <c r="E1152" s="440"/>
      <c r="F1152" s="466">
        <f t="shared" ref="F1152:F1158" si="493">SUM(E1152/G1152)</f>
        <v>0</v>
      </c>
      <c r="G1152" s="440">
        <v>33000</v>
      </c>
      <c r="H1152" s="439">
        <v>30177.77</v>
      </c>
      <c r="I1152" s="439">
        <v>30017.59</v>
      </c>
      <c r="J1152" s="437">
        <v>30861.360000000001</v>
      </c>
    </row>
    <row r="1153" spans="1:10" ht="13.5" customHeight="1" x14ac:dyDescent="0.25">
      <c r="A1153" s="1"/>
      <c r="B1153" s="1" t="s">
        <v>1130</v>
      </c>
      <c r="C1153" s="1" t="s">
        <v>329</v>
      </c>
      <c r="D1153" s="437">
        <v>1635</v>
      </c>
      <c r="E1153" s="437">
        <v>494.04</v>
      </c>
      <c r="F1153" s="466">
        <f t="shared" si="493"/>
        <v>0.30216513761467889</v>
      </c>
      <c r="G1153" s="437">
        <v>1635</v>
      </c>
      <c r="H1153" s="437">
        <v>988.08</v>
      </c>
      <c r="I1153" s="437">
        <v>1549.35</v>
      </c>
      <c r="J1153" s="437">
        <v>1634.88</v>
      </c>
    </row>
    <row r="1154" spans="1:10" ht="13.5" customHeight="1" x14ac:dyDescent="0.25">
      <c r="A1154" s="1"/>
      <c r="B1154" s="1" t="s">
        <v>1131</v>
      </c>
      <c r="C1154" s="1" t="s">
        <v>281</v>
      </c>
      <c r="D1154" s="437">
        <v>2000</v>
      </c>
      <c r="E1154" s="437">
        <v>217.83</v>
      </c>
      <c r="F1154" s="466">
        <f t="shared" si="493"/>
        <v>0.10891500000000001</v>
      </c>
      <c r="G1154" s="437">
        <v>2000</v>
      </c>
      <c r="H1154" s="437">
        <v>138.6</v>
      </c>
      <c r="I1154" s="437">
        <v>143.96</v>
      </c>
      <c r="J1154" s="437">
        <v>106.39</v>
      </c>
    </row>
    <row r="1155" spans="1:10" ht="13.5" customHeight="1" x14ac:dyDescent="0.25">
      <c r="A1155" s="1"/>
      <c r="B1155" s="1" t="s">
        <v>1132</v>
      </c>
      <c r="C1155" s="1" t="s">
        <v>283</v>
      </c>
      <c r="D1155" s="437">
        <v>3429</v>
      </c>
      <c r="E1155" s="437">
        <v>2354.4899999999998</v>
      </c>
      <c r="F1155" s="466">
        <f t="shared" si="493"/>
        <v>0.68664041994750646</v>
      </c>
      <c r="G1155" s="437">
        <v>3429</v>
      </c>
      <c r="H1155" s="437">
        <v>1740.09</v>
      </c>
      <c r="I1155" s="437">
        <v>3453.05</v>
      </c>
      <c r="J1155" s="437">
        <v>2641.15</v>
      </c>
    </row>
    <row r="1156" spans="1:10" ht="13.5" customHeight="1" x14ac:dyDescent="0.25">
      <c r="A1156" s="1"/>
      <c r="B1156" s="1" t="s">
        <v>1133</v>
      </c>
      <c r="C1156" s="1" t="s">
        <v>502</v>
      </c>
      <c r="D1156" s="437">
        <v>600</v>
      </c>
      <c r="E1156" s="437">
        <v>275</v>
      </c>
      <c r="F1156" s="466">
        <f t="shared" si="493"/>
        <v>0.45833333333333331</v>
      </c>
      <c r="G1156" s="437">
        <v>600</v>
      </c>
      <c r="H1156" s="437">
        <v>405</v>
      </c>
      <c r="I1156" s="437">
        <v>225</v>
      </c>
      <c r="J1156" s="437">
        <v>165</v>
      </c>
    </row>
    <row r="1157" spans="1:10" ht="13.5" customHeight="1" x14ac:dyDescent="0.25">
      <c r="A1157" s="1"/>
      <c r="B1157" s="1" t="s">
        <v>1134</v>
      </c>
      <c r="C1157" s="1" t="s">
        <v>287</v>
      </c>
      <c r="D1157" s="437">
        <v>2275</v>
      </c>
      <c r="E1157" s="437">
        <v>2275</v>
      </c>
      <c r="F1157" s="466">
        <f t="shared" si="493"/>
        <v>1</v>
      </c>
      <c r="G1157" s="437">
        <v>2275</v>
      </c>
      <c r="H1157" s="437">
        <v>1291</v>
      </c>
      <c r="I1157" s="437">
        <v>1362</v>
      </c>
      <c r="J1157" s="437">
        <v>1362</v>
      </c>
    </row>
    <row r="1158" spans="1:10" ht="13.5" customHeight="1" x14ac:dyDescent="0.25">
      <c r="A1158" s="1"/>
      <c r="B1158" s="1" t="s">
        <v>1135</v>
      </c>
      <c r="C1158" s="1" t="s">
        <v>289</v>
      </c>
      <c r="D1158" s="437">
        <v>7000</v>
      </c>
      <c r="E1158" s="437">
        <v>2496.21</v>
      </c>
      <c r="F1158" s="466">
        <f t="shared" si="493"/>
        <v>0.35660142857142857</v>
      </c>
      <c r="G1158" s="437">
        <v>7000</v>
      </c>
      <c r="H1158" s="437">
        <v>7140.09</v>
      </c>
      <c r="I1158" s="437">
        <v>6805.05</v>
      </c>
      <c r="J1158" s="437">
        <v>6553.45</v>
      </c>
    </row>
    <row r="1159" spans="1:10" ht="13.5" customHeight="1" x14ac:dyDescent="0.25">
      <c r="A1159" s="1"/>
      <c r="B1159" s="1"/>
      <c r="C1159" s="1"/>
      <c r="D1159" s="438">
        <v>49939</v>
      </c>
      <c r="E1159" s="438">
        <f t="shared" ref="E1159" si="494">SUM(E1152:E1158)</f>
        <v>8112.57</v>
      </c>
      <c r="F1159" s="467"/>
      <c r="G1159" s="438">
        <v>49939</v>
      </c>
      <c r="H1159" s="438">
        <f>SUM(H1152:H1158)</f>
        <v>41880.630000000005</v>
      </c>
      <c r="I1159" s="438">
        <f>SUM(I1152:I1158)</f>
        <v>43556</v>
      </c>
      <c r="J1159" s="438">
        <f t="shared" ref="J1159" si="495">SUM(J1152:J1158)</f>
        <v>43324.229999999996</v>
      </c>
    </row>
    <row r="1160" spans="1:10" ht="13.5" customHeight="1" thickBot="1" x14ac:dyDescent="0.3">
      <c r="A1160" s="1"/>
      <c r="B1160" s="1"/>
      <c r="C1160" s="39" t="s">
        <v>1136</v>
      </c>
      <c r="D1160" s="451">
        <v>951242.73800000001</v>
      </c>
      <c r="E1160" s="451">
        <f t="shared" ref="E1160" si="496">SUM(E1136+E1143+E1150+E1159)</f>
        <v>397372.36</v>
      </c>
      <c r="F1160" s="478"/>
      <c r="G1160" s="451">
        <v>914653.22</v>
      </c>
      <c r="H1160" s="451">
        <f>SUM(H1136+H1143+H1150+H1159)</f>
        <v>869918.64999999991</v>
      </c>
      <c r="I1160" s="451">
        <f>SUM(I1136+I1143+I1150+I1159)</f>
        <v>862200.4800000001</v>
      </c>
      <c r="J1160" s="451">
        <f t="shared" ref="J1160" si="497">SUM(J1136+J1143+J1150+J1159)</f>
        <v>878142.34999999986</v>
      </c>
    </row>
    <row r="1161" spans="1:10" ht="13.5" customHeight="1" thickTop="1" x14ac:dyDescent="0.25">
      <c r="A1161" s="1"/>
      <c r="B1161" s="1"/>
      <c r="C1161" s="1"/>
      <c r="D1161" s="437"/>
      <c r="E1161" s="437"/>
      <c r="F1161" s="466"/>
      <c r="G1161" s="437"/>
      <c r="H1161" s="437"/>
      <c r="I1161" s="437"/>
      <c r="J1161" s="437"/>
    </row>
    <row r="1162" spans="1:10" ht="13.5" customHeight="1" x14ac:dyDescent="0.25">
      <c r="A1162" s="1"/>
      <c r="B1162" s="1"/>
      <c r="C1162" s="14" t="s">
        <v>1137</v>
      </c>
      <c r="D1162" s="437"/>
      <c r="E1162" s="437"/>
      <c r="F1162" s="466"/>
      <c r="G1162" s="437"/>
      <c r="H1162" s="437"/>
      <c r="I1162" s="437"/>
      <c r="J1162" s="437"/>
    </row>
    <row r="1163" spans="1:10" ht="13.5" customHeight="1" x14ac:dyDescent="0.25">
      <c r="A1163" s="1"/>
      <c r="B1163" s="1" t="s">
        <v>1138</v>
      </c>
      <c r="C1163" s="1" t="s">
        <v>439</v>
      </c>
      <c r="D1163" s="437">
        <v>272566</v>
      </c>
      <c r="E1163" s="437">
        <v>132345.24</v>
      </c>
      <c r="F1163" s="466">
        <f t="shared" ref="F1163:F1164" si="498">SUM(E1163/G1163)</f>
        <v>0.39279510405660489</v>
      </c>
      <c r="G1163" s="437">
        <v>336932</v>
      </c>
      <c r="H1163" s="437">
        <v>334566.96999999997</v>
      </c>
      <c r="I1163" s="437">
        <v>301263.24</v>
      </c>
      <c r="J1163" s="437">
        <v>282125.77</v>
      </c>
    </row>
    <row r="1164" spans="1:10" ht="13.5" customHeight="1" x14ac:dyDescent="0.25">
      <c r="A1164" s="1"/>
      <c r="B1164" s="1" t="s">
        <v>1139</v>
      </c>
      <c r="C1164" s="1" t="s">
        <v>441</v>
      </c>
      <c r="D1164" s="437">
        <v>5855.2</v>
      </c>
      <c r="E1164" s="437">
        <v>2120</v>
      </c>
      <c r="F1164" s="466">
        <f t="shared" si="498"/>
        <v>0.36207132121874575</v>
      </c>
      <c r="G1164" s="437">
        <v>5855.2</v>
      </c>
      <c r="H1164" s="437">
        <v>5240</v>
      </c>
      <c r="I1164" s="437">
        <v>5211.42</v>
      </c>
      <c r="J1164" s="437">
        <v>5228.58</v>
      </c>
    </row>
    <row r="1165" spans="1:10" ht="13.5" customHeight="1" x14ac:dyDescent="0.25">
      <c r="A1165" s="1"/>
      <c r="B1165" s="1" t="s">
        <v>1140</v>
      </c>
      <c r="C1165" s="1" t="s">
        <v>443</v>
      </c>
      <c r="D1165" s="437">
        <v>0</v>
      </c>
      <c r="E1165" s="437"/>
      <c r="F1165" s="466"/>
      <c r="G1165" s="437">
        <v>0</v>
      </c>
      <c r="H1165" s="437">
        <v>0</v>
      </c>
      <c r="I1165" s="437">
        <v>12474.57</v>
      </c>
      <c r="J1165" s="437">
        <v>15676.25</v>
      </c>
    </row>
    <row r="1166" spans="1:10" ht="13.5" customHeight="1" x14ac:dyDescent="0.25">
      <c r="A1166" s="1"/>
      <c r="B1166" s="1" t="s">
        <v>1141</v>
      </c>
      <c r="C1166" s="1" t="s">
        <v>445</v>
      </c>
      <c r="D1166" s="437">
        <v>0</v>
      </c>
      <c r="E1166" s="437">
        <v>1374.77</v>
      </c>
      <c r="F1166" s="466"/>
      <c r="G1166" s="437">
        <v>0</v>
      </c>
      <c r="H1166" s="437">
        <v>1489.2</v>
      </c>
      <c r="I1166" s="437">
        <v>0</v>
      </c>
      <c r="J1166" s="437">
        <v>0</v>
      </c>
    </row>
    <row r="1167" spans="1:10" ht="13.5" customHeight="1" x14ac:dyDescent="0.25">
      <c r="A1167" s="1"/>
      <c r="B1167" s="1" t="s">
        <v>1142</v>
      </c>
      <c r="C1167" s="1" t="s">
        <v>251</v>
      </c>
      <c r="D1167" s="437">
        <v>20000</v>
      </c>
      <c r="E1167" s="437">
        <f>8737.17+1374.77</f>
        <v>10111.94</v>
      </c>
      <c r="F1167" s="466">
        <f>SUM(E1167/G1167)</f>
        <v>0.50559700000000007</v>
      </c>
      <c r="G1167" s="437">
        <v>20000</v>
      </c>
      <c r="H1167" s="437">
        <v>20293.599999999999</v>
      </c>
      <c r="I1167" s="437">
        <v>24308.47</v>
      </c>
      <c r="J1167" s="437">
        <f>17591.69+2871.95</f>
        <v>20463.64</v>
      </c>
    </row>
    <row r="1168" spans="1:10" ht="13.5" customHeight="1" x14ac:dyDescent="0.25">
      <c r="A1168" s="1"/>
      <c r="B1168" s="1"/>
      <c r="C1168" s="1"/>
      <c r="D1168" s="438">
        <v>298421.2</v>
      </c>
      <c r="E1168" s="438">
        <f t="shared" ref="E1168" si="499">SUM(E1163:E1167)</f>
        <v>145951.94999999998</v>
      </c>
      <c r="F1168" s="467"/>
      <c r="G1168" s="438">
        <v>362787.2</v>
      </c>
      <c r="H1168" s="438">
        <f>SUM(H1163:H1167)</f>
        <v>361589.76999999996</v>
      </c>
      <c r="I1168" s="438">
        <f>SUM(I1163:I1167)</f>
        <v>343257.69999999995</v>
      </c>
      <c r="J1168" s="438">
        <f t="shared" ref="J1168" si="500">SUM(J1163:J1167)</f>
        <v>323494.24000000005</v>
      </c>
    </row>
    <row r="1169" spans="1:10" ht="13.5" customHeight="1" x14ac:dyDescent="0.25">
      <c r="A1169" s="1"/>
      <c r="B1169" s="1"/>
      <c r="C1169" s="1"/>
      <c r="D1169" s="437"/>
      <c r="E1169" s="437"/>
      <c r="F1169" s="466"/>
      <c r="G1169" s="437"/>
      <c r="H1169" s="437"/>
      <c r="I1169" s="437"/>
      <c r="J1169" s="437"/>
    </row>
    <row r="1170" spans="1:10" ht="13.5" customHeight="1" x14ac:dyDescent="0.25">
      <c r="A1170" s="1"/>
      <c r="B1170" s="1" t="s">
        <v>1143</v>
      </c>
      <c r="C1170" s="1" t="s">
        <v>257</v>
      </c>
      <c r="D1170" s="437">
        <v>22829.221799999999</v>
      </c>
      <c r="E1170" s="437">
        <v>9724.49</v>
      </c>
      <c r="F1170" s="466">
        <f t="shared" ref="F1170:F1174" si="501">SUM(E1170/G1170)</f>
        <v>0.33886223884288957</v>
      </c>
      <c r="G1170" s="437">
        <v>28697.473147808221</v>
      </c>
      <c r="H1170" s="437">
        <v>24960.83</v>
      </c>
      <c r="I1170" s="437">
        <v>23811.26</v>
      </c>
      <c r="J1170" s="437">
        <v>23055.79</v>
      </c>
    </row>
    <row r="1171" spans="1:10" ht="13.5" customHeight="1" x14ac:dyDescent="0.25">
      <c r="A1171" s="1"/>
      <c r="B1171" s="1" t="s">
        <v>1144</v>
      </c>
      <c r="C1171" s="1" t="s">
        <v>259</v>
      </c>
      <c r="D1171" s="437">
        <v>83687.078399999999</v>
      </c>
      <c r="E1171" s="437">
        <v>43630.080000000002</v>
      </c>
      <c r="F1171" s="466">
        <f t="shared" si="501"/>
        <v>0.41698307497187115</v>
      </c>
      <c r="G1171" s="437">
        <v>104632.736</v>
      </c>
      <c r="H1171" s="437">
        <v>85747.56</v>
      </c>
      <c r="I1171" s="437">
        <v>80577.759999999995</v>
      </c>
      <c r="J1171" s="437">
        <v>72682.33</v>
      </c>
    </row>
    <row r="1172" spans="1:10" ht="13.5" customHeight="1" x14ac:dyDescent="0.25">
      <c r="A1172" s="1"/>
      <c r="B1172" s="1" t="s">
        <v>1145</v>
      </c>
      <c r="C1172" s="1" t="s">
        <v>261</v>
      </c>
      <c r="D1172" s="437">
        <v>44822.864239999995</v>
      </c>
      <c r="E1172" s="437">
        <v>21711.82</v>
      </c>
      <c r="F1172" s="466">
        <f t="shared" si="501"/>
        <v>0.41135796362057753</v>
      </c>
      <c r="G1172" s="437">
        <v>52780.842769890405</v>
      </c>
      <c r="H1172" s="437">
        <v>54314.48</v>
      </c>
      <c r="I1172" s="437">
        <v>49884.44</v>
      </c>
      <c r="J1172" s="437">
        <v>46826.48</v>
      </c>
    </row>
    <row r="1173" spans="1:10" ht="13.5" customHeight="1" x14ac:dyDescent="0.25">
      <c r="A1173" s="1"/>
      <c r="B1173" s="1" t="s">
        <v>1146</v>
      </c>
      <c r="C1173" s="1" t="s">
        <v>263</v>
      </c>
      <c r="D1173" s="437">
        <v>477.47392000000002</v>
      </c>
      <c r="E1173" s="437">
        <v>231.28</v>
      </c>
      <c r="F1173" s="466">
        <f t="shared" si="501"/>
        <v>0.38533270657819446</v>
      </c>
      <c r="G1173" s="437">
        <v>600.20858871232883</v>
      </c>
      <c r="H1173" s="437">
        <v>578.57000000000005</v>
      </c>
      <c r="I1173" s="437">
        <v>549.23</v>
      </c>
      <c r="J1173" s="437">
        <v>589.91999999999996</v>
      </c>
    </row>
    <row r="1174" spans="1:10" ht="13.5" customHeight="1" x14ac:dyDescent="0.25">
      <c r="A1174" s="1"/>
      <c r="B1174" s="1" t="s">
        <v>1147</v>
      </c>
      <c r="C1174" s="1" t="s">
        <v>265</v>
      </c>
      <c r="D1174" s="437">
        <v>2999.0400000000004</v>
      </c>
      <c r="E1174" s="437">
        <v>1463</v>
      </c>
      <c r="F1174" s="466">
        <f t="shared" si="501"/>
        <v>0.43671641791044774</v>
      </c>
      <c r="G1174" s="437">
        <v>3350</v>
      </c>
      <c r="H1174" s="437">
        <v>2786.34</v>
      </c>
      <c r="I1174" s="437">
        <v>2564.86</v>
      </c>
      <c r="J1174" s="437">
        <v>2245.46</v>
      </c>
    </row>
    <row r="1175" spans="1:10" ht="13.5" customHeight="1" x14ac:dyDescent="0.25">
      <c r="A1175" s="1"/>
      <c r="B1175" s="1"/>
      <c r="C1175" s="1"/>
      <c r="D1175" s="438">
        <v>154815.67835999999</v>
      </c>
      <c r="E1175" s="438">
        <f t="shared" ref="E1175" si="502">SUM(E1170:E1174)</f>
        <v>76760.67</v>
      </c>
      <c r="F1175" s="467"/>
      <c r="G1175" s="438">
        <v>190061.26050641097</v>
      </c>
      <c r="H1175" s="438">
        <f>SUM(H1170:H1174)</f>
        <v>168387.78</v>
      </c>
      <c r="I1175" s="438">
        <f>SUM(I1170:I1174)</f>
        <v>157387.54999999999</v>
      </c>
      <c r="J1175" s="438">
        <f t="shared" ref="J1175" si="503">SUM(J1170:J1174)</f>
        <v>145399.98000000001</v>
      </c>
    </row>
    <row r="1176" spans="1:10" ht="13.5" customHeight="1" x14ac:dyDescent="0.25">
      <c r="A1176" s="1"/>
      <c r="B1176" s="1"/>
      <c r="C1176" s="1"/>
      <c r="D1176" s="437"/>
      <c r="E1176" s="437"/>
      <c r="F1176" s="466"/>
      <c r="G1176" s="437"/>
      <c r="H1176" s="437"/>
      <c r="I1176" s="437"/>
      <c r="J1176" s="437"/>
    </row>
    <row r="1177" spans="1:10" ht="13.5" customHeight="1" x14ac:dyDescent="0.25">
      <c r="A1177" s="1"/>
      <c r="B1177" s="1" t="s">
        <v>1148</v>
      </c>
      <c r="C1177" s="1" t="s">
        <v>267</v>
      </c>
      <c r="D1177" s="437">
        <v>280</v>
      </c>
      <c r="E1177" s="437"/>
      <c r="F1177" s="466">
        <f t="shared" ref="F1177:F1181" si="504">SUM(E1177/G1177)</f>
        <v>0</v>
      </c>
      <c r="G1177" s="437">
        <v>280</v>
      </c>
      <c r="H1177" s="437">
        <v>72.239999999999995</v>
      </c>
      <c r="I1177" s="437">
        <v>20.18</v>
      </c>
      <c r="J1177" s="437">
        <v>34.79</v>
      </c>
    </row>
    <row r="1178" spans="1:10" ht="13.5" customHeight="1" x14ac:dyDescent="0.25">
      <c r="A1178" s="1"/>
      <c r="B1178" s="1" t="s">
        <v>1149</v>
      </c>
      <c r="C1178" s="1" t="s">
        <v>488</v>
      </c>
      <c r="D1178" s="437">
        <v>6741</v>
      </c>
      <c r="E1178" s="437">
        <v>3381.64</v>
      </c>
      <c r="F1178" s="466">
        <f t="shared" si="504"/>
        <v>0.50165257380210648</v>
      </c>
      <c r="G1178" s="437">
        <v>6741</v>
      </c>
      <c r="H1178" s="437">
        <v>4885.51</v>
      </c>
      <c r="I1178" s="437">
        <v>6607.87</v>
      </c>
      <c r="J1178" s="437">
        <v>6330.88</v>
      </c>
    </row>
    <row r="1179" spans="1:10" ht="13.5" customHeight="1" x14ac:dyDescent="0.25">
      <c r="A1179" s="1"/>
      <c r="B1179" s="1" t="s">
        <v>1150</v>
      </c>
      <c r="C1179" s="1" t="s">
        <v>1151</v>
      </c>
      <c r="D1179" s="437">
        <v>2608</v>
      </c>
      <c r="E1179" s="437">
        <v>954.03</v>
      </c>
      <c r="F1179" s="466">
        <f t="shared" si="504"/>
        <v>0.36580904907975459</v>
      </c>
      <c r="G1179" s="437">
        <v>2608</v>
      </c>
      <c r="H1179" s="437">
        <v>3499.05</v>
      </c>
      <c r="I1179" s="437">
        <v>2687.97</v>
      </c>
      <c r="J1179" s="437">
        <v>2282.04</v>
      </c>
    </row>
    <row r="1180" spans="1:10" ht="13.5" customHeight="1" x14ac:dyDescent="0.25">
      <c r="A1180" s="1"/>
      <c r="B1180" s="1" t="s">
        <v>1152</v>
      </c>
      <c r="C1180" s="1" t="s">
        <v>490</v>
      </c>
      <c r="D1180" s="437">
        <v>1200</v>
      </c>
      <c r="E1180" s="437">
        <v>544</v>
      </c>
      <c r="F1180" s="466">
        <f t="shared" si="504"/>
        <v>0.45333333333333331</v>
      </c>
      <c r="G1180" s="437">
        <v>1200</v>
      </c>
      <c r="H1180" s="437">
        <v>556</v>
      </c>
      <c r="I1180" s="437">
        <v>846</v>
      </c>
      <c r="J1180" s="437">
        <v>663.14</v>
      </c>
    </row>
    <row r="1181" spans="1:10" ht="13.5" customHeight="1" x14ac:dyDescent="0.25">
      <c r="A1181" s="1"/>
      <c r="B1181" s="1" t="s">
        <v>1153</v>
      </c>
      <c r="C1181" s="1" t="s">
        <v>1154</v>
      </c>
      <c r="D1181" s="437">
        <v>2000</v>
      </c>
      <c r="E1181" s="437">
        <v>342.86</v>
      </c>
      <c r="F1181" s="466">
        <f t="shared" si="504"/>
        <v>0.17143</v>
      </c>
      <c r="G1181" s="437">
        <v>2000</v>
      </c>
      <c r="H1181" s="437">
        <v>2273.1</v>
      </c>
      <c r="I1181" s="437">
        <v>1279.3399999999999</v>
      </c>
      <c r="J1181" s="437">
        <v>140.29</v>
      </c>
    </row>
    <row r="1182" spans="1:10" ht="13.5" customHeight="1" x14ac:dyDescent="0.25">
      <c r="A1182" s="1"/>
      <c r="B1182" s="1" t="s">
        <v>1155</v>
      </c>
      <c r="C1182" s="1" t="s">
        <v>273</v>
      </c>
      <c r="D1182" s="437">
        <v>0</v>
      </c>
      <c r="E1182" s="437"/>
      <c r="F1182" s="466"/>
      <c r="G1182" s="437">
        <v>0</v>
      </c>
      <c r="H1182" s="437">
        <v>105.5</v>
      </c>
      <c r="I1182" s="437">
        <v>1228</v>
      </c>
      <c r="J1182" s="440">
        <v>0</v>
      </c>
    </row>
    <row r="1183" spans="1:10" ht="13.5" customHeight="1" x14ac:dyDescent="0.25">
      <c r="A1183" s="1"/>
      <c r="B1183" s="1" t="s">
        <v>1156</v>
      </c>
      <c r="C1183" s="1" t="s">
        <v>275</v>
      </c>
      <c r="D1183" s="437">
        <v>1177</v>
      </c>
      <c r="E1183" s="437">
        <v>429.49</v>
      </c>
      <c r="F1183" s="466">
        <f>SUM(E1183/G1183)</f>
        <v>0.36490229396771456</v>
      </c>
      <c r="G1183" s="437">
        <v>1177</v>
      </c>
      <c r="H1183" s="437">
        <v>1624.43</v>
      </c>
      <c r="I1183" s="437">
        <v>787.67</v>
      </c>
      <c r="J1183" s="437">
        <v>24.54</v>
      </c>
    </row>
    <row r="1184" spans="1:10" ht="13.5" customHeight="1" x14ac:dyDescent="0.25">
      <c r="A1184" s="1"/>
      <c r="B1184" s="1"/>
      <c r="C1184" s="1"/>
      <c r="D1184" s="438">
        <v>14006</v>
      </c>
      <c r="E1184" s="438">
        <f t="shared" ref="E1184" si="505">SUM(E1177:E1183)</f>
        <v>5652.0199999999995</v>
      </c>
      <c r="F1184" s="467"/>
      <c r="G1184" s="438">
        <v>14006</v>
      </c>
      <c r="H1184" s="438">
        <f>SUM(H1177:H1183)</f>
        <v>13015.83</v>
      </c>
      <c r="I1184" s="438">
        <f>SUM(I1177:I1183)</f>
        <v>13457.03</v>
      </c>
      <c r="J1184" s="438">
        <f t="shared" ref="J1184" si="506">SUM(J1177:J1183)</f>
        <v>9475.68</v>
      </c>
    </row>
    <row r="1185" spans="1:10" ht="13.5" customHeight="1" x14ac:dyDescent="0.25">
      <c r="A1185" s="1"/>
      <c r="B1185" s="1"/>
      <c r="C1185" s="1"/>
      <c r="D1185" s="437"/>
      <c r="E1185" s="437"/>
      <c r="F1185" s="466"/>
      <c r="G1185" s="437"/>
      <c r="H1185" s="437"/>
      <c r="I1185" s="437"/>
      <c r="J1185" s="437"/>
    </row>
    <row r="1186" spans="1:10" ht="13.5" customHeight="1" x14ac:dyDescent="0.25">
      <c r="A1186" s="1"/>
      <c r="B1186" s="1" t="s">
        <v>1157</v>
      </c>
      <c r="C1186" s="1" t="s">
        <v>281</v>
      </c>
      <c r="D1186" s="437">
        <v>0</v>
      </c>
      <c r="E1186" s="440"/>
      <c r="F1186" s="468"/>
      <c r="G1186" s="440">
        <v>0</v>
      </c>
      <c r="H1186" s="440"/>
      <c r="I1186" s="440" t="s">
        <v>12</v>
      </c>
      <c r="J1186" s="437">
        <v>191.84</v>
      </c>
    </row>
    <row r="1187" spans="1:10" ht="13.5" customHeight="1" x14ac:dyDescent="0.25">
      <c r="A1187" s="1"/>
      <c r="B1187" s="1" t="s">
        <v>1158</v>
      </c>
      <c r="C1187" s="1" t="s">
        <v>1159</v>
      </c>
      <c r="D1187" s="437">
        <v>1000</v>
      </c>
      <c r="E1187" s="437"/>
      <c r="F1187" s="466">
        <f t="shared" ref="F1187:F1190" si="507">SUM(E1187/G1187)</f>
        <v>0</v>
      </c>
      <c r="G1187" s="437">
        <v>1000</v>
      </c>
      <c r="H1187" s="437">
        <v>77.349999999999994</v>
      </c>
      <c r="I1187" s="437">
        <v>654.04999999999995</v>
      </c>
      <c r="J1187" s="437">
        <v>848.71</v>
      </c>
    </row>
    <row r="1188" spans="1:10" ht="13.5" customHeight="1" x14ac:dyDescent="0.25">
      <c r="A1188" s="1"/>
      <c r="B1188" s="1" t="s">
        <v>1160</v>
      </c>
      <c r="C1188" s="1" t="s">
        <v>1161</v>
      </c>
      <c r="D1188" s="437">
        <v>1000</v>
      </c>
      <c r="E1188" s="437">
        <v>848.2</v>
      </c>
      <c r="F1188" s="466">
        <f t="shared" si="507"/>
        <v>0.84820000000000007</v>
      </c>
      <c r="G1188" s="437">
        <v>1000</v>
      </c>
      <c r="H1188" s="437">
        <v>1925.5</v>
      </c>
      <c r="I1188" s="437">
        <v>706.92</v>
      </c>
      <c r="J1188" s="437">
        <v>1043.67</v>
      </c>
    </row>
    <row r="1189" spans="1:10" ht="13.5" customHeight="1" x14ac:dyDescent="0.25">
      <c r="A1189" s="1"/>
      <c r="B1189" s="1" t="s">
        <v>1162</v>
      </c>
      <c r="C1189" s="1" t="s">
        <v>509</v>
      </c>
      <c r="D1189" s="437">
        <v>2200</v>
      </c>
      <c r="E1189" s="437">
        <v>515.47</v>
      </c>
      <c r="F1189" s="466">
        <f t="shared" si="507"/>
        <v>0.23430454545454546</v>
      </c>
      <c r="G1189" s="437">
        <v>2200</v>
      </c>
      <c r="H1189" s="437">
        <v>427.65</v>
      </c>
      <c r="I1189" s="437">
        <v>1320.47</v>
      </c>
      <c r="J1189" s="437">
        <v>2376.88</v>
      </c>
    </row>
    <row r="1190" spans="1:10" ht="13.5" customHeight="1" x14ac:dyDescent="0.25">
      <c r="A1190" s="1"/>
      <c r="B1190" s="22" t="s">
        <v>1163</v>
      </c>
      <c r="C1190" s="22" t="s">
        <v>431</v>
      </c>
      <c r="D1190" s="437">
        <v>850</v>
      </c>
      <c r="E1190" s="440"/>
      <c r="F1190" s="466">
        <f t="shared" si="507"/>
        <v>0</v>
      </c>
      <c r="G1190" s="440">
        <v>850</v>
      </c>
      <c r="H1190" s="439">
        <v>0</v>
      </c>
      <c r="I1190" s="440">
        <v>0</v>
      </c>
      <c r="J1190" s="439">
        <v>848.71</v>
      </c>
    </row>
    <row r="1191" spans="1:10" ht="13.5" customHeight="1" x14ac:dyDescent="0.25">
      <c r="A1191" s="1"/>
      <c r="B1191" s="1"/>
      <c r="C1191" s="1"/>
      <c r="D1191" s="438">
        <v>5050</v>
      </c>
      <c r="E1191" s="438">
        <f t="shared" ref="E1191" si="508">SUM(E1186:E1190)</f>
        <v>1363.67</v>
      </c>
      <c r="F1191" s="467"/>
      <c r="G1191" s="438">
        <v>4200</v>
      </c>
      <c r="H1191" s="438">
        <f>SUM(H1186:H1190)</f>
        <v>2430.5</v>
      </c>
      <c r="I1191" s="438">
        <f>SUM(I1186:I1190)</f>
        <v>2681.4399999999996</v>
      </c>
      <c r="J1191" s="438">
        <f t="shared" ref="J1191" si="509">SUM(J1186:J1190)</f>
        <v>5309.81</v>
      </c>
    </row>
    <row r="1192" spans="1:10" ht="13.5" customHeight="1" thickBot="1" x14ac:dyDescent="0.3">
      <c r="A1192" s="1"/>
      <c r="B1192" s="1"/>
      <c r="C1192" s="39" t="s">
        <v>1164</v>
      </c>
      <c r="D1192" s="451">
        <v>472292.87835999997</v>
      </c>
      <c r="E1192" s="451">
        <f t="shared" ref="E1192" si="510">SUM(E1168+E1175+E1184+E1191)</f>
        <v>229728.31</v>
      </c>
      <c r="F1192" s="478"/>
      <c r="G1192" s="451">
        <v>572813.06999999995</v>
      </c>
      <c r="H1192" s="451">
        <f>SUM(H1168+H1175+H1184+H1191)</f>
        <v>545423.87999999989</v>
      </c>
      <c r="I1192" s="451">
        <f>SUM(I1168+I1175+I1184+I1191)</f>
        <v>516783.72</v>
      </c>
      <c r="J1192" s="451">
        <f t="shared" ref="J1192" si="511">SUM(J1168+J1175+J1184+J1191)</f>
        <v>483679.71000000008</v>
      </c>
    </row>
    <row r="1193" spans="1:10" ht="13.5" customHeight="1" thickTop="1" x14ac:dyDescent="0.25">
      <c r="A1193" s="1"/>
      <c r="B1193" s="1"/>
      <c r="C1193" s="1"/>
      <c r="D1193" s="440"/>
      <c r="E1193" s="440"/>
      <c r="F1193" s="468"/>
      <c r="G1193" s="440"/>
      <c r="H1193" s="440"/>
      <c r="I1193" s="440"/>
      <c r="J1193" s="440"/>
    </row>
    <row r="1194" spans="1:10" ht="13.5" customHeight="1" x14ac:dyDescent="0.25">
      <c r="A1194" s="1"/>
      <c r="B1194" s="1"/>
      <c r="C1194" s="46" t="s">
        <v>1165</v>
      </c>
      <c r="D1194" s="440"/>
      <c r="E1194" s="440"/>
      <c r="F1194" s="468"/>
      <c r="G1194" s="440"/>
      <c r="H1194" s="440"/>
      <c r="I1194" s="440"/>
      <c r="J1194" s="440"/>
    </row>
    <row r="1195" spans="1:10" ht="13.5" customHeight="1" x14ac:dyDescent="0.25">
      <c r="A1195" s="1"/>
      <c r="B1195" s="22" t="s">
        <v>1166</v>
      </c>
      <c r="C1195" s="47" t="s">
        <v>275</v>
      </c>
      <c r="D1195" s="437">
        <v>50000</v>
      </c>
      <c r="E1195" s="440"/>
      <c r="F1195" s="468"/>
      <c r="G1195" s="439">
        <v>0</v>
      </c>
      <c r="H1195" s="439">
        <v>0</v>
      </c>
      <c r="I1195" s="439">
        <v>5415.57</v>
      </c>
      <c r="J1195" s="439">
        <v>1043.67</v>
      </c>
    </row>
    <row r="1196" spans="1:10" ht="13.5" customHeight="1" thickBot="1" x14ac:dyDescent="0.3">
      <c r="A1196" s="1"/>
      <c r="B1196" s="1"/>
      <c r="C1196" s="46" t="s">
        <v>1167</v>
      </c>
      <c r="D1196" s="453">
        <v>50000</v>
      </c>
      <c r="E1196" s="453">
        <f>SUM(E1195)</f>
        <v>0</v>
      </c>
      <c r="F1196" s="479"/>
      <c r="G1196" s="453">
        <v>0</v>
      </c>
      <c r="H1196" s="455">
        <v>0</v>
      </c>
      <c r="I1196" s="453">
        <f>SUM(I1194:I1195)</f>
        <v>5415.57</v>
      </c>
      <c r="J1196" s="453">
        <f t="shared" ref="J1196" si="512">SUM(J1194:J1195)</f>
        <v>1043.67</v>
      </c>
    </row>
    <row r="1197" spans="1:10" ht="13.5" customHeight="1" thickTop="1" x14ac:dyDescent="0.25">
      <c r="A1197" s="1"/>
      <c r="B1197" s="1"/>
      <c r="C1197" s="14"/>
      <c r="D1197" s="440"/>
      <c r="E1197" s="440"/>
      <c r="F1197" s="468"/>
      <c r="G1197" s="440"/>
      <c r="H1197" s="440"/>
      <c r="I1197" s="440"/>
      <c r="J1197" s="440"/>
    </row>
    <row r="1198" spans="1:10" ht="13.5" customHeight="1" x14ac:dyDescent="0.25">
      <c r="A1198" s="1"/>
      <c r="B1198" s="1"/>
      <c r="C1198" s="14" t="s">
        <v>1168</v>
      </c>
      <c r="D1198" s="440"/>
      <c r="E1198" s="440"/>
      <c r="F1198" s="468"/>
      <c r="G1198" s="440"/>
      <c r="H1198" s="440"/>
      <c r="I1198" s="440"/>
      <c r="J1198" s="440"/>
    </row>
    <row r="1199" spans="1:10" ht="13.5" customHeight="1" x14ac:dyDescent="0.25">
      <c r="A1199" s="1"/>
      <c r="B1199" s="1" t="s">
        <v>1169</v>
      </c>
      <c r="C1199" s="1" t="s">
        <v>1170</v>
      </c>
      <c r="D1199" s="437">
        <v>30000</v>
      </c>
      <c r="E1199" s="437">
        <v>10553.12</v>
      </c>
      <c r="F1199" s="466">
        <f t="shared" ref="F1199:F1200" si="513">SUM(E1199/G1199)</f>
        <v>0.35177066666666668</v>
      </c>
      <c r="G1199" s="437">
        <v>30000</v>
      </c>
      <c r="H1199" s="437">
        <v>20292.13</v>
      </c>
      <c r="I1199" s="437">
        <v>31218.12</v>
      </c>
      <c r="J1199" s="437">
        <v>30101.67</v>
      </c>
    </row>
    <row r="1200" spans="1:10" ht="13.5" customHeight="1" x14ac:dyDescent="0.25">
      <c r="A1200" s="1"/>
      <c r="B1200" s="1" t="s">
        <v>1171</v>
      </c>
      <c r="C1200" s="1" t="s">
        <v>273</v>
      </c>
      <c r="D1200" s="437">
        <v>4000</v>
      </c>
      <c r="E1200" s="440"/>
      <c r="F1200" s="466">
        <f t="shared" si="513"/>
        <v>0</v>
      </c>
      <c r="G1200" s="440">
        <v>4000</v>
      </c>
      <c r="H1200" s="439">
        <v>0</v>
      </c>
      <c r="I1200" s="439">
        <v>2049</v>
      </c>
      <c r="J1200" s="440">
        <v>0</v>
      </c>
    </row>
    <row r="1201" spans="1:10" ht="13.5" customHeight="1" x14ac:dyDescent="0.25">
      <c r="A1201" s="1"/>
      <c r="B1201" s="22" t="s">
        <v>1172</v>
      </c>
      <c r="C1201" s="22" t="s">
        <v>455</v>
      </c>
      <c r="D1201" s="437">
        <v>0</v>
      </c>
      <c r="E1201" s="439"/>
      <c r="F1201" s="466"/>
      <c r="G1201" s="439">
        <v>0</v>
      </c>
      <c r="H1201" s="439">
        <v>0</v>
      </c>
      <c r="I1201" s="439">
        <v>2146.8200000000002</v>
      </c>
      <c r="J1201" s="437">
        <v>0</v>
      </c>
    </row>
    <row r="1202" spans="1:10" ht="13.5" customHeight="1" x14ac:dyDescent="0.25">
      <c r="A1202" s="1"/>
      <c r="B1202" s="1" t="s">
        <v>1173</v>
      </c>
      <c r="C1202" s="1" t="s">
        <v>275</v>
      </c>
      <c r="D1202" s="437">
        <v>393</v>
      </c>
      <c r="E1202" s="439">
        <v>95.04</v>
      </c>
      <c r="F1202" s="466">
        <f>SUM(E1202/G1202)</f>
        <v>0.24183206106870231</v>
      </c>
      <c r="G1202" s="440">
        <v>393</v>
      </c>
      <c r="H1202" s="439">
        <v>161.97</v>
      </c>
      <c r="I1202" s="439">
        <v>210.96</v>
      </c>
      <c r="J1202" s="437">
        <v>895.97</v>
      </c>
    </row>
    <row r="1203" spans="1:10" ht="13.5" customHeight="1" x14ac:dyDescent="0.25">
      <c r="A1203" s="1"/>
      <c r="B1203" s="1"/>
      <c r="C1203" s="1"/>
      <c r="D1203" s="438">
        <v>34393</v>
      </c>
      <c r="E1203" s="438">
        <f t="shared" ref="E1203" si="514">SUM(E1199:E1202)</f>
        <v>10648.160000000002</v>
      </c>
      <c r="F1203" s="467"/>
      <c r="G1203" s="438">
        <v>34393</v>
      </c>
      <c r="H1203" s="438">
        <f>SUM(H1199:H1202)</f>
        <v>20454.100000000002</v>
      </c>
      <c r="I1203" s="438">
        <f>SUM(I1199:I1202)</f>
        <v>35624.899999999994</v>
      </c>
      <c r="J1203" s="438">
        <f t="shared" ref="J1203" si="515">SUM(J1199:J1202)</f>
        <v>30997.64</v>
      </c>
    </row>
    <row r="1204" spans="1:10" ht="13.5" customHeight="1" x14ac:dyDescent="0.25">
      <c r="A1204" s="1"/>
      <c r="B1204" s="1"/>
      <c r="C1204" s="1"/>
      <c r="D1204" s="437"/>
      <c r="E1204" s="440"/>
      <c r="F1204" s="468"/>
      <c r="G1204" s="440"/>
      <c r="H1204" s="440"/>
      <c r="I1204" s="440"/>
      <c r="J1204" s="437"/>
    </row>
    <row r="1205" spans="1:10" ht="13.5" customHeight="1" x14ac:dyDescent="0.25">
      <c r="A1205" s="1"/>
      <c r="B1205" s="1" t="s">
        <v>1174</v>
      </c>
      <c r="C1205" s="1" t="s">
        <v>1175</v>
      </c>
      <c r="D1205" s="437">
        <v>50000</v>
      </c>
      <c r="E1205" s="437">
        <v>19103.599999999999</v>
      </c>
      <c r="F1205" s="466">
        <f t="shared" ref="F1205:F1210" si="516">SUM(E1205/G1205)</f>
        <v>0.38207199999999997</v>
      </c>
      <c r="G1205" s="437">
        <v>50000</v>
      </c>
      <c r="H1205" s="437">
        <v>46122.14</v>
      </c>
      <c r="I1205" s="437">
        <v>45996.480000000003</v>
      </c>
      <c r="J1205" s="437">
        <v>44914.49</v>
      </c>
    </row>
    <row r="1206" spans="1:10" ht="13.5" customHeight="1" x14ac:dyDescent="0.25">
      <c r="A1206" s="1"/>
      <c r="B1206" s="1" t="s">
        <v>1176</v>
      </c>
      <c r="C1206" s="1" t="s">
        <v>1177</v>
      </c>
      <c r="D1206" s="437">
        <v>1500</v>
      </c>
      <c r="E1206" s="437">
        <v>400.42</v>
      </c>
      <c r="F1206" s="466">
        <f t="shared" si="516"/>
        <v>0.26694666666666667</v>
      </c>
      <c r="G1206" s="437">
        <v>1500</v>
      </c>
      <c r="H1206" s="437">
        <v>698.94</v>
      </c>
      <c r="I1206" s="437">
        <v>627.84</v>
      </c>
      <c r="J1206" s="437">
        <v>540.20000000000005</v>
      </c>
    </row>
    <row r="1207" spans="1:10" ht="13.5" customHeight="1" x14ac:dyDescent="0.25">
      <c r="A1207" s="1"/>
      <c r="B1207" s="1" t="s">
        <v>1178</v>
      </c>
      <c r="C1207" s="1" t="s">
        <v>1179</v>
      </c>
      <c r="D1207" s="437">
        <v>9000</v>
      </c>
      <c r="E1207" s="437">
        <v>2487.23</v>
      </c>
      <c r="F1207" s="466">
        <f t="shared" si="516"/>
        <v>0.27635888888888888</v>
      </c>
      <c r="G1207" s="437">
        <v>9000</v>
      </c>
      <c r="H1207" s="437">
        <v>9479.14</v>
      </c>
      <c r="I1207" s="437">
        <v>9638.52</v>
      </c>
      <c r="J1207" s="437">
        <v>9258.33</v>
      </c>
    </row>
    <row r="1208" spans="1:10" ht="13.5" customHeight="1" x14ac:dyDescent="0.25">
      <c r="A1208" s="1"/>
      <c r="B1208" s="1" t="s">
        <v>1180</v>
      </c>
      <c r="C1208" s="1" t="s">
        <v>1159</v>
      </c>
      <c r="D1208" s="437">
        <v>23000</v>
      </c>
      <c r="E1208" s="437">
        <v>5678.43</v>
      </c>
      <c r="F1208" s="466">
        <f t="shared" si="516"/>
        <v>0.24688826086956522</v>
      </c>
      <c r="G1208" s="437">
        <v>23000</v>
      </c>
      <c r="H1208" s="437">
        <v>22371.13</v>
      </c>
      <c r="I1208" s="437">
        <v>23218.03</v>
      </c>
      <c r="J1208" s="437">
        <v>17212.27</v>
      </c>
    </row>
    <row r="1209" spans="1:10" ht="13.5" customHeight="1" x14ac:dyDescent="0.25">
      <c r="A1209" s="1"/>
      <c r="B1209" s="1" t="s">
        <v>1181</v>
      </c>
      <c r="C1209" s="1" t="s">
        <v>1182</v>
      </c>
      <c r="D1209" s="437">
        <v>7500</v>
      </c>
      <c r="E1209" s="437">
        <v>3120.17</v>
      </c>
      <c r="F1209" s="466">
        <f t="shared" si="516"/>
        <v>0.41602266666666665</v>
      </c>
      <c r="G1209" s="437">
        <v>7500</v>
      </c>
      <c r="H1209" s="437">
        <v>2687.15</v>
      </c>
      <c r="I1209" s="437">
        <v>3687.29</v>
      </c>
      <c r="J1209" s="437">
        <v>7811.67</v>
      </c>
    </row>
    <row r="1210" spans="1:10" ht="13.5" customHeight="1" x14ac:dyDescent="0.25">
      <c r="A1210" s="1"/>
      <c r="B1210" s="1" t="s">
        <v>1183</v>
      </c>
      <c r="C1210" s="1" t="s">
        <v>1184</v>
      </c>
      <c r="D1210" s="437">
        <v>12000</v>
      </c>
      <c r="E1210" s="437">
        <v>3731.49</v>
      </c>
      <c r="F1210" s="466">
        <f t="shared" si="516"/>
        <v>0.3109575</v>
      </c>
      <c r="G1210" s="437">
        <v>12000</v>
      </c>
      <c r="H1210" s="437">
        <v>4270.55</v>
      </c>
      <c r="I1210" s="437">
        <v>7875.24</v>
      </c>
      <c r="J1210" s="437">
        <v>11951.12</v>
      </c>
    </row>
    <row r="1211" spans="1:10" ht="13.5" customHeight="1" x14ac:dyDescent="0.25">
      <c r="A1211" s="1"/>
      <c r="B1211" s="1"/>
      <c r="C1211" s="1"/>
      <c r="D1211" s="438">
        <v>103000</v>
      </c>
      <c r="E1211" s="438">
        <f t="shared" ref="E1211" si="517">SUM(E1205:E1210)</f>
        <v>34521.339999999997</v>
      </c>
      <c r="F1211" s="467"/>
      <c r="G1211" s="438">
        <v>103000</v>
      </c>
      <c r="H1211" s="438">
        <f>SUM(H1205:H1210)</f>
        <v>85629.05</v>
      </c>
      <c r="I1211" s="438">
        <f>SUM(I1205:I1210)</f>
        <v>91043.4</v>
      </c>
      <c r="J1211" s="438">
        <f t="shared" ref="J1211" si="518">SUM(J1205:J1210)</f>
        <v>91688.079999999987</v>
      </c>
    </row>
    <row r="1212" spans="1:10" ht="13.5" customHeight="1" x14ac:dyDescent="0.25">
      <c r="A1212" s="1"/>
      <c r="B1212" s="1"/>
      <c r="C1212" s="1"/>
      <c r="D1212" s="437"/>
      <c r="E1212" s="437"/>
      <c r="F1212" s="466"/>
      <c r="G1212" s="437"/>
      <c r="H1212" s="437"/>
      <c r="I1212" s="437"/>
      <c r="J1212" s="437"/>
    </row>
    <row r="1213" spans="1:10" ht="13.5" customHeight="1" x14ac:dyDescent="0.25">
      <c r="A1213" s="1"/>
      <c r="B1213" s="1" t="s">
        <v>1185</v>
      </c>
      <c r="C1213" s="1" t="s">
        <v>1186</v>
      </c>
      <c r="D1213" s="437">
        <v>56156</v>
      </c>
      <c r="E1213" s="437"/>
      <c r="F1213" s="466">
        <f>SUM(E1213/G1213)</f>
        <v>0</v>
      </c>
      <c r="G1213" s="437">
        <v>56156</v>
      </c>
      <c r="H1213" s="437">
        <v>0</v>
      </c>
      <c r="I1213" s="437">
        <v>56156</v>
      </c>
      <c r="J1213" s="440">
        <v>0</v>
      </c>
    </row>
    <row r="1214" spans="1:10" ht="13.5" customHeight="1" x14ac:dyDescent="0.25">
      <c r="A1214" s="1"/>
      <c r="B1214" s="1"/>
      <c r="C1214" s="1"/>
      <c r="D1214" s="438">
        <v>56156</v>
      </c>
      <c r="E1214" s="438">
        <f t="shared" ref="E1214" si="519">SUM(E1213)</f>
        <v>0</v>
      </c>
      <c r="F1214" s="467"/>
      <c r="G1214" s="438">
        <v>56156</v>
      </c>
      <c r="H1214" s="438">
        <f>SUM(H1213)</f>
        <v>0</v>
      </c>
      <c r="I1214" s="438">
        <f>SUM(I1213)</f>
        <v>56156</v>
      </c>
      <c r="J1214" s="438">
        <f t="shared" ref="J1214" si="520">SUM(J1213)</f>
        <v>0</v>
      </c>
    </row>
    <row r="1215" spans="1:10" ht="13.5" customHeight="1" thickBot="1" x14ac:dyDescent="0.3">
      <c r="A1215" s="1"/>
      <c r="B1215" s="1"/>
      <c r="C1215" s="39" t="s">
        <v>1187</v>
      </c>
      <c r="D1215" s="451">
        <v>193549</v>
      </c>
      <c r="E1215" s="451">
        <f t="shared" ref="E1215" si="521">SUM(E1203+E1211+E1214)</f>
        <v>45169.5</v>
      </c>
      <c r="F1215" s="478"/>
      <c r="G1215" s="451">
        <v>193549</v>
      </c>
      <c r="H1215" s="451">
        <f>SUM(H1203+H1211+H1214)</f>
        <v>106083.15000000001</v>
      </c>
      <c r="I1215" s="451">
        <f>SUM(I1203+I1211+I1214)</f>
        <v>182824.3</v>
      </c>
      <c r="J1215" s="451">
        <f t="shared" ref="J1215" si="522">SUM(J1203+J1211+J1214)</f>
        <v>122685.71999999999</v>
      </c>
    </row>
    <row r="1216" spans="1:10" ht="13.5" customHeight="1" thickTop="1" x14ac:dyDescent="0.25">
      <c r="A1216" s="1"/>
      <c r="B1216" s="1"/>
      <c r="C1216" s="1"/>
      <c r="D1216" s="437"/>
      <c r="E1216" s="437"/>
      <c r="F1216" s="466"/>
      <c r="G1216" s="437"/>
      <c r="H1216" s="437"/>
      <c r="I1216" s="437"/>
      <c r="J1216" s="440"/>
    </row>
    <row r="1217" spans="1:10" ht="13.5" customHeight="1" x14ac:dyDescent="0.25">
      <c r="A1217" s="1"/>
      <c r="B1217" s="1"/>
      <c r="C1217" s="14" t="s">
        <v>1188</v>
      </c>
      <c r="D1217" s="437"/>
      <c r="E1217" s="437"/>
      <c r="F1217" s="466"/>
      <c r="G1217" s="437"/>
      <c r="H1217" s="437"/>
      <c r="I1217" s="437"/>
      <c r="J1217" s="440"/>
    </row>
    <row r="1218" spans="1:10" ht="13.5" customHeight="1" x14ac:dyDescent="0.25">
      <c r="A1218" s="1"/>
      <c r="B1218" s="22" t="s">
        <v>1189</v>
      </c>
      <c r="C1218" s="22" t="s">
        <v>1085</v>
      </c>
      <c r="D1218" s="440"/>
      <c r="E1218" s="439">
        <v>1793.98</v>
      </c>
      <c r="F1218" s="468"/>
      <c r="G1218" s="440"/>
      <c r="H1218" s="439">
        <v>0</v>
      </c>
      <c r="I1218" s="439">
        <v>5904.69</v>
      </c>
      <c r="J1218" s="437">
        <v>0</v>
      </c>
    </row>
    <row r="1219" spans="1:10" ht="13.5" customHeight="1" x14ac:dyDescent="0.25">
      <c r="A1219" s="1"/>
      <c r="B1219" s="1" t="s">
        <v>1190</v>
      </c>
      <c r="C1219" s="1" t="s">
        <v>693</v>
      </c>
      <c r="D1219" s="440">
        <v>0</v>
      </c>
      <c r="E1219" s="439">
        <v>53.86</v>
      </c>
      <c r="F1219" s="468"/>
      <c r="G1219" s="440">
        <v>0</v>
      </c>
      <c r="H1219" s="439">
        <v>36.86</v>
      </c>
      <c r="I1219" s="439">
        <v>30.55</v>
      </c>
      <c r="J1219" s="437">
        <v>977.48</v>
      </c>
    </row>
    <row r="1220" spans="1:10" ht="13.5" customHeight="1" x14ac:dyDescent="0.25">
      <c r="A1220" s="1"/>
      <c r="B1220" s="1"/>
      <c r="C1220" s="1"/>
      <c r="D1220" s="441">
        <v>0</v>
      </c>
      <c r="E1220" s="441">
        <f>SUM(E1218:E1219)</f>
        <v>1847.84</v>
      </c>
      <c r="F1220" s="469"/>
      <c r="G1220" s="441">
        <v>0</v>
      </c>
      <c r="H1220" s="441">
        <f>SUM(H1219)</f>
        <v>36.86</v>
      </c>
      <c r="I1220" s="441">
        <f>SUM(I1218:I1219)</f>
        <v>5935.24</v>
      </c>
      <c r="J1220" s="441">
        <f t="shared" ref="J1220" si="523">SUM(J1219)</f>
        <v>977.48</v>
      </c>
    </row>
    <row r="1221" spans="1:10" ht="13.5" customHeight="1" x14ac:dyDescent="0.25">
      <c r="A1221" s="1"/>
      <c r="B1221" s="1"/>
      <c r="C1221" s="1"/>
      <c r="D1221" s="440"/>
      <c r="E1221" s="440"/>
      <c r="F1221" s="468"/>
      <c r="G1221" s="440"/>
      <c r="H1221" s="440"/>
      <c r="I1221" s="440"/>
      <c r="J1221" s="437"/>
    </row>
    <row r="1222" spans="1:10" ht="13.5" customHeight="1" x14ac:dyDescent="0.25">
      <c r="A1222" s="1"/>
      <c r="B1222" s="1" t="s">
        <v>1191</v>
      </c>
      <c r="C1222" s="1" t="s">
        <v>1175</v>
      </c>
      <c r="D1222" s="437">
        <v>30000</v>
      </c>
      <c r="E1222" s="437">
        <v>9371.6200000000008</v>
      </c>
      <c r="F1222" s="466">
        <f t="shared" ref="F1222:F1226" si="524">SUM(E1222/G1222)</f>
        <v>0.31238733333333335</v>
      </c>
      <c r="G1222" s="437">
        <v>30000</v>
      </c>
      <c r="H1222" s="437">
        <v>24746.22</v>
      </c>
      <c r="I1222" s="437">
        <v>27295.69</v>
      </c>
      <c r="J1222" s="437">
        <v>28706.47</v>
      </c>
    </row>
    <row r="1223" spans="1:10" ht="13.5" customHeight="1" x14ac:dyDescent="0.25">
      <c r="A1223" s="1"/>
      <c r="B1223" s="1" t="s">
        <v>1192</v>
      </c>
      <c r="C1223" s="1" t="s">
        <v>1177</v>
      </c>
      <c r="D1223" s="437">
        <v>1500</v>
      </c>
      <c r="E1223" s="437">
        <v>745.35</v>
      </c>
      <c r="F1223" s="466">
        <f t="shared" si="524"/>
        <v>0.49690000000000001</v>
      </c>
      <c r="G1223" s="437">
        <v>1500</v>
      </c>
      <c r="H1223" s="437">
        <v>851.19</v>
      </c>
      <c r="I1223" s="437">
        <v>934.23</v>
      </c>
      <c r="J1223" s="437">
        <v>915.69</v>
      </c>
    </row>
    <row r="1224" spans="1:10" ht="13.5" customHeight="1" x14ac:dyDescent="0.25">
      <c r="A1224" s="1"/>
      <c r="B1224" s="1" t="s">
        <v>1193</v>
      </c>
      <c r="C1224" s="1" t="s">
        <v>1179</v>
      </c>
      <c r="D1224" s="437">
        <v>6000</v>
      </c>
      <c r="E1224" s="437">
        <v>1740.31</v>
      </c>
      <c r="F1224" s="466">
        <f t="shared" si="524"/>
        <v>0.29005166666666665</v>
      </c>
      <c r="G1224" s="437">
        <v>6000</v>
      </c>
      <c r="H1224" s="437">
        <v>4140.22</v>
      </c>
      <c r="I1224" s="437">
        <v>4446.93</v>
      </c>
      <c r="J1224" s="437">
        <v>4620.38</v>
      </c>
    </row>
    <row r="1225" spans="1:10" ht="13.5" customHeight="1" x14ac:dyDescent="0.25">
      <c r="A1225" s="1"/>
      <c r="B1225" s="1" t="s">
        <v>1194</v>
      </c>
      <c r="C1225" s="1" t="s">
        <v>1159</v>
      </c>
      <c r="D1225" s="437">
        <v>10000</v>
      </c>
      <c r="E1225" s="437">
        <v>3409.42</v>
      </c>
      <c r="F1225" s="466">
        <f t="shared" si="524"/>
        <v>0.34094200000000002</v>
      </c>
      <c r="G1225" s="437">
        <v>10000</v>
      </c>
      <c r="H1225" s="437">
        <v>5608.18</v>
      </c>
      <c r="I1225" s="437">
        <v>7357.14</v>
      </c>
      <c r="J1225" s="437">
        <v>5726.15</v>
      </c>
    </row>
    <row r="1226" spans="1:10" ht="13.5" customHeight="1" x14ac:dyDescent="0.25">
      <c r="A1226" s="1"/>
      <c r="B1226" s="1" t="s">
        <v>1195</v>
      </c>
      <c r="C1226" s="1" t="s">
        <v>1182</v>
      </c>
      <c r="D1226" s="437">
        <v>15000</v>
      </c>
      <c r="E1226" s="439">
        <v>1535.03</v>
      </c>
      <c r="F1226" s="466">
        <f t="shared" si="524"/>
        <v>0.10233533333333333</v>
      </c>
      <c r="G1226" s="440">
        <v>15000</v>
      </c>
      <c r="H1226" s="439">
        <v>25034.880000000001</v>
      </c>
      <c r="I1226" s="439">
        <v>231.26</v>
      </c>
      <c r="J1226" s="437">
        <v>7874.81</v>
      </c>
    </row>
    <row r="1227" spans="1:10" ht="13.5" customHeight="1" x14ac:dyDescent="0.25">
      <c r="A1227" s="1"/>
      <c r="B1227" s="1"/>
      <c r="C1227" s="1"/>
      <c r="D1227" s="438">
        <v>62500</v>
      </c>
      <c r="E1227" s="438">
        <f t="shared" ref="E1227" si="525">SUM(E1222:E1226)</f>
        <v>16801.73</v>
      </c>
      <c r="F1227" s="467"/>
      <c r="G1227" s="438">
        <v>62500</v>
      </c>
      <c r="H1227" s="438">
        <f>SUM(H1222:H1226)</f>
        <v>60380.69</v>
      </c>
      <c r="I1227" s="438">
        <f>SUM(I1222:I1226)</f>
        <v>40265.25</v>
      </c>
      <c r="J1227" s="438">
        <f t="shared" ref="J1227" si="526">SUM(J1222:J1226)</f>
        <v>47843.5</v>
      </c>
    </row>
    <row r="1228" spans="1:10" ht="13.5" customHeight="1" x14ac:dyDescent="0.25">
      <c r="A1228" s="1"/>
      <c r="B1228" s="1"/>
      <c r="C1228" s="1"/>
      <c r="D1228" s="437"/>
      <c r="E1228" s="440"/>
      <c r="F1228" s="468"/>
      <c r="G1228" s="440"/>
      <c r="H1228" s="440"/>
      <c r="I1228" s="440"/>
      <c r="J1228" s="437"/>
    </row>
    <row r="1229" spans="1:10" ht="13.5" customHeight="1" x14ac:dyDescent="0.25">
      <c r="A1229" s="1"/>
      <c r="B1229" s="1" t="s">
        <v>1196</v>
      </c>
      <c r="C1229" s="1" t="s">
        <v>1186</v>
      </c>
      <c r="D1229" s="437">
        <v>20000</v>
      </c>
      <c r="E1229" s="439">
        <v>13180</v>
      </c>
      <c r="F1229" s="466">
        <f>SUM(E1229/G1229)</f>
        <v>0.65900000000000003</v>
      </c>
      <c r="G1229" s="440">
        <v>20000</v>
      </c>
      <c r="H1229" s="439">
        <v>13512</v>
      </c>
      <c r="I1229" s="440">
        <v>0</v>
      </c>
      <c r="J1229" s="440" t="s">
        <v>12</v>
      </c>
    </row>
    <row r="1230" spans="1:10" ht="13.5" customHeight="1" x14ac:dyDescent="0.25">
      <c r="A1230" s="1"/>
      <c r="B1230" s="1"/>
      <c r="C1230" s="1"/>
      <c r="D1230" s="438">
        <v>20000</v>
      </c>
      <c r="E1230" s="438">
        <f t="shared" ref="E1230" si="527">SUM(E1229)</f>
        <v>13180</v>
      </c>
      <c r="F1230" s="467"/>
      <c r="G1230" s="438">
        <v>20000</v>
      </c>
      <c r="H1230" s="438">
        <f>SUM(H1229)</f>
        <v>13512</v>
      </c>
      <c r="I1230" s="438">
        <f>SUM(I1229)</f>
        <v>0</v>
      </c>
      <c r="J1230" s="438">
        <f t="shared" ref="J1230" si="528">SUM(J1229)</f>
        <v>0</v>
      </c>
    </row>
    <row r="1231" spans="1:10" ht="13.5" customHeight="1" thickBot="1" x14ac:dyDescent="0.3">
      <c r="A1231" s="1"/>
      <c r="B1231" s="1"/>
      <c r="C1231" s="39" t="s">
        <v>1197</v>
      </c>
      <c r="D1231" s="451">
        <v>82500</v>
      </c>
      <c r="E1231" s="451">
        <f t="shared" ref="E1231" si="529">SUM(E1220+E1227+E1230)</f>
        <v>31829.57</v>
      </c>
      <c r="F1231" s="478"/>
      <c r="G1231" s="451">
        <v>82500</v>
      </c>
      <c r="H1231" s="451">
        <f>SUM(H1220+H1227+H1230)</f>
        <v>73929.55</v>
      </c>
      <c r="I1231" s="451">
        <f>SUM(I1220+I1227+I1230)</f>
        <v>46200.49</v>
      </c>
      <c r="J1231" s="451">
        <f t="shared" ref="J1231" si="530">SUM(J1220+J1227+J1230)</f>
        <v>48820.98</v>
      </c>
    </row>
    <row r="1232" spans="1:10" ht="13.5" customHeight="1" thickTop="1" x14ac:dyDescent="0.25">
      <c r="A1232" s="1"/>
      <c r="B1232" s="1"/>
      <c r="C1232" s="1"/>
      <c r="D1232" s="437"/>
      <c r="E1232" s="440"/>
      <c r="F1232" s="468"/>
      <c r="G1232" s="440"/>
      <c r="H1232" s="440"/>
      <c r="I1232" s="440"/>
      <c r="J1232" s="440"/>
    </row>
    <row r="1233" spans="1:10" ht="13.5" customHeight="1" x14ac:dyDescent="0.25">
      <c r="A1233" s="1"/>
      <c r="B1233" s="1"/>
      <c r="C1233" s="14" t="s">
        <v>1198</v>
      </c>
      <c r="D1233" s="437"/>
      <c r="E1233" s="440"/>
      <c r="F1233" s="468"/>
      <c r="G1233" s="440"/>
      <c r="H1233" s="440"/>
      <c r="I1233" s="440"/>
      <c r="J1233" s="440"/>
    </row>
    <row r="1234" spans="1:10" ht="13.5" customHeight="1" x14ac:dyDescent="0.25">
      <c r="A1234" s="1"/>
      <c r="B1234" s="1" t="s">
        <v>1199</v>
      </c>
      <c r="C1234" s="1" t="s">
        <v>1170</v>
      </c>
      <c r="D1234" s="437">
        <v>35000</v>
      </c>
      <c r="E1234" s="437">
        <v>6397.12</v>
      </c>
      <c r="F1234" s="466">
        <f>SUM(E1234/G1234)</f>
        <v>0.18277485714285713</v>
      </c>
      <c r="G1234" s="437">
        <v>35000</v>
      </c>
      <c r="H1234" s="437">
        <v>23874.93</v>
      </c>
      <c r="I1234" s="437">
        <v>25177.1</v>
      </c>
      <c r="J1234" s="437">
        <v>31607.09</v>
      </c>
    </row>
    <row r="1235" spans="1:10" ht="13.5" customHeight="1" x14ac:dyDescent="0.25">
      <c r="A1235" s="1"/>
      <c r="B1235" s="22" t="s">
        <v>1200</v>
      </c>
      <c r="C1235" s="22" t="s">
        <v>273</v>
      </c>
      <c r="D1235" s="437">
        <v>0</v>
      </c>
      <c r="E1235" s="439">
        <v>4423.42</v>
      </c>
      <c r="F1235" s="466"/>
      <c r="G1235" s="440"/>
      <c r="H1235" s="439"/>
      <c r="I1235" s="440"/>
      <c r="J1235" s="437"/>
    </row>
    <row r="1236" spans="1:10" ht="13.5" customHeight="1" x14ac:dyDescent="0.25">
      <c r="A1236" s="1"/>
      <c r="B1236" s="1" t="s">
        <v>1201</v>
      </c>
      <c r="C1236" s="1" t="s">
        <v>275</v>
      </c>
      <c r="D1236" s="437">
        <v>0</v>
      </c>
      <c r="E1236" s="439">
        <v>8562.6299999999992</v>
      </c>
      <c r="F1236" s="466"/>
      <c r="G1236" s="440" t="s">
        <v>12</v>
      </c>
      <c r="H1236" s="439">
        <v>252.14</v>
      </c>
      <c r="I1236" s="440" t="s">
        <v>12</v>
      </c>
      <c r="J1236" s="437">
        <v>49.99</v>
      </c>
    </row>
    <row r="1237" spans="1:10" ht="13.5" customHeight="1" x14ac:dyDescent="0.25">
      <c r="A1237" s="1"/>
      <c r="B1237" s="1"/>
      <c r="C1237" s="1"/>
      <c r="D1237" s="441">
        <v>35000</v>
      </c>
      <c r="E1237" s="441">
        <f t="shared" ref="E1237" si="531">SUM(E1234:E1236)</f>
        <v>19383.169999999998</v>
      </c>
      <c r="F1237" s="469"/>
      <c r="G1237" s="441">
        <v>35000</v>
      </c>
      <c r="H1237" s="441">
        <f>SUM(H1234:H1236)</f>
        <v>24127.07</v>
      </c>
      <c r="I1237" s="441">
        <f>SUM(I1234:I1236)</f>
        <v>25177.1</v>
      </c>
      <c r="J1237" s="441">
        <f t="shared" ref="J1237" si="532">SUM(J1234:J1236)</f>
        <v>31657.08</v>
      </c>
    </row>
    <row r="1238" spans="1:10" ht="13.5" customHeight="1" x14ac:dyDescent="0.25">
      <c r="A1238" s="1"/>
      <c r="B1238" s="1"/>
      <c r="C1238" s="1"/>
      <c r="D1238" s="440"/>
      <c r="E1238" s="440"/>
      <c r="F1238" s="468"/>
      <c r="G1238" s="440"/>
      <c r="H1238" s="440"/>
      <c r="I1238" s="440"/>
      <c r="J1238" s="437"/>
    </row>
    <row r="1239" spans="1:10" ht="13.5" customHeight="1" x14ac:dyDescent="0.25">
      <c r="A1239" s="1"/>
      <c r="B1239" s="1" t="s">
        <v>1202</v>
      </c>
      <c r="C1239" s="1" t="s">
        <v>1175</v>
      </c>
      <c r="D1239" s="437">
        <v>160000</v>
      </c>
      <c r="E1239" s="437">
        <v>50851.11</v>
      </c>
      <c r="F1239" s="466">
        <f t="shared" ref="F1239:F1244" si="533">SUM(E1239/G1239)</f>
        <v>0.31781943750000002</v>
      </c>
      <c r="G1239" s="437">
        <v>160000</v>
      </c>
      <c r="H1239" s="437">
        <v>148403.74</v>
      </c>
      <c r="I1239" s="437">
        <v>160635.04999999999</v>
      </c>
      <c r="J1239" s="437">
        <v>161878.14000000001</v>
      </c>
    </row>
    <row r="1240" spans="1:10" ht="13.5" customHeight="1" x14ac:dyDescent="0.25">
      <c r="A1240" s="1"/>
      <c r="B1240" s="1" t="s">
        <v>1203</v>
      </c>
      <c r="C1240" s="1" t="s">
        <v>1177</v>
      </c>
      <c r="D1240" s="437">
        <v>45000</v>
      </c>
      <c r="E1240" s="437">
        <v>23303.06</v>
      </c>
      <c r="F1240" s="466">
        <f t="shared" si="533"/>
        <v>0.51784577777777785</v>
      </c>
      <c r="G1240" s="437">
        <v>45000</v>
      </c>
      <c r="H1240" s="437">
        <v>29734.98</v>
      </c>
      <c r="I1240" s="437">
        <v>31146.240000000002</v>
      </c>
      <c r="J1240" s="437">
        <v>38408.639999999999</v>
      </c>
    </row>
    <row r="1241" spans="1:10" ht="13.5" customHeight="1" x14ac:dyDescent="0.25">
      <c r="A1241" s="1"/>
      <c r="B1241" s="1" t="s">
        <v>1204</v>
      </c>
      <c r="C1241" s="1" t="s">
        <v>1179</v>
      </c>
      <c r="D1241" s="437">
        <v>180000</v>
      </c>
      <c r="E1241" s="437">
        <v>84999.78</v>
      </c>
      <c r="F1241" s="466">
        <f t="shared" si="533"/>
        <v>0.472221</v>
      </c>
      <c r="G1241" s="437">
        <v>180000</v>
      </c>
      <c r="H1241" s="437">
        <v>191654.26</v>
      </c>
      <c r="I1241" s="437">
        <v>202114.34</v>
      </c>
      <c r="J1241" s="437">
        <v>189012.76</v>
      </c>
    </row>
    <row r="1242" spans="1:10" ht="13.5" customHeight="1" x14ac:dyDescent="0.25">
      <c r="A1242" s="1"/>
      <c r="B1242" s="1" t="s">
        <v>1205</v>
      </c>
      <c r="C1242" s="1" t="s">
        <v>1159</v>
      </c>
      <c r="D1242" s="437">
        <v>100000</v>
      </c>
      <c r="E1242" s="437">
        <v>47801.46</v>
      </c>
      <c r="F1242" s="466">
        <f t="shared" si="533"/>
        <v>0.53112733333333328</v>
      </c>
      <c r="G1242" s="437">
        <v>90000</v>
      </c>
      <c r="H1242" s="437">
        <v>134925.22</v>
      </c>
      <c r="I1242" s="437">
        <v>76143.23</v>
      </c>
      <c r="J1242" s="437">
        <v>112066.17</v>
      </c>
    </row>
    <row r="1243" spans="1:10" ht="13.5" customHeight="1" x14ac:dyDescent="0.25">
      <c r="A1243" s="1"/>
      <c r="B1243" s="1" t="s">
        <v>1206</v>
      </c>
      <c r="C1243" s="1" t="s">
        <v>1161</v>
      </c>
      <c r="D1243" s="437">
        <v>30000</v>
      </c>
      <c r="E1243" s="437"/>
      <c r="F1243" s="466">
        <f t="shared" si="533"/>
        <v>0</v>
      </c>
      <c r="G1243" s="437">
        <v>15000</v>
      </c>
      <c r="H1243" s="437">
        <v>309.04000000000002</v>
      </c>
      <c r="I1243" s="437">
        <v>6176.3</v>
      </c>
      <c r="J1243" s="437">
        <v>3893.67</v>
      </c>
    </row>
    <row r="1244" spans="1:10" ht="13.5" customHeight="1" x14ac:dyDescent="0.25">
      <c r="A1244" s="1"/>
      <c r="B1244" s="1" t="s">
        <v>1207</v>
      </c>
      <c r="C1244" s="1" t="s">
        <v>1182</v>
      </c>
      <c r="D1244" s="437">
        <v>60000</v>
      </c>
      <c r="E1244" s="437">
        <v>13003.59</v>
      </c>
      <c r="F1244" s="466">
        <f t="shared" si="533"/>
        <v>0.26007180000000002</v>
      </c>
      <c r="G1244" s="437">
        <v>50000</v>
      </c>
      <c r="H1244" s="437">
        <v>26223.47</v>
      </c>
      <c r="I1244" s="437">
        <v>16786.48</v>
      </c>
      <c r="J1244" s="437">
        <v>9391.0300000000007</v>
      </c>
    </row>
    <row r="1245" spans="1:10" ht="13.5" customHeight="1" x14ac:dyDescent="0.25">
      <c r="A1245" s="1"/>
      <c r="B1245" s="1"/>
      <c r="C1245" s="1"/>
      <c r="D1245" s="438">
        <v>575000</v>
      </c>
      <c r="E1245" s="438">
        <f t="shared" ref="E1245" si="534">SUM(E1239:E1244)</f>
        <v>219959</v>
      </c>
      <c r="F1245" s="467"/>
      <c r="G1245" s="438">
        <v>540000</v>
      </c>
      <c r="H1245" s="438">
        <f>SUM(H1239:H1244)</f>
        <v>531250.71</v>
      </c>
      <c r="I1245" s="438">
        <f>SUM(I1239:I1244)</f>
        <v>493001.63999999996</v>
      </c>
      <c r="J1245" s="438">
        <f t="shared" ref="J1245" si="535">SUM(J1239:J1244)</f>
        <v>514650.41000000003</v>
      </c>
    </row>
    <row r="1246" spans="1:10" ht="13.5" customHeight="1" x14ac:dyDescent="0.25">
      <c r="A1246" s="1"/>
      <c r="B1246" s="1"/>
      <c r="C1246" s="1"/>
      <c r="D1246" s="437"/>
      <c r="E1246" s="437"/>
      <c r="F1246" s="466"/>
      <c r="G1246" s="437"/>
      <c r="H1246" s="437"/>
      <c r="I1246" s="437"/>
      <c r="J1246" s="437"/>
    </row>
    <row r="1247" spans="1:10" ht="13.5" customHeight="1" x14ac:dyDescent="0.25">
      <c r="A1247" s="1"/>
      <c r="B1247" s="1" t="s">
        <v>1208</v>
      </c>
      <c r="C1247" s="1" t="s">
        <v>1186</v>
      </c>
      <c r="D1247" s="437">
        <v>50000</v>
      </c>
      <c r="E1247" s="440"/>
      <c r="F1247" s="466">
        <f t="shared" ref="F1247:F1248" si="536">SUM(E1247/G1247)</f>
        <v>0</v>
      </c>
      <c r="G1247" s="440">
        <v>50000</v>
      </c>
      <c r="H1247" s="439">
        <v>33466.339999999997</v>
      </c>
      <c r="I1247" s="440">
        <v>0</v>
      </c>
      <c r="J1247" s="437">
        <v>83350.929999999993</v>
      </c>
    </row>
    <row r="1248" spans="1:10" ht="13.5" customHeight="1" x14ac:dyDescent="0.25">
      <c r="A1248" s="1"/>
      <c r="B1248" s="1" t="s">
        <v>1209</v>
      </c>
      <c r="C1248" s="1" t="s">
        <v>352</v>
      </c>
      <c r="D1248" s="437">
        <v>7500</v>
      </c>
      <c r="E1248" s="439">
        <v>30219</v>
      </c>
      <c r="F1248" s="466">
        <f t="shared" si="536"/>
        <v>4.0292000000000003</v>
      </c>
      <c r="G1248" s="440">
        <v>7500</v>
      </c>
      <c r="H1248" s="439">
        <v>0</v>
      </c>
      <c r="I1248" s="440">
        <v>0</v>
      </c>
      <c r="J1248" s="440">
        <v>0</v>
      </c>
    </row>
    <row r="1249" spans="1:10" ht="13.5" customHeight="1" x14ac:dyDescent="0.25">
      <c r="A1249" s="1"/>
      <c r="B1249" s="1"/>
      <c r="C1249" s="1"/>
      <c r="D1249" s="438">
        <v>57500</v>
      </c>
      <c r="E1249" s="438">
        <f t="shared" ref="E1249" si="537">SUM(E1247:E1248)</f>
        <v>30219</v>
      </c>
      <c r="F1249" s="467"/>
      <c r="G1249" s="438">
        <v>57500</v>
      </c>
      <c r="H1249" s="438">
        <f>SUM(H1247:H1248)</f>
        <v>33466.339999999997</v>
      </c>
      <c r="I1249" s="438">
        <f>SUM(I1247:I1248)</f>
        <v>0</v>
      </c>
      <c r="J1249" s="438">
        <f t="shared" ref="J1249" si="538">SUM(J1247:J1248)</f>
        <v>83350.929999999993</v>
      </c>
    </row>
    <row r="1250" spans="1:10" ht="13.5" customHeight="1" thickBot="1" x14ac:dyDescent="0.3">
      <c r="A1250" s="1"/>
      <c r="B1250" s="1"/>
      <c r="C1250" s="39" t="s">
        <v>1210</v>
      </c>
      <c r="D1250" s="451">
        <v>667500</v>
      </c>
      <c r="E1250" s="451">
        <f t="shared" ref="E1250" si="539">SUM(E1237+E1245+E1249)</f>
        <v>269561.17</v>
      </c>
      <c r="F1250" s="478"/>
      <c r="G1250" s="451">
        <v>632500</v>
      </c>
      <c r="H1250" s="451">
        <f>SUM(H1237+H1245+H1249)</f>
        <v>588844.11999999988</v>
      </c>
      <c r="I1250" s="451">
        <f>SUM(I1237+I1245+I1249)</f>
        <v>518178.73999999993</v>
      </c>
      <c r="J1250" s="451">
        <f t="shared" ref="J1250" si="540">SUM(J1237+J1245+J1249)</f>
        <v>629658.41999999993</v>
      </c>
    </row>
    <row r="1251" spans="1:10" ht="13.5" customHeight="1" thickTop="1" x14ac:dyDescent="0.25">
      <c r="A1251" s="1"/>
      <c r="B1251" s="1"/>
      <c r="C1251" s="1"/>
      <c r="D1251" s="437"/>
      <c r="E1251" s="440"/>
      <c r="F1251" s="468"/>
      <c r="G1251" s="440"/>
      <c r="H1251" s="440"/>
      <c r="I1251" s="440"/>
      <c r="J1251" s="440"/>
    </row>
    <row r="1252" spans="1:10" ht="13.5" customHeight="1" x14ac:dyDescent="0.25">
      <c r="A1252" s="1"/>
      <c r="B1252" s="1"/>
      <c r="C1252" s="1"/>
      <c r="D1252" s="437"/>
      <c r="E1252" s="440"/>
      <c r="F1252" s="468"/>
      <c r="G1252" s="440"/>
      <c r="H1252" s="440"/>
      <c r="I1252" s="440"/>
      <c r="J1252" s="440"/>
    </row>
    <row r="1253" spans="1:10" ht="13.5" customHeight="1" x14ac:dyDescent="0.25">
      <c r="A1253" s="1"/>
      <c r="B1253" s="1"/>
      <c r="C1253" s="14" t="s">
        <v>1211</v>
      </c>
      <c r="D1253" s="437"/>
      <c r="E1253" s="440"/>
      <c r="F1253" s="468"/>
      <c r="G1253" s="440"/>
      <c r="H1253" s="440"/>
      <c r="I1253" s="440"/>
      <c r="J1253" s="440"/>
    </row>
    <row r="1254" spans="1:10" ht="13.5" customHeight="1" x14ac:dyDescent="0.25">
      <c r="A1254" s="1"/>
      <c r="B1254" s="1" t="s">
        <v>1212</v>
      </c>
      <c r="C1254" s="1" t="s">
        <v>1175</v>
      </c>
      <c r="D1254" s="437">
        <v>22500</v>
      </c>
      <c r="E1254" s="437">
        <v>7940.62</v>
      </c>
      <c r="F1254" s="466">
        <f t="shared" ref="F1254:F1258" si="541">SUM(E1254/G1254)</f>
        <v>0.35291644444444442</v>
      </c>
      <c r="G1254" s="437">
        <v>22500</v>
      </c>
      <c r="H1254" s="437">
        <v>16428</v>
      </c>
      <c r="I1254" s="437">
        <v>19458.45</v>
      </c>
      <c r="J1254" s="437">
        <v>21881.16</v>
      </c>
    </row>
    <row r="1255" spans="1:10" ht="13.5" customHeight="1" x14ac:dyDescent="0.25">
      <c r="A1255" s="1"/>
      <c r="B1255" s="1" t="s">
        <v>1213</v>
      </c>
      <c r="C1255" s="1" t="s">
        <v>1177</v>
      </c>
      <c r="D1255" s="437">
        <v>1000</v>
      </c>
      <c r="E1255" s="437">
        <v>394.49</v>
      </c>
      <c r="F1255" s="466">
        <f t="shared" si="541"/>
        <v>0.39449000000000001</v>
      </c>
      <c r="G1255" s="437">
        <v>1000</v>
      </c>
      <c r="H1255" s="437">
        <v>674.65</v>
      </c>
      <c r="I1255" s="437">
        <v>621.73</v>
      </c>
      <c r="J1255" s="437">
        <v>670.84</v>
      </c>
    </row>
    <row r="1256" spans="1:10" ht="13.5" customHeight="1" x14ac:dyDescent="0.25">
      <c r="A1256" s="1"/>
      <c r="B1256" s="1" t="s">
        <v>1214</v>
      </c>
      <c r="C1256" s="1" t="s">
        <v>1179</v>
      </c>
      <c r="D1256" s="437">
        <v>3000</v>
      </c>
      <c r="E1256" s="437">
        <v>1622.85</v>
      </c>
      <c r="F1256" s="466">
        <f t="shared" si="541"/>
        <v>0.54094999999999993</v>
      </c>
      <c r="G1256" s="437">
        <v>3000</v>
      </c>
      <c r="H1256" s="437">
        <v>2917.71</v>
      </c>
      <c r="I1256" s="437">
        <v>2641</v>
      </c>
      <c r="J1256" s="437">
        <v>2510.5700000000002</v>
      </c>
    </row>
    <row r="1257" spans="1:10" ht="13.5" customHeight="1" x14ac:dyDescent="0.25">
      <c r="A1257" s="1"/>
      <c r="B1257" s="1" t="s">
        <v>1215</v>
      </c>
      <c r="C1257" s="1" t="s">
        <v>1159</v>
      </c>
      <c r="D1257" s="437">
        <v>10000</v>
      </c>
      <c r="E1257" s="437">
        <v>2900.83</v>
      </c>
      <c r="F1257" s="466">
        <f t="shared" si="541"/>
        <v>0.29008299999999998</v>
      </c>
      <c r="G1257" s="437">
        <v>10000</v>
      </c>
      <c r="H1257" s="437">
        <v>15167.72</v>
      </c>
      <c r="I1257" s="437">
        <v>5407.78</v>
      </c>
      <c r="J1257" s="437">
        <v>6085.36</v>
      </c>
    </row>
    <row r="1258" spans="1:10" ht="13.5" customHeight="1" x14ac:dyDescent="0.25">
      <c r="A1258" s="1"/>
      <c r="B1258" s="1" t="s">
        <v>1216</v>
      </c>
      <c r="C1258" s="1" t="s">
        <v>1182</v>
      </c>
      <c r="D1258" s="437">
        <v>15000</v>
      </c>
      <c r="E1258" s="437"/>
      <c r="F1258" s="466">
        <f t="shared" si="541"/>
        <v>0</v>
      </c>
      <c r="G1258" s="437">
        <v>15000</v>
      </c>
      <c r="H1258" s="437">
        <v>1054.19</v>
      </c>
      <c r="I1258" s="437">
        <v>1101.78</v>
      </c>
      <c r="J1258" s="440">
        <v>0</v>
      </c>
    </row>
    <row r="1259" spans="1:10" ht="13.5" customHeight="1" x14ac:dyDescent="0.25">
      <c r="A1259" s="1"/>
      <c r="B1259" s="1"/>
      <c r="C1259" s="1"/>
      <c r="D1259" s="438">
        <v>51500</v>
      </c>
      <c r="E1259" s="438">
        <f>SUM(E1254:E1258)</f>
        <v>12858.79</v>
      </c>
      <c r="F1259" s="467"/>
      <c r="G1259" s="438">
        <v>51500</v>
      </c>
      <c r="H1259" s="438">
        <f t="shared" ref="H1259" si="542">SUM(H1253:H1258)</f>
        <v>36242.270000000004</v>
      </c>
      <c r="I1259" s="438">
        <f>SUM(I1253:I1258)</f>
        <v>29230.739999999998</v>
      </c>
      <c r="J1259" s="438">
        <f t="shared" ref="J1259" si="543">SUM(J1253:J1258)</f>
        <v>31147.93</v>
      </c>
    </row>
    <row r="1260" spans="1:10" ht="13.5" customHeight="1" x14ac:dyDescent="0.25">
      <c r="A1260" s="1"/>
      <c r="B1260" s="1"/>
      <c r="C1260" s="1"/>
      <c r="D1260" s="437"/>
      <c r="E1260" s="437"/>
      <c r="F1260" s="466"/>
      <c r="G1260" s="437"/>
      <c r="H1260" s="437"/>
      <c r="I1260" s="437"/>
      <c r="J1260" s="437"/>
    </row>
    <row r="1261" spans="1:10" ht="13.5" customHeight="1" x14ac:dyDescent="0.25">
      <c r="A1261" s="1"/>
      <c r="B1261" s="22" t="s">
        <v>1217</v>
      </c>
      <c r="C1261" s="1" t="s">
        <v>1186</v>
      </c>
      <c r="D1261" s="437">
        <v>10000</v>
      </c>
      <c r="E1261" s="440"/>
      <c r="F1261" s="466">
        <f t="shared" ref="F1261:F1262" si="544">SUM(E1261/G1261)</f>
        <v>0</v>
      </c>
      <c r="G1261" s="440">
        <v>50000</v>
      </c>
      <c r="H1261" s="439">
        <v>28321.9</v>
      </c>
      <c r="I1261" s="439">
        <v>49778</v>
      </c>
      <c r="J1261" s="437">
        <v>0</v>
      </c>
    </row>
    <row r="1262" spans="1:10" ht="13.5" customHeight="1" x14ac:dyDescent="0.25">
      <c r="A1262" s="1"/>
      <c r="B1262" s="22" t="s">
        <v>1218</v>
      </c>
      <c r="C1262" s="1" t="s">
        <v>352</v>
      </c>
      <c r="D1262" s="437">
        <v>7500</v>
      </c>
      <c r="E1262" s="440"/>
      <c r="F1262" s="466">
        <f t="shared" si="544"/>
        <v>0</v>
      </c>
      <c r="G1262" s="440">
        <v>7500</v>
      </c>
      <c r="H1262" s="439">
        <v>0</v>
      </c>
      <c r="I1262" s="440">
        <v>0</v>
      </c>
      <c r="J1262" s="440">
        <v>0</v>
      </c>
    </row>
    <row r="1263" spans="1:10" ht="13.5" customHeight="1" x14ac:dyDescent="0.25">
      <c r="A1263" s="1"/>
      <c r="B1263" s="1"/>
      <c r="C1263" s="1"/>
      <c r="D1263" s="438">
        <v>17500</v>
      </c>
      <c r="E1263" s="438">
        <f t="shared" ref="E1263" si="545">SUM(E1261:E1262)</f>
        <v>0</v>
      </c>
      <c r="F1263" s="467"/>
      <c r="G1263" s="438">
        <v>57500</v>
      </c>
      <c r="H1263" s="438">
        <f>SUM(H1261:H1262)</f>
        <v>28321.9</v>
      </c>
      <c r="I1263" s="438">
        <f>SUM(I1261:I1262)</f>
        <v>49778</v>
      </c>
      <c r="J1263" s="438">
        <f t="shared" ref="J1263" si="546">SUM(J1261:J1262)</f>
        <v>0</v>
      </c>
    </row>
    <row r="1264" spans="1:10" ht="13.5" customHeight="1" x14ac:dyDescent="0.25">
      <c r="A1264" s="1"/>
      <c r="B1264" s="1"/>
      <c r="C1264" s="39"/>
      <c r="D1264" s="444"/>
      <c r="E1264" s="444"/>
      <c r="F1264" s="474"/>
      <c r="G1264" s="444"/>
      <c r="H1264" s="444"/>
      <c r="I1264" s="444"/>
      <c r="J1264" s="444"/>
    </row>
    <row r="1265" spans="1:10" ht="13.5" customHeight="1" thickBot="1" x14ac:dyDescent="0.3">
      <c r="A1265" s="1"/>
      <c r="B1265" s="1"/>
      <c r="C1265" s="39" t="s">
        <v>1219</v>
      </c>
      <c r="D1265" s="447">
        <v>69000</v>
      </c>
      <c r="E1265" s="447">
        <f>SUM(E1254:E1258)</f>
        <v>12858.79</v>
      </c>
      <c r="F1265" s="473"/>
      <c r="G1265" s="447">
        <v>109000</v>
      </c>
      <c r="H1265" s="447">
        <f>SUM(H1254:H1258)</f>
        <v>36242.270000000004</v>
      </c>
      <c r="I1265" s="447">
        <f>SUM(I1259+I1263)</f>
        <v>79008.739999999991</v>
      </c>
      <c r="J1265" s="447">
        <f t="shared" ref="J1265" si="547">SUM(J1254:J1258)</f>
        <v>31147.93</v>
      </c>
    </row>
    <row r="1266" spans="1:10" ht="13.5" customHeight="1" thickTop="1" x14ac:dyDescent="0.25">
      <c r="A1266" s="1"/>
      <c r="B1266" s="1"/>
      <c r="C1266" s="1"/>
      <c r="D1266" s="437"/>
      <c r="E1266" s="437"/>
      <c r="F1266" s="466"/>
      <c r="G1266" s="437"/>
      <c r="H1266" s="437"/>
      <c r="I1266" s="437"/>
      <c r="J1266" s="440"/>
    </row>
    <row r="1267" spans="1:10" ht="13.5" customHeight="1" x14ac:dyDescent="0.25">
      <c r="A1267" s="1"/>
      <c r="B1267" s="1"/>
      <c r="C1267" s="1"/>
      <c r="D1267" s="437"/>
      <c r="E1267" s="437"/>
      <c r="F1267" s="466"/>
      <c r="G1267" s="437"/>
      <c r="H1267" s="437"/>
      <c r="I1267" s="437"/>
      <c r="J1267" s="440"/>
    </row>
    <row r="1268" spans="1:10" ht="13.5" customHeight="1" x14ac:dyDescent="0.25">
      <c r="A1268" s="1"/>
      <c r="B1268" s="1"/>
      <c r="C1268" s="14" t="s">
        <v>1220</v>
      </c>
      <c r="D1268" s="437"/>
      <c r="E1268" s="437"/>
      <c r="F1268" s="466"/>
      <c r="G1268" s="437"/>
      <c r="H1268" s="437"/>
      <c r="I1268" s="437"/>
      <c r="J1268" s="440"/>
    </row>
    <row r="1269" spans="1:10" ht="13.5" customHeight="1" x14ac:dyDescent="0.25">
      <c r="A1269" s="1"/>
      <c r="B1269" s="1" t="s">
        <v>1221</v>
      </c>
      <c r="C1269" s="1" t="s">
        <v>1175</v>
      </c>
      <c r="D1269" s="437">
        <v>11000</v>
      </c>
      <c r="E1269" s="437">
        <v>3014.04</v>
      </c>
      <c r="F1269" s="466">
        <f t="shared" ref="F1269:F1273" si="548">SUM(E1269/G1269)</f>
        <v>0.27400363636363634</v>
      </c>
      <c r="G1269" s="437">
        <v>11000</v>
      </c>
      <c r="H1269" s="437">
        <v>8640.35</v>
      </c>
      <c r="I1269" s="437">
        <v>10702.46</v>
      </c>
      <c r="J1269" s="437">
        <v>10397.56</v>
      </c>
    </row>
    <row r="1270" spans="1:10" ht="13.5" customHeight="1" x14ac:dyDescent="0.25">
      <c r="A1270" s="1"/>
      <c r="B1270" s="1" t="s">
        <v>1222</v>
      </c>
      <c r="C1270" s="1" t="s">
        <v>1177</v>
      </c>
      <c r="D1270" s="437">
        <v>2000</v>
      </c>
      <c r="E1270" s="437">
        <v>792.83</v>
      </c>
      <c r="F1270" s="466">
        <f t="shared" si="548"/>
        <v>0.39641500000000002</v>
      </c>
      <c r="G1270" s="437">
        <v>2000</v>
      </c>
      <c r="H1270" s="437">
        <v>913.44</v>
      </c>
      <c r="I1270" s="437">
        <v>1102.93</v>
      </c>
      <c r="J1270" s="437">
        <v>1358.52</v>
      </c>
    </row>
    <row r="1271" spans="1:10" ht="13.5" customHeight="1" x14ac:dyDescent="0.25">
      <c r="A1271" s="1"/>
      <c r="B1271" s="1" t="s">
        <v>1223</v>
      </c>
      <c r="C1271" s="1" t="s">
        <v>1179</v>
      </c>
      <c r="D1271" s="437">
        <v>2500</v>
      </c>
      <c r="E1271" s="437">
        <v>1100.8699999999999</v>
      </c>
      <c r="F1271" s="466">
        <f t="shared" si="548"/>
        <v>0.44034799999999996</v>
      </c>
      <c r="G1271" s="437">
        <v>2500</v>
      </c>
      <c r="H1271" s="437">
        <v>2335.9499999999998</v>
      </c>
      <c r="I1271" s="437">
        <v>2191.29</v>
      </c>
      <c r="J1271" s="437">
        <v>2886.95</v>
      </c>
    </row>
    <row r="1272" spans="1:10" ht="13.5" customHeight="1" x14ac:dyDescent="0.25">
      <c r="A1272" s="1"/>
      <c r="B1272" s="1" t="s">
        <v>1224</v>
      </c>
      <c r="C1272" s="1" t="s">
        <v>1225</v>
      </c>
      <c r="D1272" s="437">
        <v>4900</v>
      </c>
      <c r="E1272" s="437">
        <v>1338.76</v>
      </c>
      <c r="F1272" s="466">
        <f t="shared" si="548"/>
        <v>0.27321632653061223</v>
      </c>
      <c r="G1272" s="437">
        <v>4900</v>
      </c>
      <c r="H1272" s="437">
        <v>8579.81</v>
      </c>
      <c r="I1272" s="437">
        <v>4905.87</v>
      </c>
      <c r="J1272" s="437">
        <v>3944.39</v>
      </c>
    </row>
    <row r="1273" spans="1:10" ht="13.5" customHeight="1" x14ac:dyDescent="0.25">
      <c r="A1273" s="1"/>
      <c r="B1273" s="1" t="s">
        <v>1226</v>
      </c>
      <c r="C1273" s="1" t="s">
        <v>1182</v>
      </c>
      <c r="D1273" s="437">
        <v>1500</v>
      </c>
      <c r="E1273" s="437"/>
      <c r="F1273" s="466">
        <f t="shared" si="548"/>
        <v>0</v>
      </c>
      <c r="G1273" s="437">
        <v>1500</v>
      </c>
      <c r="H1273" s="437">
        <v>109.77</v>
      </c>
      <c r="I1273" s="437">
        <v>102.33</v>
      </c>
      <c r="J1273" s="440">
        <v>0</v>
      </c>
    </row>
    <row r="1274" spans="1:10" ht="13.5" customHeight="1" x14ac:dyDescent="0.25">
      <c r="A1274" s="1"/>
      <c r="B1274" s="22" t="s">
        <v>1227</v>
      </c>
      <c r="C1274" s="22" t="s">
        <v>1184</v>
      </c>
      <c r="D1274" s="437">
        <v>3712</v>
      </c>
      <c r="E1274" s="437">
        <v>3711.49</v>
      </c>
      <c r="F1274" s="466"/>
      <c r="G1274" s="437">
        <v>0</v>
      </c>
      <c r="H1274" s="437">
        <v>3775.55</v>
      </c>
      <c r="I1274" s="437">
        <v>1811.68</v>
      </c>
      <c r="J1274" s="440">
        <v>0</v>
      </c>
    </row>
    <row r="1275" spans="1:10" ht="13.5" customHeight="1" thickBot="1" x14ac:dyDescent="0.3">
      <c r="A1275" s="1"/>
      <c r="B1275" s="1"/>
      <c r="C1275" s="39" t="s">
        <v>1228</v>
      </c>
      <c r="D1275" s="447">
        <v>25612</v>
      </c>
      <c r="E1275" s="447">
        <f t="shared" ref="E1275" si="549">SUM(E1269:E1274)</f>
        <v>9957.99</v>
      </c>
      <c r="F1275" s="473"/>
      <c r="G1275" s="447">
        <v>21900</v>
      </c>
      <c r="H1275" s="447">
        <f>SUM(H1269:H1274)</f>
        <v>24354.870000000003</v>
      </c>
      <c r="I1275" s="447">
        <f>SUM(I1269:I1274)</f>
        <v>20816.560000000001</v>
      </c>
      <c r="J1275" s="447">
        <f t="shared" ref="J1275" si="550">SUM(J1269:J1274)</f>
        <v>18587.419999999998</v>
      </c>
    </row>
    <row r="1276" spans="1:10" ht="13.5" customHeight="1" thickTop="1" x14ac:dyDescent="0.25">
      <c r="A1276" s="1"/>
      <c r="B1276" s="1"/>
      <c r="C1276" s="1"/>
      <c r="D1276" s="437"/>
      <c r="E1276" s="437"/>
      <c r="F1276" s="466"/>
      <c r="G1276" s="437"/>
      <c r="H1276" s="437"/>
      <c r="I1276" s="437"/>
      <c r="J1276" s="440"/>
    </row>
    <row r="1277" spans="1:10" ht="13.5" customHeight="1" x14ac:dyDescent="0.25">
      <c r="A1277" s="1"/>
      <c r="B1277" s="1"/>
      <c r="C1277" s="1"/>
      <c r="D1277" s="437"/>
      <c r="E1277" s="437"/>
      <c r="F1277" s="466"/>
      <c r="G1277" s="437"/>
      <c r="H1277" s="437"/>
      <c r="I1277" s="437"/>
      <c r="J1277" s="440"/>
    </row>
    <row r="1278" spans="1:10" ht="13.5" customHeight="1" x14ac:dyDescent="0.25">
      <c r="A1278" s="1"/>
      <c r="B1278" s="1"/>
      <c r="C1278" s="1"/>
      <c r="D1278" s="437"/>
      <c r="E1278" s="437"/>
      <c r="F1278" s="466"/>
      <c r="G1278" s="437"/>
      <c r="H1278" s="437"/>
      <c r="I1278" s="437"/>
      <c r="J1278" s="440"/>
    </row>
    <row r="1279" spans="1:10" ht="13.5" customHeight="1" x14ac:dyDescent="0.25">
      <c r="A1279" s="1"/>
      <c r="B1279" s="1"/>
      <c r="C1279" s="14" t="s">
        <v>1229</v>
      </c>
      <c r="D1279" s="440"/>
      <c r="E1279" s="440"/>
      <c r="F1279" s="468"/>
      <c r="G1279" s="440"/>
      <c r="H1279" s="440"/>
      <c r="I1279" s="440"/>
      <c r="J1279" s="437"/>
    </row>
    <row r="1280" spans="1:10" ht="13.5" customHeight="1" x14ac:dyDescent="0.25">
      <c r="A1280" s="1"/>
      <c r="B1280" s="1" t="s">
        <v>1230</v>
      </c>
      <c r="C1280" s="1" t="s">
        <v>1175</v>
      </c>
      <c r="D1280" s="437">
        <v>13000</v>
      </c>
      <c r="E1280" s="437">
        <v>4505.37</v>
      </c>
      <c r="F1280" s="466">
        <f t="shared" ref="F1280:F1285" si="551">SUM(E1280/G1280)</f>
        <v>0.34656692307692305</v>
      </c>
      <c r="G1280" s="437">
        <v>13000</v>
      </c>
      <c r="H1280" s="437">
        <v>7834.85</v>
      </c>
      <c r="I1280" s="437">
        <v>10341.09</v>
      </c>
      <c r="J1280" s="437">
        <v>10396.870000000001</v>
      </c>
    </row>
    <row r="1281" spans="1:10" ht="13.5" customHeight="1" x14ac:dyDescent="0.25">
      <c r="A1281" s="1"/>
      <c r="B1281" s="1" t="s">
        <v>1231</v>
      </c>
      <c r="C1281" s="1" t="s">
        <v>1179</v>
      </c>
      <c r="D1281" s="437">
        <v>1700</v>
      </c>
      <c r="E1281" s="437">
        <v>349.56</v>
      </c>
      <c r="F1281" s="466">
        <f t="shared" si="551"/>
        <v>0.2056235294117647</v>
      </c>
      <c r="G1281" s="437">
        <v>1700</v>
      </c>
      <c r="H1281" s="437">
        <v>663.84</v>
      </c>
      <c r="I1281" s="437">
        <v>1322.07</v>
      </c>
      <c r="J1281" s="437">
        <v>1341.37</v>
      </c>
    </row>
    <row r="1282" spans="1:10" ht="13.5" customHeight="1" x14ac:dyDescent="0.25">
      <c r="A1282" s="1"/>
      <c r="B1282" s="1" t="s">
        <v>1232</v>
      </c>
      <c r="C1282" s="1" t="s">
        <v>1159</v>
      </c>
      <c r="D1282" s="437">
        <v>10000</v>
      </c>
      <c r="E1282" s="437">
        <v>1436.47</v>
      </c>
      <c r="F1282" s="466">
        <f t="shared" si="551"/>
        <v>0.143647</v>
      </c>
      <c r="G1282" s="437">
        <v>10000</v>
      </c>
      <c r="H1282" s="437">
        <v>2280.8000000000002</v>
      </c>
      <c r="I1282" s="437">
        <v>6461.91</v>
      </c>
      <c r="J1282" s="437">
        <v>3738.65</v>
      </c>
    </row>
    <row r="1283" spans="1:10" ht="13.5" customHeight="1" x14ac:dyDescent="0.25">
      <c r="A1283" s="1"/>
      <c r="B1283" s="1" t="s">
        <v>1233</v>
      </c>
      <c r="C1283" s="1" t="s">
        <v>1234</v>
      </c>
      <c r="D1283" s="437">
        <v>1000</v>
      </c>
      <c r="E1283" s="437"/>
      <c r="F1283" s="466">
        <f t="shared" si="551"/>
        <v>0</v>
      </c>
      <c r="G1283" s="437">
        <v>1000</v>
      </c>
      <c r="H1283" s="437">
        <v>17.55</v>
      </c>
      <c r="I1283" s="437">
        <v>2973.34</v>
      </c>
      <c r="J1283" s="437">
        <v>27.5</v>
      </c>
    </row>
    <row r="1284" spans="1:10" ht="13.5" customHeight="1" x14ac:dyDescent="0.25">
      <c r="A1284" s="1"/>
      <c r="B1284" s="1" t="s">
        <v>1235</v>
      </c>
      <c r="C1284" s="1" t="s">
        <v>1236</v>
      </c>
      <c r="D1284" s="437">
        <v>1000</v>
      </c>
      <c r="E1284" s="440"/>
      <c r="F1284" s="466">
        <f t="shared" si="551"/>
        <v>0</v>
      </c>
      <c r="G1284" s="440">
        <v>1000</v>
      </c>
      <c r="H1284" s="439">
        <v>0</v>
      </c>
      <c r="I1284" s="440">
        <v>0</v>
      </c>
      <c r="J1284" s="440">
        <v>0</v>
      </c>
    </row>
    <row r="1285" spans="1:10" ht="13.5" customHeight="1" x14ac:dyDescent="0.25">
      <c r="A1285" s="1"/>
      <c r="B1285" s="1" t="s">
        <v>1237</v>
      </c>
      <c r="C1285" s="1" t="s">
        <v>1238</v>
      </c>
      <c r="D1285" s="437">
        <v>830</v>
      </c>
      <c r="E1285" s="437">
        <v>206.25</v>
      </c>
      <c r="F1285" s="466">
        <f t="shared" si="551"/>
        <v>0.24849397590361447</v>
      </c>
      <c r="G1285" s="437">
        <v>830</v>
      </c>
      <c r="H1285" s="437">
        <v>343.75</v>
      </c>
      <c r="I1285" s="437">
        <v>618.75</v>
      </c>
      <c r="J1285" s="437">
        <v>343.75</v>
      </c>
    </row>
    <row r="1286" spans="1:10" ht="13.5" customHeight="1" x14ac:dyDescent="0.25">
      <c r="A1286" s="1"/>
      <c r="B1286" s="22" t="s">
        <v>1239</v>
      </c>
      <c r="C1286" s="22" t="s">
        <v>1186</v>
      </c>
      <c r="D1286" s="437">
        <v>5000</v>
      </c>
      <c r="E1286" s="437"/>
      <c r="F1286" s="466"/>
      <c r="G1286" s="437">
        <v>0</v>
      </c>
      <c r="H1286" s="437">
        <v>7352.63</v>
      </c>
      <c r="I1286" s="437">
        <v>0</v>
      </c>
      <c r="J1286" s="437">
        <v>0</v>
      </c>
    </row>
    <row r="1287" spans="1:10" ht="13.5" customHeight="1" thickBot="1" x14ac:dyDescent="0.3">
      <c r="A1287" s="1"/>
      <c r="B1287" s="1"/>
      <c r="C1287" s="39" t="s">
        <v>1240</v>
      </c>
      <c r="D1287" s="453">
        <v>32530</v>
      </c>
      <c r="E1287" s="453">
        <f t="shared" ref="E1287" si="552">SUM(E1280:E1286)</f>
        <v>6497.6500000000005</v>
      </c>
      <c r="F1287" s="479"/>
      <c r="G1287" s="453">
        <v>27530</v>
      </c>
      <c r="H1287" s="453">
        <f>SUM(H1280:H1286)</f>
        <v>18493.420000000002</v>
      </c>
      <c r="I1287" s="453">
        <f>SUM(I1280:I1286)</f>
        <v>21717.16</v>
      </c>
      <c r="J1287" s="453">
        <f t="shared" ref="J1287" si="553">SUM(J1280:J1286)</f>
        <v>15848.140000000001</v>
      </c>
    </row>
    <row r="1288" spans="1:10" ht="13.5" customHeight="1" thickTop="1" x14ac:dyDescent="0.25">
      <c r="A1288" s="1"/>
      <c r="B1288" s="1"/>
      <c r="C1288" s="1"/>
      <c r="D1288" s="440"/>
      <c r="E1288" s="437"/>
      <c r="F1288" s="466"/>
      <c r="G1288" s="437"/>
      <c r="H1288" s="437"/>
      <c r="I1288" s="437"/>
      <c r="J1288" s="437"/>
    </row>
    <row r="1289" spans="1:10" ht="13.5" customHeight="1" x14ac:dyDescent="0.25">
      <c r="A1289" s="1"/>
      <c r="B1289" s="1"/>
      <c r="C1289" s="1"/>
      <c r="D1289" s="440"/>
      <c r="E1289" s="437"/>
      <c r="F1289" s="466"/>
      <c r="G1289" s="437"/>
      <c r="H1289" s="437"/>
      <c r="I1289" s="437"/>
      <c r="J1289" s="437"/>
    </row>
    <row r="1290" spans="1:10" ht="13.5" customHeight="1" x14ac:dyDescent="0.25">
      <c r="A1290" s="1"/>
      <c r="B1290" s="1"/>
      <c r="C1290" s="14" t="s">
        <v>1241</v>
      </c>
      <c r="D1290" s="440"/>
      <c r="E1290" s="437"/>
      <c r="F1290" s="466"/>
      <c r="G1290" s="437"/>
      <c r="H1290" s="437"/>
      <c r="I1290" s="437"/>
      <c r="J1290" s="437"/>
    </row>
    <row r="1291" spans="1:10" ht="13.5" customHeight="1" x14ac:dyDescent="0.25">
      <c r="A1291" s="1"/>
      <c r="B1291" s="1" t="s">
        <v>1242</v>
      </c>
      <c r="C1291" s="1" t="s">
        <v>1175</v>
      </c>
      <c r="D1291" s="437">
        <v>6000</v>
      </c>
      <c r="E1291" s="437">
        <v>2325.4299999999998</v>
      </c>
      <c r="F1291" s="466">
        <f t="shared" ref="F1291:F1294" si="554">SUM(E1291/G1291)</f>
        <v>0.38757166666666665</v>
      </c>
      <c r="G1291" s="437">
        <v>6000</v>
      </c>
      <c r="H1291" s="437">
        <v>4728.41</v>
      </c>
      <c r="I1291" s="437">
        <v>5333.67</v>
      </c>
      <c r="J1291" s="437">
        <v>5712.46</v>
      </c>
    </row>
    <row r="1292" spans="1:10" ht="13.5" customHeight="1" x14ac:dyDescent="0.25">
      <c r="A1292" s="1"/>
      <c r="B1292" s="1" t="s">
        <v>1243</v>
      </c>
      <c r="C1292" s="1" t="s">
        <v>1179</v>
      </c>
      <c r="D1292" s="437">
        <v>1028</v>
      </c>
      <c r="E1292" s="437">
        <v>520.24</v>
      </c>
      <c r="F1292" s="466">
        <f t="shared" si="554"/>
        <v>0.50607003891050584</v>
      </c>
      <c r="G1292" s="437">
        <v>1028</v>
      </c>
      <c r="H1292" s="437">
        <v>926.89</v>
      </c>
      <c r="I1292" s="437">
        <v>897.34</v>
      </c>
      <c r="J1292" s="437">
        <v>1529.74</v>
      </c>
    </row>
    <row r="1293" spans="1:10" ht="13.5" customHeight="1" x14ac:dyDescent="0.25">
      <c r="A1293" s="1"/>
      <c r="B1293" s="1" t="s">
        <v>1244</v>
      </c>
      <c r="C1293" s="1" t="s">
        <v>1159</v>
      </c>
      <c r="D1293" s="437">
        <v>5500</v>
      </c>
      <c r="E1293" s="437">
        <v>824.76</v>
      </c>
      <c r="F1293" s="466">
        <f t="shared" si="554"/>
        <v>0.14995636363636364</v>
      </c>
      <c r="G1293" s="437">
        <v>5500</v>
      </c>
      <c r="H1293" s="437">
        <v>4768.45</v>
      </c>
      <c r="I1293" s="437">
        <v>1757.72</v>
      </c>
      <c r="J1293" s="437">
        <v>3081.71</v>
      </c>
    </row>
    <row r="1294" spans="1:10" ht="13.5" customHeight="1" x14ac:dyDescent="0.25">
      <c r="A1294" s="1"/>
      <c r="B1294" s="1" t="s">
        <v>1245</v>
      </c>
      <c r="C1294" s="1" t="s">
        <v>1182</v>
      </c>
      <c r="D1294" s="437">
        <v>3500</v>
      </c>
      <c r="E1294" s="437">
        <v>44.92</v>
      </c>
      <c r="F1294" s="466">
        <f t="shared" si="554"/>
        <v>1.2834285714285715E-2</v>
      </c>
      <c r="G1294" s="437">
        <v>3500</v>
      </c>
      <c r="H1294" s="437">
        <v>0</v>
      </c>
      <c r="I1294" s="437">
        <v>1501.63</v>
      </c>
      <c r="J1294" s="437">
        <v>2019.75</v>
      </c>
    </row>
    <row r="1295" spans="1:10" ht="13.5" customHeight="1" thickBot="1" x14ac:dyDescent="0.3">
      <c r="A1295" s="1"/>
      <c r="B1295" s="1"/>
      <c r="C1295" s="39" t="s">
        <v>1246</v>
      </c>
      <c r="D1295" s="451">
        <v>16028</v>
      </c>
      <c r="E1295" s="451">
        <f t="shared" ref="E1295" si="555">SUM(E1291:E1294)</f>
        <v>3715.3500000000004</v>
      </c>
      <c r="F1295" s="478"/>
      <c r="G1295" s="451">
        <v>16028</v>
      </c>
      <c r="H1295" s="451">
        <f>SUM(H1291:H1294)</f>
        <v>10423.75</v>
      </c>
      <c r="I1295" s="451">
        <f>SUM(I1291:I1294)</f>
        <v>9490.36</v>
      </c>
      <c r="J1295" s="451">
        <f t="shared" ref="J1295" si="556">SUM(J1291:J1294)</f>
        <v>12343.66</v>
      </c>
    </row>
    <row r="1296" spans="1:10" ht="13.5" customHeight="1" thickTop="1" x14ac:dyDescent="0.25">
      <c r="A1296" s="1"/>
      <c r="B1296" s="1"/>
      <c r="C1296" s="1"/>
      <c r="D1296" s="437"/>
      <c r="E1296" s="437"/>
      <c r="F1296" s="466"/>
      <c r="G1296" s="437"/>
      <c r="H1296" s="437"/>
      <c r="I1296" s="437"/>
      <c r="J1296" s="437"/>
    </row>
    <row r="1297" spans="1:10" ht="13.5" customHeight="1" x14ac:dyDescent="0.25">
      <c r="A1297" s="1"/>
      <c r="B1297" s="1"/>
      <c r="C1297" s="1"/>
      <c r="D1297" s="437"/>
      <c r="E1297" s="437"/>
      <c r="F1297" s="466"/>
      <c r="G1297" s="437"/>
      <c r="H1297" s="437"/>
      <c r="I1297" s="437"/>
      <c r="J1297" s="437"/>
    </row>
    <row r="1298" spans="1:10" ht="13.5" customHeight="1" x14ac:dyDescent="0.25">
      <c r="A1298" s="1"/>
      <c r="B1298" s="1"/>
      <c r="C1298" s="14" t="s">
        <v>1247</v>
      </c>
      <c r="D1298" s="437"/>
      <c r="E1298" s="437"/>
      <c r="F1298" s="466"/>
      <c r="G1298" s="437"/>
      <c r="H1298" s="437"/>
      <c r="I1298" s="437"/>
      <c r="J1298" s="437"/>
    </row>
    <row r="1299" spans="1:10" ht="13.5" customHeight="1" x14ac:dyDescent="0.25">
      <c r="A1299" s="1"/>
      <c r="B1299" s="1" t="s">
        <v>1248</v>
      </c>
      <c r="C1299" s="1" t="s">
        <v>1175</v>
      </c>
      <c r="D1299" s="437">
        <v>5000</v>
      </c>
      <c r="E1299" s="437">
        <v>2548.15</v>
      </c>
      <c r="F1299" s="466">
        <f t="shared" ref="F1299:F1302" si="557">SUM(E1299/G1299)</f>
        <v>0.50963000000000003</v>
      </c>
      <c r="G1299" s="437">
        <v>5000</v>
      </c>
      <c r="H1299" s="437">
        <v>4521</v>
      </c>
      <c r="I1299" s="437">
        <v>4900.88</v>
      </c>
      <c r="J1299" s="437">
        <v>5137.2700000000004</v>
      </c>
    </row>
    <row r="1300" spans="1:10" ht="13.5" customHeight="1" x14ac:dyDescent="0.25">
      <c r="A1300" s="1"/>
      <c r="B1300" s="1" t="s">
        <v>1249</v>
      </c>
      <c r="C1300" s="1" t="s">
        <v>1179</v>
      </c>
      <c r="D1300" s="437">
        <v>1300</v>
      </c>
      <c r="E1300" s="437">
        <v>446.26</v>
      </c>
      <c r="F1300" s="466">
        <f t="shared" si="557"/>
        <v>0.34327692307692309</v>
      </c>
      <c r="G1300" s="437">
        <v>1300</v>
      </c>
      <c r="H1300" s="437">
        <v>1065.8900000000001</v>
      </c>
      <c r="I1300" s="437">
        <v>1265.3599999999999</v>
      </c>
      <c r="J1300" s="437">
        <v>1236.8499999999999</v>
      </c>
    </row>
    <row r="1301" spans="1:10" ht="13.5" customHeight="1" x14ac:dyDescent="0.25">
      <c r="A1301" s="1"/>
      <c r="B1301" s="1" t="s">
        <v>1250</v>
      </c>
      <c r="C1301" s="1" t="s">
        <v>1159</v>
      </c>
      <c r="D1301" s="437">
        <v>1200</v>
      </c>
      <c r="E1301" s="437">
        <v>917.69</v>
      </c>
      <c r="F1301" s="466">
        <f t="shared" si="557"/>
        <v>0.76474166666666676</v>
      </c>
      <c r="G1301" s="437">
        <v>1200</v>
      </c>
      <c r="H1301" s="437">
        <v>2097.12</v>
      </c>
      <c r="I1301" s="437">
        <v>2440.71</v>
      </c>
      <c r="J1301" s="437">
        <v>2750.24</v>
      </c>
    </row>
    <row r="1302" spans="1:10" ht="13.5" customHeight="1" x14ac:dyDescent="0.25">
      <c r="A1302" s="1"/>
      <c r="B1302" s="1" t="s">
        <v>1251</v>
      </c>
      <c r="C1302" s="1" t="s">
        <v>1182</v>
      </c>
      <c r="D1302" s="437">
        <v>1000</v>
      </c>
      <c r="E1302" s="437"/>
      <c r="F1302" s="466">
        <f t="shared" si="557"/>
        <v>0</v>
      </c>
      <c r="G1302" s="437">
        <v>1000</v>
      </c>
      <c r="H1302" s="437">
        <v>16.600000000000001</v>
      </c>
      <c r="I1302" s="437">
        <v>4590</v>
      </c>
      <c r="J1302" s="437">
        <v>760.86</v>
      </c>
    </row>
    <row r="1303" spans="1:10" ht="13.5" customHeight="1" x14ac:dyDescent="0.25">
      <c r="A1303" s="1"/>
      <c r="B1303" s="1"/>
      <c r="C1303" s="1"/>
      <c r="D1303" s="438">
        <v>8500</v>
      </c>
      <c r="E1303" s="438">
        <f>SUM(E1299:E1302)</f>
        <v>3912.1</v>
      </c>
      <c r="F1303" s="467"/>
      <c r="G1303" s="438">
        <v>8500</v>
      </c>
      <c r="H1303" s="438">
        <f>SUM(H1297:H1302)</f>
        <v>7700.6100000000006</v>
      </c>
      <c r="I1303" s="438">
        <f>SUM(I1297:I1302)</f>
        <v>13196.95</v>
      </c>
      <c r="J1303" s="438">
        <f t="shared" ref="J1303" si="558">SUM(J1297:J1302)</f>
        <v>9885.2200000000012</v>
      </c>
    </row>
    <row r="1304" spans="1:10" ht="13.5" customHeight="1" x14ac:dyDescent="0.25">
      <c r="A1304" s="1"/>
      <c r="B1304" s="1"/>
      <c r="C1304" s="1"/>
      <c r="D1304" s="437"/>
      <c r="E1304" s="437"/>
      <c r="F1304" s="466"/>
      <c r="G1304" s="437"/>
      <c r="H1304" s="437"/>
      <c r="I1304" s="437"/>
      <c r="J1304" s="437"/>
    </row>
    <row r="1305" spans="1:10" ht="13.5" customHeight="1" x14ac:dyDescent="0.25">
      <c r="A1305" s="1"/>
      <c r="B1305" s="22" t="s">
        <v>1252</v>
      </c>
      <c r="C1305" s="1" t="s">
        <v>1186</v>
      </c>
      <c r="D1305" s="437">
        <v>10000</v>
      </c>
      <c r="E1305" s="439">
        <v>0</v>
      </c>
      <c r="F1305" s="466">
        <f t="shared" ref="F1305:F1306" si="559">SUM(E1305/G1305)</f>
        <v>0</v>
      </c>
      <c r="G1305" s="439">
        <v>10000</v>
      </c>
      <c r="H1305" s="439">
        <v>0</v>
      </c>
      <c r="I1305" s="439">
        <v>35778</v>
      </c>
      <c r="J1305" s="437">
        <v>0</v>
      </c>
    </row>
    <row r="1306" spans="1:10" ht="13.5" customHeight="1" x14ac:dyDescent="0.25">
      <c r="A1306" s="1"/>
      <c r="B1306" s="22" t="s">
        <v>1253</v>
      </c>
      <c r="C1306" s="1" t="s">
        <v>352</v>
      </c>
      <c r="D1306" s="437">
        <v>7500</v>
      </c>
      <c r="E1306" s="439">
        <v>0</v>
      </c>
      <c r="F1306" s="466">
        <f t="shared" si="559"/>
        <v>0</v>
      </c>
      <c r="G1306" s="440">
        <v>7500</v>
      </c>
      <c r="H1306" s="439">
        <v>0</v>
      </c>
      <c r="I1306" s="440">
        <v>0</v>
      </c>
      <c r="J1306" s="440">
        <v>0</v>
      </c>
    </row>
    <row r="1307" spans="1:10" ht="13.5" customHeight="1" x14ac:dyDescent="0.25">
      <c r="A1307" s="1"/>
      <c r="B1307" s="1"/>
      <c r="C1307" s="1"/>
      <c r="D1307" s="438">
        <v>17500</v>
      </c>
      <c r="E1307" s="438">
        <f t="shared" ref="E1307" si="560">SUM(E1305:E1306)</f>
        <v>0</v>
      </c>
      <c r="F1307" s="467"/>
      <c r="G1307" s="438">
        <v>17500</v>
      </c>
      <c r="H1307" s="438">
        <f>SUM(H1305:H1306)</f>
        <v>0</v>
      </c>
      <c r="I1307" s="438">
        <f>SUM(I1304:I1306)</f>
        <v>35778</v>
      </c>
      <c r="J1307" s="438">
        <f t="shared" ref="J1307" si="561">SUM(J1305:J1306)</f>
        <v>0</v>
      </c>
    </row>
    <row r="1308" spans="1:10" ht="13.5" customHeight="1" x14ac:dyDescent="0.25">
      <c r="A1308" s="1"/>
      <c r="B1308" s="1"/>
      <c r="C1308" s="39"/>
      <c r="D1308" s="440"/>
      <c r="E1308" s="440"/>
      <c r="F1308" s="468"/>
      <c r="G1308" s="440"/>
      <c r="H1308" s="440"/>
      <c r="I1308" s="440"/>
      <c r="J1308" s="440"/>
    </row>
    <row r="1309" spans="1:10" ht="13.5" customHeight="1" thickBot="1" x14ac:dyDescent="0.3">
      <c r="A1309" s="1"/>
      <c r="B1309" s="1"/>
      <c r="C1309" s="39" t="s">
        <v>1254</v>
      </c>
      <c r="D1309" s="453">
        <v>26000</v>
      </c>
      <c r="E1309" s="453">
        <f>SUM(E1299:E1302)</f>
        <v>3912.1</v>
      </c>
      <c r="F1309" s="479"/>
      <c r="G1309" s="455">
        <v>26000</v>
      </c>
      <c r="H1309" s="453">
        <f>SUM(H1299:H1302)</f>
        <v>7700.6100000000006</v>
      </c>
      <c r="I1309" s="453">
        <f>SUM(I1303+I1307)</f>
        <v>48974.95</v>
      </c>
      <c r="J1309" s="453">
        <f t="shared" ref="J1309" si="562">SUM(J1299:J1302)</f>
        <v>9885.2200000000012</v>
      </c>
    </row>
    <row r="1310" spans="1:10" ht="13.5" customHeight="1" thickTop="1" x14ac:dyDescent="0.25">
      <c r="A1310" s="1"/>
      <c r="B1310" s="1"/>
      <c r="C1310" s="1"/>
      <c r="D1310" s="440"/>
      <c r="E1310" s="437"/>
      <c r="F1310" s="466"/>
      <c r="G1310" s="437"/>
      <c r="H1310" s="437"/>
      <c r="I1310" s="437"/>
      <c r="J1310" s="437"/>
    </row>
    <row r="1311" spans="1:10" ht="13.5" customHeight="1" x14ac:dyDescent="0.25">
      <c r="A1311" s="1"/>
      <c r="B1311" s="1"/>
      <c r="C1311" s="1"/>
      <c r="D1311" s="440"/>
      <c r="E1311" s="437"/>
      <c r="F1311" s="466"/>
      <c r="G1311" s="437"/>
      <c r="H1311" s="437"/>
      <c r="I1311" s="437"/>
      <c r="J1311" s="437"/>
    </row>
    <row r="1312" spans="1:10" ht="13.5" customHeight="1" x14ac:dyDescent="0.25">
      <c r="A1312" s="1"/>
      <c r="B1312" s="1"/>
      <c r="C1312" s="14" t="s">
        <v>1255</v>
      </c>
      <c r="D1312" s="440"/>
      <c r="E1312" s="437"/>
      <c r="F1312" s="466"/>
      <c r="G1312" s="437"/>
      <c r="H1312" s="437"/>
      <c r="I1312" s="437"/>
      <c r="J1312" s="437"/>
    </row>
    <row r="1313" spans="1:10" ht="13.5" customHeight="1" x14ac:dyDescent="0.25">
      <c r="A1313" s="1"/>
      <c r="B1313" s="1" t="s">
        <v>1256</v>
      </c>
      <c r="C1313" s="1" t="s">
        <v>1175</v>
      </c>
      <c r="D1313" s="437">
        <v>2000</v>
      </c>
      <c r="E1313" s="437">
        <v>383.76</v>
      </c>
      <c r="F1313" s="466">
        <f t="shared" ref="F1313:F1315" si="563">SUM(E1313/G1313)</f>
        <v>0.19188</v>
      </c>
      <c r="G1313" s="437">
        <v>2000</v>
      </c>
      <c r="H1313" s="437">
        <v>937.96</v>
      </c>
      <c r="I1313" s="437">
        <v>1824.75</v>
      </c>
      <c r="J1313" s="437">
        <v>2096.7399999999998</v>
      </c>
    </row>
    <row r="1314" spans="1:10" ht="13.5" customHeight="1" x14ac:dyDescent="0.25">
      <c r="A1314" s="1"/>
      <c r="B1314" s="1" t="s">
        <v>1257</v>
      </c>
      <c r="C1314" s="1" t="s">
        <v>1179</v>
      </c>
      <c r="D1314" s="437">
        <v>800</v>
      </c>
      <c r="E1314" s="437">
        <v>242.88</v>
      </c>
      <c r="F1314" s="466">
        <f t="shared" si="563"/>
        <v>0.30359999999999998</v>
      </c>
      <c r="G1314" s="437">
        <v>800</v>
      </c>
      <c r="H1314" s="437">
        <v>720.96</v>
      </c>
      <c r="I1314" s="437">
        <v>767.78</v>
      </c>
      <c r="J1314" s="437">
        <v>970.78</v>
      </c>
    </row>
    <row r="1315" spans="1:10" ht="13.5" customHeight="1" x14ac:dyDescent="0.25">
      <c r="A1315" s="1"/>
      <c r="B1315" s="1" t="s">
        <v>1258</v>
      </c>
      <c r="C1315" s="1" t="s">
        <v>1159</v>
      </c>
      <c r="D1315" s="437">
        <v>200</v>
      </c>
      <c r="E1315" s="440"/>
      <c r="F1315" s="466">
        <f t="shared" si="563"/>
        <v>0</v>
      </c>
      <c r="G1315" s="440">
        <v>200</v>
      </c>
      <c r="H1315" s="439">
        <v>0</v>
      </c>
      <c r="I1315" s="440">
        <v>0</v>
      </c>
      <c r="J1315" s="440">
        <v>0</v>
      </c>
    </row>
    <row r="1316" spans="1:10" ht="13.5" customHeight="1" thickBot="1" x14ac:dyDescent="0.3">
      <c r="A1316" s="1"/>
      <c r="B1316" s="1"/>
      <c r="C1316" s="39" t="s">
        <v>1259</v>
      </c>
      <c r="D1316" s="451">
        <v>3000</v>
      </c>
      <c r="E1316" s="451">
        <f t="shared" ref="E1316" si="564">SUM(E1313:E1315)</f>
        <v>626.64</v>
      </c>
      <c r="F1316" s="478"/>
      <c r="G1316" s="451">
        <v>3000</v>
      </c>
      <c r="H1316" s="451">
        <f>SUM(H1313:H1315)</f>
        <v>1658.92</v>
      </c>
      <c r="I1316" s="451">
        <f>SUM(I1313:I1315)</f>
        <v>2592.5299999999997</v>
      </c>
      <c r="J1316" s="451">
        <f t="shared" ref="J1316" si="565">SUM(J1313:J1315)</f>
        <v>3067.5199999999995</v>
      </c>
    </row>
    <row r="1317" spans="1:10" ht="13.5" customHeight="1" thickTop="1" x14ac:dyDescent="0.25">
      <c r="A1317" s="1"/>
      <c r="B1317" s="1"/>
      <c r="C1317" s="1"/>
      <c r="D1317" s="437"/>
      <c r="E1317" s="440"/>
      <c r="F1317" s="468"/>
      <c r="G1317" s="440"/>
      <c r="H1317" s="440"/>
      <c r="I1317" s="440"/>
      <c r="J1317" s="440"/>
    </row>
    <row r="1318" spans="1:10" ht="13.5" customHeight="1" x14ac:dyDescent="0.25">
      <c r="A1318" s="1"/>
      <c r="B1318" s="1"/>
      <c r="C1318" s="1"/>
      <c r="D1318" s="437"/>
      <c r="E1318" s="440"/>
      <c r="F1318" s="468"/>
      <c r="G1318" s="440"/>
      <c r="H1318" s="440"/>
      <c r="I1318" s="440"/>
      <c r="J1318" s="440"/>
    </row>
    <row r="1319" spans="1:10" ht="13.5" customHeight="1" x14ac:dyDescent="0.25">
      <c r="A1319" s="1"/>
      <c r="B1319" s="1"/>
      <c r="C1319" s="14" t="s">
        <v>1260</v>
      </c>
      <c r="D1319" s="437"/>
      <c r="E1319" s="440"/>
      <c r="F1319" s="468"/>
      <c r="G1319" s="440"/>
      <c r="H1319" s="440"/>
      <c r="I1319" s="440"/>
      <c r="J1319" s="440"/>
    </row>
    <row r="1320" spans="1:10" ht="13.5" customHeight="1" x14ac:dyDescent="0.25">
      <c r="A1320" s="1"/>
      <c r="B1320" s="22" t="s">
        <v>1261</v>
      </c>
      <c r="C1320" s="22" t="s">
        <v>455</v>
      </c>
      <c r="D1320" s="437"/>
      <c r="E1320" s="437"/>
      <c r="F1320" s="466"/>
      <c r="G1320" s="437">
        <v>0</v>
      </c>
      <c r="H1320" s="437">
        <v>0</v>
      </c>
      <c r="I1320" s="437">
        <v>3329.09</v>
      </c>
      <c r="J1320" s="437">
        <v>0</v>
      </c>
    </row>
    <row r="1321" spans="1:10" ht="13.5" customHeight="1" x14ac:dyDescent="0.25">
      <c r="A1321" s="1"/>
      <c r="B1321" s="22" t="s">
        <v>1262</v>
      </c>
      <c r="C1321" s="22" t="s">
        <v>279</v>
      </c>
      <c r="D1321" s="437"/>
      <c r="E1321" s="437"/>
      <c r="F1321" s="466"/>
      <c r="G1321" s="437">
        <v>0</v>
      </c>
      <c r="H1321" s="437">
        <v>0</v>
      </c>
      <c r="I1321" s="437">
        <v>4300</v>
      </c>
      <c r="J1321" s="437">
        <v>0</v>
      </c>
    </row>
    <row r="1322" spans="1:10" ht="13.5" customHeight="1" x14ac:dyDescent="0.25">
      <c r="A1322" s="1"/>
      <c r="B1322" s="1" t="s">
        <v>1263</v>
      </c>
      <c r="C1322" s="1" t="s">
        <v>1175</v>
      </c>
      <c r="D1322" s="437">
        <v>43000</v>
      </c>
      <c r="E1322" s="437">
        <v>14652.78</v>
      </c>
      <c r="F1322" s="466">
        <f t="shared" ref="F1322:F1329" si="566">SUM(E1322/G1322)</f>
        <v>0.34076232558139535</v>
      </c>
      <c r="G1322" s="437">
        <v>43000</v>
      </c>
      <c r="H1322" s="437">
        <v>38469.879999999997</v>
      </c>
      <c r="I1322" s="437">
        <v>41182.93</v>
      </c>
      <c r="J1322" s="437">
        <v>40281.440000000002</v>
      </c>
    </row>
    <row r="1323" spans="1:10" ht="13.5" customHeight="1" x14ac:dyDescent="0.25">
      <c r="A1323" s="1"/>
      <c r="B1323" s="1" t="s">
        <v>1264</v>
      </c>
      <c r="C1323" s="1" t="s">
        <v>1177</v>
      </c>
      <c r="D1323" s="437">
        <v>6500</v>
      </c>
      <c r="E1323" s="437">
        <v>1653.67</v>
      </c>
      <c r="F1323" s="466">
        <f t="shared" si="566"/>
        <v>0.25441076923076922</v>
      </c>
      <c r="G1323" s="437">
        <v>6500</v>
      </c>
      <c r="H1323" s="437">
        <v>1618.07</v>
      </c>
      <c r="I1323" s="437">
        <v>2427.2399999999998</v>
      </c>
      <c r="J1323" s="437">
        <v>2898.67</v>
      </c>
    </row>
    <row r="1324" spans="1:10" ht="13.5" customHeight="1" x14ac:dyDescent="0.25">
      <c r="A1324" s="1"/>
      <c r="B1324" s="1" t="s">
        <v>1265</v>
      </c>
      <c r="C1324" s="1" t="s">
        <v>1179</v>
      </c>
      <c r="D1324" s="437">
        <v>8000</v>
      </c>
      <c r="E1324" s="437">
        <v>2914.24</v>
      </c>
      <c r="F1324" s="466">
        <f t="shared" si="566"/>
        <v>0.36427999999999999</v>
      </c>
      <c r="G1324" s="437">
        <v>8000</v>
      </c>
      <c r="H1324" s="437">
        <v>6331.55</v>
      </c>
      <c r="I1324" s="437">
        <v>6523.86</v>
      </c>
      <c r="J1324" s="437">
        <v>6318.06</v>
      </c>
    </row>
    <row r="1325" spans="1:10" ht="13.5" customHeight="1" x14ac:dyDescent="0.25">
      <c r="A1325" s="1"/>
      <c r="B1325" s="1" t="s">
        <v>1266</v>
      </c>
      <c r="C1325" s="1" t="s">
        <v>1267</v>
      </c>
      <c r="D1325" s="437">
        <v>15000</v>
      </c>
      <c r="E1325" s="437">
        <v>3777.05</v>
      </c>
      <c r="F1325" s="466">
        <f t="shared" si="566"/>
        <v>0.25180333333333332</v>
      </c>
      <c r="G1325" s="437">
        <v>15000</v>
      </c>
      <c r="H1325" s="437">
        <v>8227.64</v>
      </c>
      <c r="I1325" s="437">
        <v>10779.93</v>
      </c>
      <c r="J1325" s="437">
        <v>4769.76</v>
      </c>
    </row>
    <row r="1326" spans="1:10" ht="13.5" customHeight="1" x14ac:dyDescent="0.25">
      <c r="A1326" s="1"/>
      <c r="B1326" s="1" t="s">
        <v>1268</v>
      </c>
      <c r="C1326" s="1" t="s">
        <v>1182</v>
      </c>
      <c r="D1326" s="437">
        <v>25000</v>
      </c>
      <c r="E1326" s="439">
        <v>96.03</v>
      </c>
      <c r="F1326" s="466">
        <f t="shared" si="566"/>
        <v>3.8411999999999999E-3</v>
      </c>
      <c r="G1326" s="440">
        <v>25000</v>
      </c>
      <c r="H1326" s="439">
        <v>7523.54</v>
      </c>
      <c r="I1326" s="439">
        <v>8.14</v>
      </c>
      <c r="J1326" s="437">
        <v>10.95</v>
      </c>
    </row>
    <row r="1327" spans="1:10" ht="13.5" customHeight="1" x14ac:dyDescent="0.25">
      <c r="A1327" s="1"/>
      <c r="B1327" s="1" t="s">
        <v>1269</v>
      </c>
      <c r="C1327" s="1" t="s">
        <v>1184</v>
      </c>
      <c r="D1327" s="437">
        <v>2500</v>
      </c>
      <c r="E1327" s="437">
        <v>3731.49</v>
      </c>
      <c r="F1327" s="466">
        <f t="shared" si="566"/>
        <v>1.4925959999999998</v>
      </c>
      <c r="G1327" s="437">
        <v>2500</v>
      </c>
      <c r="H1327" s="437">
        <v>4270.55</v>
      </c>
      <c r="I1327" s="437">
        <v>5109.84</v>
      </c>
      <c r="J1327" s="437">
        <v>2879.42</v>
      </c>
    </row>
    <row r="1328" spans="1:10" ht="13.5" customHeight="1" x14ac:dyDescent="0.25">
      <c r="A1328" s="1"/>
      <c r="B1328" s="1" t="s">
        <v>1270</v>
      </c>
      <c r="C1328" s="1" t="s">
        <v>1186</v>
      </c>
      <c r="D1328" s="437">
        <v>50000</v>
      </c>
      <c r="E1328" s="440"/>
      <c r="F1328" s="466">
        <f t="shared" si="566"/>
        <v>0</v>
      </c>
      <c r="G1328" s="439">
        <v>50000</v>
      </c>
      <c r="H1328" s="439">
        <v>0</v>
      </c>
      <c r="I1328" s="439">
        <v>108000</v>
      </c>
      <c r="J1328" s="440">
        <v>0</v>
      </c>
    </row>
    <row r="1329" spans="1:10" ht="13.5" customHeight="1" x14ac:dyDescent="0.25">
      <c r="A1329" s="1"/>
      <c r="B1329" s="1" t="s">
        <v>1271</v>
      </c>
      <c r="C1329" s="1" t="s">
        <v>352</v>
      </c>
      <c r="D1329" s="437">
        <v>5000</v>
      </c>
      <c r="E1329" s="440"/>
      <c r="F1329" s="466">
        <f t="shared" si="566"/>
        <v>0</v>
      </c>
      <c r="G1329" s="440">
        <v>5000</v>
      </c>
      <c r="H1329" s="439">
        <v>0</v>
      </c>
      <c r="I1329" s="439">
        <v>15671.41</v>
      </c>
      <c r="J1329" s="440">
        <v>0</v>
      </c>
    </row>
    <row r="1330" spans="1:10" ht="13.5" customHeight="1" thickBot="1" x14ac:dyDescent="0.3">
      <c r="A1330" s="1"/>
      <c r="B1330" s="1"/>
      <c r="C1330" s="39" t="s">
        <v>1272</v>
      </c>
      <c r="D1330" s="451">
        <v>155000</v>
      </c>
      <c r="E1330" s="451">
        <f>SUM(E1320:E1329)</f>
        <v>26825.260000000002</v>
      </c>
      <c r="F1330" s="478"/>
      <c r="G1330" s="451">
        <v>155000</v>
      </c>
      <c r="H1330" s="451">
        <f>SUM(H1320:H1329)</f>
        <v>66441.23</v>
      </c>
      <c r="I1330" s="451">
        <f>SUM(I1319:I1329)</f>
        <v>197332.44</v>
      </c>
      <c r="J1330" s="451">
        <f t="shared" ref="J1330" si="567">SUM(J1322:J1329)</f>
        <v>57158.299999999996</v>
      </c>
    </row>
    <row r="1331" spans="1:10" ht="13.5" customHeight="1" thickTop="1" x14ac:dyDescent="0.25">
      <c r="A1331" s="1"/>
      <c r="B1331" s="1"/>
      <c r="C1331" s="1"/>
      <c r="D1331" s="437"/>
      <c r="E1331" s="440"/>
      <c r="F1331" s="468"/>
      <c r="G1331" s="440"/>
      <c r="H1331" s="440"/>
      <c r="I1331" s="440"/>
      <c r="J1331" s="440"/>
    </row>
    <row r="1332" spans="1:10" ht="13.5" customHeight="1" x14ac:dyDescent="0.25">
      <c r="A1332" s="1"/>
      <c r="B1332" s="1"/>
      <c r="C1332" s="1"/>
      <c r="D1332" s="437"/>
      <c r="E1332" s="440"/>
      <c r="F1332" s="468"/>
      <c r="G1332" s="440"/>
      <c r="H1332" s="440"/>
      <c r="I1332" s="440"/>
      <c r="J1332" s="440"/>
    </row>
    <row r="1333" spans="1:10" ht="13.5" customHeight="1" x14ac:dyDescent="0.25">
      <c r="A1333" s="1"/>
      <c r="B1333" s="1"/>
      <c r="C1333" s="14" t="s">
        <v>1273</v>
      </c>
      <c r="D1333" s="437"/>
      <c r="E1333" s="440"/>
      <c r="F1333" s="468"/>
      <c r="G1333" s="440"/>
      <c r="H1333" s="440"/>
      <c r="I1333" s="440"/>
      <c r="J1333" s="440"/>
    </row>
    <row r="1334" spans="1:10" ht="13.5" customHeight="1" x14ac:dyDescent="0.25">
      <c r="A1334" s="1"/>
      <c r="B1334" s="1" t="s">
        <v>1274</v>
      </c>
      <c r="C1334" s="1" t="s">
        <v>1175</v>
      </c>
      <c r="D1334" s="437">
        <v>1950</v>
      </c>
      <c r="E1334" s="437">
        <v>105.26</v>
      </c>
      <c r="F1334" s="466">
        <f t="shared" ref="F1334:F1338" si="568">SUM(E1334/G1334)</f>
        <v>5.3979487179487182E-2</v>
      </c>
      <c r="G1334" s="437">
        <v>1950</v>
      </c>
      <c r="H1334" s="437">
        <v>1266.48</v>
      </c>
      <c r="I1334" s="437">
        <v>1278.31</v>
      </c>
      <c r="J1334" s="437">
        <v>1238.3499999999999</v>
      </c>
    </row>
    <row r="1335" spans="1:10" ht="13.5" customHeight="1" x14ac:dyDescent="0.25">
      <c r="A1335" s="1"/>
      <c r="B1335" s="1" t="s">
        <v>1275</v>
      </c>
      <c r="C1335" s="1" t="s">
        <v>1177</v>
      </c>
      <c r="D1335" s="437">
        <v>1000</v>
      </c>
      <c r="E1335" s="437">
        <v>399.18</v>
      </c>
      <c r="F1335" s="466">
        <f t="shared" si="568"/>
        <v>0.39917999999999998</v>
      </c>
      <c r="G1335" s="437">
        <v>1000</v>
      </c>
      <c r="H1335" s="437">
        <v>656.71</v>
      </c>
      <c r="I1335" s="437">
        <v>759.8</v>
      </c>
      <c r="J1335" s="437">
        <v>857.4</v>
      </c>
    </row>
    <row r="1336" spans="1:10" ht="13.5" customHeight="1" x14ac:dyDescent="0.25">
      <c r="A1336" s="1"/>
      <c r="B1336" s="1" t="s">
        <v>1276</v>
      </c>
      <c r="C1336" s="1" t="s">
        <v>1179</v>
      </c>
      <c r="D1336" s="437">
        <v>400</v>
      </c>
      <c r="E1336" s="437">
        <v>235.16</v>
      </c>
      <c r="F1336" s="466">
        <f t="shared" si="568"/>
        <v>0.58789999999999998</v>
      </c>
      <c r="G1336" s="437">
        <v>400</v>
      </c>
      <c r="H1336" s="437">
        <v>425.66</v>
      </c>
      <c r="I1336" s="437">
        <v>425.66</v>
      </c>
      <c r="J1336" s="437">
        <v>422.16</v>
      </c>
    </row>
    <row r="1337" spans="1:10" ht="13.5" customHeight="1" x14ac:dyDescent="0.25">
      <c r="A1337" s="1"/>
      <c r="B1337" s="1" t="s">
        <v>1277</v>
      </c>
      <c r="C1337" s="1" t="s">
        <v>1159</v>
      </c>
      <c r="D1337" s="437">
        <v>150</v>
      </c>
      <c r="E1337" s="437"/>
      <c r="F1337" s="466">
        <f t="shared" si="568"/>
        <v>0</v>
      </c>
      <c r="G1337" s="437">
        <v>150</v>
      </c>
      <c r="H1337" s="437">
        <v>207.07</v>
      </c>
      <c r="I1337" s="437">
        <v>125</v>
      </c>
      <c r="J1337" s="437">
        <v>312.89999999999998</v>
      </c>
    </row>
    <row r="1338" spans="1:10" ht="13.5" customHeight="1" x14ac:dyDescent="0.25">
      <c r="A1338" s="1"/>
      <c r="B1338" s="1" t="s">
        <v>1278</v>
      </c>
      <c r="C1338" s="1" t="s">
        <v>1238</v>
      </c>
      <c r="D1338" s="437">
        <v>500</v>
      </c>
      <c r="E1338" s="437"/>
      <c r="F1338" s="466">
        <f t="shared" si="568"/>
        <v>0</v>
      </c>
      <c r="G1338" s="437">
        <v>500</v>
      </c>
      <c r="H1338" s="437">
        <v>335.4</v>
      </c>
      <c r="I1338" s="437">
        <v>335.4</v>
      </c>
      <c r="J1338" s="437">
        <v>328.05</v>
      </c>
    </row>
    <row r="1339" spans="1:10" ht="13.5" customHeight="1" thickBot="1" x14ac:dyDescent="0.3">
      <c r="A1339" s="1"/>
      <c r="B1339" s="1"/>
      <c r="C1339" s="39" t="s">
        <v>1279</v>
      </c>
      <c r="D1339" s="451">
        <v>4000</v>
      </c>
      <c r="E1339" s="451">
        <f t="shared" ref="E1339" si="569">SUM(E1334:E1338)</f>
        <v>739.6</v>
      </c>
      <c r="F1339" s="478"/>
      <c r="G1339" s="451">
        <v>4000</v>
      </c>
      <c r="H1339" s="451">
        <f>SUM(H1334:H1338)</f>
        <v>2891.32</v>
      </c>
      <c r="I1339" s="451">
        <f>SUM(I1334:I1338)</f>
        <v>2924.17</v>
      </c>
      <c r="J1339" s="451">
        <f t="shared" ref="J1339" si="570">SUM(J1334:J1338)</f>
        <v>3158.86</v>
      </c>
    </row>
    <row r="1340" spans="1:10" ht="13.5" customHeight="1" thickTop="1" x14ac:dyDescent="0.25">
      <c r="A1340" s="1"/>
      <c r="B1340" s="1"/>
      <c r="C1340" s="1"/>
      <c r="D1340" s="437"/>
      <c r="E1340" s="437"/>
      <c r="F1340" s="466"/>
      <c r="G1340" s="437"/>
      <c r="H1340" s="437"/>
      <c r="I1340" s="437"/>
      <c r="J1340" s="437"/>
    </row>
    <row r="1341" spans="1:10" ht="13.5" customHeight="1" x14ac:dyDescent="0.25">
      <c r="A1341" s="1"/>
      <c r="B1341" s="1"/>
      <c r="C1341" s="1"/>
      <c r="D1341" s="437"/>
      <c r="E1341" s="437"/>
      <c r="F1341" s="466"/>
      <c r="G1341" s="437"/>
      <c r="H1341" s="437"/>
      <c r="I1341" s="437"/>
      <c r="J1341" s="437"/>
    </row>
    <row r="1342" spans="1:10" ht="13.5" customHeight="1" x14ac:dyDescent="0.25">
      <c r="A1342" s="1"/>
      <c r="B1342" s="1"/>
      <c r="C1342" s="14" t="s">
        <v>1280</v>
      </c>
      <c r="D1342" s="437"/>
      <c r="E1342" s="437"/>
      <c r="F1342" s="466"/>
      <c r="G1342" s="437"/>
      <c r="H1342" s="437"/>
      <c r="I1342" s="437"/>
      <c r="J1342" s="437"/>
    </row>
    <row r="1343" spans="1:10" ht="13.5" customHeight="1" x14ac:dyDescent="0.25">
      <c r="A1343" s="1"/>
      <c r="B1343" s="1" t="s">
        <v>1281</v>
      </c>
      <c r="C1343" s="1" t="s">
        <v>1175</v>
      </c>
      <c r="D1343" s="437">
        <v>1500</v>
      </c>
      <c r="E1343" s="437">
        <v>609.79</v>
      </c>
      <c r="F1343" s="466">
        <f t="shared" ref="F1343:F1346" si="571">SUM(E1343/G1343)</f>
        <v>0.121958</v>
      </c>
      <c r="G1343" s="437">
        <v>5000</v>
      </c>
      <c r="H1343" s="437">
        <v>653.54999999999995</v>
      </c>
      <c r="I1343" s="437">
        <v>251.2</v>
      </c>
      <c r="J1343" s="437">
        <v>0</v>
      </c>
    </row>
    <row r="1344" spans="1:10" ht="13.5" customHeight="1" x14ac:dyDescent="0.25">
      <c r="A1344" s="1"/>
      <c r="B1344" s="1" t="s">
        <v>1282</v>
      </c>
      <c r="C1344" s="1" t="s">
        <v>1179</v>
      </c>
      <c r="D1344" s="437">
        <v>500</v>
      </c>
      <c r="E1344" s="437">
        <v>143.16999999999999</v>
      </c>
      <c r="F1344" s="466">
        <f t="shared" si="571"/>
        <v>0.14316999999999999</v>
      </c>
      <c r="G1344" s="437">
        <v>1000</v>
      </c>
      <c r="H1344" s="437">
        <v>353.78</v>
      </c>
      <c r="I1344" s="437">
        <v>0</v>
      </c>
      <c r="J1344" s="437">
        <v>0</v>
      </c>
    </row>
    <row r="1345" spans="1:10" ht="13.5" customHeight="1" x14ac:dyDescent="0.25">
      <c r="A1345" s="1"/>
      <c r="B1345" s="1" t="s">
        <v>1283</v>
      </c>
      <c r="C1345" s="1" t="s">
        <v>1159</v>
      </c>
      <c r="D1345" s="437">
        <v>500</v>
      </c>
      <c r="E1345" s="437">
        <v>382.5</v>
      </c>
      <c r="F1345" s="466">
        <f t="shared" si="571"/>
        <v>1.2749999999999999</v>
      </c>
      <c r="G1345" s="437">
        <v>300</v>
      </c>
      <c r="H1345" s="437">
        <v>453.82</v>
      </c>
      <c r="I1345" s="437">
        <v>0</v>
      </c>
      <c r="J1345" s="437">
        <v>0</v>
      </c>
    </row>
    <row r="1346" spans="1:10" ht="13.5" customHeight="1" x14ac:dyDescent="0.25">
      <c r="A1346" s="1"/>
      <c r="B1346" s="1" t="s">
        <v>1284</v>
      </c>
      <c r="C1346" s="1" t="s">
        <v>1238</v>
      </c>
      <c r="D1346" s="437">
        <v>0</v>
      </c>
      <c r="E1346" s="437"/>
      <c r="F1346" s="466">
        <f t="shared" si="571"/>
        <v>0</v>
      </c>
      <c r="G1346" s="437">
        <v>500</v>
      </c>
      <c r="H1346" s="437">
        <v>0</v>
      </c>
      <c r="I1346" s="437">
        <v>0</v>
      </c>
      <c r="J1346" s="440">
        <v>0</v>
      </c>
    </row>
    <row r="1347" spans="1:10" ht="13.5" customHeight="1" x14ac:dyDescent="0.25">
      <c r="A1347" s="1"/>
      <c r="B1347" s="1" t="s">
        <v>1285</v>
      </c>
      <c r="C1347" s="1" t="s">
        <v>1286</v>
      </c>
      <c r="D1347" s="437">
        <v>0</v>
      </c>
      <c r="E1347" s="437"/>
      <c r="F1347" s="466"/>
      <c r="G1347" s="437">
        <v>0</v>
      </c>
      <c r="H1347" s="437">
        <v>289109.76000000001</v>
      </c>
      <c r="I1347" s="437">
        <v>117117.94</v>
      </c>
      <c r="J1347" s="440">
        <v>0</v>
      </c>
    </row>
    <row r="1348" spans="1:10" ht="13.5" customHeight="1" thickBot="1" x14ac:dyDescent="0.3">
      <c r="A1348" s="1"/>
      <c r="B1348" s="1"/>
      <c r="C1348" s="39" t="s">
        <v>1287</v>
      </c>
      <c r="D1348" s="453">
        <v>2500</v>
      </c>
      <c r="E1348" s="453">
        <f>SUM(E1343:E1347)</f>
        <v>1135.46</v>
      </c>
      <c r="F1348" s="479"/>
      <c r="G1348" s="453">
        <v>6800</v>
      </c>
      <c r="H1348" s="453">
        <f t="shared" ref="H1348" si="572">SUM(H1342:H1347)</f>
        <v>290570.91000000003</v>
      </c>
      <c r="I1348" s="453">
        <f>SUM(I1342:I1347)</f>
        <v>117369.14</v>
      </c>
      <c r="J1348" s="453">
        <f t="shared" ref="J1348" si="573">SUM(J1347)</f>
        <v>0</v>
      </c>
    </row>
    <row r="1349" spans="1:10" ht="13.5" customHeight="1" thickTop="1" x14ac:dyDescent="0.25">
      <c r="A1349" s="1"/>
      <c r="B1349" s="1"/>
      <c r="C1349" s="1"/>
      <c r="D1349" s="440"/>
      <c r="E1349" s="437"/>
      <c r="F1349" s="466"/>
      <c r="G1349" s="437"/>
      <c r="H1349" s="437"/>
      <c r="I1349" s="437"/>
      <c r="J1349" s="440"/>
    </row>
    <row r="1350" spans="1:10" ht="13.5" customHeight="1" x14ac:dyDescent="0.25">
      <c r="A1350" s="1"/>
      <c r="B1350" s="1"/>
      <c r="C1350" s="39" t="s">
        <v>1288</v>
      </c>
      <c r="D1350" s="440"/>
      <c r="E1350" s="437"/>
      <c r="F1350" s="466"/>
      <c r="G1350" s="437"/>
      <c r="H1350" s="437"/>
      <c r="I1350" s="437"/>
      <c r="J1350" s="440"/>
    </row>
    <row r="1351" spans="1:10" ht="13.5" customHeight="1" x14ac:dyDescent="0.25">
      <c r="A1351" s="1"/>
      <c r="B1351" s="1" t="s">
        <v>1289</v>
      </c>
      <c r="C1351" s="1" t="s">
        <v>488</v>
      </c>
      <c r="D1351" s="437">
        <v>3000</v>
      </c>
      <c r="E1351" s="440"/>
      <c r="F1351" s="466">
        <f t="shared" ref="F1351:F1353" si="574">SUM(E1351/G1351)</f>
        <v>0</v>
      </c>
      <c r="G1351" s="440">
        <v>3000</v>
      </c>
      <c r="H1351" s="439">
        <v>0</v>
      </c>
      <c r="I1351" s="439">
        <v>3000</v>
      </c>
      <c r="J1351" s="440">
        <v>0</v>
      </c>
    </row>
    <row r="1352" spans="1:10" ht="13.5" customHeight="1" x14ac:dyDescent="0.25">
      <c r="A1352" s="1"/>
      <c r="B1352" s="1" t="s">
        <v>1290</v>
      </c>
      <c r="C1352" s="1" t="s">
        <v>490</v>
      </c>
      <c r="D1352" s="437">
        <v>740</v>
      </c>
      <c r="E1352" s="440"/>
      <c r="F1352" s="466">
        <f t="shared" si="574"/>
        <v>0</v>
      </c>
      <c r="G1352" s="440">
        <v>740</v>
      </c>
      <c r="H1352" s="439">
        <v>0</v>
      </c>
      <c r="I1352" s="439">
        <v>740</v>
      </c>
      <c r="J1352" s="440">
        <v>0</v>
      </c>
    </row>
    <row r="1353" spans="1:10" ht="13.5" customHeight="1" x14ac:dyDescent="0.25">
      <c r="A1353" s="1"/>
      <c r="B1353" s="1" t="s">
        <v>1291</v>
      </c>
      <c r="C1353" s="1" t="s">
        <v>509</v>
      </c>
      <c r="D1353" s="437">
        <v>4225</v>
      </c>
      <c r="E1353" s="440"/>
      <c r="F1353" s="466">
        <f t="shared" si="574"/>
        <v>0</v>
      </c>
      <c r="G1353" s="440">
        <v>4225</v>
      </c>
      <c r="H1353" s="439">
        <v>0</v>
      </c>
      <c r="I1353" s="439">
        <v>3522</v>
      </c>
      <c r="J1353" s="440">
        <v>0</v>
      </c>
    </row>
    <row r="1354" spans="1:10" ht="13.5" customHeight="1" thickBot="1" x14ac:dyDescent="0.3">
      <c r="A1354" s="1"/>
      <c r="B1354" s="1"/>
      <c r="C1354" s="39" t="s">
        <v>1292</v>
      </c>
      <c r="D1354" s="451">
        <v>7965</v>
      </c>
      <c r="E1354" s="451">
        <f t="shared" ref="E1354" si="575">SUM(E1351:E1353)</f>
        <v>0</v>
      </c>
      <c r="F1354" s="478"/>
      <c r="G1354" s="451">
        <v>7965</v>
      </c>
      <c r="H1354" s="451">
        <f>SUM(H1351:H1353)</f>
        <v>0</v>
      </c>
      <c r="I1354" s="451">
        <f>SUM(I1351:I1353)</f>
        <v>7262</v>
      </c>
      <c r="J1354" s="451">
        <f t="shared" ref="J1354" si="576">SUM(J1351:J1353)</f>
        <v>0</v>
      </c>
    </row>
    <row r="1355" spans="1:10" ht="13.5" customHeight="1" thickTop="1" x14ac:dyDescent="0.25">
      <c r="A1355" s="1"/>
      <c r="B1355" s="1"/>
      <c r="C1355" s="1"/>
      <c r="D1355" s="437"/>
      <c r="E1355" s="440"/>
      <c r="F1355" s="468"/>
      <c r="G1355" s="440"/>
      <c r="H1355" s="440"/>
      <c r="I1355" s="440"/>
      <c r="J1355" s="440"/>
    </row>
    <row r="1356" spans="1:10" ht="13.5" customHeight="1" x14ac:dyDescent="0.25">
      <c r="A1356" s="1"/>
      <c r="B1356" s="1"/>
      <c r="C1356" s="1"/>
      <c r="D1356" s="437"/>
      <c r="E1356" s="440"/>
      <c r="F1356" s="468"/>
      <c r="G1356" s="440"/>
      <c r="H1356" s="440"/>
      <c r="I1356" s="440"/>
      <c r="J1356" s="440"/>
    </row>
    <row r="1357" spans="1:10" ht="13.5" customHeight="1" x14ac:dyDescent="0.25">
      <c r="A1357" s="1"/>
      <c r="B1357" s="1"/>
      <c r="C1357" s="14" t="s">
        <v>1293</v>
      </c>
      <c r="D1357" s="437"/>
      <c r="E1357" s="440"/>
      <c r="F1357" s="468"/>
      <c r="G1357" s="440"/>
      <c r="H1357" s="440"/>
      <c r="I1357" s="440"/>
      <c r="J1357" s="440"/>
    </row>
    <row r="1358" spans="1:10" ht="13.5" customHeight="1" x14ac:dyDescent="0.25">
      <c r="A1358" s="1"/>
      <c r="B1358" s="1" t="s">
        <v>1294</v>
      </c>
      <c r="C1358" s="1" t="s">
        <v>437</v>
      </c>
      <c r="D1358" s="437">
        <v>46126</v>
      </c>
      <c r="E1358" s="437">
        <v>10366.549999999999</v>
      </c>
      <c r="F1358" s="466">
        <f>SUM(E1358/G1358)</f>
        <v>0.20406594488188975</v>
      </c>
      <c r="G1358" s="437">
        <v>50800</v>
      </c>
      <c r="H1358" s="437">
        <v>50268.62</v>
      </c>
      <c r="I1358" s="437">
        <v>43553</v>
      </c>
      <c r="J1358" s="437">
        <v>42482.69</v>
      </c>
    </row>
    <row r="1359" spans="1:10" ht="13.5" customHeight="1" x14ac:dyDescent="0.25">
      <c r="A1359" s="1"/>
      <c r="B1359" s="1" t="s">
        <v>1295</v>
      </c>
      <c r="C1359" s="1" t="s">
        <v>443</v>
      </c>
      <c r="D1359" s="437">
        <v>0</v>
      </c>
      <c r="E1359" s="437"/>
      <c r="F1359" s="466"/>
      <c r="G1359" s="437">
        <v>0</v>
      </c>
      <c r="H1359" s="437">
        <v>0</v>
      </c>
      <c r="I1359" s="437">
        <v>4876.42</v>
      </c>
      <c r="J1359" s="437">
        <v>5027.54</v>
      </c>
    </row>
    <row r="1360" spans="1:10" ht="13.5" customHeight="1" x14ac:dyDescent="0.25">
      <c r="A1360" s="1"/>
      <c r="B1360" s="1"/>
      <c r="C1360" s="1"/>
      <c r="D1360" s="438">
        <v>46126</v>
      </c>
      <c r="E1360" s="438">
        <f t="shared" ref="E1360" si="577">SUM(E1358:E1359)</f>
        <v>10366.549999999999</v>
      </c>
      <c r="F1360" s="467"/>
      <c r="G1360" s="438">
        <v>50800</v>
      </c>
      <c r="H1360" s="438">
        <f>SUM(H1358:H1359)</f>
        <v>50268.62</v>
      </c>
      <c r="I1360" s="438">
        <f>SUM(I1358:I1359)</f>
        <v>48429.42</v>
      </c>
      <c r="J1360" s="438">
        <f t="shared" ref="J1360" si="578">SUM(J1358:J1359)</f>
        <v>47510.23</v>
      </c>
    </row>
    <row r="1361" spans="1:10" ht="13.5" customHeight="1" x14ac:dyDescent="0.25">
      <c r="A1361" s="1"/>
      <c r="B1361" s="1"/>
      <c r="C1361" s="1"/>
      <c r="D1361" s="437"/>
      <c r="E1361" s="437"/>
      <c r="F1361" s="466"/>
      <c r="G1361" s="437"/>
      <c r="H1361" s="437"/>
      <c r="I1361" s="437"/>
      <c r="J1361" s="437"/>
    </row>
    <row r="1362" spans="1:10" ht="13.5" customHeight="1" x14ac:dyDescent="0.25">
      <c r="A1362" s="1"/>
      <c r="B1362" s="1" t="s">
        <v>1296</v>
      </c>
      <c r="C1362" s="1" t="s">
        <v>257</v>
      </c>
      <c r="D1362" s="437">
        <v>3620.4390000000003</v>
      </c>
      <c r="E1362" s="437">
        <v>737.05</v>
      </c>
      <c r="F1362" s="466">
        <f t="shared" ref="F1362:F1367" si="579">SUM(E1362/G1362)</f>
        <v>0.18528154851684261</v>
      </c>
      <c r="G1362" s="437">
        <v>3978</v>
      </c>
      <c r="H1362" s="437">
        <v>3706.71</v>
      </c>
      <c r="I1362" s="437">
        <v>3578.05</v>
      </c>
      <c r="J1362" s="437">
        <v>3512.72</v>
      </c>
    </row>
    <row r="1363" spans="1:10" ht="13.5" customHeight="1" x14ac:dyDescent="0.25">
      <c r="A1363" s="1"/>
      <c r="B1363" s="1" t="s">
        <v>1297</v>
      </c>
      <c r="C1363" s="1" t="s">
        <v>259</v>
      </c>
      <c r="D1363" s="437">
        <v>10460.8848</v>
      </c>
      <c r="E1363" s="437">
        <v>2588.4</v>
      </c>
      <c r="F1363" s="466">
        <f t="shared" si="579"/>
        <v>0.24737586049698809</v>
      </c>
      <c r="G1363" s="437">
        <v>10463.43</v>
      </c>
      <c r="H1363" s="437">
        <v>10355.9</v>
      </c>
      <c r="I1363" s="437">
        <v>10176.06</v>
      </c>
      <c r="J1363" s="437">
        <v>10140</v>
      </c>
    </row>
    <row r="1364" spans="1:10" ht="13.5" customHeight="1" x14ac:dyDescent="0.25">
      <c r="A1364" s="1"/>
      <c r="B1364" s="1" t="s">
        <v>1298</v>
      </c>
      <c r="C1364" s="1" t="s">
        <v>261</v>
      </c>
      <c r="D1364" s="437">
        <v>7108.3652000000002</v>
      </c>
      <c r="E1364" s="437">
        <v>1599.35</v>
      </c>
      <c r="F1364" s="466">
        <f t="shared" si="579"/>
        <v>0.20477184267131004</v>
      </c>
      <c r="G1364" s="437">
        <v>7810.4</v>
      </c>
      <c r="H1364" s="437">
        <v>7731.96</v>
      </c>
      <c r="I1364" s="437">
        <v>7213.44</v>
      </c>
      <c r="J1364" s="437">
        <v>6971.12</v>
      </c>
    </row>
    <row r="1365" spans="1:10" ht="13.5" customHeight="1" x14ac:dyDescent="0.25">
      <c r="A1365" s="1"/>
      <c r="B1365" s="1" t="s">
        <v>1299</v>
      </c>
      <c r="C1365" s="1" t="s">
        <v>263</v>
      </c>
      <c r="D1365" s="437">
        <v>75.721600000000009</v>
      </c>
      <c r="E1365" s="437">
        <v>17.03</v>
      </c>
      <c r="F1365" s="466">
        <f t="shared" si="579"/>
        <v>0.20468749999999999</v>
      </c>
      <c r="G1365" s="437">
        <v>83.2</v>
      </c>
      <c r="H1365" s="437">
        <v>82.37</v>
      </c>
      <c r="I1365" s="437">
        <v>79.42</v>
      </c>
      <c r="J1365" s="437">
        <v>88.01</v>
      </c>
    </row>
    <row r="1366" spans="1:10" ht="13.5" customHeight="1" x14ac:dyDescent="0.25">
      <c r="A1366" s="1"/>
      <c r="B1366" s="1" t="s">
        <v>1300</v>
      </c>
      <c r="C1366" s="1" t="s">
        <v>265</v>
      </c>
      <c r="D1366" s="437">
        <v>374.88</v>
      </c>
      <c r="E1366" s="437">
        <v>87.78</v>
      </c>
      <c r="F1366" s="466">
        <f t="shared" si="579"/>
        <v>0.25</v>
      </c>
      <c r="G1366" s="437">
        <v>351.12</v>
      </c>
      <c r="H1366" s="437">
        <v>337.32</v>
      </c>
      <c r="I1366" s="437">
        <v>323.95999999999998</v>
      </c>
      <c r="J1366" s="437">
        <v>313.24</v>
      </c>
    </row>
    <row r="1367" spans="1:10" ht="13.5" customHeight="1" x14ac:dyDescent="0.25">
      <c r="A1367" s="1"/>
      <c r="B1367" s="1" t="s">
        <v>1301</v>
      </c>
      <c r="C1367" s="1" t="s">
        <v>583</v>
      </c>
      <c r="D1367" s="437">
        <v>1200</v>
      </c>
      <c r="E1367" s="437">
        <v>323.05</v>
      </c>
      <c r="F1367" s="466">
        <f t="shared" si="579"/>
        <v>0.26920833333333333</v>
      </c>
      <c r="G1367" s="437">
        <v>1200</v>
      </c>
      <c r="H1367" s="437">
        <v>1199.9000000000001</v>
      </c>
      <c r="I1367" s="437">
        <v>1199.9000000000001</v>
      </c>
      <c r="J1367" s="437">
        <v>1199.9000000000001</v>
      </c>
    </row>
    <row r="1368" spans="1:10" ht="13.5" customHeight="1" x14ac:dyDescent="0.25">
      <c r="A1368" s="1"/>
      <c r="B1368" s="1"/>
      <c r="C1368" s="1"/>
      <c r="D1368" s="438">
        <v>22840.2906</v>
      </c>
      <c r="E1368" s="438">
        <f t="shared" ref="E1368" si="580">SUM(E1362:E1367)</f>
        <v>5352.6599999999989</v>
      </c>
      <c r="F1368" s="467"/>
      <c r="G1368" s="438">
        <v>23886.15</v>
      </c>
      <c r="H1368" s="438">
        <f t="shared" ref="H1368" si="581">SUM(H1362:H1367)</f>
        <v>23414.16</v>
      </c>
      <c r="I1368" s="438">
        <f>SUM(I1362:I1367)</f>
        <v>22570.829999999998</v>
      </c>
      <c r="J1368" s="438">
        <f t="shared" ref="J1368" si="582">SUM(J1362:J1367)</f>
        <v>22224.99</v>
      </c>
    </row>
    <row r="1369" spans="1:10" ht="13.5" customHeight="1" x14ac:dyDescent="0.25">
      <c r="A1369" s="1"/>
      <c r="B1369" s="1"/>
      <c r="C1369" s="1"/>
      <c r="D1369" s="437"/>
      <c r="E1369" s="437"/>
      <c r="F1369" s="466"/>
      <c r="G1369" s="437"/>
      <c r="H1369" s="437"/>
      <c r="I1369" s="437"/>
      <c r="J1369" s="437"/>
    </row>
    <row r="1370" spans="1:10" ht="13.5" customHeight="1" x14ac:dyDescent="0.25">
      <c r="A1370" s="1"/>
      <c r="B1370" s="1" t="s">
        <v>1302</v>
      </c>
      <c r="C1370" s="1" t="s">
        <v>267</v>
      </c>
      <c r="D1370" s="437">
        <v>100</v>
      </c>
      <c r="E1370" s="439">
        <v>58</v>
      </c>
      <c r="F1370" s="466">
        <f t="shared" ref="F1370:F1374" si="583">SUM(E1370/G1370)</f>
        <v>0.57999999999999996</v>
      </c>
      <c r="G1370" s="440">
        <v>100</v>
      </c>
      <c r="H1370" s="439">
        <v>0</v>
      </c>
      <c r="I1370" s="440">
        <v>0</v>
      </c>
      <c r="J1370" s="437">
        <v>48.73</v>
      </c>
    </row>
    <row r="1371" spans="1:10" ht="13.5" customHeight="1" x14ac:dyDescent="0.25">
      <c r="A1371" s="1"/>
      <c r="B1371" s="1" t="s">
        <v>1303</v>
      </c>
      <c r="C1371" s="1" t="s">
        <v>269</v>
      </c>
      <c r="D1371" s="437">
        <v>100</v>
      </c>
      <c r="E1371" s="440"/>
      <c r="F1371" s="466">
        <f t="shared" si="583"/>
        <v>0</v>
      </c>
      <c r="G1371" s="440">
        <v>100</v>
      </c>
      <c r="H1371" s="439">
        <v>0</v>
      </c>
      <c r="I1371" s="440">
        <v>0</v>
      </c>
      <c r="J1371" s="440">
        <v>0</v>
      </c>
    </row>
    <row r="1372" spans="1:10" ht="13.5" customHeight="1" x14ac:dyDescent="0.25">
      <c r="A1372" s="1"/>
      <c r="B1372" s="1" t="s">
        <v>1304</v>
      </c>
      <c r="C1372" s="1" t="s">
        <v>488</v>
      </c>
      <c r="D1372" s="437">
        <v>2000</v>
      </c>
      <c r="E1372" s="437">
        <v>141.27000000000001</v>
      </c>
      <c r="F1372" s="466">
        <f t="shared" si="583"/>
        <v>7.0635000000000003E-2</v>
      </c>
      <c r="G1372" s="437">
        <v>2000</v>
      </c>
      <c r="H1372" s="437">
        <v>391.47</v>
      </c>
      <c r="I1372" s="437">
        <v>982.46</v>
      </c>
      <c r="J1372" s="437">
        <v>1197.04</v>
      </c>
    </row>
    <row r="1373" spans="1:10" ht="13.5" customHeight="1" x14ac:dyDescent="0.25">
      <c r="A1373" s="1"/>
      <c r="B1373" s="1" t="s">
        <v>1305</v>
      </c>
      <c r="C1373" s="1" t="s">
        <v>490</v>
      </c>
      <c r="D1373" s="437">
        <v>400</v>
      </c>
      <c r="E1373" s="440"/>
      <c r="F1373" s="466">
        <f t="shared" si="583"/>
        <v>0</v>
      </c>
      <c r="G1373" s="440">
        <v>400</v>
      </c>
      <c r="H1373" s="439">
        <v>0</v>
      </c>
      <c r="I1373" s="440">
        <v>0</v>
      </c>
      <c r="J1373" s="440">
        <v>0</v>
      </c>
    </row>
    <row r="1374" spans="1:10" ht="13.5" customHeight="1" x14ac:dyDescent="0.25">
      <c r="A1374" s="1"/>
      <c r="B1374" s="1" t="s">
        <v>1306</v>
      </c>
      <c r="C1374" s="1" t="s">
        <v>1307</v>
      </c>
      <c r="D1374" s="437">
        <v>300</v>
      </c>
      <c r="E1374" s="440"/>
      <c r="F1374" s="466">
        <f t="shared" si="583"/>
        <v>0</v>
      </c>
      <c r="G1374" s="440">
        <v>300</v>
      </c>
      <c r="H1374" s="439">
        <v>0</v>
      </c>
      <c r="I1374" s="440">
        <v>0</v>
      </c>
      <c r="J1374" s="437">
        <v>207.25</v>
      </c>
    </row>
    <row r="1375" spans="1:10" ht="13.5" customHeight="1" x14ac:dyDescent="0.25">
      <c r="A1375" s="1"/>
      <c r="B1375" s="1" t="s">
        <v>1308</v>
      </c>
      <c r="C1375" s="1" t="s">
        <v>273</v>
      </c>
      <c r="D1375" s="437">
        <v>0</v>
      </c>
      <c r="E1375" s="440"/>
      <c r="F1375" s="466"/>
      <c r="G1375" s="440">
        <v>0</v>
      </c>
      <c r="H1375" s="439">
        <v>0</v>
      </c>
      <c r="I1375" s="440">
        <v>0</v>
      </c>
      <c r="J1375" s="437">
        <v>2965</v>
      </c>
    </row>
    <row r="1376" spans="1:10" ht="13.5" customHeight="1" x14ac:dyDescent="0.25">
      <c r="A1376" s="1"/>
      <c r="B1376" s="1" t="s">
        <v>1309</v>
      </c>
      <c r="C1376" s="1" t="s">
        <v>693</v>
      </c>
      <c r="D1376" s="437">
        <v>200</v>
      </c>
      <c r="E1376" s="440"/>
      <c r="F1376" s="466">
        <f>SUM(E1376/G1376)</f>
        <v>0</v>
      </c>
      <c r="G1376" s="440">
        <v>200</v>
      </c>
      <c r="H1376" s="439">
        <v>0</v>
      </c>
      <c r="I1376" s="440">
        <v>0</v>
      </c>
      <c r="J1376" s="437">
        <v>36.9</v>
      </c>
    </row>
    <row r="1377" spans="1:10" ht="13.5" customHeight="1" x14ac:dyDescent="0.25">
      <c r="A1377" s="1"/>
      <c r="B1377" s="1"/>
      <c r="C1377" s="1"/>
      <c r="D1377" s="438">
        <v>3100</v>
      </c>
      <c r="E1377" s="438">
        <f t="shared" ref="E1377" si="584">SUM(E1370:E1376)</f>
        <v>199.27</v>
      </c>
      <c r="F1377" s="467"/>
      <c r="G1377" s="438">
        <v>3100</v>
      </c>
      <c r="H1377" s="438">
        <f t="shared" ref="H1377" si="585">SUM(H1370:H1376)</f>
        <v>391.47</v>
      </c>
      <c r="I1377" s="438">
        <f>SUM(I1370:I1376)</f>
        <v>982.46</v>
      </c>
      <c r="J1377" s="438">
        <f t="shared" ref="J1377" si="586">SUM(J1370:J1376)</f>
        <v>4454.92</v>
      </c>
    </row>
    <row r="1378" spans="1:10" ht="13.5" customHeight="1" x14ac:dyDescent="0.25">
      <c r="A1378" s="1"/>
      <c r="B1378" s="1"/>
      <c r="C1378" s="1"/>
      <c r="D1378" s="437"/>
      <c r="E1378" s="440"/>
      <c r="F1378" s="468"/>
      <c r="G1378" s="440"/>
      <c r="H1378" s="440"/>
      <c r="I1378" s="440"/>
      <c r="J1378" s="437"/>
    </row>
    <row r="1379" spans="1:10" ht="13.5" customHeight="1" x14ac:dyDescent="0.25">
      <c r="A1379" s="1"/>
      <c r="B1379" s="1" t="s">
        <v>1310</v>
      </c>
      <c r="C1379" s="1" t="s">
        <v>502</v>
      </c>
      <c r="D1379" s="437">
        <v>60</v>
      </c>
      <c r="E1379" s="437">
        <v>60</v>
      </c>
      <c r="F1379" s="466">
        <f>SUM(E1379/G1379)</f>
        <v>1</v>
      </c>
      <c r="G1379" s="437">
        <v>60</v>
      </c>
      <c r="H1379" s="437">
        <v>60</v>
      </c>
      <c r="I1379" s="437">
        <v>60</v>
      </c>
      <c r="J1379" s="437">
        <v>60</v>
      </c>
    </row>
    <row r="1380" spans="1:10" ht="13.5" customHeight="1" x14ac:dyDescent="0.25">
      <c r="A1380" s="1"/>
      <c r="B1380" s="1" t="s">
        <v>1311</v>
      </c>
      <c r="C1380" s="1" t="s">
        <v>1161</v>
      </c>
      <c r="D1380" s="437">
        <v>0</v>
      </c>
      <c r="E1380" s="439"/>
      <c r="F1380" s="466"/>
      <c r="G1380" s="440">
        <v>0</v>
      </c>
      <c r="H1380" s="439">
        <v>0</v>
      </c>
      <c r="I1380" s="439">
        <v>0</v>
      </c>
      <c r="J1380" s="439">
        <v>0</v>
      </c>
    </row>
    <row r="1381" spans="1:10" ht="13.5" customHeight="1" x14ac:dyDescent="0.25">
      <c r="A1381" s="1"/>
      <c r="B1381" s="1" t="s">
        <v>1312</v>
      </c>
      <c r="C1381" s="1" t="s">
        <v>509</v>
      </c>
      <c r="D1381" s="437">
        <v>400</v>
      </c>
      <c r="E1381" s="437">
        <v>45.7</v>
      </c>
      <c r="F1381" s="466">
        <f>SUM(E1381/G1381)</f>
        <v>0.11425</v>
      </c>
      <c r="G1381" s="437">
        <v>400</v>
      </c>
      <c r="H1381" s="437">
        <v>135.44</v>
      </c>
      <c r="I1381" s="437">
        <v>56.08</v>
      </c>
      <c r="J1381" s="437">
        <v>33.33</v>
      </c>
    </row>
    <row r="1382" spans="1:10" ht="13.5" customHeight="1" x14ac:dyDescent="0.25">
      <c r="A1382" s="1"/>
      <c r="B1382" s="1" t="s">
        <v>1313</v>
      </c>
      <c r="C1382" s="1" t="s">
        <v>565</v>
      </c>
      <c r="D1382" s="437">
        <v>230</v>
      </c>
      <c r="E1382" s="439">
        <v>227.5</v>
      </c>
      <c r="F1382" s="466"/>
      <c r="G1382" s="439">
        <v>0</v>
      </c>
      <c r="H1382" s="439">
        <v>0</v>
      </c>
      <c r="I1382" s="439">
        <v>0</v>
      </c>
      <c r="J1382" s="439">
        <v>0</v>
      </c>
    </row>
    <row r="1383" spans="1:10" ht="13.5" customHeight="1" x14ac:dyDescent="0.25">
      <c r="A1383" s="1"/>
      <c r="B1383" s="1"/>
      <c r="C1383" s="1"/>
      <c r="D1383" s="441">
        <v>690</v>
      </c>
      <c r="E1383" s="441">
        <f t="shared" ref="E1383" si="587">SUM(E1379:E1382)</f>
        <v>333.2</v>
      </c>
      <c r="F1383" s="469"/>
      <c r="G1383" s="441">
        <v>460</v>
      </c>
      <c r="H1383" s="441">
        <f t="shared" ref="H1383" si="588">SUM(H1379:H1382)</f>
        <v>195.44</v>
      </c>
      <c r="I1383" s="441">
        <f>SUM(I1379:I1382)</f>
        <v>116.08</v>
      </c>
      <c r="J1383" s="441">
        <f t="shared" ref="J1383" si="589">SUM(J1379:J1382)</f>
        <v>93.33</v>
      </c>
    </row>
    <row r="1384" spans="1:10" ht="13.5" customHeight="1" x14ac:dyDescent="0.25">
      <c r="A1384" s="1"/>
      <c r="B1384" s="1"/>
      <c r="C1384" s="1"/>
      <c r="D1384" s="440"/>
      <c r="E1384" s="440"/>
      <c r="F1384" s="468"/>
      <c r="G1384" s="440"/>
      <c r="H1384" s="440"/>
      <c r="I1384" s="440"/>
      <c r="J1384" s="440"/>
    </row>
    <row r="1385" spans="1:10" ht="13.5" customHeight="1" x14ac:dyDescent="0.25">
      <c r="A1385" s="1"/>
      <c r="B1385" s="1" t="s">
        <v>1314</v>
      </c>
      <c r="C1385" s="1" t="s">
        <v>1315</v>
      </c>
      <c r="D1385" s="437">
        <v>0</v>
      </c>
      <c r="E1385" s="440"/>
      <c r="F1385" s="468"/>
      <c r="G1385" s="440">
        <v>0</v>
      </c>
      <c r="H1385" s="440">
        <v>0</v>
      </c>
      <c r="I1385" s="440">
        <v>0</v>
      </c>
      <c r="J1385" s="437">
        <v>27695</v>
      </c>
    </row>
    <row r="1386" spans="1:10" ht="13.5" customHeight="1" x14ac:dyDescent="0.25">
      <c r="A1386" s="1"/>
      <c r="B1386" s="1"/>
      <c r="C1386" s="1"/>
      <c r="D1386" s="454">
        <v>0</v>
      </c>
      <c r="E1386" s="454">
        <f>SUM(E1385)</f>
        <v>0</v>
      </c>
      <c r="F1386" s="481"/>
      <c r="G1386" s="454">
        <v>0</v>
      </c>
      <c r="H1386" s="454">
        <v>0</v>
      </c>
      <c r="I1386" s="441">
        <f>SUM(I1385)</f>
        <v>0</v>
      </c>
      <c r="J1386" s="441">
        <f t="shared" ref="J1386" si="590">SUM(J1385)</f>
        <v>27695</v>
      </c>
    </row>
    <row r="1387" spans="1:10" ht="13.5" customHeight="1" thickBot="1" x14ac:dyDescent="0.3">
      <c r="A1387" s="39"/>
      <c r="B1387" s="39"/>
      <c r="C1387" s="39" t="s">
        <v>1316</v>
      </c>
      <c r="D1387" s="456">
        <v>72756.290600000008</v>
      </c>
      <c r="E1387" s="456">
        <f t="shared" ref="E1387" si="591">SUM(E1360+E1368+E1377+E1383+E1386)</f>
        <v>16251.68</v>
      </c>
      <c r="F1387" s="482"/>
      <c r="G1387" s="457">
        <v>78246.149999999994</v>
      </c>
      <c r="H1387" s="456">
        <f>SUM(H1360+H1368+H1377+H1383+H1386)</f>
        <v>74269.69</v>
      </c>
      <c r="I1387" s="456">
        <f>SUM(I1360+I1368+I1377+I1383+I1386)</f>
        <v>72098.790000000008</v>
      </c>
      <c r="J1387" s="456">
        <f t="shared" ref="J1387" si="592">SUM(J1360+J1368+J1377+J1383+J1386)</f>
        <v>101978.47</v>
      </c>
    </row>
    <row r="1388" spans="1:10" ht="13.5" customHeight="1" thickTop="1" x14ac:dyDescent="0.25">
      <c r="A1388" s="1"/>
      <c r="B1388" s="1"/>
      <c r="C1388" s="1"/>
      <c r="D1388" s="440"/>
      <c r="E1388" s="440"/>
      <c r="F1388" s="468"/>
      <c r="G1388" s="440"/>
      <c r="H1388" s="440"/>
      <c r="I1388" s="440"/>
      <c r="J1388" s="437"/>
    </row>
    <row r="1389" spans="1:10" ht="13.5" customHeight="1" x14ac:dyDescent="0.25">
      <c r="A1389" s="1"/>
      <c r="B1389" s="1"/>
      <c r="C1389" s="14" t="s">
        <v>1317</v>
      </c>
      <c r="D1389" s="440"/>
      <c r="E1389" s="440"/>
      <c r="F1389" s="468"/>
      <c r="G1389" s="440"/>
      <c r="H1389" s="440"/>
      <c r="I1389" s="440"/>
      <c r="J1389" s="437"/>
    </row>
    <row r="1390" spans="1:10" ht="13.5" customHeight="1" x14ac:dyDescent="0.25">
      <c r="A1390" s="1"/>
      <c r="B1390" s="1" t="s">
        <v>1318</v>
      </c>
      <c r="C1390" s="1" t="s">
        <v>437</v>
      </c>
      <c r="D1390" s="437">
        <v>53340</v>
      </c>
      <c r="E1390" s="437">
        <v>23215.67</v>
      </c>
      <c r="F1390" s="466">
        <f>SUM(E1390/G1390)</f>
        <v>0.46538378270021047</v>
      </c>
      <c r="G1390" s="437">
        <v>49885</v>
      </c>
      <c r="H1390" s="437">
        <v>50268.62</v>
      </c>
      <c r="I1390" s="437">
        <v>43553</v>
      </c>
      <c r="J1390" s="437">
        <v>42482.69</v>
      </c>
    </row>
    <row r="1391" spans="1:10" ht="13.5" customHeight="1" x14ac:dyDescent="0.25">
      <c r="A1391" s="1"/>
      <c r="B1391" s="1" t="s">
        <v>1319</v>
      </c>
      <c r="C1391" s="1" t="s">
        <v>443</v>
      </c>
      <c r="D1391" s="437">
        <v>0</v>
      </c>
      <c r="E1391" s="437"/>
      <c r="F1391" s="466"/>
      <c r="G1391" s="437">
        <v>0</v>
      </c>
      <c r="H1391" s="437">
        <v>0</v>
      </c>
      <c r="I1391" s="437">
        <v>4876.42</v>
      </c>
      <c r="J1391" s="437">
        <v>5027.54</v>
      </c>
    </row>
    <row r="1392" spans="1:10" ht="13.5" customHeight="1" x14ac:dyDescent="0.25">
      <c r="A1392" s="1"/>
      <c r="B1392" s="1"/>
      <c r="C1392" s="1"/>
      <c r="D1392" s="438">
        <v>53340</v>
      </c>
      <c r="E1392" s="438">
        <f t="shared" ref="E1392" si="593">SUM(E1390:E1391)</f>
        <v>23215.67</v>
      </c>
      <c r="F1392" s="467"/>
      <c r="G1392" s="438">
        <v>49885</v>
      </c>
      <c r="H1392" s="438">
        <f>SUM(H1390:H1391)</f>
        <v>50268.62</v>
      </c>
      <c r="I1392" s="438">
        <f>SUM(I1390:I1391)</f>
        <v>48429.42</v>
      </c>
      <c r="J1392" s="438">
        <f t="shared" ref="J1392" si="594">SUM(J1390:J1391)</f>
        <v>47510.23</v>
      </c>
    </row>
    <row r="1393" spans="1:10" ht="13.5" customHeight="1" x14ac:dyDescent="0.25">
      <c r="A1393" s="1"/>
      <c r="B1393" s="1"/>
      <c r="C1393" s="1"/>
      <c r="D1393" s="437"/>
      <c r="E1393" s="437"/>
      <c r="F1393" s="466"/>
      <c r="G1393" s="437"/>
      <c r="H1393" s="437"/>
      <c r="I1393" s="437"/>
      <c r="J1393" s="437"/>
    </row>
    <row r="1394" spans="1:10" ht="13.5" customHeight="1" x14ac:dyDescent="0.25">
      <c r="A1394" s="1"/>
      <c r="B1394" s="1" t="s">
        <v>1320</v>
      </c>
      <c r="C1394" s="1" t="s">
        <v>257</v>
      </c>
      <c r="D1394" s="437">
        <v>4172.3100000000004</v>
      </c>
      <c r="E1394" s="437">
        <v>1602.93</v>
      </c>
      <c r="F1394" s="466">
        <f t="shared" ref="F1394:F1399" si="595">SUM(E1394/G1394)</f>
        <v>0.4101663254861822</v>
      </c>
      <c r="G1394" s="437">
        <v>3908</v>
      </c>
      <c r="H1394" s="437">
        <v>3512.9</v>
      </c>
      <c r="I1394" s="437">
        <v>3293.02</v>
      </c>
      <c r="J1394" s="437">
        <v>3198.1</v>
      </c>
    </row>
    <row r="1395" spans="1:10" ht="13.5" customHeight="1" x14ac:dyDescent="0.25">
      <c r="A1395" s="1"/>
      <c r="B1395" s="1" t="s">
        <v>1321</v>
      </c>
      <c r="C1395" s="1" t="s">
        <v>259</v>
      </c>
      <c r="D1395" s="437">
        <v>10460.8848</v>
      </c>
      <c r="E1395" s="437">
        <v>5176.8</v>
      </c>
      <c r="F1395" s="466">
        <f t="shared" si="595"/>
        <v>0.49475172099397619</v>
      </c>
      <c r="G1395" s="437">
        <v>10463.43</v>
      </c>
      <c r="H1395" s="437">
        <v>10355.9</v>
      </c>
      <c r="I1395" s="437">
        <v>10176.06</v>
      </c>
      <c r="J1395" s="437">
        <v>10140</v>
      </c>
    </row>
    <row r="1396" spans="1:10" ht="13.5" customHeight="1" x14ac:dyDescent="0.25">
      <c r="A1396" s="1"/>
      <c r="B1396" s="1" t="s">
        <v>1322</v>
      </c>
      <c r="C1396" s="1" t="s">
        <v>261</v>
      </c>
      <c r="D1396" s="437">
        <v>8191.9080000000004</v>
      </c>
      <c r="E1396" s="437">
        <v>3570.87</v>
      </c>
      <c r="F1396" s="466">
        <f t="shared" si="595"/>
        <v>0.46538302639004192</v>
      </c>
      <c r="G1396" s="437">
        <v>7672.97</v>
      </c>
      <c r="H1396" s="437">
        <v>7731.96</v>
      </c>
      <c r="I1396" s="437">
        <v>7213.44</v>
      </c>
      <c r="J1396" s="437">
        <v>6971.12</v>
      </c>
    </row>
    <row r="1397" spans="1:10" ht="13.5" customHeight="1" x14ac:dyDescent="0.25">
      <c r="A1397" s="1"/>
      <c r="B1397" s="1" t="s">
        <v>1323</v>
      </c>
      <c r="C1397" s="1" t="s">
        <v>263</v>
      </c>
      <c r="D1397" s="437">
        <v>87.26400000000001</v>
      </c>
      <c r="E1397" s="437">
        <v>38.04</v>
      </c>
      <c r="F1397" s="466">
        <f t="shared" si="595"/>
        <v>0.46537802789332028</v>
      </c>
      <c r="G1397" s="437">
        <v>81.739999999999995</v>
      </c>
      <c r="H1397" s="437">
        <v>82.37</v>
      </c>
      <c r="I1397" s="437">
        <v>79.42</v>
      </c>
      <c r="J1397" s="437">
        <v>88.01</v>
      </c>
    </row>
    <row r="1398" spans="1:10" ht="13.5" customHeight="1" x14ac:dyDescent="0.25">
      <c r="A1398" s="1"/>
      <c r="B1398" s="1" t="s">
        <v>1324</v>
      </c>
      <c r="C1398" s="1" t="s">
        <v>265</v>
      </c>
      <c r="D1398" s="437">
        <v>374.88</v>
      </c>
      <c r="E1398" s="437">
        <v>175.56</v>
      </c>
      <c r="F1398" s="466">
        <f t="shared" si="595"/>
        <v>0.5</v>
      </c>
      <c r="G1398" s="437">
        <v>351.12</v>
      </c>
      <c r="H1398" s="437">
        <v>337.32</v>
      </c>
      <c r="I1398" s="437">
        <v>323.95999999999998</v>
      </c>
      <c r="J1398" s="437">
        <v>313.24</v>
      </c>
    </row>
    <row r="1399" spans="1:10" ht="13.5" customHeight="1" x14ac:dyDescent="0.25">
      <c r="A1399" s="1"/>
      <c r="B1399" s="1" t="s">
        <v>1325</v>
      </c>
      <c r="C1399" s="1" t="s">
        <v>583</v>
      </c>
      <c r="D1399" s="437">
        <v>1200</v>
      </c>
      <c r="E1399" s="437">
        <v>599.5</v>
      </c>
      <c r="F1399" s="466">
        <f t="shared" si="595"/>
        <v>0.49958333333333332</v>
      </c>
      <c r="G1399" s="437">
        <v>1200</v>
      </c>
      <c r="H1399" s="437">
        <v>1199.9000000000001</v>
      </c>
      <c r="I1399" s="437">
        <v>1199.9000000000001</v>
      </c>
      <c r="J1399" s="437">
        <v>1199.9000000000001</v>
      </c>
    </row>
    <row r="1400" spans="1:10" ht="13.5" customHeight="1" x14ac:dyDescent="0.25">
      <c r="A1400" s="1"/>
      <c r="B1400" s="1"/>
      <c r="C1400" s="1"/>
      <c r="D1400" s="438">
        <v>24487.246800000001</v>
      </c>
      <c r="E1400" s="438">
        <f t="shared" ref="E1400" si="596">SUM(E1394:E1399)</f>
        <v>11163.7</v>
      </c>
      <c r="F1400" s="467"/>
      <c r="G1400" s="438">
        <v>23677.26</v>
      </c>
      <c r="H1400" s="438">
        <f>SUM(H1394:H1399)</f>
        <v>23220.35</v>
      </c>
      <c r="I1400" s="438">
        <f>SUM(I1394:I1399)</f>
        <v>22285.8</v>
      </c>
      <c r="J1400" s="438">
        <f t="shared" ref="J1400" si="597">SUM(J1394:J1399)</f>
        <v>21910.370000000003</v>
      </c>
    </row>
    <row r="1401" spans="1:10" ht="13.5" customHeight="1" x14ac:dyDescent="0.25">
      <c r="A1401" s="1"/>
      <c r="B1401" s="1"/>
      <c r="C1401" s="1"/>
      <c r="D1401" s="437"/>
      <c r="E1401" s="437"/>
      <c r="F1401" s="466"/>
      <c r="G1401" s="437"/>
      <c r="H1401" s="437"/>
      <c r="I1401" s="437"/>
      <c r="J1401" s="437"/>
    </row>
    <row r="1402" spans="1:10" ht="13.5" customHeight="1" x14ac:dyDescent="0.25">
      <c r="A1402" s="1"/>
      <c r="B1402" s="1" t="s">
        <v>1326</v>
      </c>
      <c r="C1402" s="1" t="s">
        <v>267</v>
      </c>
      <c r="D1402" s="437">
        <v>200</v>
      </c>
      <c r="E1402" s="439">
        <v>74.09</v>
      </c>
      <c r="F1402" s="466">
        <f t="shared" ref="F1402:F1405" si="598">SUM(E1402/G1402)</f>
        <v>0.37045</v>
      </c>
      <c r="G1402" s="440">
        <v>200</v>
      </c>
      <c r="H1402" s="439">
        <v>168.17</v>
      </c>
      <c r="I1402" s="439">
        <v>350.88</v>
      </c>
      <c r="J1402" s="437">
        <v>145.56</v>
      </c>
    </row>
    <row r="1403" spans="1:10" ht="13.5" customHeight="1" x14ac:dyDescent="0.25">
      <c r="A1403" s="1"/>
      <c r="B1403" s="1" t="s">
        <v>1327</v>
      </c>
      <c r="C1403" s="1" t="s">
        <v>269</v>
      </c>
      <c r="D1403" s="437">
        <v>200</v>
      </c>
      <c r="E1403" s="440"/>
      <c r="F1403" s="466">
        <f t="shared" si="598"/>
        <v>0</v>
      </c>
      <c r="G1403" s="440">
        <v>200</v>
      </c>
      <c r="H1403" s="439">
        <v>0</v>
      </c>
      <c r="I1403" s="439">
        <v>172</v>
      </c>
      <c r="J1403" s="437">
        <v>106.92</v>
      </c>
    </row>
    <row r="1404" spans="1:10" ht="13.5" customHeight="1" x14ac:dyDescent="0.25">
      <c r="A1404" s="1"/>
      <c r="B1404" s="1" t="s">
        <v>1328</v>
      </c>
      <c r="C1404" s="1" t="s">
        <v>488</v>
      </c>
      <c r="D1404" s="437">
        <v>2000</v>
      </c>
      <c r="E1404" s="437">
        <v>585.28</v>
      </c>
      <c r="F1404" s="466">
        <f t="shared" si="598"/>
        <v>0.29264000000000001</v>
      </c>
      <c r="G1404" s="437">
        <v>2000</v>
      </c>
      <c r="H1404" s="437">
        <v>1036.1300000000001</v>
      </c>
      <c r="I1404" s="437">
        <v>1459.87</v>
      </c>
      <c r="J1404" s="437">
        <v>1677.04</v>
      </c>
    </row>
    <row r="1405" spans="1:10" ht="13.5" customHeight="1" x14ac:dyDescent="0.25">
      <c r="A1405" s="1"/>
      <c r="B1405" s="1" t="s">
        <v>1329</v>
      </c>
      <c r="C1405" s="1" t="s">
        <v>490</v>
      </c>
      <c r="D1405" s="437">
        <v>400</v>
      </c>
      <c r="E1405" s="440"/>
      <c r="F1405" s="466">
        <f t="shared" si="598"/>
        <v>0</v>
      </c>
      <c r="G1405" s="440">
        <v>400</v>
      </c>
      <c r="H1405" s="439">
        <v>0</v>
      </c>
      <c r="I1405" s="439">
        <v>15</v>
      </c>
      <c r="J1405" s="437">
        <v>479.94</v>
      </c>
    </row>
    <row r="1406" spans="1:10" ht="13.5" customHeight="1" x14ac:dyDescent="0.25">
      <c r="A1406" s="1"/>
      <c r="B1406" s="1"/>
      <c r="C1406" s="1"/>
      <c r="D1406" s="438">
        <v>2800</v>
      </c>
      <c r="E1406" s="438">
        <f t="shared" ref="E1406" si="599">SUM(E1402:E1405)</f>
        <v>659.37</v>
      </c>
      <c r="F1406" s="467"/>
      <c r="G1406" s="438">
        <v>2800</v>
      </c>
      <c r="H1406" s="438">
        <f>SUM(H1402:H1405)</f>
        <v>1204.3000000000002</v>
      </c>
      <c r="I1406" s="438">
        <f>SUM(I1402:I1405)</f>
        <v>1997.75</v>
      </c>
      <c r="J1406" s="438">
        <f t="shared" ref="J1406" si="600">SUM(J1402:J1405)</f>
        <v>2409.46</v>
      </c>
    </row>
    <row r="1407" spans="1:10" ht="13.5" customHeight="1" x14ac:dyDescent="0.25">
      <c r="A1407" s="1"/>
      <c r="B1407" s="1"/>
      <c r="C1407" s="1"/>
      <c r="D1407" s="437"/>
      <c r="E1407" s="440"/>
      <c r="F1407" s="468"/>
      <c r="G1407" s="440"/>
      <c r="H1407" s="440"/>
      <c r="I1407" s="440"/>
      <c r="J1407" s="437"/>
    </row>
    <row r="1408" spans="1:10" ht="13.5" customHeight="1" x14ac:dyDescent="0.25">
      <c r="A1408" s="1"/>
      <c r="B1408" s="1" t="s">
        <v>1330</v>
      </c>
      <c r="C1408" s="1" t="s">
        <v>426</v>
      </c>
      <c r="D1408" s="437">
        <v>100</v>
      </c>
      <c r="E1408" s="437"/>
      <c r="F1408" s="466">
        <f t="shared" ref="F1408:F1410" si="601">SUM(E1408/G1408)</f>
        <v>0</v>
      </c>
      <c r="G1408" s="437">
        <v>100</v>
      </c>
      <c r="H1408" s="437">
        <v>0</v>
      </c>
      <c r="I1408" s="437">
        <v>100</v>
      </c>
      <c r="J1408" s="437">
        <v>48</v>
      </c>
    </row>
    <row r="1409" spans="1:10" ht="13.5" customHeight="1" x14ac:dyDescent="0.25">
      <c r="A1409" s="1"/>
      <c r="B1409" s="1" t="s">
        <v>1331</v>
      </c>
      <c r="C1409" s="1" t="s">
        <v>502</v>
      </c>
      <c r="D1409" s="437">
        <v>60</v>
      </c>
      <c r="E1409" s="437">
        <v>60</v>
      </c>
      <c r="F1409" s="466">
        <f t="shared" si="601"/>
        <v>1</v>
      </c>
      <c r="G1409" s="437">
        <v>60</v>
      </c>
      <c r="H1409" s="437">
        <v>0</v>
      </c>
      <c r="I1409" s="437">
        <v>60</v>
      </c>
      <c r="J1409" s="437">
        <v>60</v>
      </c>
    </row>
    <row r="1410" spans="1:10" ht="13.5" customHeight="1" x14ac:dyDescent="0.25">
      <c r="A1410" s="1"/>
      <c r="B1410" s="1" t="s">
        <v>1332</v>
      </c>
      <c r="C1410" s="1" t="s">
        <v>509</v>
      </c>
      <c r="D1410" s="437">
        <v>400</v>
      </c>
      <c r="E1410" s="437"/>
      <c r="F1410" s="466">
        <f t="shared" si="601"/>
        <v>0</v>
      </c>
      <c r="G1410" s="437">
        <v>400</v>
      </c>
      <c r="H1410" s="437">
        <v>24.25</v>
      </c>
      <c r="I1410" s="437">
        <v>1623.89</v>
      </c>
      <c r="J1410" s="437">
        <v>169.46</v>
      </c>
    </row>
    <row r="1411" spans="1:10" ht="13.5" customHeight="1" x14ac:dyDescent="0.25">
      <c r="A1411" s="1"/>
      <c r="B1411" s="1" t="s">
        <v>1333</v>
      </c>
      <c r="C1411" s="1" t="s">
        <v>565</v>
      </c>
      <c r="D1411" s="437">
        <v>200</v>
      </c>
      <c r="E1411" s="439">
        <v>177.5</v>
      </c>
      <c r="F1411" s="468"/>
      <c r="G1411" s="440">
        <v>0</v>
      </c>
      <c r="H1411" s="439">
        <v>0</v>
      </c>
      <c r="I1411" s="440">
        <v>0</v>
      </c>
      <c r="J1411" s="440">
        <v>0</v>
      </c>
    </row>
    <row r="1412" spans="1:10" ht="13.5" customHeight="1" x14ac:dyDescent="0.25">
      <c r="A1412" s="1"/>
      <c r="B1412" s="1"/>
      <c r="C1412" s="1"/>
      <c r="D1412" s="441">
        <v>760</v>
      </c>
      <c r="E1412" s="441">
        <f t="shared" ref="E1412" si="602">SUM(E1408:E1411)</f>
        <v>237.5</v>
      </c>
      <c r="F1412" s="469"/>
      <c r="G1412" s="441">
        <v>560</v>
      </c>
      <c r="H1412" s="441">
        <f>SUM(H1408:H1411)</f>
        <v>24.25</v>
      </c>
      <c r="I1412" s="441">
        <f>SUM(I1408:I1411)</f>
        <v>1783.89</v>
      </c>
      <c r="J1412" s="441">
        <f t="shared" ref="J1412" si="603">SUM(J1408:J1411)</f>
        <v>277.46000000000004</v>
      </c>
    </row>
    <row r="1413" spans="1:10" ht="13.5" customHeight="1" x14ac:dyDescent="0.25">
      <c r="A1413" s="1"/>
      <c r="B1413" s="1"/>
      <c r="C1413" s="1"/>
      <c r="D1413" s="440"/>
      <c r="E1413" s="440"/>
      <c r="F1413" s="468"/>
      <c r="G1413" s="440"/>
      <c r="H1413" s="440"/>
      <c r="I1413" s="440"/>
      <c r="J1413" s="440"/>
    </row>
    <row r="1414" spans="1:10" ht="13.5" customHeight="1" x14ac:dyDescent="0.25">
      <c r="A1414" s="1"/>
      <c r="B1414" s="1" t="s">
        <v>1334</v>
      </c>
      <c r="C1414" s="1" t="s">
        <v>1315</v>
      </c>
      <c r="D1414" s="437">
        <v>0</v>
      </c>
      <c r="E1414" s="437"/>
      <c r="F1414" s="466"/>
      <c r="G1414" s="437">
        <v>0</v>
      </c>
      <c r="H1414" s="437">
        <v>31212</v>
      </c>
      <c r="I1414" s="440">
        <v>0</v>
      </c>
      <c r="J1414" s="440">
        <v>0</v>
      </c>
    </row>
    <row r="1415" spans="1:10" ht="13.5" customHeight="1" x14ac:dyDescent="0.25">
      <c r="A1415" s="1"/>
      <c r="B1415" s="1"/>
      <c r="C1415" s="1"/>
      <c r="D1415" s="438">
        <v>0</v>
      </c>
      <c r="E1415" s="438">
        <f t="shared" ref="E1415" si="604">SUM(E1414)</f>
        <v>0</v>
      </c>
      <c r="F1415" s="467"/>
      <c r="G1415" s="438">
        <v>0</v>
      </c>
      <c r="H1415" s="438">
        <f>SUM(H1414)</f>
        <v>31212</v>
      </c>
      <c r="I1415" s="438">
        <f>SUM(I1414)</f>
        <v>0</v>
      </c>
      <c r="J1415" s="438">
        <f t="shared" ref="J1415" si="605">SUM(J1414)</f>
        <v>0</v>
      </c>
    </row>
    <row r="1416" spans="1:10" ht="13.5" customHeight="1" thickBot="1" x14ac:dyDescent="0.3">
      <c r="A1416" s="1"/>
      <c r="B1416" s="1"/>
      <c r="C1416" s="39" t="s">
        <v>1335</v>
      </c>
      <c r="D1416" s="451">
        <v>81387.246799999994</v>
      </c>
      <c r="E1416" s="451">
        <f t="shared" ref="E1416" si="606">SUM(E1392+E1400+E1406+E1412+E1415)</f>
        <v>35276.239999999998</v>
      </c>
      <c r="F1416" s="478"/>
      <c r="G1416" s="451">
        <v>76922.259999999995</v>
      </c>
      <c r="H1416" s="451">
        <f>SUM(H1392+H1400+H1406+H1412+H1415)</f>
        <v>105929.52</v>
      </c>
      <c r="I1416" s="451">
        <f>SUM(I1392+I1400+I1406+I1412+I1415)</f>
        <v>74496.86</v>
      </c>
      <c r="J1416" s="451">
        <f t="shared" ref="J1416" si="607">SUM(J1392+J1400+J1406+J1412+J1415)</f>
        <v>72107.520000000019</v>
      </c>
    </row>
    <row r="1417" spans="1:10" ht="13.5" customHeight="1" thickTop="1" x14ac:dyDescent="0.25">
      <c r="A1417" s="1"/>
      <c r="B1417" s="1"/>
      <c r="C1417" s="1"/>
      <c r="D1417" s="437"/>
      <c r="E1417" s="440"/>
      <c r="F1417" s="468"/>
      <c r="G1417" s="440"/>
      <c r="H1417" s="440"/>
      <c r="I1417" s="440"/>
      <c r="J1417" s="440"/>
    </row>
    <row r="1418" spans="1:10" ht="13.5" customHeight="1" x14ac:dyDescent="0.25">
      <c r="A1418" s="1"/>
      <c r="B1418" s="1"/>
      <c r="C1418" s="14" t="s">
        <v>1336</v>
      </c>
      <c r="D1418" s="437"/>
      <c r="E1418" s="440"/>
      <c r="F1418" s="468"/>
      <c r="G1418" s="440"/>
      <c r="H1418" s="440"/>
      <c r="I1418" s="440"/>
      <c r="J1418" s="440"/>
    </row>
    <row r="1419" spans="1:10" ht="13.5" customHeight="1" x14ac:dyDescent="0.25">
      <c r="A1419" s="1"/>
      <c r="B1419" s="1" t="s">
        <v>1337</v>
      </c>
      <c r="C1419" s="1" t="s">
        <v>437</v>
      </c>
      <c r="D1419" s="437">
        <v>51437</v>
      </c>
      <c r="E1419" s="437">
        <v>22797.85</v>
      </c>
      <c r="F1419" s="466">
        <f>SUM(E1419/G1419)</f>
        <v>0.4653857145773368</v>
      </c>
      <c r="G1419" s="437">
        <v>48987</v>
      </c>
      <c r="H1419" s="437">
        <v>48506.53</v>
      </c>
      <c r="I1419" s="437">
        <v>43505.1</v>
      </c>
      <c r="J1419" s="437">
        <v>42482.69</v>
      </c>
    </row>
    <row r="1420" spans="1:10" ht="13.5" customHeight="1" x14ac:dyDescent="0.25">
      <c r="A1420" s="1"/>
      <c r="B1420" s="1" t="s">
        <v>1338</v>
      </c>
      <c r="C1420" s="1" t="s">
        <v>443</v>
      </c>
      <c r="D1420" s="437">
        <v>0</v>
      </c>
      <c r="E1420" s="437"/>
      <c r="F1420" s="466"/>
      <c r="G1420" s="437">
        <v>0</v>
      </c>
      <c r="H1420" s="437">
        <v>0</v>
      </c>
      <c r="I1420" s="437">
        <v>3604.51</v>
      </c>
      <c r="J1420" s="437">
        <v>3589.47</v>
      </c>
    </row>
    <row r="1421" spans="1:10" ht="13.5" customHeight="1" x14ac:dyDescent="0.25">
      <c r="A1421" s="1"/>
      <c r="B1421" s="1"/>
      <c r="C1421" s="1"/>
      <c r="D1421" s="438">
        <v>51437</v>
      </c>
      <c r="E1421" s="438">
        <f t="shared" ref="E1421" si="608">SUM(E1419:E1420)</f>
        <v>22797.85</v>
      </c>
      <c r="F1421" s="467"/>
      <c r="G1421" s="438">
        <v>48987</v>
      </c>
      <c r="H1421" s="438">
        <f>SUM(H1419:H1420)</f>
        <v>48506.53</v>
      </c>
      <c r="I1421" s="438">
        <f>SUM(I1419:I1420)</f>
        <v>47109.61</v>
      </c>
      <c r="J1421" s="438">
        <f t="shared" ref="J1421" si="609">SUM(J1419:J1420)</f>
        <v>46072.160000000003</v>
      </c>
    </row>
    <row r="1422" spans="1:10" ht="13.5" customHeight="1" x14ac:dyDescent="0.25">
      <c r="A1422" s="1"/>
      <c r="B1422" s="1"/>
      <c r="C1422" s="1"/>
      <c r="D1422" s="437"/>
      <c r="E1422" s="437"/>
      <c r="F1422" s="466"/>
      <c r="G1422" s="437"/>
      <c r="H1422" s="437"/>
      <c r="I1422" s="437"/>
      <c r="J1422" s="437"/>
    </row>
    <row r="1423" spans="1:10" ht="13.5" customHeight="1" x14ac:dyDescent="0.25">
      <c r="A1423" s="1"/>
      <c r="B1423" s="1" t="s">
        <v>1339</v>
      </c>
      <c r="C1423" s="1" t="s">
        <v>257</v>
      </c>
      <c r="D1423" s="437">
        <v>4026.7305000000001</v>
      </c>
      <c r="E1423" s="437">
        <v>1546.52</v>
      </c>
      <c r="F1423" s="466">
        <f t="shared" ref="F1423:F1428" si="610">SUM(E1423/G1423)</f>
        <v>0.40281196360804417</v>
      </c>
      <c r="G1423" s="437">
        <v>3839.31</v>
      </c>
      <c r="H1423" s="437">
        <v>3262.32</v>
      </c>
      <c r="I1423" s="437">
        <v>3219.15</v>
      </c>
      <c r="J1423" s="437">
        <v>3045.84</v>
      </c>
    </row>
    <row r="1424" spans="1:10" ht="13.5" customHeight="1" x14ac:dyDescent="0.25">
      <c r="A1424" s="1"/>
      <c r="B1424" s="1" t="s">
        <v>1340</v>
      </c>
      <c r="C1424" s="1" t="s">
        <v>259</v>
      </c>
      <c r="D1424" s="437">
        <v>10460.8848</v>
      </c>
      <c r="E1424" s="437">
        <v>5176.8</v>
      </c>
      <c r="F1424" s="466">
        <f t="shared" si="610"/>
        <v>0.49475172099397619</v>
      </c>
      <c r="G1424" s="437">
        <v>10463.43</v>
      </c>
      <c r="H1424" s="437">
        <v>10355.9</v>
      </c>
      <c r="I1424" s="437">
        <v>10176.06</v>
      </c>
      <c r="J1424" s="437">
        <v>10140</v>
      </c>
    </row>
    <row r="1425" spans="1:10" ht="13.5" customHeight="1" x14ac:dyDescent="0.25">
      <c r="A1425" s="1"/>
      <c r="B1425" s="1" t="s">
        <v>1341</v>
      </c>
      <c r="C1425" s="1" t="s">
        <v>261</v>
      </c>
      <c r="D1425" s="437">
        <v>7906.0774000000001</v>
      </c>
      <c r="E1425" s="437">
        <v>3508.11</v>
      </c>
      <c r="F1425" s="466">
        <f t="shared" si="610"/>
        <v>0.4653844674181391</v>
      </c>
      <c r="G1425" s="437">
        <v>7538.09</v>
      </c>
      <c r="H1425" s="437">
        <v>7558.16</v>
      </c>
      <c r="I1425" s="437">
        <v>7108.97</v>
      </c>
      <c r="J1425" s="437">
        <v>6808.59</v>
      </c>
    </row>
    <row r="1426" spans="1:10" ht="13.5" customHeight="1" x14ac:dyDescent="0.25">
      <c r="A1426" s="1"/>
      <c r="B1426" s="1" t="s">
        <v>1342</v>
      </c>
      <c r="C1426" s="1" t="s">
        <v>263</v>
      </c>
      <c r="D1426" s="437">
        <v>84.219200000000001</v>
      </c>
      <c r="E1426" s="437">
        <v>37.700000000000003</v>
      </c>
      <c r="F1426" s="466">
        <f t="shared" si="610"/>
        <v>0.46949409209556264</v>
      </c>
      <c r="G1426" s="437">
        <v>80.299199999999999</v>
      </c>
      <c r="H1426" s="437">
        <v>80.52</v>
      </c>
      <c r="I1426" s="437">
        <v>78.260000000000005</v>
      </c>
      <c r="J1426" s="437">
        <v>86.21</v>
      </c>
    </row>
    <row r="1427" spans="1:10" ht="13.5" customHeight="1" x14ac:dyDescent="0.25">
      <c r="A1427" s="1"/>
      <c r="B1427" s="1" t="s">
        <v>1343</v>
      </c>
      <c r="C1427" s="1" t="s">
        <v>265</v>
      </c>
      <c r="D1427" s="437">
        <v>374.88</v>
      </c>
      <c r="E1427" s="437">
        <v>175.56</v>
      </c>
      <c r="F1427" s="466">
        <f t="shared" si="610"/>
        <v>0.5</v>
      </c>
      <c r="G1427" s="437">
        <v>351.12</v>
      </c>
      <c r="H1427" s="437">
        <v>337.32</v>
      </c>
      <c r="I1427" s="437">
        <v>323.95999999999998</v>
      </c>
      <c r="J1427" s="437">
        <v>313.24</v>
      </c>
    </row>
    <row r="1428" spans="1:10" ht="13.5" customHeight="1" x14ac:dyDescent="0.25">
      <c r="A1428" s="1"/>
      <c r="B1428" s="1" t="s">
        <v>1344</v>
      </c>
      <c r="C1428" s="1" t="s">
        <v>583</v>
      </c>
      <c r="D1428" s="437">
        <v>1200</v>
      </c>
      <c r="E1428" s="437">
        <v>599.95000000000005</v>
      </c>
      <c r="F1428" s="466">
        <f t="shared" si="610"/>
        <v>0.49995833333333339</v>
      </c>
      <c r="G1428" s="437">
        <v>1200</v>
      </c>
      <c r="H1428" s="437">
        <v>1199.9000000000001</v>
      </c>
      <c r="I1428" s="437">
        <v>1199.9000000000001</v>
      </c>
      <c r="J1428" s="437">
        <v>1199.9000000000001</v>
      </c>
    </row>
    <row r="1429" spans="1:10" ht="13.5" customHeight="1" x14ac:dyDescent="0.25">
      <c r="A1429" s="1"/>
      <c r="B1429" s="1"/>
      <c r="C1429" s="1"/>
      <c r="D1429" s="438">
        <v>24052.7919</v>
      </c>
      <c r="E1429" s="438">
        <f t="shared" ref="E1429" si="611">SUM(E1423:E1428)</f>
        <v>11044.640000000001</v>
      </c>
      <c r="F1429" s="467"/>
      <c r="G1429" s="438">
        <v>23472.25</v>
      </c>
      <c r="H1429" s="438">
        <f>SUM(H1423:H1428)</f>
        <v>22794.12</v>
      </c>
      <c r="I1429" s="438">
        <f>SUM(I1423:I1428)</f>
        <v>22106.3</v>
      </c>
      <c r="J1429" s="438">
        <f t="shared" ref="J1429" si="612">SUM(J1423:J1428)</f>
        <v>21593.780000000002</v>
      </c>
    </row>
    <row r="1430" spans="1:10" ht="13.5" customHeight="1" x14ac:dyDescent="0.25">
      <c r="A1430" s="1"/>
      <c r="B1430" s="1"/>
      <c r="C1430" s="1"/>
      <c r="D1430" s="437"/>
      <c r="E1430" s="437"/>
      <c r="F1430" s="466"/>
      <c r="G1430" s="437"/>
      <c r="H1430" s="437"/>
      <c r="I1430" s="437"/>
      <c r="J1430" s="437"/>
    </row>
    <row r="1431" spans="1:10" ht="13.5" customHeight="1" x14ac:dyDescent="0.25">
      <c r="A1431" s="1"/>
      <c r="B1431" s="1" t="s">
        <v>1345</v>
      </c>
      <c r="C1431" s="1" t="s">
        <v>267</v>
      </c>
      <c r="D1431" s="437">
        <v>200</v>
      </c>
      <c r="E1431" s="439">
        <v>134.94</v>
      </c>
      <c r="F1431" s="466">
        <f t="shared" ref="F1431:F1435" si="613">SUM(E1431/G1431)</f>
        <v>0.67469999999999997</v>
      </c>
      <c r="G1431" s="440">
        <v>200</v>
      </c>
      <c r="H1431" s="439">
        <v>0</v>
      </c>
      <c r="I1431" s="439">
        <v>63.98</v>
      </c>
      <c r="J1431" s="437">
        <v>3.79</v>
      </c>
    </row>
    <row r="1432" spans="1:10" ht="13.5" customHeight="1" x14ac:dyDescent="0.25">
      <c r="A1432" s="1"/>
      <c r="B1432" s="1" t="s">
        <v>1346</v>
      </c>
      <c r="C1432" s="1" t="s">
        <v>269</v>
      </c>
      <c r="D1432" s="437">
        <v>50</v>
      </c>
      <c r="E1432" s="440"/>
      <c r="F1432" s="466">
        <f t="shared" si="613"/>
        <v>0</v>
      </c>
      <c r="G1432" s="440">
        <v>50</v>
      </c>
      <c r="H1432" s="439">
        <v>0</v>
      </c>
      <c r="I1432" s="440">
        <v>0</v>
      </c>
      <c r="J1432" s="440">
        <v>0</v>
      </c>
    </row>
    <row r="1433" spans="1:10" ht="13.5" customHeight="1" x14ac:dyDescent="0.25">
      <c r="A1433" s="1"/>
      <c r="B1433" s="1" t="s">
        <v>1347</v>
      </c>
      <c r="C1433" s="1" t="s">
        <v>488</v>
      </c>
      <c r="D1433" s="437">
        <v>2000</v>
      </c>
      <c r="E1433" s="437">
        <v>684.36</v>
      </c>
      <c r="F1433" s="466">
        <f t="shared" si="613"/>
        <v>0.34217999999999998</v>
      </c>
      <c r="G1433" s="437">
        <v>2000</v>
      </c>
      <c r="H1433" s="437">
        <v>1003.37</v>
      </c>
      <c r="I1433" s="437">
        <v>1458.96</v>
      </c>
      <c r="J1433" s="437">
        <v>1585.36</v>
      </c>
    </row>
    <row r="1434" spans="1:10" ht="13.5" customHeight="1" x14ac:dyDescent="0.25">
      <c r="A1434" s="1"/>
      <c r="B1434" s="1" t="s">
        <v>1348</v>
      </c>
      <c r="C1434" s="1" t="s">
        <v>490</v>
      </c>
      <c r="D1434" s="437">
        <v>400</v>
      </c>
      <c r="E1434" s="439">
        <v>525</v>
      </c>
      <c r="F1434" s="466">
        <f t="shared" si="613"/>
        <v>1.3125</v>
      </c>
      <c r="G1434" s="440">
        <v>400</v>
      </c>
      <c r="H1434" s="439">
        <v>0</v>
      </c>
      <c r="I1434" s="440">
        <v>0</v>
      </c>
      <c r="J1434" s="437">
        <v>500</v>
      </c>
    </row>
    <row r="1435" spans="1:10" ht="13.5" customHeight="1" x14ac:dyDescent="0.25">
      <c r="A1435" s="1"/>
      <c r="B1435" s="1" t="s">
        <v>1349</v>
      </c>
      <c r="C1435" s="1" t="s">
        <v>275</v>
      </c>
      <c r="D1435" s="437">
        <v>200</v>
      </c>
      <c r="E1435" s="440"/>
      <c r="F1435" s="466">
        <f t="shared" si="613"/>
        <v>0</v>
      </c>
      <c r="G1435" s="440">
        <v>200</v>
      </c>
      <c r="H1435" s="439">
        <v>0</v>
      </c>
      <c r="I1435" s="439">
        <v>104.72</v>
      </c>
      <c r="J1435" s="440">
        <v>0</v>
      </c>
    </row>
    <row r="1436" spans="1:10" ht="13.5" customHeight="1" x14ac:dyDescent="0.25">
      <c r="A1436" s="1"/>
      <c r="B1436" s="1"/>
      <c r="C1436" s="1"/>
      <c r="D1436" s="438">
        <v>2850</v>
      </c>
      <c r="E1436" s="438">
        <f t="shared" ref="E1436" si="614">SUM(E1431:E1435)</f>
        <v>1344.3</v>
      </c>
      <c r="F1436" s="467"/>
      <c r="G1436" s="438">
        <v>2850</v>
      </c>
      <c r="H1436" s="438">
        <f>SUM(H1431:H1435)</f>
        <v>1003.37</v>
      </c>
      <c r="I1436" s="438">
        <f>SUM(I1431:I1435)</f>
        <v>1627.66</v>
      </c>
      <c r="J1436" s="438">
        <f t="shared" ref="J1436" si="615">SUM(J1431:J1435)</f>
        <v>2089.1499999999996</v>
      </c>
    </row>
    <row r="1437" spans="1:10" ht="13.5" customHeight="1" x14ac:dyDescent="0.25">
      <c r="A1437" s="1"/>
      <c r="B1437" s="1"/>
      <c r="C1437" s="1"/>
      <c r="D1437" s="437"/>
      <c r="E1437" s="440"/>
      <c r="F1437" s="468"/>
      <c r="G1437" s="440"/>
      <c r="H1437" s="440"/>
      <c r="I1437" s="440"/>
      <c r="J1437" s="440"/>
    </row>
    <row r="1438" spans="1:10" ht="13.5" customHeight="1" x14ac:dyDescent="0.25">
      <c r="A1438" s="1"/>
      <c r="B1438" s="1" t="s">
        <v>1350</v>
      </c>
      <c r="C1438" s="1" t="s">
        <v>283</v>
      </c>
      <c r="D1438" s="437">
        <v>100</v>
      </c>
      <c r="E1438" s="437"/>
      <c r="F1438" s="466">
        <f t="shared" ref="F1438:F1441" si="616">SUM(E1438/G1438)</f>
        <v>0</v>
      </c>
      <c r="G1438" s="437">
        <v>100</v>
      </c>
      <c r="H1438" s="437">
        <v>0</v>
      </c>
      <c r="I1438" s="437">
        <v>100</v>
      </c>
      <c r="J1438" s="437">
        <v>48</v>
      </c>
    </row>
    <row r="1439" spans="1:10" ht="13.5" customHeight="1" x14ac:dyDescent="0.25">
      <c r="A1439" s="1"/>
      <c r="B1439" s="1" t="s">
        <v>1351</v>
      </c>
      <c r="C1439" s="1" t="s">
        <v>502</v>
      </c>
      <c r="D1439" s="437">
        <v>60</v>
      </c>
      <c r="E1439" s="437"/>
      <c r="F1439" s="466">
        <f t="shared" si="616"/>
        <v>0</v>
      </c>
      <c r="G1439" s="437">
        <v>60</v>
      </c>
      <c r="H1439" s="437">
        <v>0</v>
      </c>
      <c r="I1439" s="437">
        <v>60</v>
      </c>
      <c r="J1439" s="437">
        <v>60</v>
      </c>
    </row>
    <row r="1440" spans="1:10" ht="13.5" customHeight="1" x14ac:dyDescent="0.25">
      <c r="A1440" s="1"/>
      <c r="B1440" s="1" t="s">
        <v>1352</v>
      </c>
      <c r="C1440" s="1" t="s">
        <v>1161</v>
      </c>
      <c r="D1440" s="437">
        <v>200</v>
      </c>
      <c r="E1440" s="440"/>
      <c r="F1440" s="466">
        <f t="shared" si="616"/>
        <v>0</v>
      </c>
      <c r="G1440" s="440">
        <v>200</v>
      </c>
      <c r="H1440" s="439">
        <v>0</v>
      </c>
      <c r="I1440" s="440">
        <v>0</v>
      </c>
      <c r="J1440" s="440">
        <v>0</v>
      </c>
    </row>
    <row r="1441" spans="1:10" ht="13.5" customHeight="1" x14ac:dyDescent="0.25">
      <c r="A1441" s="1"/>
      <c r="B1441" s="1" t="s">
        <v>1353</v>
      </c>
      <c r="C1441" s="1" t="s">
        <v>509</v>
      </c>
      <c r="D1441" s="437">
        <v>800</v>
      </c>
      <c r="E1441" s="437">
        <v>102.85</v>
      </c>
      <c r="F1441" s="466">
        <f t="shared" si="616"/>
        <v>0.17141666666666666</v>
      </c>
      <c r="G1441" s="437">
        <v>600</v>
      </c>
      <c r="H1441" s="437">
        <v>325.19</v>
      </c>
      <c r="I1441" s="437">
        <v>174.87</v>
      </c>
      <c r="J1441" s="437">
        <v>325.75</v>
      </c>
    </row>
    <row r="1442" spans="1:10" ht="13.5" customHeight="1" x14ac:dyDescent="0.25">
      <c r="A1442" s="1"/>
      <c r="B1442" s="1" t="s">
        <v>1354</v>
      </c>
      <c r="C1442" s="1" t="s">
        <v>287</v>
      </c>
      <c r="D1442" s="437">
        <v>200</v>
      </c>
      <c r="E1442" s="439">
        <v>177.5</v>
      </c>
      <c r="F1442" s="466"/>
      <c r="G1442" s="440">
        <v>0</v>
      </c>
      <c r="H1442" s="439">
        <v>0</v>
      </c>
      <c r="I1442" s="440">
        <v>0</v>
      </c>
      <c r="J1442" s="440">
        <v>0</v>
      </c>
    </row>
    <row r="1443" spans="1:10" ht="13.5" customHeight="1" x14ac:dyDescent="0.25">
      <c r="A1443" s="1"/>
      <c r="B1443" s="1"/>
      <c r="C1443" s="1"/>
      <c r="D1443" s="441">
        <v>1360</v>
      </c>
      <c r="E1443" s="441">
        <f t="shared" ref="E1443" si="617">SUM(E1438:E1442)</f>
        <v>280.35000000000002</v>
      </c>
      <c r="F1443" s="469"/>
      <c r="G1443" s="441">
        <v>960</v>
      </c>
      <c r="H1443" s="441">
        <f>SUM(H1438:H1442)</f>
        <v>325.19</v>
      </c>
      <c r="I1443" s="441">
        <f>SUM(I1438:I1442)</f>
        <v>334.87</v>
      </c>
      <c r="J1443" s="441">
        <f t="shared" ref="J1443" si="618">SUM(J1438:J1442)</f>
        <v>433.75</v>
      </c>
    </row>
    <row r="1444" spans="1:10" ht="13.5" customHeight="1" thickBot="1" x14ac:dyDescent="0.3">
      <c r="A1444" s="1"/>
      <c r="B1444" s="1"/>
      <c r="C1444" s="39" t="s">
        <v>1355</v>
      </c>
      <c r="D1444" s="453">
        <v>79699.791899999997</v>
      </c>
      <c r="E1444" s="453">
        <f t="shared" ref="E1444" si="619">SUM(E1421+E1429+E1436+E1443)</f>
        <v>35467.14</v>
      </c>
      <c r="F1444" s="479"/>
      <c r="G1444" s="455">
        <v>76269.25</v>
      </c>
      <c r="H1444" s="453">
        <f>SUM(H1421+H1429+H1436+H1443)</f>
        <v>72629.209999999992</v>
      </c>
      <c r="I1444" s="453">
        <f>SUM(I1421+I1429+I1436+I1443)</f>
        <v>71178.44</v>
      </c>
      <c r="J1444" s="453">
        <f t="shared" ref="J1444" si="620">SUM(J1421+J1429+J1436+J1443)</f>
        <v>70188.84</v>
      </c>
    </row>
    <row r="1445" spans="1:10" ht="13.5" customHeight="1" thickTop="1" x14ac:dyDescent="0.25">
      <c r="A1445" s="1"/>
      <c r="B1445" s="1"/>
      <c r="C1445" s="1"/>
      <c r="D1445" s="440"/>
      <c r="E1445" s="440"/>
      <c r="F1445" s="468"/>
      <c r="G1445" s="440"/>
      <c r="H1445" s="440"/>
      <c r="I1445" s="440"/>
      <c r="J1445" s="440"/>
    </row>
    <row r="1446" spans="1:10" ht="13.5" customHeight="1" x14ac:dyDescent="0.25">
      <c r="A1446" s="1"/>
      <c r="B1446" s="1"/>
      <c r="C1446" s="14" t="s">
        <v>1356</v>
      </c>
      <c r="D1446" s="440"/>
      <c r="E1446" s="440"/>
      <c r="F1446" s="468"/>
      <c r="G1446" s="440"/>
      <c r="H1446" s="440"/>
      <c r="I1446" s="440"/>
      <c r="J1446" s="440"/>
    </row>
    <row r="1447" spans="1:10" ht="13.5" customHeight="1" x14ac:dyDescent="0.25">
      <c r="A1447" s="1"/>
      <c r="B1447" s="1" t="s">
        <v>1357</v>
      </c>
      <c r="C1447" s="1" t="s">
        <v>437</v>
      </c>
      <c r="D1447" s="437">
        <v>46971</v>
      </c>
      <c r="E1447" s="437">
        <v>20818.53</v>
      </c>
      <c r="F1447" s="466">
        <f>SUM(E1447/G1447)</f>
        <v>0.4653849421022041</v>
      </c>
      <c r="G1447" s="437">
        <v>44734</v>
      </c>
      <c r="H1447" s="437">
        <v>44295.88</v>
      </c>
      <c r="I1447" s="437">
        <v>43392.67</v>
      </c>
      <c r="J1447" s="437">
        <v>42482.69</v>
      </c>
    </row>
    <row r="1448" spans="1:10" ht="13.5" customHeight="1" x14ac:dyDescent="0.25">
      <c r="A1448" s="1"/>
      <c r="B1448" s="1" t="s">
        <v>1358</v>
      </c>
      <c r="C1448" s="1" t="s">
        <v>443</v>
      </c>
      <c r="D1448" s="437">
        <v>0</v>
      </c>
      <c r="E1448" s="440"/>
      <c r="F1448" s="468"/>
      <c r="G1448" s="440">
        <v>0</v>
      </c>
      <c r="H1448" s="439">
        <v>0</v>
      </c>
      <c r="I1448" s="440">
        <v>0</v>
      </c>
      <c r="J1448" s="440">
        <v>0</v>
      </c>
    </row>
    <row r="1449" spans="1:10" ht="13.5" customHeight="1" x14ac:dyDescent="0.25">
      <c r="A1449" s="1"/>
      <c r="B1449" s="1"/>
      <c r="C1449" s="1"/>
      <c r="D1449" s="441">
        <v>46971</v>
      </c>
      <c r="E1449" s="441">
        <f t="shared" ref="E1449" si="621">SUM(E1447:E1448)</f>
        <v>20818.53</v>
      </c>
      <c r="F1449" s="469"/>
      <c r="G1449" s="441">
        <v>44734</v>
      </c>
      <c r="H1449" s="441">
        <f>SUM(H1447:H1448)</f>
        <v>44295.88</v>
      </c>
      <c r="I1449" s="441">
        <f>SUM(I1447:I1448)</f>
        <v>43392.67</v>
      </c>
      <c r="J1449" s="441">
        <f t="shared" ref="J1449" si="622">SUM(J1447:J1448)</f>
        <v>42482.69</v>
      </c>
    </row>
    <row r="1450" spans="1:10" ht="13.5" customHeight="1" x14ac:dyDescent="0.25">
      <c r="A1450" s="1"/>
      <c r="B1450" s="1"/>
      <c r="C1450" s="1"/>
      <c r="D1450" s="440"/>
      <c r="E1450" s="440"/>
      <c r="F1450" s="468"/>
      <c r="G1450" s="440"/>
      <c r="H1450" s="440"/>
      <c r="I1450" s="440"/>
      <c r="J1450" s="440"/>
    </row>
    <row r="1451" spans="1:10" ht="13.5" customHeight="1" x14ac:dyDescent="0.25">
      <c r="A1451" s="1"/>
      <c r="B1451" s="1" t="s">
        <v>1359</v>
      </c>
      <c r="C1451" s="1" t="s">
        <v>257</v>
      </c>
      <c r="D1451" s="437">
        <v>3685.0814999999998</v>
      </c>
      <c r="E1451" s="437">
        <v>1387.93</v>
      </c>
      <c r="F1451" s="466">
        <f t="shared" ref="F1451:F1456" si="623">SUM(E1451/G1451)</f>
        <v>0.39497716245251074</v>
      </c>
      <c r="G1451" s="437">
        <v>3513.95</v>
      </c>
      <c r="H1451" s="437">
        <v>2984.14</v>
      </c>
      <c r="I1451" s="437">
        <v>2934.75</v>
      </c>
      <c r="J1451" s="437">
        <v>2871.46</v>
      </c>
    </row>
    <row r="1452" spans="1:10" ht="13.5" customHeight="1" x14ac:dyDescent="0.25">
      <c r="A1452" s="1"/>
      <c r="B1452" s="1" t="s">
        <v>1360</v>
      </c>
      <c r="C1452" s="1" t="s">
        <v>259</v>
      </c>
      <c r="D1452" s="437">
        <v>10460.8848</v>
      </c>
      <c r="E1452" s="437">
        <v>5176.8</v>
      </c>
      <c r="F1452" s="466">
        <f t="shared" si="623"/>
        <v>0.49475172099397619</v>
      </c>
      <c r="G1452" s="437">
        <v>10463.43</v>
      </c>
      <c r="H1452" s="437">
        <v>10355.9</v>
      </c>
      <c r="I1452" s="437">
        <v>10176.06</v>
      </c>
      <c r="J1452" s="437">
        <v>10140</v>
      </c>
    </row>
    <row r="1453" spans="1:10" ht="13.5" customHeight="1" x14ac:dyDescent="0.25">
      <c r="A1453" s="1"/>
      <c r="B1453" s="1" t="s">
        <v>1361</v>
      </c>
      <c r="C1453" s="1" t="s">
        <v>261</v>
      </c>
      <c r="D1453" s="437">
        <v>7235.2842000000001</v>
      </c>
      <c r="E1453" s="437">
        <v>3210.82</v>
      </c>
      <c r="F1453" s="466">
        <f t="shared" si="623"/>
        <v>0.46538411923545758</v>
      </c>
      <c r="G1453" s="437">
        <v>6899.29</v>
      </c>
      <c r="H1453" s="437">
        <v>6834.85</v>
      </c>
      <c r="I1453" s="437">
        <v>6481.3</v>
      </c>
      <c r="J1453" s="437">
        <v>6243.12</v>
      </c>
    </row>
    <row r="1454" spans="1:10" ht="13.5" customHeight="1" x14ac:dyDescent="0.25">
      <c r="A1454" s="1"/>
      <c r="B1454" s="1" t="s">
        <v>1362</v>
      </c>
      <c r="C1454" s="1" t="s">
        <v>263</v>
      </c>
      <c r="D1454" s="437">
        <v>77.073599999999999</v>
      </c>
      <c r="E1454" s="437">
        <v>34.200000000000003</v>
      </c>
      <c r="F1454" s="466">
        <f t="shared" si="623"/>
        <v>0.46536943801877811</v>
      </c>
      <c r="G1454" s="437">
        <v>73.489999999999995</v>
      </c>
      <c r="H1454" s="437">
        <v>72.81</v>
      </c>
      <c r="I1454" s="437">
        <v>71.36</v>
      </c>
      <c r="J1454" s="437">
        <v>78.849999999999994</v>
      </c>
    </row>
    <row r="1455" spans="1:10" ht="13.5" customHeight="1" x14ac:dyDescent="0.25">
      <c r="A1455" s="1"/>
      <c r="B1455" s="1" t="s">
        <v>1363</v>
      </c>
      <c r="C1455" s="1" t="s">
        <v>265</v>
      </c>
      <c r="D1455" s="437">
        <v>374.88</v>
      </c>
      <c r="E1455" s="437">
        <v>175.56</v>
      </c>
      <c r="F1455" s="466">
        <f t="shared" si="623"/>
        <v>0.5</v>
      </c>
      <c r="G1455" s="437">
        <v>351.12</v>
      </c>
      <c r="H1455" s="437">
        <v>337.32</v>
      </c>
      <c r="I1455" s="437">
        <v>323.95999999999998</v>
      </c>
      <c r="J1455" s="437">
        <v>313.24</v>
      </c>
    </row>
    <row r="1456" spans="1:10" ht="13.5" customHeight="1" x14ac:dyDescent="0.25">
      <c r="A1456" s="1"/>
      <c r="B1456" s="1" t="s">
        <v>1364</v>
      </c>
      <c r="C1456" s="1" t="s">
        <v>583</v>
      </c>
      <c r="D1456" s="437">
        <v>1200</v>
      </c>
      <c r="E1456" s="437">
        <v>599.95000000000005</v>
      </c>
      <c r="F1456" s="466">
        <f t="shared" si="623"/>
        <v>0.49995833333333339</v>
      </c>
      <c r="G1456" s="437">
        <v>1200</v>
      </c>
      <c r="H1456" s="437">
        <v>1199.9000000000001</v>
      </c>
      <c r="I1456" s="437">
        <v>1199.9000000000001</v>
      </c>
      <c r="J1456" s="437">
        <v>1199.9000000000001</v>
      </c>
    </row>
    <row r="1457" spans="1:10" ht="13.5" customHeight="1" x14ac:dyDescent="0.25">
      <c r="A1457" s="1"/>
      <c r="B1457" s="1"/>
      <c r="C1457" s="1"/>
      <c r="D1457" s="438">
        <v>23033.204100000003</v>
      </c>
      <c r="E1457" s="438">
        <f t="shared" ref="E1457" si="624">SUM(E1451:E1456)</f>
        <v>10585.260000000002</v>
      </c>
      <c r="F1457" s="467"/>
      <c r="G1457" s="438">
        <v>22501.29</v>
      </c>
      <c r="H1457" s="438">
        <f>SUM(H1451:H1456)</f>
        <v>21784.920000000002</v>
      </c>
      <c r="I1457" s="438">
        <f>SUM(I1451:I1456)</f>
        <v>21187.33</v>
      </c>
      <c r="J1457" s="438">
        <f t="shared" ref="J1457" si="625">SUM(J1451:J1456)</f>
        <v>20846.57</v>
      </c>
    </row>
    <row r="1458" spans="1:10" ht="13.5" customHeight="1" x14ac:dyDescent="0.25">
      <c r="A1458" s="1"/>
      <c r="B1458" s="1"/>
      <c r="C1458" s="1"/>
      <c r="D1458" s="437"/>
      <c r="E1458" s="437"/>
      <c r="F1458" s="466"/>
      <c r="G1458" s="437"/>
      <c r="H1458" s="437"/>
      <c r="I1458" s="437"/>
      <c r="J1458" s="437"/>
    </row>
    <row r="1459" spans="1:10" ht="13.5" customHeight="1" x14ac:dyDescent="0.25">
      <c r="A1459" s="1"/>
      <c r="B1459" s="1" t="s">
        <v>1365</v>
      </c>
      <c r="C1459" s="1" t="s">
        <v>267</v>
      </c>
      <c r="D1459" s="437">
        <v>50</v>
      </c>
      <c r="E1459" s="439">
        <v>25.76</v>
      </c>
      <c r="F1459" s="468"/>
      <c r="G1459" s="440">
        <v>50</v>
      </c>
      <c r="H1459" s="439">
        <v>0</v>
      </c>
      <c r="I1459" s="440">
        <v>0</v>
      </c>
      <c r="J1459" s="440">
        <v>0</v>
      </c>
    </row>
    <row r="1460" spans="1:10" ht="13.5" customHeight="1" x14ac:dyDescent="0.25">
      <c r="A1460" s="1"/>
      <c r="B1460" s="1" t="s">
        <v>1366</v>
      </c>
      <c r="C1460" s="1" t="s">
        <v>269</v>
      </c>
      <c r="D1460" s="437">
        <v>100</v>
      </c>
      <c r="E1460" s="440"/>
      <c r="F1460" s="468"/>
      <c r="G1460" s="440">
        <v>100</v>
      </c>
      <c r="H1460" s="439">
        <v>0</v>
      </c>
      <c r="I1460" s="440">
        <v>0</v>
      </c>
      <c r="J1460" s="440">
        <v>0</v>
      </c>
    </row>
    <row r="1461" spans="1:10" ht="13.5" customHeight="1" x14ac:dyDescent="0.25">
      <c r="A1461" s="1"/>
      <c r="B1461" s="1" t="s">
        <v>1367</v>
      </c>
      <c r="C1461" s="1" t="s">
        <v>488</v>
      </c>
      <c r="D1461" s="437">
        <v>2000</v>
      </c>
      <c r="E1461" s="437">
        <v>393.8</v>
      </c>
      <c r="F1461" s="466"/>
      <c r="G1461" s="437">
        <v>2000</v>
      </c>
      <c r="H1461" s="437">
        <v>1010.94</v>
      </c>
      <c r="I1461" s="437">
        <v>1350.65</v>
      </c>
      <c r="J1461" s="437">
        <v>1410.02</v>
      </c>
    </row>
    <row r="1462" spans="1:10" ht="13.5" customHeight="1" x14ac:dyDescent="0.25">
      <c r="A1462" s="1"/>
      <c r="B1462" s="1" t="s">
        <v>1368</v>
      </c>
      <c r="C1462" s="1" t="s">
        <v>490</v>
      </c>
      <c r="D1462" s="437">
        <v>400</v>
      </c>
      <c r="E1462" s="440"/>
      <c r="F1462" s="468"/>
      <c r="G1462" s="440">
        <v>400</v>
      </c>
      <c r="H1462" s="439">
        <v>0</v>
      </c>
      <c r="I1462" s="439">
        <v>285.01</v>
      </c>
      <c r="J1462" s="437">
        <v>66</v>
      </c>
    </row>
    <row r="1463" spans="1:10" ht="13.5" customHeight="1" x14ac:dyDescent="0.25">
      <c r="A1463" s="1"/>
      <c r="B1463" s="1" t="s">
        <v>1369</v>
      </c>
      <c r="C1463" s="1" t="s">
        <v>741</v>
      </c>
      <c r="D1463" s="437">
        <v>0</v>
      </c>
      <c r="E1463" s="440"/>
      <c r="F1463" s="468"/>
      <c r="G1463" s="440">
        <v>0</v>
      </c>
      <c r="H1463" s="439">
        <v>58.89</v>
      </c>
      <c r="I1463" s="440">
        <v>0</v>
      </c>
      <c r="J1463" s="440">
        <v>0</v>
      </c>
    </row>
    <row r="1464" spans="1:10" ht="13.5" customHeight="1" x14ac:dyDescent="0.25">
      <c r="A1464" s="1"/>
      <c r="B1464" s="1"/>
      <c r="C1464" s="1"/>
      <c r="D1464" s="441">
        <v>2550</v>
      </c>
      <c r="E1464" s="441">
        <f t="shared" ref="E1464" si="626">SUM(E1459:E1463)</f>
        <v>419.56</v>
      </c>
      <c r="F1464" s="469"/>
      <c r="G1464" s="441">
        <v>2550</v>
      </c>
      <c r="H1464" s="441">
        <f>SUM(H1459:H1463)</f>
        <v>1069.8300000000002</v>
      </c>
      <c r="I1464" s="441">
        <f>SUM(I1459:I1463)</f>
        <v>1635.66</v>
      </c>
      <c r="J1464" s="441">
        <f t="shared" ref="J1464" si="627">SUM(J1459:J1463)</f>
        <v>1476.02</v>
      </c>
    </row>
    <row r="1465" spans="1:10" ht="13.5" customHeight="1" x14ac:dyDescent="0.25">
      <c r="A1465" s="1"/>
      <c r="B1465" s="1"/>
      <c r="C1465" s="1"/>
      <c r="D1465" s="440"/>
      <c r="E1465" s="440"/>
      <c r="F1465" s="468"/>
      <c r="G1465" s="440"/>
      <c r="H1465" s="440"/>
      <c r="I1465" s="440"/>
      <c r="J1465" s="440"/>
    </row>
    <row r="1466" spans="1:10" ht="13.5" customHeight="1" x14ac:dyDescent="0.25">
      <c r="A1466" s="1"/>
      <c r="B1466" s="1" t="s">
        <v>1370</v>
      </c>
      <c r="C1466" s="1" t="s">
        <v>283</v>
      </c>
      <c r="D1466" s="437">
        <v>100</v>
      </c>
      <c r="E1466" s="437"/>
      <c r="F1466" s="466"/>
      <c r="G1466" s="437">
        <v>100</v>
      </c>
      <c r="H1466" s="437">
        <v>100</v>
      </c>
      <c r="I1466" s="437">
        <v>60</v>
      </c>
      <c r="J1466" s="437">
        <v>51</v>
      </c>
    </row>
    <row r="1467" spans="1:10" ht="13.5" customHeight="1" x14ac:dyDescent="0.25">
      <c r="A1467" s="1"/>
      <c r="B1467" s="1" t="s">
        <v>1371</v>
      </c>
      <c r="C1467" s="1" t="s">
        <v>509</v>
      </c>
      <c r="D1467" s="437">
        <v>400</v>
      </c>
      <c r="E1467" s="437"/>
      <c r="F1467" s="466"/>
      <c r="G1467" s="437">
        <v>400</v>
      </c>
      <c r="H1467" s="437">
        <v>271.56</v>
      </c>
      <c r="I1467" s="437">
        <v>274.14999999999998</v>
      </c>
      <c r="J1467" s="437">
        <v>47.83</v>
      </c>
    </row>
    <row r="1468" spans="1:10" ht="13.5" customHeight="1" x14ac:dyDescent="0.25">
      <c r="A1468" s="1"/>
      <c r="B1468" s="1" t="s">
        <v>1372</v>
      </c>
      <c r="C1468" s="1" t="s">
        <v>565</v>
      </c>
      <c r="D1468" s="437">
        <v>200</v>
      </c>
      <c r="E1468" s="439">
        <v>177.5</v>
      </c>
      <c r="F1468" s="468"/>
      <c r="G1468" s="440">
        <v>0</v>
      </c>
      <c r="H1468" s="440">
        <v>0</v>
      </c>
      <c r="I1468" s="440">
        <v>0</v>
      </c>
      <c r="J1468" s="440">
        <v>0</v>
      </c>
    </row>
    <row r="1469" spans="1:10" ht="13.5" customHeight="1" x14ac:dyDescent="0.25">
      <c r="A1469" s="1"/>
      <c r="B1469" s="22" t="s">
        <v>1373</v>
      </c>
      <c r="C1469" s="22" t="s">
        <v>951</v>
      </c>
      <c r="D1469" s="437">
        <v>0</v>
      </c>
      <c r="E1469" s="440"/>
      <c r="F1469" s="468"/>
      <c r="G1469" s="440">
        <v>0</v>
      </c>
      <c r="H1469" s="439">
        <v>31212</v>
      </c>
      <c r="I1469" s="440">
        <v>0</v>
      </c>
      <c r="J1469" s="440">
        <v>0</v>
      </c>
    </row>
    <row r="1470" spans="1:10" ht="13.5" customHeight="1" x14ac:dyDescent="0.25">
      <c r="A1470" s="1"/>
      <c r="B1470" s="1"/>
      <c r="C1470" s="1"/>
      <c r="D1470" s="441">
        <v>700</v>
      </c>
      <c r="E1470" s="441">
        <f t="shared" ref="E1470" si="628">SUM(E1466:E1469)</f>
        <v>177.5</v>
      </c>
      <c r="F1470" s="469"/>
      <c r="G1470" s="441">
        <v>500</v>
      </c>
      <c r="H1470" s="441">
        <f>SUM(H1466:H1469)</f>
        <v>31583.56</v>
      </c>
      <c r="I1470" s="441">
        <f>SUM(I1466:I1469)</f>
        <v>334.15</v>
      </c>
      <c r="J1470" s="441">
        <f t="shared" ref="J1470" si="629">SUM(J1466:J1469)</f>
        <v>98.83</v>
      </c>
    </row>
    <row r="1471" spans="1:10" ht="13.5" customHeight="1" thickBot="1" x14ac:dyDescent="0.3">
      <c r="A1471" s="1"/>
      <c r="B1471" s="1"/>
      <c r="C1471" s="39" t="s">
        <v>1374</v>
      </c>
      <c r="D1471" s="458">
        <v>73254.204100000003</v>
      </c>
      <c r="E1471" s="458">
        <f t="shared" ref="E1471" si="630">SUM(E1449+E1457+E1464+E1470)</f>
        <v>32000.850000000002</v>
      </c>
      <c r="F1471" s="483"/>
      <c r="G1471" s="459">
        <v>70285.289999999994</v>
      </c>
      <c r="H1471" s="458">
        <f>SUM(H1449+H1457+H1464+H1470)</f>
        <v>98734.19</v>
      </c>
      <c r="I1471" s="458">
        <f>SUM(I1449+I1457+I1464+I1470)</f>
        <v>66549.81</v>
      </c>
      <c r="J1471" s="458">
        <f t="shared" ref="J1471" si="631">SUM(J1449+J1457+J1464+J1470)</f>
        <v>64904.11</v>
      </c>
    </row>
    <row r="1472" spans="1:10" ht="13.5" customHeight="1" x14ac:dyDescent="0.25">
      <c r="A1472" s="1"/>
      <c r="B1472" s="1"/>
      <c r="C1472" s="1"/>
      <c r="D1472" s="440"/>
      <c r="E1472" s="440"/>
      <c r="F1472" s="468"/>
      <c r="G1472" s="440"/>
      <c r="H1472" s="440"/>
      <c r="I1472" s="440"/>
      <c r="J1472" s="440"/>
    </row>
    <row r="1473" spans="1:10" ht="13.5" customHeight="1" x14ac:dyDescent="0.25">
      <c r="A1473" s="1"/>
      <c r="B1473" s="1"/>
      <c r="C1473" s="14" t="s">
        <v>1375</v>
      </c>
      <c r="D1473" s="440"/>
      <c r="E1473" s="440"/>
      <c r="F1473" s="468"/>
      <c r="G1473" s="440"/>
      <c r="H1473" s="440"/>
      <c r="I1473" s="440"/>
      <c r="J1473" s="440"/>
    </row>
    <row r="1474" spans="1:10" ht="13.5" customHeight="1" x14ac:dyDescent="0.25">
      <c r="A1474" s="1"/>
      <c r="B1474" s="1" t="s">
        <v>1376</v>
      </c>
      <c r="C1474" s="1" t="s">
        <v>437</v>
      </c>
      <c r="D1474" s="437">
        <v>51437</v>
      </c>
      <c r="E1474" s="437">
        <v>22945.07</v>
      </c>
      <c r="F1474" s="466"/>
      <c r="G1474" s="437">
        <v>48987</v>
      </c>
      <c r="H1474" s="437">
        <v>48505.1</v>
      </c>
      <c r="I1474" s="437">
        <v>43505.1</v>
      </c>
      <c r="J1474" s="437">
        <v>42482.69</v>
      </c>
    </row>
    <row r="1475" spans="1:10" ht="13.5" customHeight="1" x14ac:dyDescent="0.25">
      <c r="A1475" s="1"/>
      <c r="B1475" s="1" t="s">
        <v>1377</v>
      </c>
      <c r="C1475" s="1" t="s">
        <v>443</v>
      </c>
      <c r="D1475" s="437">
        <v>0</v>
      </c>
      <c r="E1475" s="437"/>
      <c r="F1475" s="466"/>
      <c r="G1475" s="437">
        <v>0</v>
      </c>
      <c r="H1475" s="437">
        <v>0</v>
      </c>
      <c r="I1475" s="437">
        <v>3604.51</v>
      </c>
      <c r="J1475" s="437">
        <v>3457.39</v>
      </c>
    </row>
    <row r="1476" spans="1:10" ht="13.5" customHeight="1" x14ac:dyDescent="0.25">
      <c r="A1476" s="1"/>
      <c r="B1476" s="1"/>
      <c r="C1476" s="1"/>
      <c r="D1476" s="438">
        <v>51437</v>
      </c>
      <c r="E1476" s="438">
        <f t="shared" ref="E1476" si="632">SUM(E1474:E1475)</f>
        <v>22945.07</v>
      </c>
      <c r="F1476" s="467"/>
      <c r="G1476" s="438">
        <v>48987</v>
      </c>
      <c r="H1476" s="438">
        <f>SUM(H1474:H1475)</f>
        <v>48505.1</v>
      </c>
      <c r="I1476" s="438">
        <f>SUM(I1474:I1475)</f>
        <v>47109.61</v>
      </c>
      <c r="J1476" s="438">
        <f t="shared" ref="J1476" si="633">SUM(J1474:J1475)</f>
        <v>45940.08</v>
      </c>
    </row>
    <row r="1477" spans="1:10" ht="13.5" customHeight="1" x14ac:dyDescent="0.25">
      <c r="A1477" s="1"/>
      <c r="B1477" s="1"/>
      <c r="C1477" s="1"/>
      <c r="D1477" s="437"/>
      <c r="E1477" s="437"/>
      <c r="F1477" s="466"/>
      <c r="G1477" s="437"/>
      <c r="H1477" s="437"/>
      <c r="I1477" s="437"/>
      <c r="J1477" s="437"/>
    </row>
    <row r="1478" spans="1:10" ht="13.5" customHeight="1" x14ac:dyDescent="0.25">
      <c r="A1478" s="1"/>
      <c r="B1478" s="1" t="s">
        <v>1378</v>
      </c>
      <c r="C1478" s="1" t="s">
        <v>257</v>
      </c>
      <c r="D1478" s="437">
        <v>4026.7305000000001</v>
      </c>
      <c r="E1478" s="437">
        <v>1533.05</v>
      </c>
      <c r="F1478" s="466"/>
      <c r="G1478" s="437">
        <v>3839.31</v>
      </c>
      <c r="H1478" s="437">
        <v>3278.23</v>
      </c>
      <c r="I1478" s="437">
        <v>3198.51</v>
      </c>
      <c r="J1478" s="437">
        <v>3112.72</v>
      </c>
    </row>
    <row r="1479" spans="1:10" ht="13.5" customHeight="1" x14ac:dyDescent="0.25">
      <c r="A1479" s="1"/>
      <c r="B1479" s="1" t="s">
        <v>1379</v>
      </c>
      <c r="C1479" s="1" t="s">
        <v>259</v>
      </c>
      <c r="D1479" s="437">
        <v>10460.8848</v>
      </c>
      <c r="E1479" s="437">
        <v>5176.8</v>
      </c>
      <c r="F1479" s="466"/>
      <c r="G1479" s="437">
        <v>10463.43</v>
      </c>
      <c r="H1479" s="437">
        <v>10355.9</v>
      </c>
      <c r="I1479" s="437">
        <v>10176.06</v>
      </c>
      <c r="J1479" s="437">
        <v>10140</v>
      </c>
    </row>
    <row r="1480" spans="1:10" ht="13.5" customHeight="1" x14ac:dyDescent="0.25">
      <c r="A1480" s="1"/>
      <c r="B1480" s="1" t="s">
        <v>1380</v>
      </c>
      <c r="C1480" s="1" t="s">
        <v>261</v>
      </c>
      <c r="D1480" s="437">
        <v>7906.0774000000001</v>
      </c>
      <c r="E1480" s="437">
        <v>3508.11</v>
      </c>
      <c r="F1480" s="466"/>
      <c r="G1480" s="437">
        <v>7538.09</v>
      </c>
      <c r="H1480" s="437">
        <v>7467.29</v>
      </c>
      <c r="I1480" s="437">
        <v>7021.56</v>
      </c>
      <c r="J1480" s="437">
        <v>6743.69</v>
      </c>
    </row>
    <row r="1481" spans="1:10" ht="13.5" customHeight="1" x14ac:dyDescent="0.25">
      <c r="A1481" s="1"/>
      <c r="B1481" s="1" t="s">
        <v>1381</v>
      </c>
      <c r="C1481" s="1" t="s">
        <v>263</v>
      </c>
      <c r="D1481" s="437">
        <v>84.219200000000001</v>
      </c>
      <c r="E1481" s="437">
        <v>37.369999999999997</v>
      </c>
      <c r="F1481" s="466"/>
      <c r="G1481" s="437">
        <v>80.3</v>
      </c>
      <c r="H1481" s="437">
        <v>79.55</v>
      </c>
      <c r="I1481" s="437">
        <v>77.3</v>
      </c>
      <c r="J1481" s="437">
        <v>85.1</v>
      </c>
    </row>
    <row r="1482" spans="1:10" ht="13.5" customHeight="1" x14ac:dyDescent="0.25">
      <c r="A1482" s="1"/>
      <c r="B1482" s="1" t="s">
        <v>1382</v>
      </c>
      <c r="C1482" s="1" t="s">
        <v>265</v>
      </c>
      <c r="D1482" s="437">
        <v>374.88</v>
      </c>
      <c r="E1482" s="437">
        <v>175.56</v>
      </c>
      <c r="F1482" s="466"/>
      <c r="G1482" s="437">
        <v>351.12</v>
      </c>
      <c r="H1482" s="437">
        <v>337.32</v>
      </c>
      <c r="I1482" s="437">
        <v>323.95999999999998</v>
      </c>
      <c r="J1482" s="437">
        <v>313.24</v>
      </c>
    </row>
    <row r="1483" spans="1:10" ht="13.5" customHeight="1" x14ac:dyDescent="0.25">
      <c r="A1483" s="1"/>
      <c r="B1483" s="1" t="s">
        <v>1383</v>
      </c>
      <c r="C1483" s="1" t="s">
        <v>583</v>
      </c>
      <c r="D1483" s="437">
        <v>1200</v>
      </c>
      <c r="E1483" s="437">
        <v>599.95000000000005</v>
      </c>
      <c r="F1483" s="466"/>
      <c r="G1483" s="437">
        <v>1200</v>
      </c>
      <c r="H1483" s="437">
        <v>1199.9000000000001</v>
      </c>
      <c r="I1483" s="437">
        <v>1199.9000000000001</v>
      </c>
      <c r="J1483" s="437">
        <v>1199.9000000000001</v>
      </c>
    </row>
    <row r="1484" spans="1:10" ht="13.5" customHeight="1" x14ac:dyDescent="0.25">
      <c r="A1484" s="1"/>
      <c r="B1484" s="1"/>
      <c r="C1484" s="1"/>
      <c r="D1484" s="438">
        <v>24052.7919</v>
      </c>
      <c r="E1484" s="438">
        <f t="shared" ref="E1484" si="634">SUM(E1478:E1483)</f>
        <v>11030.840000000002</v>
      </c>
      <c r="F1484" s="467"/>
      <c r="G1484" s="438">
        <v>23472.25</v>
      </c>
      <c r="H1484" s="438">
        <f>SUM(H1478:H1483)</f>
        <v>22718.19</v>
      </c>
      <c r="I1484" s="438">
        <f>SUM(I1478:I1483)</f>
        <v>21997.29</v>
      </c>
      <c r="J1484" s="438">
        <f t="shared" ref="J1484" si="635">SUM(J1478:J1483)</f>
        <v>21594.65</v>
      </c>
    </row>
    <row r="1485" spans="1:10" ht="13.5" customHeight="1" x14ac:dyDescent="0.25">
      <c r="A1485" s="1"/>
      <c r="B1485" s="1"/>
      <c r="C1485" s="1"/>
      <c r="D1485" s="437"/>
      <c r="E1485" s="437"/>
      <c r="F1485" s="466"/>
      <c r="G1485" s="437"/>
      <c r="H1485" s="437"/>
      <c r="I1485" s="437"/>
      <c r="J1485" s="437"/>
    </row>
    <row r="1486" spans="1:10" ht="13.5" customHeight="1" x14ac:dyDescent="0.25">
      <c r="A1486" s="1"/>
      <c r="B1486" s="1" t="s">
        <v>1384</v>
      </c>
      <c r="C1486" s="1" t="s">
        <v>267</v>
      </c>
      <c r="D1486" s="437">
        <v>100</v>
      </c>
      <c r="E1486" s="440"/>
      <c r="F1486" s="468"/>
      <c r="G1486" s="440">
        <v>100</v>
      </c>
      <c r="H1486" s="439">
        <v>0</v>
      </c>
      <c r="I1486" s="440">
        <v>0</v>
      </c>
      <c r="J1486" s="437">
        <v>15.7</v>
      </c>
    </row>
    <row r="1487" spans="1:10" ht="13.5" customHeight="1" x14ac:dyDescent="0.25">
      <c r="A1487" s="1"/>
      <c r="B1487" s="1" t="s">
        <v>1385</v>
      </c>
      <c r="C1487" s="1" t="s">
        <v>269</v>
      </c>
      <c r="D1487" s="437">
        <v>50</v>
      </c>
      <c r="E1487" s="440"/>
      <c r="F1487" s="468"/>
      <c r="G1487" s="440">
        <v>50</v>
      </c>
      <c r="H1487" s="439">
        <v>0</v>
      </c>
      <c r="I1487" s="440">
        <v>0</v>
      </c>
      <c r="J1487" s="440">
        <v>0</v>
      </c>
    </row>
    <row r="1488" spans="1:10" ht="13.5" customHeight="1" x14ac:dyDescent="0.25">
      <c r="A1488" s="1"/>
      <c r="B1488" s="1" t="s">
        <v>1386</v>
      </c>
      <c r="C1488" s="1" t="s">
        <v>488</v>
      </c>
      <c r="D1488" s="437">
        <v>2500</v>
      </c>
      <c r="E1488" s="437">
        <v>748.23</v>
      </c>
      <c r="F1488" s="466"/>
      <c r="G1488" s="437">
        <v>2500</v>
      </c>
      <c r="H1488" s="437">
        <v>1423.83</v>
      </c>
      <c r="I1488" s="437">
        <v>2685.91</v>
      </c>
      <c r="J1488" s="437">
        <v>3234.95</v>
      </c>
    </row>
    <row r="1489" spans="1:10" ht="13.5" customHeight="1" x14ac:dyDescent="0.25">
      <c r="A1489" s="1"/>
      <c r="B1489" s="1" t="s">
        <v>1387</v>
      </c>
      <c r="C1489" s="1" t="s">
        <v>490</v>
      </c>
      <c r="D1489" s="437">
        <v>400</v>
      </c>
      <c r="E1489" s="439">
        <v>313.45999999999998</v>
      </c>
      <c r="F1489" s="468"/>
      <c r="G1489" s="440">
        <v>400</v>
      </c>
      <c r="H1489" s="439">
        <v>0</v>
      </c>
      <c r="I1489" s="440">
        <v>0</v>
      </c>
      <c r="J1489" s="437">
        <v>66</v>
      </c>
    </row>
    <row r="1490" spans="1:10" ht="13.5" customHeight="1" x14ac:dyDescent="0.25">
      <c r="A1490" s="1"/>
      <c r="B1490" s="1" t="s">
        <v>1388</v>
      </c>
      <c r="C1490" s="1" t="s">
        <v>273</v>
      </c>
      <c r="D1490" s="437">
        <v>0</v>
      </c>
      <c r="E1490" s="440"/>
      <c r="F1490" s="468"/>
      <c r="G1490" s="440">
        <v>0</v>
      </c>
      <c r="H1490" s="439">
        <v>0</v>
      </c>
      <c r="I1490" s="440">
        <v>0</v>
      </c>
      <c r="J1490" s="437">
        <v>2965</v>
      </c>
    </row>
    <row r="1491" spans="1:10" ht="13.5" customHeight="1" x14ac:dyDescent="0.25">
      <c r="A1491" s="1"/>
      <c r="B1491" s="1" t="s">
        <v>1389</v>
      </c>
      <c r="C1491" s="1" t="s">
        <v>275</v>
      </c>
      <c r="D1491" s="437">
        <v>0</v>
      </c>
      <c r="E1491" s="440"/>
      <c r="F1491" s="468"/>
      <c r="G1491" s="440">
        <v>0</v>
      </c>
      <c r="H1491" s="439">
        <v>91.04</v>
      </c>
      <c r="I1491" s="439">
        <v>111.13</v>
      </c>
      <c r="J1491" s="437">
        <v>36.9</v>
      </c>
    </row>
    <row r="1492" spans="1:10" ht="13.5" customHeight="1" x14ac:dyDescent="0.25">
      <c r="A1492" s="1"/>
      <c r="B1492" s="1"/>
      <c r="C1492" s="1"/>
      <c r="D1492" s="441">
        <v>3050</v>
      </c>
      <c r="E1492" s="441">
        <f t="shared" ref="E1492" si="636">SUM(E1486:E1491)</f>
        <v>1061.69</v>
      </c>
      <c r="F1492" s="469"/>
      <c r="G1492" s="441">
        <v>3050</v>
      </c>
      <c r="H1492" s="441">
        <f t="shared" ref="H1492" si="637">SUM(H1486:H1491)</f>
        <v>1514.87</v>
      </c>
      <c r="I1492" s="441">
        <f>SUM(I1486:I1491)</f>
        <v>2797.04</v>
      </c>
      <c r="J1492" s="441">
        <f t="shared" ref="J1492" si="638">SUM(J1486:J1491)</f>
        <v>6318.5499999999993</v>
      </c>
    </row>
    <row r="1493" spans="1:10" ht="13.5" customHeight="1" x14ac:dyDescent="0.25">
      <c r="A1493" s="1"/>
      <c r="B1493" s="1"/>
      <c r="C1493" s="1"/>
      <c r="D1493" s="440"/>
      <c r="E1493" s="440"/>
      <c r="F1493" s="468"/>
      <c r="G1493" s="440"/>
      <c r="H1493" s="440"/>
      <c r="I1493" s="440"/>
      <c r="J1493" s="437"/>
    </row>
    <row r="1494" spans="1:10" ht="13.5" customHeight="1" x14ac:dyDescent="0.25">
      <c r="A1494" s="1"/>
      <c r="B1494" s="1" t="s">
        <v>1390</v>
      </c>
      <c r="C1494" s="1" t="s">
        <v>283</v>
      </c>
      <c r="D1494" s="437">
        <v>100</v>
      </c>
      <c r="E1494" s="440"/>
      <c r="F1494" s="468"/>
      <c r="G1494" s="440">
        <v>100</v>
      </c>
      <c r="H1494" s="439">
        <v>0</v>
      </c>
      <c r="I1494" s="440">
        <v>0</v>
      </c>
      <c r="J1494" s="440">
        <v>0</v>
      </c>
    </row>
    <row r="1495" spans="1:10" ht="13.5" customHeight="1" x14ac:dyDescent="0.25">
      <c r="A1495" s="1"/>
      <c r="B1495" s="1" t="s">
        <v>1391</v>
      </c>
      <c r="C1495" s="1" t="s">
        <v>1392</v>
      </c>
      <c r="D1495" s="437">
        <v>0</v>
      </c>
      <c r="E1495" s="439">
        <v>60</v>
      </c>
      <c r="F1495" s="468"/>
      <c r="G1495" s="440">
        <v>0</v>
      </c>
      <c r="H1495" s="439">
        <v>162</v>
      </c>
      <c r="I1495" s="439">
        <v>162</v>
      </c>
      <c r="J1495" s="437">
        <v>162</v>
      </c>
    </row>
    <row r="1496" spans="1:10" ht="13.5" customHeight="1" x14ac:dyDescent="0.25">
      <c r="A1496" s="1"/>
      <c r="B1496" s="1" t="s">
        <v>1393</v>
      </c>
      <c r="C1496" s="1" t="s">
        <v>509</v>
      </c>
      <c r="D1496" s="437">
        <v>400</v>
      </c>
      <c r="E1496" s="437">
        <v>7.5</v>
      </c>
      <c r="F1496" s="466"/>
      <c r="G1496" s="437">
        <v>400</v>
      </c>
      <c r="H1496" s="437">
        <v>54</v>
      </c>
      <c r="I1496" s="437">
        <v>331.36</v>
      </c>
      <c r="J1496" s="437">
        <v>226.4</v>
      </c>
    </row>
    <row r="1497" spans="1:10" ht="13.5" customHeight="1" x14ac:dyDescent="0.25">
      <c r="A1497" s="1"/>
      <c r="B1497" s="1" t="s">
        <v>1394</v>
      </c>
      <c r="C1497" s="1" t="s">
        <v>565</v>
      </c>
      <c r="D1497" s="437">
        <v>200</v>
      </c>
      <c r="E1497" s="439">
        <v>177.5</v>
      </c>
      <c r="F1497" s="468"/>
      <c r="G1497" s="440">
        <v>0</v>
      </c>
      <c r="H1497" s="439">
        <v>0</v>
      </c>
      <c r="I1497" s="440">
        <v>0</v>
      </c>
      <c r="J1497" s="440">
        <v>0</v>
      </c>
    </row>
    <row r="1498" spans="1:10" ht="13.5" customHeight="1" x14ac:dyDescent="0.25">
      <c r="A1498" s="1"/>
      <c r="B1498" s="1"/>
      <c r="C1498" s="1"/>
      <c r="D1498" s="441">
        <v>700</v>
      </c>
      <c r="E1498" s="441">
        <f t="shared" ref="E1498" si="639">SUM(E1494:E1497)</f>
        <v>245</v>
      </c>
      <c r="F1498" s="469"/>
      <c r="G1498" s="441">
        <v>500</v>
      </c>
      <c r="H1498" s="441">
        <f>SUM(H1494:H1497)</f>
        <v>216</v>
      </c>
      <c r="I1498" s="441">
        <f>SUM(I1494:I1497)</f>
        <v>493.36</v>
      </c>
      <c r="J1498" s="441">
        <f t="shared" ref="J1498" si="640">SUM(J1494:J1497)</f>
        <v>388.4</v>
      </c>
    </row>
    <row r="1499" spans="1:10" ht="13.5" customHeight="1" x14ac:dyDescent="0.25">
      <c r="A1499" s="1"/>
      <c r="B1499" s="1"/>
      <c r="C1499" s="1"/>
      <c r="D1499" s="440"/>
      <c r="E1499" s="440"/>
      <c r="F1499" s="468"/>
      <c r="G1499" s="440"/>
      <c r="H1499" s="440"/>
      <c r="I1499" s="440"/>
      <c r="J1499" s="440"/>
    </row>
    <row r="1500" spans="1:10" ht="13.5" customHeight="1" x14ac:dyDescent="0.25">
      <c r="A1500" s="1"/>
      <c r="B1500" s="1" t="s">
        <v>1395</v>
      </c>
      <c r="C1500" s="1" t="s">
        <v>951</v>
      </c>
      <c r="D1500" s="437">
        <v>0</v>
      </c>
      <c r="E1500" s="440"/>
      <c r="F1500" s="468"/>
      <c r="G1500" s="440">
        <v>0</v>
      </c>
      <c r="H1500" s="440">
        <v>0</v>
      </c>
      <c r="I1500" s="440">
        <v>0</v>
      </c>
      <c r="J1500" s="437">
        <v>27695</v>
      </c>
    </row>
    <row r="1501" spans="1:10" ht="13.5" customHeight="1" x14ac:dyDescent="0.25">
      <c r="A1501" s="1"/>
      <c r="B1501" s="1"/>
      <c r="C1501" s="1"/>
      <c r="D1501" s="441">
        <v>0</v>
      </c>
      <c r="E1501" s="441">
        <f t="shared" ref="E1501" si="641">SUM(E1500)</f>
        <v>0</v>
      </c>
      <c r="F1501" s="469"/>
      <c r="G1501" s="441">
        <v>0</v>
      </c>
      <c r="H1501" s="441">
        <f>SUM(H1500)</f>
        <v>0</v>
      </c>
      <c r="I1501" s="441">
        <f>SUM(I1500)</f>
        <v>0</v>
      </c>
      <c r="J1501" s="441">
        <f t="shared" ref="J1501" si="642">SUM(J1500)</f>
        <v>27695</v>
      </c>
    </row>
    <row r="1502" spans="1:10" ht="13.5" customHeight="1" thickBot="1" x14ac:dyDescent="0.3">
      <c r="A1502" s="1"/>
      <c r="B1502" s="1"/>
      <c r="C1502" s="39" t="s">
        <v>1396</v>
      </c>
      <c r="D1502" s="453">
        <v>79239.791899999997</v>
      </c>
      <c r="E1502" s="453">
        <f t="shared" ref="E1502" si="643">SUM(E1476+E1484+E1492+E1498+E1501)</f>
        <v>35282.600000000006</v>
      </c>
      <c r="F1502" s="479"/>
      <c r="G1502" s="455">
        <v>76009.25</v>
      </c>
      <c r="H1502" s="453">
        <f>SUM(H1476+H1484+H1492+H1498+H1501)</f>
        <v>72954.159999999989</v>
      </c>
      <c r="I1502" s="453">
        <f>SUM(I1476+I1484+I1492+I1498+I1501)</f>
        <v>72397.299999999988</v>
      </c>
      <c r="J1502" s="453">
        <f t="shared" ref="J1502" si="644">SUM(J1476+J1484+J1492+J1498+J1501)</f>
        <v>101936.68000000001</v>
      </c>
    </row>
    <row r="1503" spans="1:10" ht="13.5" customHeight="1" thickTop="1" x14ac:dyDescent="0.25">
      <c r="A1503" s="1"/>
      <c r="B1503" s="1"/>
      <c r="C1503" s="1"/>
      <c r="D1503" s="440"/>
      <c r="E1503" s="440"/>
      <c r="F1503" s="468"/>
      <c r="G1503" s="440"/>
      <c r="H1503" s="440"/>
      <c r="I1503" s="440"/>
      <c r="J1503" s="437"/>
    </row>
    <row r="1504" spans="1:10" ht="13.5" customHeight="1" x14ac:dyDescent="0.25">
      <c r="A1504" s="1"/>
      <c r="B1504" s="1"/>
      <c r="C1504" s="14" t="s">
        <v>1397</v>
      </c>
      <c r="D1504" s="440"/>
      <c r="E1504" s="440"/>
      <c r="F1504" s="468"/>
      <c r="G1504" s="440"/>
      <c r="H1504" s="440"/>
      <c r="I1504" s="440"/>
      <c r="J1504" s="437"/>
    </row>
    <row r="1505" spans="1:10" ht="13.5" customHeight="1" x14ac:dyDescent="0.25">
      <c r="A1505" s="1"/>
      <c r="B1505" s="1" t="s">
        <v>1398</v>
      </c>
      <c r="C1505" s="1" t="s">
        <v>283</v>
      </c>
      <c r="D1505" s="437">
        <v>660</v>
      </c>
      <c r="E1505" s="437">
        <v>477</v>
      </c>
      <c r="F1505" s="466"/>
      <c r="G1505" s="437">
        <v>660</v>
      </c>
      <c r="H1505" s="437">
        <v>315</v>
      </c>
      <c r="I1505" s="437">
        <v>100</v>
      </c>
      <c r="J1505" s="437">
        <v>609.71</v>
      </c>
    </row>
    <row r="1506" spans="1:10" ht="13.5" customHeight="1" thickBot="1" x14ac:dyDescent="0.3">
      <c r="A1506" s="1"/>
      <c r="B1506" s="1"/>
      <c r="C1506" s="39" t="s">
        <v>1399</v>
      </c>
      <c r="D1506" s="451">
        <v>660</v>
      </c>
      <c r="E1506" s="451">
        <f t="shared" ref="E1506" si="645">SUM(E1505)</f>
        <v>477</v>
      </c>
      <c r="F1506" s="478"/>
      <c r="G1506" s="451">
        <v>660</v>
      </c>
      <c r="H1506" s="451">
        <f>SUM(H1505)</f>
        <v>315</v>
      </c>
      <c r="I1506" s="451">
        <f>SUM(I1505)</f>
        <v>100</v>
      </c>
      <c r="J1506" s="451">
        <f t="shared" ref="J1506" si="646">SUM(J1505)</f>
        <v>609.71</v>
      </c>
    </row>
    <row r="1507" spans="1:10" ht="13.5" customHeight="1" thickTop="1" x14ac:dyDescent="0.25">
      <c r="A1507" s="1"/>
      <c r="B1507" s="1"/>
      <c r="C1507" s="1"/>
      <c r="D1507" s="437"/>
      <c r="E1507" s="437"/>
      <c r="F1507" s="466"/>
      <c r="G1507" s="437"/>
      <c r="H1507" s="437"/>
      <c r="I1507" s="437"/>
      <c r="J1507" s="437"/>
    </row>
    <row r="1508" spans="1:10" ht="13.5" customHeight="1" x14ac:dyDescent="0.25">
      <c r="A1508" s="1"/>
      <c r="B1508" s="1"/>
      <c r="C1508" s="14" t="s">
        <v>1400</v>
      </c>
      <c r="D1508" s="437"/>
      <c r="E1508" s="437"/>
      <c r="F1508" s="466"/>
      <c r="G1508" s="437"/>
      <c r="H1508" s="437"/>
      <c r="I1508" s="437"/>
      <c r="J1508" s="437"/>
    </row>
    <row r="1509" spans="1:10" ht="12.75" customHeight="1" x14ac:dyDescent="0.25">
      <c r="A1509" s="1"/>
      <c r="B1509" s="1" t="s">
        <v>1401</v>
      </c>
      <c r="C1509" s="1" t="s">
        <v>283</v>
      </c>
      <c r="D1509" s="437">
        <v>660</v>
      </c>
      <c r="E1509" s="439">
        <v>0</v>
      </c>
      <c r="F1509" s="468"/>
      <c r="G1509" s="440">
        <v>660</v>
      </c>
      <c r="H1509" s="439">
        <v>315</v>
      </c>
      <c r="I1509" s="440">
        <v>0</v>
      </c>
      <c r="J1509" s="437">
        <v>1036.05</v>
      </c>
    </row>
    <row r="1510" spans="1:10" ht="13.5" customHeight="1" thickBot="1" x14ac:dyDescent="0.3">
      <c r="A1510" s="1"/>
      <c r="B1510" s="1"/>
      <c r="C1510" s="39" t="s">
        <v>1402</v>
      </c>
      <c r="D1510" s="451">
        <v>660</v>
      </c>
      <c r="E1510" s="451">
        <f t="shared" ref="E1510" si="647">SUM(E1509)</f>
        <v>0</v>
      </c>
      <c r="F1510" s="478"/>
      <c r="G1510" s="451">
        <v>660</v>
      </c>
      <c r="H1510" s="451">
        <f>SUM(H1509)</f>
        <v>315</v>
      </c>
      <c r="I1510" s="451">
        <f>SUM(I1509)</f>
        <v>0</v>
      </c>
      <c r="J1510" s="451">
        <f t="shared" ref="J1510" si="648">SUM(J1509)</f>
        <v>1036.05</v>
      </c>
    </row>
    <row r="1511" spans="1:10" ht="13.5" customHeight="1" thickTop="1" x14ac:dyDescent="0.25">
      <c r="A1511" s="1"/>
      <c r="B1511" s="1"/>
      <c r="C1511" s="1"/>
      <c r="D1511" s="437"/>
      <c r="E1511" s="440"/>
      <c r="F1511" s="468"/>
      <c r="G1511" s="440"/>
      <c r="H1511" s="440"/>
      <c r="I1511" s="440"/>
      <c r="J1511" s="437"/>
    </row>
    <row r="1512" spans="1:10" ht="13.5" customHeight="1" x14ac:dyDescent="0.25">
      <c r="A1512" s="1"/>
      <c r="B1512" s="1"/>
      <c r="C1512" s="14" t="s">
        <v>1403</v>
      </c>
      <c r="D1512" s="437"/>
      <c r="E1512" s="440"/>
      <c r="F1512" s="468"/>
      <c r="G1512" s="440"/>
      <c r="H1512" s="440"/>
      <c r="I1512" s="440"/>
      <c r="J1512" s="437"/>
    </row>
    <row r="1513" spans="1:10" ht="13.5" customHeight="1" x14ac:dyDescent="0.25">
      <c r="A1513" s="1"/>
      <c r="B1513" s="1" t="s">
        <v>1404</v>
      </c>
      <c r="C1513" s="1" t="s">
        <v>283</v>
      </c>
      <c r="D1513" s="437">
        <v>660</v>
      </c>
      <c r="E1513" s="439">
        <v>0</v>
      </c>
      <c r="F1513" s="468"/>
      <c r="G1513" s="440">
        <v>660</v>
      </c>
      <c r="H1513" s="439">
        <v>315</v>
      </c>
      <c r="I1513" s="439">
        <v>25</v>
      </c>
      <c r="J1513" s="437">
        <v>1033.8</v>
      </c>
    </row>
    <row r="1514" spans="1:10" ht="13.5" customHeight="1" thickBot="1" x14ac:dyDescent="0.3">
      <c r="A1514" s="1"/>
      <c r="B1514" s="1"/>
      <c r="C1514" s="39" t="s">
        <v>1405</v>
      </c>
      <c r="D1514" s="451">
        <v>660</v>
      </c>
      <c r="E1514" s="451">
        <f t="shared" ref="E1514" si="649">SUM(E1513)</f>
        <v>0</v>
      </c>
      <c r="F1514" s="478"/>
      <c r="G1514" s="451">
        <v>660</v>
      </c>
      <c r="H1514" s="451">
        <f>SUM(H1513)</f>
        <v>315</v>
      </c>
      <c r="I1514" s="451">
        <f>SUM(I1513)</f>
        <v>25</v>
      </c>
      <c r="J1514" s="451">
        <f t="shared" ref="J1514" si="650">SUM(J1513)</f>
        <v>1033.8</v>
      </c>
    </row>
    <row r="1515" spans="1:10" ht="13.5" customHeight="1" thickTop="1" x14ac:dyDescent="0.25">
      <c r="A1515" s="1"/>
      <c r="B1515" s="1"/>
      <c r="C1515" s="1"/>
      <c r="D1515" s="437"/>
      <c r="E1515" s="440"/>
      <c r="F1515" s="468"/>
      <c r="G1515" s="440"/>
      <c r="H1515" s="440"/>
      <c r="I1515" s="440"/>
      <c r="J1515" s="437"/>
    </row>
    <row r="1516" spans="1:10" ht="13.5" customHeight="1" x14ac:dyDescent="0.25">
      <c r="A1516" s="1"/>
      <c r="B1516" s="1"/>
      <c r="C1516" s="14" t="s">
        <v>1406</v>
      </c>
      <c r="D1516" s="437"/>
      <c r="E1516" s="440"/>
      <c r="F1516" s="468"/>
      <c r="G1516" s="440"/>
      <c r="H1516" s="440"/>
      <c r="I1516" s="440"/>
      <c r="J1516" s="437"/>
    </row>
    <row r="1517" spans="1:10" ht="13.5" customHeight="1" x14ac:dyDescent="0.25">
      <c r="A1517" s="1"/>
      <c r="B1517" s="1" t="s">
        <v>1407</v>
      </c>
      <c r="C1517" s="1" t="s">
        <v>939</v>
      </c>
      <c r="D1517" s="437">
        <v>300</v>
      </c>
      <c r="E1517" s="439">
        <v>0</v>
      </c>
      <c r="F1517" s="468"/>
      <c r="G1517" s="440">
        <v>300</v>
      </c>
      <c r="H1517" s="439">
        <v>0</v>
      </c>
      <c r="I1517" s="440">
        <v>0</v>
      </c>
      <c r="J1517" s="440">
        <v>0</v>
      </c>
    </row>
    <row r="1518" spans="1:10" ht="13.5" customHeight="1" x14ac:dyDescent="0.25">
      <c r="A1518" s="1"/>
      <c r="B1518" s="1" t="s">
        <v>1408</v>
      </c>
      <c r="C1518" s="1" t="s">
        <v>283</v>
      </c>
      <c r="D1518" s="437">
        <v>660</v>
      </c>
      <c r="E1518" s="437">
        <v>0</v>
      </c>
      <c r="F1518" s="466"/>
      <c r="G1518" s="437">
        <v>660</v>
      </c>
      <c r="H1518" s="437">
        <f>1236.81</f>
        <v>1236.81</v>
      </c>
      <c r="I1518" s="437">
        <v>761.2</v>
      </c>
      <c r="J1518" s="437">
        <v>2002.51</v>
      </c>
    </row>
    <row r="1519" spans="1:10" ht="13.5" customHeight="1" thickBot="1" x14ac:dyDescent="0.3">
      <c r="A1519" s="1"/>
      <c r="B1519" s="1"/>
      <c r="C1519" s="39" t="s">
        <v>1409</v>
      </c>
      <c r="D1519" s="451">
        <v>960</v>
      </c>
      <c r="E1519" s="451">
        <f t="shared" ref="E1519" si="651">SUM(E1517:E1518)</f>
        <v>0</v>
      </c>
      <c r="F1519" s="478"/>
      <c r="G1519" s="451">
        <v>960</v>
      </c>
      <c r="H1519" s="451">
        <f>SUM(H1517:H1518)</f>
        <v>1236.81</v>
      </c>
      <c r="I1519" s="451">
        <f>SUM(I1517:I1518)</f>
        <v>761.2</v>
      </c>
      <c r="J1519" s="451">
        <f t="shared" ref="J1519" si="652">SUM(J1517:J1518)</f>
        <v>2002.51</v>
      </c>
    </row>
    <row r="1520" spans="1:10" ht="13.5" customHeight="1" thickTop="1" x14ac:dyDescent="0.25">
      <c r="A1520" s="1"/>
      <c r="B1520" s="1"/>
      <c r="C1520" s="1"/>
      <c r="D1520" s="437"/>
      <c r="E1520" s="437"/>
      <c r="F1520" s="466"/>
      <c r="G1520" s="437"/>
      <c r="H1520" s="437"/>
      <c r="I1520" s="437"/>
      <c r="J1520" s="437"/>
    </row>
    <row r="1521" spans="1:10" ht="13.5" customHeight="1" x14ac:dyDescent="0.25">
      <c r="A1521" s="1"/>
      <c r="B1521" s="1"/>
      <c r="C1521" s="14" t="s">
        <v>1410</v>
      </c>
      <c r="D1521" s="437"/>
      <c r="E1521" s="437"/>
      <c r="F1521" s="466"/>
      <c r="G1521" s="437"/>
      <c r="H1521" s="437"/>
      <c r="I1521" s="437"/>
      <c r="J1521" s="437"/>
    </row>
    <row r="1522" spans="1:10" ht="13.5" customHeight="1" x14ac:dyDescent="0.25">
      <c r="A1522" s="1"/>
      <c r="B1522" s="1" t="s">
        <v>1411</v>
      </c>
      <c r="C1522" s="1" t="s">
        <v>283</v>
      </c>
      <c r="D1522" s="437">
        <v>660</v>
      </c>
      <c r="E1522" s="439">
        <v>0</v>
      </c>
      <c r="F1522" s="468"/>
      <c r="G1522" s="440">
        <v>660</v>
      </c>
      <c r="H1522" s="439">
        <v>0</v>
      </c>
      <c r="I1522" s="440">
        <v>0</v>
      </c>
      <c r="J1522" s="437">
        <v>600.80999999999995</v>
      </c>
    </row>
    <row r="1523" spans="1:10" ht="13.5" customHeight="1" thickBot="1" x14ac:dyDescent="0.3">
      <c r="A1523" s="1"/>
      <c r="B1523" s="1"/>
      <c r="C1523" s="39" t="s">
        <v>1412</v>
      </c>
      <c r="D1523" s="451">
        <v>660</v>
      </c>
      <c r="E1523" s="451">
        <f t="shared" ref="E1523" si="653">SUM(E1522)</f>
        <v>0</v>
      </c>
      <c r="F1523" s="478"/>
      <c r="G1523" s="451">
        <v>660</v>
      </c>
      <c r="H1523" s="451">
        <f>SUM(H1522)</f>
        <v>0</v>
      </c>
      <c r="I1523" s="451">
        <f>SUM(I1522)</f>
        <v>0</v>
      </c>
      <c r="J1523" s="451">
        <f t="shared" ref="J1523" si="654">SUM(J1522)</f>
        <v>600.80999999999995</v>
      </c>
    </row>
    <row r="1524" spans="1:10" ht="13.5" customHeight="1" thickTop="1" x14ac:dyDescent="0.25">
      <c r="A1524" s="1"/>
      <c r="B1524" s="1"/>
      <c r="C1524" s="1"/>
      <c r="D1524" s="437"/>
      <c r="E1524" s="440"/>
      <c r="F1524" s="468"/>
      <c r="G1524" s="440"/>
      <c r="H1524" s="440"/>
      <c r="I1524" s="440"/>
      <c r="J1524" s="437"/>
    </row>
    <row r="1525" spans="1:10" ht="13.5" customHeight="1" x14ac:dyDescent="0.25">
      <c r="A1525" s="1"/>
      <c r="B1525" s="1"/>
      <c r="C1525" s="14" t="s">
        <v>1413</v>
      </c>
      <c r="D1525" s="437"/>
      <c r="E1525" s="440"/>
      <c r="F1525" s="468"/>
      <c r="G1525" s="440"/>
      <c r="H1525" s="440"/>
      <c r="I1525" s="440"/>
      <c r="J1525" s="437"/>
    </row>
    <row r="1526" spans="1:10" ht="13.5" customHeight="1" x14ac:dyDescent="0.25">
      <c r="A1526" s="1"/>
      <c r="B1526" s="1" t="s">
        <v>1414</v>
      </c>
      <c r="C1526" s="1" t="s">
        <v>283</v>
      </c>
      <c r="D1526" s="437">
        <v>850</v>
      </c>
      <c r="E1526" s="439">
        <v>1104.82</v>
      </c>
      <c r="F1526" s="468"/>
      <c r="G1526" s="440">
        <v>850</v>
      </c>
      <c r="H1526" s="439">
        <v>1841.35</v>
      </c>
      <c r="I1526" s="439">
        <v>1414.43</v>
      </c>
      <c r="J1526" s="437">
        <v>794.76</v>
      </c>
    </row>
    <row r="1527" spans="1:10" ht="13.5" customHeight="1" thickBot="1" x14ac:dyDescent="0.3">
      <c r="A1527" s="1"/>
      <c r="B1527" s="1"/>
      <c r="C1527" s="39" t="s">
        <v>1415</v>
      </c>
      <c r="D1527" s="451">
        <v>850</v>
      </c>
      <c r="E1527" s="451">
        <f t="shared" ref="E1527" si="655">SUM(E1526)</f>
        <v>1104.82</v>
      </c>
      <c r="F1527" s="478"/>
      <c r="G1527" s="451">
        <v>850</v>
      </c>
      <c r="H1527" s="451">
        <f>SUM(H1526)</f>
        <v>1841.35</v>
      </c>
      <c r="I1527" s="451">
        <f>SUM(I1526)</f>
        <v>1414.43</v>
      </c>
      <c r="J1527" s="451">
        <f t="shared" ref="J1527" si="656">SUM(J1526)</f>
        <v>794.76</v>
      </c>
    </row>
    <row r="1528" spans="1:10" ht="13.5" customHeight="1" thickTop="1" x14ac:dyDescent="0.25">
      <c r="A1528" s="1"/>
      <c r="B1528" s="1"/>
      <c r="C1528" s="1"/>
      <c r="D1528" s="437"/>
      <c r="E1528" s="440"/>
      <c r="F1528" s="468"/>
      <c r="G1528" s="440"/>
      <c r="H1528" s="440"/>
      <c r="I1528" s="440"/>
      <c r="J1528" s="437"/>
    </row>
    <row r="1529" spans="1:10" ht="13.5" customHeight="1" x14ac:dyDescent="0.25">
      <c r="A1529" s="1"/>
      <c r="B1529" s="1"/>
      <c r="C1529" s="1"/>
      <c r="D1529" s="437"/>
      <c r="E1529" s="440"/>
      <c r="F1529" s="468"/>
      <c r="G1529" s="440"/>
      <c r="H1529" s="440"/>
      <c r="I1529" s="440"/>
      <c r="J1529" s="437"/>
    </row>
    <row r="1530" spans="1:10" ht="13.5" customHeight="1" x14ac:dyDescent="0.25">
      <c r="A1530" s="1"/>
      <c r="B1530" s="1"/>
      <c r="C1530" s="39" t="s">
        <v>1416</v>
      </c>
      <c r="D1530" s="440"/>
      <c r="E1530" s="440"/>
      <c r="F1530" s="468"/>
      <c r="G1530" s="440"/>
      <c r="H1530" s="440"/>
      <c r="I1530" s="440"/>
      <c r="J1530" s="440"/>
    </row>
    <row r="1531" spans="1:10" ht="13.5" customHeight="1" x14ac:dyDescent="0.25">
      <c r="A1531" s="1"/>
      <c r="B1531" s="1" t="s">
        <v>1417</v>
      </c>
      <c r="C1531" s="1" t="s">
        <v>437</v>
      </c>
      <c r="D1531" s="437">
        <v>88540</v>
      </c>
      <c r="E1531" s="437">
        <v>38101.089999999997</v>
      </c>
      <c r="F1531" s="466"/>
      <c r="G1531" s="437">
        <v>81870</v>
      </c>
      <c r="H1531" s="437">
        <v>80079.67</v>
      </c>
      <c r="I1531" s="437">
        <v>69306.92</v>
      </c>
      <c r="J1531" s="437">
        <v>67603.679999999993</v>
      </c>
    </row>
    <row r="1532" spans="1:10" ht="13.5" customHeight="1" x14ac:dyDescent="0.25">
      <c r="A1532" s="1"/>
      <c r="B1532" s="1" t="s">
        <v>1418</v>
      </c>
      <c r="C1532" s="1" t="s">
        <v>439</v>
      </c>
      <c r="D1532" s="437">
        <v>3555118</v>
      </c>
      <c r="E1532" s="437">
        <v>1484052.93</v>
      </c>
      <c r="F1532" s="466"/>
      <c r="G1532" s="437">
        <v>3115852</v>
      </c>
      <c r="H1532" s="437">
        <v>3070650.47</v>
      </c>
      <c r="I1532" s="437">
        <v>2708730.41</v>
      </c>
      <c r="J1532" s="437">
        <v>2584371.41</v>
      </c>
    </row>
    <row r="1533" spans="1:10" ht="13.5" customHeight="1" x14ac:dyDescent="0.25">
      <c r="A1533" s="1"/>
      <c r="B1533" s="1" t="s">
        <v>1419</v>
      </c>
      <c r="C1533" s="1" t="s">
        <v>443</v>
      </c>
      <c r="D1533" s="437">
        <v>0</v>
      </c>
      <c r="E1533" s="437"/>
      <c r="F1533" s="466"/>
      <c r="G1533" s="437">
        <v>0</v>
      </c>
      <c r="H1533" s="437">
        <v>0</v>
      </c>
      <c r="I1533" s="437">
        <v>84408.05</v>
      </c>
      <c r="J1533" s="437">
        <v>90885.62</v>
      </c>
    </row>
    <row r="1534" spans="1:10" ht="13.5" customHeight="1" x14ac:dyDescent="0.25">
      <c r="A1534" s="1"/>
      <c r="B1534" s="1" t="s">
        <v>1420</v>
      </c>
      <c r="C1534" s="1" t="s">
        <v>445</v>
      </c>
      <c r="D1534" s="437">
        <v>40000</v>
      </c>
      <c r="E1534" s="437">
        <v>39835.67</v>
      </c>
      <c r="F1534" s="466"/>
      <c r="G1534" s="437">
        <v>40000</v>
      </c>
      <c r="H1534" s="437">
        <v>59693.26</v>
      </c>
      <c r="I1534" s="437">
        <v>52767.08</v>
      </c>
      <c r="J1534" s="437">
        <v>82503.490000000005</v>
      </c>
    </row>
    <row r="1535" spans="1:10" ht="13.5" customHeight="1" x14ac:dyDescent="0.25">
      <c r="A1535" s="1"/>
      <c r="B1535" s="1" t="s">
        <v>1421</v>
      </c>
      <c r="C1535" s="1" t="s">
        <v>251</v>
      </c>
      <c r="D1535" s="437">
        <v>50000</v>
      </c>
      <c r="E1535" s="437">
        <v>62550.76</v>
      </c>
      <c r="F1535" s="466"/>
      <c r="G1535" s="437">
        <v>50000</v>
      </c>
      <c r="H1535" s="437">
        <v>75776.160000000003</v>
      </c>
      <c r="I1535" s="437">
        <v>93989.85</v>
      </c>
      <c r="J1535" s="437">
        <v>76082.61</v>
      </c>
    </row>
    <row r="1536" spans="1:10" ht="13.5" customHeight="1" x14ac:dyDescent="0.25">
      <c r="A1536" s="1"/>
      <c r="B1536" s="1" t="s">
        <v>1422</v>
      </c>
      <c r="C1536" s="1" t="s">
        <v>674</v>
      </c>
      <c r="D1536" s="437">
        <v>32500</v>
      </c>
      <c r="E1536" s="437">
        <v>16153.2</v>
      </c>
      <c r="F1536" s="466"/>
      <c r="G1536" s="437">
        <v>45500</v>
      </c>
      <c r="H1536" s="437">
        <v>26806.62</v>
      </c>
      <c r="I1536" s="437">
        <v>23902.89</v>
      </c>
      <c r="J1536" s="437">
        <v>24152.880000000001</v>
      </c>
    </row>
    <row r="1537" spans="1:10" ht="13.5" customHeight="1" x14ac:dyDescent="0.25">
      <c r="A1537" s="1"/>
      <c r="B1537" s="1"/>
      <c r="C1537" s="1"/>
      <c r="D1537" s="438">
        <v>3766158</v>
      </c>
      <c r="E1537" s="438">
        <f t="shared" ref="E1537" si="657">SUM(E1531:E1536)</f>
        <v>1640693.65</v>
      </c>
      <c r="F1537" s="467"/>
      <c r="G1537" s="438">
        <v>3333222</v>
      </c>
      <c r="H1537" s="438">
        <f>SUM(H1531:H1536)</f>
        <v>3313006.18</v>
      </c>
      <c r="I1537" s="438">
        <f>SUM(I1531:I1536)</f>
        <v>3033105.2</v>
      </c>
      <c r="J1537" s="438">
        <f t="shared" ref="J1537" si="658">SUM(J1531:J1536)</f>
        <v>2925599.6900000004</v>
      </c>
    </row>
    <row r="1538" spans="1:10" ht="13.5" customHeight="1" x14ac:dyDescent="0.25">
      <c r="A1538" s="1"/>
      <c r="B1538" s="1"/>
      <c r="C1538" s="1"/>
      <c r="D1538" s="437"/>
      <c r="E1538" s="437"/>
      <c r="F1538" s="466"/>
      <c r="G1538" s="437"/>
      <c r="H1538" s="437"/>
      <c r="I1538" s="437"/>
      <c r="J1538" s="437"/>
    </row>
    <row r="1539" spans="1:10" ht="13.5" customHeight="1" x14ac:dyDescent="0.25">
      <c r="A1539" s="1"/>
      <c r="B1539" s="1" t="s">
        <v>1423</v>
      </c>
      <c r="C1539" s="1" t="s">
        <v>257</v>
      </c>
      <c r="D1539" s="437">
        <v>290237.78700000001</v>
      </c>
      <c r="E1539" s="437">
        <v>111117.06</v>
      </c>
      <c r="F1539" s="466"/>
      <c r="G1539" s="437">
        <v>259902.78</v>
      </c>
      <c r="H1539" s="437">
        <v>252879.29</v>
      </c>
      <c r="I1539" s="437">
        <v>225894.55</v>
      </c>
      <c r="J1539" s="437">
        <v>211842.55</v>
      </c>
    </row>
    <row r="1540" spans="1:10" ht="13.5" customHeight="1" x14ac:dyDescent="0.25">
      <c r="A1540" s="1"/>
      <c r="B1540" s="1" t="s">
        <v>1424</v>
      </c>
      <c r="C1540" s="1" t="s">
        <v>259</v>
      </c>
      <c r="D1540" s="437">
        <v>763644.59039999906</v>
      </c>
      <c r="E1540" s="437">
        <v>338634.28</v>
      </c>
      <c r="F1540" s="466"/>
      <c r="G1540" s="437">
        <v>732440.44</v>
      </c>
      <c r="H1540" s="437">
        <v>677892.71</v>
      </c>
      <c r="I1540" s="437">
        <v>655539.53</v>
      </c>
      <c r="J1540" s="437">
        <v>598270.65</v>
      </c>
    </row>
    <row r="1541" spans="1:10" ht="13.5" customHeight="1" x14ac:dyDescent="0.25">
      <c r="A1541" s="1"/>
      <c r="B1541" s="1" t="s">
        <v>1425</v>
      </c>
      <c r="C1541" s="1" t="s">
        <v>261</v>
      </c>
      <c r="D1541" s="437">
        <v>569852.49160000018</v>
      </c>
      <c r="E1541" s="437">
        <v>249818.31</v>
      </c>
      <c r="F1541" s="466"/>
      <c r="G1541" s="437">
        <v>510292.78</v>
      </c>
      <c r="H1541" s="437">
        <v>511854.31</v>
      </c>
      <c r="I1541" s="437">
        <v>459801.91</v>
      </c>
      <c r="J1541" s="437">
        <v>427498.14</v>
      </c>
    </row>
    <row r="1542" spans="1:10" ht="13.5" customHeight="1" x14ac:dyDescent="0.25">
      <c r="A1542" s="1"/>
      <c r="B1542" s="1" t="s">
        <v>1426</v>
      </c>
      <c r="C1542" s="1" t="s">
        <v>263</v>
      </c>
      <c r="D1542" s="437">
        <v>6070.3328000000001</v>
      </c>
      <c r="E1542" s="437">
        <v>2661.19</v>
      </c>
      <c r="F1542" s="466"/>
      <c r="G1542" s="437">
        <v>5435.88</v>
      </c>
      <c r="H1542" s="437">
        <v>5452.44</v>
      </c>
      <c r="I1542" s="437">
        <v>5061.3999999999996</v>
      </c>
      <c r="J1542" s="437">
        <v>5409.52</v>
      </c>
    </row>
    <row r="1543" spans="1:10" ht="13.5" customHeight="1" x14ac:dyDescent="0.25">
      <c r="A1543" s="1"/>
      <c r="B1543" s="1" t="s">
        <v>1427</v>
      </c>
      <c r="C1543" s="1" t="s">
        <v>265</v>
      </c>
      <c r="D1543" s="437">
        <v>27366.240000000013</v>
      </c>
      <c r="E1543" s="437">
        <v>11382.14</v>
      </c>
      <c r="F1543" s="466"/>
      <c r="G1543" s="437">
        <v>24578.400000000001</v>
      </c>
      <c r="H1543" s="437">
        <v>22123.72</v>
      </c>
      <c r="I1543" s="437">
        <v>20895.740000000002</v>
      </c>
      <c r="J1543" s="437">
        <v>18769.3</v>
      </c>
    </row>
    <row r="1544" spans="1:10" ht="13.5" customHeight="1" x14ac:dyDescent="0.25">
      <c r="A1544" s="1"/>
      <c r="B1544" s="1" t="s">
        <v>1428</v>
      </c>
      <c r="C1544" s="1" t="s">
        <v>1429</v>
      </c>
      <c r="D1544" s="437">
        <v>63600</v>
      </c>
      <c r="E1544" s="437">
        <v>29905.200000000001</v>
      </c>
      <c r="F1544" s="466"/>
      <c r="G1544" s="437">
        <v>60000</v>
      </c>
      <c r="H1544" s="437">
        <v>59718.1</v>
      </c>
      <c r="I1544" s="437">
        <v>57364.45</v>
      </c>
      <c r="J1544" s="437">
        <v>54041.65</v>
      </c>
    </row>
    <row r="1545" spans="1:10" ht="13.5" customHeight="1" x14ac:dyDescent="0.25">
      <c r="A1545" s="1"/>
      <c r="B1545" s="1" t="s">
        <v>1430</v>
      </c>
      <c r="C1545" s="1" t="s">
        <v>1431</v>
      </c>
      <c r="D1545" s="437">
        <v>4200</v>
      </c>
      <c r="E1545" s="437">
        <v>2100.02</v>
      </c>
      <c r="F1545" s="466"/>
      <c r="G1545" s="437">
        <v>4200</v>
      </c>
      <c r="H1545" s="437">
        <v>4200.04</v>
      </c>
      <c r="I1545" s="437">
        <v>4200.04</v>
      </c>
      <c r="J1545" s="437">
        <v>4200.04</v>
      </c>
    </row>
    <row r="1546" spans="1:10" ht="13.5" customHeight="1" x14ac:dyDescent="0.25">
      <c r="A1546" s="1"/>
      <c r="B1546" s="1"/>
      <c r="C1546" s="1"/>
      <c r="D1546" s="438">
        <v>1724971.4417999994</v>
      </c>
      <c r="E1546" s="438">
        <f t="shared" ref="E1546" si="659">SUM(E1539:E1545)</f>
        <v>745618.2</v>
      </c>
      <c r="F1546" s="467"/>
      <c r="G1546" s="438">
        <v>1596850.28</v>
      </c>
      <c r="H1546" s="438">
        <f>SUM(H1539:H1545)</f>
        <v>1534120.61</v>
      </c>
      <c r="I1546" s="438">
        <f>SUM(I1539:I1545)</f>
        <v>1428757.6199999999</v>
      </c>
      <c r="J1546" s="438">
        <f t="shared" ref="J1546" si="660">SUM(J1539:J1545)</f>
        <v>1320031.8499999999</v>
      </c>
    </row>
    <row r="1547" spans="1:10" ht="13.5" customHeight="1" x14ac:dyDescent="0.25">
      <c r="A1547" s="1"/>
      <c r="B1547" s="1"/>
      <c r="C1547" s="1"/>
      <c r="D1547" s="437"/>
      <c r="E1547" s="437"/>
      <c r="F1547" s="466"/>
      <c r="G1547" s="437"/>
      <c r="H1547" s="437"/>
      <c r="I1547" s="437"/>
      <c r="J1547" s="437"/>
    </row>
    <row r="1548" spans="1:10" ht="13.5" customHeight="1" x14ac:dyDescent="0.25">
      <c r="A1548" s="1"/>
      <c r="B1548" s="1" t="s">
        <v>1432</v>
      </c>
      <c r="C1548" s="1" t="s">
        <v>267</v>
      </c>
      <c r="D1548" s="437">
        <v>21000</v>
      </c>
      <c r="E1548" s="437">
        <v>10228.299999999999</v>
      </c>
      <c r="F1548" s="466"/>
      <c r="G1548" s="437">
        <v>21000</v>
      </c>
      <c r="H1548" s="437">
        <v>15461.09</v>
      </c>
      <c r="I1548" s="437">
        <v>19341.25</v>
      </c>
      <c r="J1548" s="437">
        <v>22356.13</v>
      </c>
    </row>
    <row r="1549" spans="1:10" ht="13.5" customHeight="1" x14ac:dyDescent="0.25">
      <c r="A1549" s="1"/>
      <c r="B1549" s="1" t="s">
        <v>1433</v>
      </c>
      <c r="C1549" s="1" t="s">
        <v>269</v>
      </c>
      <c r="D1549" s="437">
        <v>14500</v>
      </c>
      <c r="E1549" s="437">
        <v>3448.58</v>
      </c>
      <c r="F1549" s="466"/>
      <c r="G1549" s="437">
        <v>14500</v>
      </c>
      <c r="H1549" s="437">
        <v>7746.61</v>
      </c>
      <c r="I1549" s="437">
        <v>15696.43</v>
      </c>
      <c r="J1549" s="437">
        <v>13807.38</v>
      </c>
    </row>
    <row r="1550" spans="1:10" ht="13.5" customHeight="1" x14ac:dyDescent="0.25">
      <c r="A1550" s="1"/>
      <c r="B1550" s="1" t="s">
        <v>1434</v>
      </c>
      <c r="C1550" s="1" t="s">
        <v>994</v>
      </c>
      <c r="D1550" s="437">
        <v>4800</v>
      </c>
      <c r="E1550" s="437"/>
      <c r="F1550" s="466"/>
      <c r="G1550" s="437">
        <v>2300</v>
      </c>
      <c r="H1550" s="437">
        <v>202.1</v>
      </c>
      <c r="I1550" s="437">
        <v>2017.51</v>
      </c>
      <c r="J1550" s="437">
        <v>32.450000000000003</v>
      </c>
    </row>
    <row r="1551" spans="1:10" ht="13.5" customHeight="1" x14ac:dyDescent="0.25">
      <c r="A1551" s="1"/>
      <c r="B1551" s="22" t="s">
        <v>1435</v>
      </c>
      <c r="C1551" s="22" t="s">
        <v>1436</v>
      </c>
      <c r="D1551" s="437">
        <v>0</v>
      </c>
      <c r="E1551" s="437"/>
      <c r="F1551" s="466"/>
      <c r="G1551" s="437">
        <v>0</v>
      </c>
      <c r="H1551" s="437">
        <v>0</v>
      </c>
      <c r="I1551" s="437">
        <v>176.61</v>
      </c>
      <c r="J1551" s="437">
        <v>0</v>
      </c>
    </row>
    <row r="1552" spans="1:10" ht="13.5" customHeight="1" x14ac:dyDescent="0.25">
      <c r="A1552" s="1"/>
      <c r="B1552" s="1" t="s">
        <v>1437</v>
      </c>
      <c r="C1552" s="1" t="s">
        <v>488</v>
      </c>
      <c r="D1552" s="437">
        <v>250000</v>
      </c>
      <c r="E1552" s="437">
        <v>91931.59</v>
      </c>
      <c r="F1552" s="466"/>
      <c r="G1552" s="437">
        <v>200000</v>
      </c>
      <c r="H1552" s="437">
        <v>172454.56</v>
      </c>
      <c r="I1552" s="437">
        <v>225313</v>
      </c>
      <c r="J1552" s="437">
        <v>221975.02</v>
      </c>
    </row>
    <row r="1553" spans="1:10" ht="13.5" customHeight="1" x14ac:dyDescent="0.25">
      <c r="A1553" s="1"/>
      <c r="B1553" s="1" t="s">
        <v>1438</v>
      </c>
      <c r="C1553" s="1" t="s">
        <v>1151</v>
      </c>
      <c r="D1553" s="437">
        <v>2500</v>
      </c>
      <c r="E1553" s="437">
        <v>671.98</v>
      </c>
      <c r="F1553" s="466"/>
      <c r="G1553" s="437">
        <v>2500</v>
      </c>
      <c r="H1553" s="437">
        <v>1565.8</v>
      </c>
      <c r="I1553" s="437">
        <v>2825.5</v>
      </c>
      <c r="J1553" s="437">
        <v>24955.79</v>
      </c>
    </row>
    <row r="1554" spans="1:10" ht="13.5" customHeight="1" x14ac:dyDescent="0.25">
      <c r="A1554" s="1"/>
      <c r="B1554" s="1" t="s">
        <v>1439</v>
      </c>
      <c r="C1554" s="1" t="s">
        <v>939</v>
      </c>
      <c r="D1554" s="437">
        <v>17500</v>
      </c>
      <c r="E1554" s="437">
        <v>6644.28</v>
      </c>
      <c r="F1554" s="466"/>
      <c r="G1554" s="437">
        <v>14000</v>
      </c>
      <c r="H1554" s="437">
        <v>11999.88</v>
      </c>
      <c r="I1554" s="437">
        <v>5282.5</v>
      </c>
      <c r="J1554" s="437">
        <v>9409.59</v>
      </c>
    </row>
    <row r="1555" spans="1:10" ht="13.5" customHeight="1" x14ac:dyDescent="0.25">
      <c r="A1555" s="1"/>
      <c r="B1555" s="1" t="s">
        <v>1440</v>
      </c>
      <c r="C1555" s="1" t="s">
        <v>490</v>
      </c>
      <c r="D1555" s="437">
        <v>30000</v>
      </c>
      <c r="E1555" s="437">
        <v>13003.6</v>
      </c>
      <c r="F1555" s="466"/>
      <c r="G1555" s="437">
        <v>25000</v>
      </c>
      <c r="H1555" s="437">
        <v>27350.42</v>
      </c>
      <c r="I1555" s="437">
        <v>25521.200000000001</v>
      </c>
      <c r="J1555" s="437">
        <v>29275.81</v>
      </c>
    </row>
    <row r="1556" spans="1:10" ht="13.5" customHeight="1" x14ac:dyDescent="0.25">
      <c r="A1556" s="1"/>
      <c r="B1556" s="22" t="s">
        <v>1441</v>
      </c>
      <c r="C1556" s="22" t="s">
        <v>1442</v>
      </c>
      <c r="D1556" s="437">
        <v>0</v>
      </c>
      <c r="E1556" s="437"/>
      <c r="F1556" s="466"/>
      <c r="G1556" s="437"/>
      <c r="H1556" s="437">
        <v>18</v>
      </c>
      <c r="I1556" s="437">
        <v>152</v>
      </c>
      <c r="J1556" s="437">
        <v>0</v>
      </c>
    </row>
    <row r="1557" spans="1:10" ht="13.5" customHeight="1" x14ac:dyDescent="0.25">
      <c r="A1557" s="1"/>
      <c r="B1557" s="1" t="s">
        <v>1443</v>
      </c>
      <c r="C1557" s="1" t="s">
        <v>492</v>
      </c>
      <c r="D1557" s="437">
        <v>4000</v>
      </c>
      <c r="E1557" s="437">
        <v>874.5</v>
      </c>
      <c r="F1557" s="466"/>
      <c r="G1557" s="437">
        <v>4000</v>
      </c>
      <c r="H1557" s="437">
        <v>531.9</v>
      </c>
      <c r="I1557" s="437">
        <v>4322.87</v>
      </c>
      <c r="J1557" s="437">
        <v>93.95</v>
      </c>
    </row>
    <row r="1558" spans="1:10" ht="13.5" customHeight="1" x14ac:dyDescent="0.25">
      <c r="A1558" s="1"/>
      <c r="B1558" s="1" t="s">
        <v>1444</v>
      </c>
      <c r="C1558" s="1" t="s">
        <v>273</v>
      </c>
      <c r="D1558" s="437">
        <v>20000</v>
      </c>
      <c r="E1558" s="437">
        <v>2293.7399999999998</v>
      </c>
      <c r="F1558" s="466"/>
      <c r="G1558" s="437">
        <v>20000</v>
      </c>
      <c r="H1558" s="437">
        <v>7778.2</v>
      </c>
      <c r="I1558" s="437">
        <v>5544.98</v>
      </c>
      <c r="J1558" s="437">
        <v>14745.48</v>
      </c>
    </row>
    <row r="1559" spans="1:10" ht="13.5" customHeight="1" x14ac:dyDescent="0.25">
      <c r="A1559" s="1"/>
      <c r="B1559" s="1" t="s">
        <v>1445</v>
      </c>
      <c r="C1559" s="1" t="s">
        <v>455</v>
      </c>
      <c r="D1559" s="437">
        <v>2000</v>
      </c>
      <c r="E1559" s="439">
        <v>46894.5</v>
      </c>
      <c r="F1559" s="468"/>
      <c r="G1559" s="440">
        <v>2000</v>
      </c>
      <c r="H1559" s="439">
        <v>1093.8800000000001</v>
      </c>
      <c r="I1559" s="440">
        <v>0</v>
      </c>
      <c r="J1559" s="437">
        <v>1131.51</v>
      </c>
    </row>
    <row r="1560" spans="1:10" ht="13.5" customHeight="1" x14ac:dyDescent="0.25">
      <c r="A1560" s="1"/>
      <c r="B1560" s="1" t="s">
        <v>1446</v>
      </c>
      <c r="C1560" s="1" t="s">
        <v>275</v>
      </c>
      <c r="D1560" s="437">
        <v>30000</v>
      </c>
      <c r="E1560" s="437">
        <v>5666.77</v>
      </c>
      <c r="F1560" s="466"/>
      <c r="G1560" s="437">
        <v>28000</v>
      </c>
      <c r="H1560" s="437">
        <v>5483.25</v>
      </c>
      <c r="I1560" s="437">
        <v>13681.8</v>
      </c>
      <c r="J1560" s="437">
        <v>25919.31</v>
      </c>
    </row>
    <row r="1561" spans="1:10" ht="13.5" customHeight="1" x14ac:dyDescent="0.25">
      <c r="A1561" s="1"/>
      <c r="B1561" s="1"/>
      <c r="C1561" s="1"/>
      <c r="D1561" s="438">
        <v>396300</v>
      </c>
      <c r="E1561" s="438">
        <f t="shared" ref="E1561" si="661">SUM(E1548:E1560)</f>
        <v>181657.84</v>
      </c>
      <c r="F1561" s="467"/>
      <c r="G1561" s="438">
        <v>334300</v>
      </c>
      <c r="H1561" s="438">
        <f>SUM(H1548:H1560)</f>
        <v>251685.68999999997</v>
      </c>
      <c r="I1561" s="438">
        <f>SUM(I1548:I1560)</f>
        <v>319875.64999999997</v>
      </c>
      <c r="J1561" s="438">
        <f t="shared" ref="J1561" si="662">SUM(J1548:J1560)</f>
        <v>363702.42</v>
      </c>
    </row>
    <row r="1562" spans="1:10" ht="13.5" customHeight="1" x14ac:dyDescent="0.25">
      <c r="A1562" s="1"/>
      <c r="B1562" s="1"/>
      <c r="C1562" s="1"/>
      <c r="D1562" s="437"/>
      <c r="E1562" s="437"/>
      <c r="F1562" s="466"/>
      <c r="G1562" s="437"/>
      <c r="H1562" s="437"/>
      <c r="I1562" s="437"/>
      <c r="J1562" s="437"/>
    </row>
    <row r="1563" spans="1:10" ht="13.5" customHeight="1" x14ac:dyDescent="0.25">
      <c r="A1563" s="1"/>
      <c r="B1563" s="1" t="s">
        <v>1447</v>
      </c>
      <c r="C1563" s="1" t="s">
        <v>1448</v>
      </c>
      <c r="D1563" s="437">
        <v>8000</v>
      </c>
      <c r="E1563" s="437">
        <v>2318.1999999999998</v>
      </c>
      <c r="F1563" s="466"/>
      <c r="G1563" s="437">
        <v>6500</v>
      </c>
      <c r="H1563" s="437">
        <v>8095.55</v>
      </c>
      <c r="I1563" s="437">
        <v>13296.35</v>
      </c>
      <c r="J1563" s="437">
        <v>10400</v>
      </c>
    </row>
    <row r="1564" spans="1:10" ht="13.5" customHeight="1" x14ac:dyDescent="0.25">
      <c r="A1564" s="1"/>
      <c r="B1564" s="1" t="s">
        <v>1449</v>
      </c>
      <c r="C1564" s="1" t="s">
        <v>917</v>
      </c>
      <c r="D1564" s="437">
        <v>500</v>
      </c>
      <c r="E1564" s="440"/>
      <c r="F1564" s="468"/>
      <c r="G1564" s="440">
        <v>500</v>
      </c>
      <c r="H1564" s="439">
        <v>0</v>
      </c>
      <c r="I1564" s="439">
        <v>0</v>
      </c>
      <c r="J1564" s="440">
        <v>0</v>
      </c>
    </row>
    <row r="1565" spans="1:10" ht="13.5" customHeight="1" x14ac:dyDescent="0.25">
      <c r="A1565" s="1"/>
      <c r="B1565" s="1" t="s">
        <v>1450</v>
      </c>
      <c r="C1565" s="1" t="s">
        <v>497</v>
      </c>
      <c r="D1565" s="437">
        <v>3500</v>
      </c>
      <c r="E1565" s="440"/>
      <c r="F1565" s="468"/>
      <c r="G1565" s="440">
        <v>3500</v>
      </c>
      <c r="H1565" s="439">
        <v>0</v>
      </c>
      <c r="I1565" s="440">
        <v>0</v>
      </c>
      <c r="J1565" s="440">
        <v>0</v>
      </c>
    </row>
    <row r="1566" spans="1:10" ht="13.5" customHeight="1" x14ac:dyDescent="0.25">
      <c r="A1566" s="1"/>
      <c r="B1566" s="1" t="s">
        <v>1451</v>
      </c>
      <c r="C1566" s="1" t="s">
        <v>1452</v>
      </c>
      <c r="D1566" s="437">
        <v>40000</v>
      </c>
      <c r="E1566" s="437">
        <v>8042.88</v>
      </c>
      <c r="F1566" s="466"/>
      <c r="G1566" s="437">
        <v>40000</v>
      </c>
      <c r="H1566" s="437">
        <v>36371.58</v>
      </c>
      <c r="I1566" s="437">
        <v>0</v>
      </c>
      <c r="J1566" s="437">
        <v>0</v>
      </c>
    </row>
    <row r="1567" spans="1:10" ht="13.5" customHeight="1" x14ac:dyDescent="0.25">
      <c r="A1567" s="1"/>
      <c r="B1567" s="1" t="s">
        <v>1453</v>
      </c>
      <c r="C1567" s="1" t="s">
        <v>279</v>
      </c>
      <c r="D1567" s="437">
        <v>12500</v>
      </c>
      <c r="E1567" s="437">
        <v>353.85</v>
      </c>
      <c r="F1567" s="466"/>
      <c r="G1567" s="437">
        <v>10000</v>
      </c>
      <c r="H1567" s="437">
        <v>13799.91</v>
      </c>
      <c r="I1567" s="437">
        <v>15589.4</v>
      </c>
      <c r="J1567" s="437">
        <v>11383.04</v>
      </c>
    </row>
    <row r="1568" spans="1:10" ht="13.5" customHeight="1" x14ac:dyDescent="0.25">
      <c r="A1568" s="1"/>
      <c r="B1568" s="1" t="s">
        <v>1454</v>
      </c>
      <c r="C1568" s="1" t="s">
        <v>329</v>
      </c>
      <c r="D1568" s="437">
        <v>2800</v>
      </c>
      <c r="E1568" s="437">
        <v>619.24</v>
      </c>
      <c r="F1568" s="466"/>
      <c r="G1568" s="437">
        <v>2800</v>
      </c>
      <c r="H1568" s="437">
        <v>1641.72</v>
      </c>
      <c r="I1568" s="437">
        <v>1993.87</v>
      </c>
      <c r="J1568" s="437">
        <v>2099.25</v>
      </c>
    </row>
    <row r="1569" spans="1:10" ht="13.5" customHeight="1" x14ac:dyDescent="0.25">
      <c r="A1569" s="1"/>
      <c r="B1569" s="1" t="s">
        <v>1455</v>
      </c>
      <c r="C1569" s="1" t="s">
        <v>1456</v>
      </c>
      <c r="D1569" s="437">
        <v>40000</v>
      </c>
      <c r="E1569" s="437">
        <v>7969.42</v>
      </c>
      <c r="F1569" s="466"/>
      <c r="G1569" s="437">
        <v>40000</v>
      </c>
      <c r="H1569" s="437">
        <v>9875.42</v>
      </c>
      <c r="I1569" s="437">
        <v>1512509.74</v>
      </c>
      <c r="J1569" s="437">
        <v>10553.45</v>
      </c>
    </row>
    <row r="1570" spans="1:10" ht="13.5" customHeight="1" x14ac:dyDescent="0.25">
      <c r="A1570" s="1"/>
      <c r="B1570" s="1" t="s">
        <v>1457</v>
      </c>
      <c r="C1570" s="1" t="s">
        <v>281</v>
      </c>
      <c r="D1570" s="437">
        <v>500</v>
      </c>
      <c r="E1570" s="440"/>
      <c r="F1570" s="468"/>
      <c r="G1570" s="440">
        <v>500</v>
      </c>
      <c r="H1570" s="439">
        <v>370.57</v>
      </c>
      <c r="I1570" s="439">
        <v>733.8</v>
      </c>
      <c r="J1570" s="437">
        <v>31.3</v>
      </c>
    </row>
    <row r="1571" spans="1:10" ht="13.5" customHeight="1" x14ac:dyDescent="0.25">
      <c r="A1571" s="1"/>
      <c r="B1571" s="1" t="s">
        <v>1458</v>
      </c>
      <c r="C1571" s="1" t="s">
        <v>283</v>
      </c>
      <c r="D1571" s="437">
        <v>10000</v>
      </c>
      <c r="E1571" s="437">
        <v>3127</v>
      </c>
      <c r="F1571" s="466"/>
      <c r="G1571" s="437">
        <v>10000</v>
      </c>
      <c r="H1571" s="437">
        <v>1660.94</v>
      </c>
      <c r="I1571" s="437">
        <v>11495.38</v>
      </c>
      <c r="J1571" s="437">
        <v>7590.49</v>
      </c>
    </row>
    <row r="1572" spans="1:10" ht="13.5" customHeight="1" x14ac:dyDescent="0.25">
      <c r="A1572" s="1"/>
      <c r="B1572" s="1" t="s">
        <v>1459</v>
      </c>
      <c r="C1572" s="1" t="s">
        <v>502</v>
      </c>
      <c r="D1572" s="437">
        <v>10000</v>
      </c>
      <c r="E1572" s="437">
        <v>4015.23</v>
      </c>
      <c r="F1572" s="466"/>
      <c r="G1572" s="437">
        <v>10000</v>
      </c>
      <c r="H1572" s="437">
        <v>9292.6299999999992</v>
      </c>
      <c r="I1572" s="437">
        <v>9086.25</v>
      </c>
      <c r="J1572" s="437">
        <v>9009.4500000000007</v>
      </c>
    </row>
    <row r="1573" spans="1:10" ht="13.5" customHeight="1" x14ac:dyDescent="0.25">
      <c r="A1573" s="1"/>
      <c r="B1573" s="1" t="s">
        <v>1460</v>
      </c>
      <c r="C1573" s="1" t="s">
        <v>1461</v>
      </c>
      <c r="D1573" s="437">
        <v>1500</v>
      </c>
      <c r="E1573" s="437">
        <v>901.82</v>
      </c>
      <c r="F1573" s="466"/>
      <c r="G1573" s="437">
        <v>1493</v>
      </c>
      <c r="H1573" s="437">
        <v>1682.72</v>
      </c>
      <c r="I1573" s="437">
        <v>5293.91</v>
      </c>
      <c r="J1573" s="437">
        <v>5900.53</v>
      </c>
    </row>
    <row r="1574" spans="1:10" ht="13.5" customHeight="1" x14ac:dyDescent="0.25">
      <c r="A1574" s="1"/>
      <c r="B1574" s="1" t="s">
        <v>1462</v>
      </c>
      <c r="C1574" s="1" t="s">
        <v>337</v>
      </c>
      <c r="D1574" s="437">
        <v>200</v>
      </c>
      <c r="E1574" s="440"/>
      <c r="F1574" s="468"/>
      <c r="G1574" s="440">
        <v>200</v>
      </c>
      <c r="H1574" s="439">
        <v>0</v>
      </c>
      <c r="I1574" s="439">
        <v>0</v>
      </c>
      <c r="J1574" s="440">
        <v>0</v>
      </c>
    </row>
    <row r="1575" spans="1:10" ht="13.5" customHeight="1" x14ac:dyDescent="0.25">
      <c r="A1575" s="1"/>
      <c r="B1575" s="1" t="s">
        <v>1463</v>
      </c>
      <c r="C1575" s="1" t="s">
        <v>1464</v>
      </c>
      <c r="D1575" s="437">
        <v>2000</v>
      </c>
      <c r="E1575" s="437">
        <v>839.52</v>
      </c>
      <c r="F1575" s="466"/>
      <c r="G1575" s="437">
        <v>2000</v>
      </c>
      <c r="H1575" s="437">
        <v>1627.69</v>
      </c>
      <c r="I1575" s="437">
        <v>1699.29</v>
      </c>
      <c r="J1575" s="437">
        <v>1617.8</v>
      </c>
    </row>
    <row r="1576" spans="1:10" ht="13.5" customHeight="1" x14ac:dyDescent="0.25">
      <c r="A1576" s="1"/>
      <c r="B1576" s="1" t="s">
        <v>1465</v>
      </c>
      <c r="C1576" s="1" t="s">
        <v>1161</v>
      </c>
      <c r="D1576" s="437">
        <v>2000</v>
      </c>
      <c r="E1576" s="437">
        <v>1557.95</v>
      </c>
      <c r="F1576" s="466"/>
      <c r="G1576" s="437">
        <v>2000</v>
      </c>
      <c r="H1576" s="437">
        <v>0</v>
      </c>
      <c r="I1576" s="437">
        <v>1270.8499999999999</v>
      </c>
      <c r="J1576" s="437">
        <v>820.93</v>
      </c>
    </row>
    <row r="1577" spans="1:10" ht="13.5" customHeight="1" x14ac:dyDescent="0.25">
      <c r="A1577" s="1"/>
      <c r="B1577" s="1" t="s">
        <v>1466</v>
      </c>
      <c r="C1577" s="1" t="s">
        <v>509</v>
      </c>
      <c r="D1577" s="437">
        <v>50000</v>
      </c>
      <c r="E1577" s="437">
        <v>19967.349999999999</v>
      </c>
      <c r="F1577" s="466"/>
      <c r="G1577" s="437">
        <v>50000</v>
      </c>
      <c r="H1577" s="437">
        <v>32296.93</v>
      </c>
      <c r="I1577" s="437">
        <v>41263.46</v>
      </c>
      <c r="J1577" s="437">
        <v>39747.72</v>
      </c>
    </row>
    <row r="1578" spans="1:10" ht="13.5" customHeight="1" x14ac:dyDescent="0.25">
      <c r="A1578" s="1"/>
      <c r="B1578" s="1" t="s">
        <v>1467</v>
      </c>
      <c r="C1578" s="1" t="s">
        <v>619</v>
      </c>
      <c r="D1578" s="437">
        <v>0</v>
      </c>
      <c r="E1578" s="439">
        <v>0</v>
      </c>
      <c r="F1578" s="468"/>
      <c r="G1578" s="440">
        <v>0</v>
      </c>
      <c r="H1578" s="439">
        <v>12070</v>
      </c>
      <c r="I1578" s="439">
        <v>7936.87</v>
      </c>
      <c r="J1578" s="437">
        <v>5550</v>
      </c>
    </row>
    <row r="1579" spans="1:10" ht="13.5" customHeight="1" x14ac:dyDescent="0.25">
      <c r="A1579" s="1"/>
      <c r="B1579" s="1" t="s">
        <v>1468</v>
      </c>
      <c r="C1579" s="1" t="s">
        <v>840</v>
      </c>
      <c r="D1579" s="437">
        <v>7700</v>
      </c>
      <c r="E1579" s="437">
        <v>3281.96</v>
      </c>
      <c r="F1579" s="466"/>
      <c r="G1579" s="437">
        <v>7000</v>
      </c>
      <c r="H1579" s="437">
        <v>7712.72</v>
      </c>
      <c r="I1579" s="437">
        <v>7339.27</v>
      </c>
      <c r="J1579" s="437">
        <v>6998.76</v>
      </c>
    </row>
    <row r="1580" spans="1:10" ht="13.5" customHeight="1" x14ac:dyDescent="0.25">
      <c r="A1580" s="1"/>
      <c r="B1580" s="1" t="s">
        <v>1469</v>
      </c>
      <c r="C1580" s="1" t="s">
        <v>1470</v>
      </c>
      <c r="D1580" s="437">
        <v>2000</v>
      </c>
      <c r="E1580" s="439">
        <v>1197.01</v>
      </c>
      <c r="F1580" s="468"/>
      <c r="G1580" s="440">
        <v>2000</v>
      </c>
      <c r="H1580" s="439">
        <v>2488.19</v>
      </c>
      <c r="I1580" s="439">
        <v>1525.21</v>
      </c>
      <c r="J1580" s="437">
        <v>450</v>
      </c>
    </row>
    <row r="1581" spans="1:10" ht="13.5" customHeight="1" x14ac:dyDescent="0.25">
      <c r="A1581" s="1"/>
      <c r="B1581" s="1" t="s">
        <v>1471</v>
      </c>
      <c r="C1581" s="1" t="s">
        <v>287</v>
      </c>
      <c r="D1581" s="437">
        <v>1500</v>
      </c>
      <c r="E1581" s="437">
        <v>1397.5</v>
      </c>
      <c r="F1581" s="466"/>
      <c r="G1581" s="437">
        <v>1500</v>
      </c>
      <c r="H1581" s="437">
        <v>1916</v>
      </c>
      <c r="I1581" s="437">
        <v>1007</v>
      </c>
      <c r="J1581" s="437">
        <v>1561</v>
      </c>
    </row>
    <row r="1582" spans="1:10" ht="13.5" customHeight="1" x14ac:dyDescent="0.25">
      <c r="A1582" s="1"/>
      <c r="B1582" s="1" t="s">
        <v>1472</v>
      </c>
      <c r="C1582" s="1" t="s">
        <v>348</v>
      </c>
      <c r="D1582" s="437">
        <v>0</v>
      </c>
      <c r="E1582" s="437"/>
      <c r="F1582" s="466"/>
      <c r="G1582" s="437">
        <v>0</v>
      </c>
      <c r="H1582" s="437">
        <v>0</v>
      </c>
      <c r="I1582" s="437">
        <v>375</v>
      </c>
      <c r="J1582" s="437">
        <v>550</v>
      </c>
    </row>
    <row r="1583" spans="1:10" ht="13.5" customHeight="1" x14ac:dyDescent="0.25">
      <c r="A1583" s="1"/>
      <c r="B1583" s="1" t="s">
        <v>1473</v>
      </c>
      <c r="C1583" s="1" t="s">
        <v>289</v>
      </c>
      <c r="D1583" s="437">
        <v>16000</v>
      </c>
      <c r="E1583" s="437">
        <v>5533.19</v>
      </c>
      <c r="F1583" s="466"/>
      <c r="G1583" s="437">
        <v>16000</v>
      </c>
      <c r="H1583" s="437">
        <v>12489.98</v>
      </c>
      <c r="I1583" s="437">
        <v>16068.02</v>
      </c>
      <c r="J1583" s="437">
        <v>15112.54</v>
      </c>
    </row>
    <row r="1584" spans="1:10" ht="13.5" customHeight="1" x14ac:dyDescent="0.25">
      <c r="A1584" s="1"/>
      <c r="B1584" s="1" t="s">
        <v>1474</v>
      </c>
      <c r="C1584" s="1" t="s">
        <v>1475</v>
      </c>
      <c r="D1584" s="437">
        <v>500</v>
      </c>
      <c r="E1584" s="440"/>
      <c r="F1584" s="468"/>
      <c r="G1584" s="440">
        <v>500</v>
      </c>
      <c r="H1584" s="439">
        <v>0</v>
      </c>
      <c r="I1584" s="439">
        <v>67.87</v>
      </c>
      <c r="J1584" s="440">
        <v>0</v>
      </c>
    </row>
    <row r="1585" spans="1:10" ht="13.5" customHeight="1" x14ac:dyDescent="0.25">
      <c r="A1585" s="1"/>
      <c r="B1585" s="1"/>
      <c r="C1585" s="1"/>
      <c r="D1585" s="438">
        <v>211200</v>
      </c>
      <c r="E1585" s="438">
        <f t="shared" ref="E1585" si="663">SUM(E1563:E1584)</f>
        <v>61122.12</v>
      </c>
      <c r="F1585" s="467"/>
      <c r="G1585" s="438">
        <v>206493</v>
      </c>
      <c r="H1585" s="438">
        <f>SUM(H1563:H1584)</f>
        <v>153392.55000000005</v>
      </c>
      <c r="I1585" s="438">
        <f>SUM(I1563:I1584)</f>
        <v>1648551.5400000003</v>
      </c>
      <c r="J1585" s="438">
        <f t="shared" ref="J1585" si="664">SUM(J1563:J1584)</f>
        <v>129376.26000000001</v>
      </c>
    </row>
    <row r="1586" spans="1:10" ht="13.5" customHeight="1" x14ac:dyDescent="0.25">
      <c r="A1586" s="1"/>
      <c r="B1586" s="1"/>
      <c r="C1586" s="1"/>
      <c r="D1586" s="437"/>
      <c r="E1586" s="440"/>
      <c r="F1586" s="468"/>
      <c r="G1586" s="440"/>
      <c r="H1586" s="440"/>
      <c r="I1586" s="440"/>
      <c r="J1586" s="440"/>
    </row>
    <row r="1587" spans="1:10" ht="13.5" customHeight="1" x14ac:dyDescent="0.25">
      <c r="A1587" s="1"/>
      <c r="B1587" s="22" t="s">
        <v>1476</v>
      </c>
      <c r="C1587" s="22" t="s">
        <v>1477</v>
      </c>
      <c r="D1587" s="437">
        <v>0</v>
      </c>
      <c r="E1587" s="437">
        <v>1540318.12</v>
      </c>
      <c r="F1587" s="466"/>
      <c r="G1587" s="437">
        <v>0</v>
      </c>
      <c r="H1587" s="437">
        <v>1685314.19</v>
      </c>
      <c r="I1587" s="437">
        <v>491162.89</v>
      </c>
      <c r="J1587" s="437">
        <v>240003.8</v>
      </c>
    </row>
    <row r="1588" spans="1:10" ht="13.5" customHeight="1" x14ac:dyDescent="0.25">
      <c r="A1588" s="1"/>
      <c r="B1588" s="1" t="s">
        <v>1478</v>
      </c>
      <c r="C1588" s="1" t="s">
        <v>1315</v>
      </c>
      <c r="D1588" s="437">
        <v>400000</v>
      </c>
      <c r="E1588" s="437">
        <v>7225.14</v>
      </c>
      <c r="F1588" s="466"/>
      <c r="G1588" s="437">
        <v>300000</v>
      </c>
      <c r="H1588" s="437">
        <v>409082.24</v>
      </c>
      <c r="I1588" s="437">
        <v>491162.89</v>
      </c>
      <c r="J1588" s="437">
        <v>240003.8</v>
      </c>
    </row>
    <row r="1589" spans="1:10" ht="13.5" customHeight="1" x14ac:dyDescent="0.25">
      <c r="A1589" s="1"/>
      <c r="B1589" s="1" t="s">
        <v>1479</v>
      </c>
      <c r="C1589" s="1" t="s">
        <v>352</v>
      </c>
      <c r="D1589" s="437">
        <v>15000</v>
      </c>
      <c r="E1589" s="440"/>
      <c r="F1589" s="468"/>
      <c r="G1589" s="440">
        <v>15000</v>
      </c>
      <c r="H1589" s="439">
        <v>0</v>
      </c>
      <c r="I1589" s="440">
        <v>0</v>
      </c>
      <c r="J1589" s="440">
        <v>0</v>
      </c>
    </row>
    <row r="1590" spans="1:10" ht="13.5" customHeight="1" x14ac:dyDescent="0.25">
      <c r="A1590" s="1"/>
      <c r="B1590" s="1"/>
      <c r="C1590" s="1"/>
      <c r="D1590" s="438">
        <v>415000</v>
      </c>
      <c r="E1590" s="438">
        <f t="shared" ref="E1590" si="665">SUM(E1587:E1589)</f>
        <v>1547543.26</v>
      </c>
      <c r="F1590" s="467"/>
      <c r="G1590" s="438">
        <v>315000</v>
      </c>
      <c r="H1590" s="438">
        <f>SUM(H1587:H1589)</f>
        <v>2094396.43</v>
      </c>
      <c r="I1590" s="438">
        <f>SUM(I1587:I1589)</f>
        <v>982325.78</v>
      </c>
      <c r="J1590" s="438">
        <f t="shared" ref="J1590" si="666">SUM(J1587:J1589)</f>
        <v>480007.6</v>
      </c>
    </row>
    <row r="1591" spans="1:10" ht="13.5" customHeight="1" x14ac:dyDescent="0.25">
      <c r="A1591" s="1"/>
      <c r="B1591" s="1"/>
      <c r="C1591" s="1"/>
      <c r="D1591" s="437"/>
      <c r="E1591" s="440"/>
      <c r="F1591" s="468"/>
      <c r="G1591" s="440"/>
      <c r="H1591" s="440"/>
      <c r="I1591" s="440"/>
      <c r="J1591" s="440"/>
    </row>
    <row r="1592" spans="1:10" ht="13.5" customHeight="1" x14ac:dyDescent="0.25">
      <c r="A1592" s="1"/>
      <c r="B1592" s="1" t="s">
        <v>1480</v>
      </c>
      <c r="C1592" s="1" t="s">
        <v>1481</v>
      </c>
      <c r="D1592" s="437">
        <v>1000</v>
      </c>
      <c r="E1592" s="440"/>
      <c r="F1592" s="468"/>
      <c r="G1592" s="440">
        <v>1000</v>
      </c>
      <c r="H1592" s="439">
        <v>0</v>
      </c>
      <c r="I1592" s="440">
        <v>0</v>
      </c>
      <c r="J1592" s="440">
        <v>0</v>
      </c>
    </row>
    <row r="1593" spans="1:10" ht="13.5" customHeight="1" x14ac:dyDescent="0.25">
      <c r="A1593" s="1"/>
      <c r="B1593" s="1"/>
      <c r="C1593" s="1"/>
      <c r="D1593" s="438">
        <v>1000</v>
      </c>
      <c r="E1593" s="438">
        <f t="shared" ref="E1593" si="667">SUM(E1592)</f>
        <v>0</v>
      </c>
      <c r="F1593" s="467"/>
      <c r="G1593" s="438">
        <v>1000</v>
      </c>
      <c r="H1593" s="438">
        <f>SUM(H1592)</f>
        <v>0</v>
      </c>
      <c r="I1593" s="438">
        <f>SUM(I1592)</f>
        <v>0</v>
      </c>
      <c r="J1593" s="438">
        <f t="shared" ref="J1593" si="668">SUM(J1592)</f>
        <v>0</v>
      </c>
    </row>
    <row r="1594" spans="1:10" ht="13.5" customHeight="1" thickBot="1" x14ac:dyDescent="0.3">
      <c r="A1594" s="1"/>
      <c r="B1594" s="1"/>
      <c r="C1594" s="1" t="s">
        <v>1482</v>
      </c>
      <c r="D1594" s="451">
        <v>6514629.4417999992</v>
      </c>
      <c r="E1594" s="451">
        <f t="shared" ref="E1594" si="669">SUM(E1537+E1546+E1561+E1585+E1590+E1593)</f>
        <v>4176635.0699999994</v>
      </c>
      <c r="F1594" s="478"/>
      <c r="G1594" s="451">
        <f>SUM(G1537+G1546+G1561+G1585+G1590+G1593)</f>
        <v>5786865.2800000003</v>
      </c>
      <c r="H1594" s="451">
        <f>SUM(H1537+H1546+H1561+H1585+H1590+H1593)</f>
        <v>7346601.46</v>
      </c>
      <c r="I1594" s="451">
        <f>SUM(I1537+I1546+I1561+I1585+I1590+I1593)</f>
        <v>7412615.790000001</v>
      </c>
      <c r="J1594" s="451">
        <f t="shared" ref="J1594" si="670">SUM(J1537+J1546+J1561+J1585+J1590+J1593)</f>
        <v>5218717.8199999994</v>
      </c>
    </row>
    <row r="1595" spans="1:10" ht="13.5" customHeight="1" thickTop="1" x14ac:dyDescent="0.25">
      <c r="A1595" s="1"/>
      <c r="B1595" s="1"/>
      <c r="C1595" s="1"/>
      <c r="D1595" s="437"/>
      <c r="E1595" s="440"/>
      <c r="F1595" s="468"/>
      <c r="G1595" s="440"/>
      <c r="H1595" s="440"/>
      <c r="I1595" s="440"/>
      <c r="J1595" s="440"/>
    </row>
    <row r="1596" spans="1:10" ht="13.5" customHeight="1" x14ac:dyDescent="0.25">
      <c r="A1596" s="28"/>
      <c r="B1596" s="28"/>
      <c r="C1596" s="28"/>
      <c r="D1596" s="437"/>
      <c r="E1596" s="440"/>
      <c r="F1596" s="468"/>
      <c r="G1596" s="440"/>
      <c r="H1596" s="440"/>
      <c r="I1596" s="440"/>
      <c r="J1596" s="440"/>
    </row>
    <row r="1597" spans="1:10" ht="13.5" customHeight="1" x14ac:dyDescent="0.25">
      <c r="A1597" s="1"/>
      <c r="B1597" s="1"/>
      <c r="C1597" s="14" t="s">
        <v>1483</v>
      </c>
      <c r="D1597" s="437"/>
      <c r="E1597" s="440"/>
      <c r="F1597" s="468"/>
      <c r="G1597" s="440"/>
      <c r="H1597" s="440"/>
      <c r="I1597" s="440"/>
      <c r="J1597" s="440"/>
    </row>
    <row r="1598" spans="1:10" ht="13.5" customHeight="1" x14ac:dyDescent="0.25">
      <c r="A1598" s="1"/>
      <c r="B1598" s="1" t="s">
        <v>1484</v>
      </c>
      <c r="C1598" s="1" t="s">
        <v>488</v>
      </c>
      <c r="D1598" s="437">
        <v>0</v>
      </c>
      <c r="E1598" s="439">
        <v>0</v>
      </c>
      <c r="F1598" s="468"/>
      <c r="G1598" s="440">
        <v>0</v>
      </c>
      <c r="H1598" s="439">
        <v>0</v>
      </c>
      <c r="I1598" s="439">
        <v>46.67</v>
      </c>
      <c r="J1598" s="437">
        <v>69.48</v>
      </c>
    </row>
    <row r="1599" spans="1:10" ht="13.5" customHeight="1" x14ac:dyDescent="0.25">
      <c r="A1599" s="1"/>
      <c r="B1599" s="1" t="s">
        <v>1485</v>
      </c>
      <c r="C1599" s="1" t="s">
        <v>283</v>
      </c>
      <c r="D1599" s="437">
        <v>17683</v>
      </c>
      <c r="E1599" s="437">
        <v>0</v>
      </c>
      <c r="F1599" s="466"/>
      <c r="G1599" s="437">
        <v>17683</v>
      </c>
      <c r="H1599" s="437">
        <v>2101.4899999999998</v>
      </c>
      <c r="I1599" s="437">
        <v>7425.93</v>
      </c>
      <c r="J1599" s="437">
        <v>6567.18</v>
      </c>
    </row>
    <row r="1600" spans="1:10" ht="13.5" customHeight="1" thickBot="1" x14ac:dyDescent="0.3">
      <c r="A1600" s="1"/>
      <c r="B1600" s="1"/>
      <c r="C1600" s="39" t="s">
        <v>1486</v>
      </c>
      <c r="D1600" s="451">
        <v>17683</v>
      </c>
      <c r="E1600" s="451">
        <f t="shared" ref="E1600" si="671">SUM(E1598:E1599)</f>
        <v>0</v>
      </c>
      <c r="F1600" s="478"/>
      <c r="G1600" s="451">
        <v>17683</v>
      </c>
      <c r="H1600" s="451">
        <f>SUM(H1598:H1599)</f>
        <v>2101.4899999999998</v>
      </c>
      <c r="I1600" s="451">
        <f>SUM(I1598:I1599)</f>
        <v>7472.6</v>
      </c>
      <c r="J1600" s="451">
        <f t="shared" ref="J1600" si="672">SUM(J1598:J1599)</f>
        <v>6636.66</v>
      </c>
    </row>
    <row r="1601" spans="1:10" ht="13.5" customHeight="1" thickTop="1" x14ac:dyDescent="0.25">
      <c r="A1601" s="1"/>
      <c r="B1601" s="1"/>
      <c r="C1601" s="1"/>
      <c r="D1601" s="437"/>
      <c r="E1601" s="437"/>
      <c r="F1601" s="466"/>
      <c r="G1601" s="437"/>
      <c r="H1601" s="437"/>
      <c r="I1601" s="437"/>
      <c r="J1601" s="437"/>
    </row>
    <row r="1602" spans="1:10" ht="13.5" customHeight="1" x14ac:dyDescent="0.25">
      <c r="A1602" s="1"/>
      <c r="B1602" s="1"/>
      <c r="C1602" s="1"/>
      <c r="D1602" s="437"/>
      <c r="E1602" s="437"/>
      <c r="F1602" s="466"/>
      <c r="G1602" s="437"/>
      <c r="H1602" s="437"/>
      <c r="I1602" s="437"/>
      <c r="J1602" s="437"/>
    </row>
    <row r="1603" spans="1:10" ht="13.5" customHeight="1" x14ac:dyDescent="0.25">
      <c r="A1603" s="1"/>
      <c r="B1603" s="1"/>
      <c r="C1603" s="14" t="s">
        <v>1487</v>
      </c>
      <c r="D1603" s="437"/>
      <c r="E1603" s="437"/>
      <c r="F1603" s="466"/>
      <c r="G1603" s="437"/>
      <c r="H1603" s="437"/>
      <c r="I1603" s="437"/>
      <c r="J1603" s="437"/>
    </row>
    <row r="1604" spans="1:10" ht="13.5" customHeight="1" x14ac:dyDescent="0.25">
      <c r="A1604" s="1"/>
      <c r="B1604" s="1" t="s">
        <v>1488</v>
      </c>
      <c r="C1604" s="1" t="s">
        <v>1151</v>
      </c>
      <c r="D1604" s="437">
        <v>0</v>
      </c>
      <c r="E1604" s="440"/>
      <c r="F1604" s="468"/>
      <c r="G1604" s="440">
        <v>0</v>
      </c>
      <c r="H1604" s="439">
        <v>0</v>
      </c>
      <c r="I1604" s="440">
        <v>0</v>
      </c>
      <c r="J1604" s="437">
        <v>10800</v>
      </c>
    </row>
    <row r="1605" spans="1:10" ht="13.5" customHeight="1" x14ac:dyDescent="0.25">
      <c r="A1605" s="1"/>
      <c r="B1605" s="1" t="s">
        <v>1489</v>
      </c>
      <c r="C1605" s="1" t="s">
        <v>273</v>
      </c>
      <c r="D1605" s="437">
        <v>0</v>
      </c>
      <c r="E1605" s="439">
        <v>19475.46</v>
      </c>
      <c r="F1605" s="468"/>
      <c r="G1605" s="439">
        <v>0</v>
      </c>
      <c r="H1605" s="439">
        <v>34490.1</v>
      </c>
      <c r="I1605" s="440"/>
      <c r="J1605" s="437"/>
    </row>
    <row r="1606" spans="1:10" ht="13.5" customHeight="1" x14ac:dyDescent="0.25">
      <c r="A1606" s="1"/>
      <c r="B1606" s="22" t="s">
        <v>1490</v>
      </c>
      <c r="C1606" s="22" t="s">
        <v>275</v>
      </c>
      <c r="D1606" s="437">
        <v>0</v>
      </c>
      <c r="E1606" s="439"/>
      <c r="F1606" s="468"/>
      <c r="G1606" s="440">
        <v>0</v>
      </c>
      <c r="H1606" s="439">
        <v>0</v>
      </c>
      <c r="I1606" s="440">
        <v>0</v>
      </c>
      <c r="J1606" s="437">
        <v>1499.98</v>
      </c>
    </row>
    <row r="1607" spans="1:10" ht="13.5" customHeight="1" thickBot="1" x14ac:dyDescent="0.3">
      <c r="A1607" s="1"/>
      <c r="B1607" s="1"/>
      <c r="C1607" s="39" t="s">
        <v>1491</v>
      </c>
      <c r="D1607" s="453">
        <v>0</v>
      </c>
      <c r="E1607" s="453">
        <f t="shared" ref="E1607" si="673">SUM(E1604:E1606)</f>
        <v>19475.46</v>
      </c>
      <c r="F1607" s="479"/>
      <c r="G1607" s="453">
        <v>0</v>
      </c>
      <c r="H1607" s="453">
        <f>SUM(H1604:H1606)</f>
        <v>34490.1</v>
      </c>
      <c r="I1607" s="453">
        <f>SUM(I1604:I1606)</f>
        <v>0</v>
      </c>
      <c r="J1607" s="453">
        <f t="shared" ref="J1607" si="674">SUM(J1604:J1606)</f>
        <v>12299.98</v>
      </c>
    </row>
    <row r="1608" spans="1:10" ht="13.5" customHeight="1" thickTop="1" x14ac:dyDescent="0.25">
      <c r="A1608" s="1"/>
      <c r="B1608" s="1"/>
      <c r="C1608" s="1"/>
      <c r="D1608" s="440"/>
      <c r="E1608" s="440"/>
      <c r="F1608" s="468"/>
      <c r="G1608" s="440"/>
      <c r="H1608" s="440"/>
      <c r="I1608" s="440"/>
      <c r="J1608" s="437"/>
    </row>
    <row r="1609" spans="1:10" ht="13.5" customHeight="1" x14ac:dyDescent="0.25">
      <c r="A1609" s="1"/>
      <c r="B1609" s="1"/>
      <c r="C1609" s="48" t="s">
        <v>1492</v>
      </c>
      <c r="D1609" s="440"/>
      <c r="E1609" s="440"/>
      <c r="F1609" s="468"/>
      <c r="G1609" s="440"/>
      <c r="H1609" s="440"/>
      <c r="I1609" s="440"/>
      <c r="J1609" s="437"/>
    </row>
    <row r="1610" spans="1:10" ht="13.5" customHeight="1" x14ac:dyDescent="0.25">
      <c r="A1610" s="1"/>
      <c r="B1610" s="22" t="s">
        <v>1493</v>
      </c>
      <c r="C1610" s="22" t="s">
        <v>279</v>
      </c>
      <c r="D1610" s="437">
        <v>0</v>
      </c>
      <c r="E1610" s="439">
        <v>4642.78</v>
      </c>
      <c r="F1610" s="468"/>
      <c r="G1610" s="439">
        <v>0</v>
      </c>
      <c r="H1610" s="439">
        <v>18606.939999999999</v>
      </c>
      <c r="I1610" s="439">
        <v>4654.72</v>
      </c>
      <c r="J1610" s="437">
        <v>0</v>
      </c>
    </row>
    <row r="1611" spans="1:10" ht="13.5" customHeight="1" thickBot="1" x14ac:dyDescent="0.3">
      <c r="A1611" s="1"/>
      <c r="B1611" s="1"/>
      <c r="C1611" s="48" t="s">
        <v>1494</v>
      </c>
      <c r="D1611" s="453">
        <v>0</v>
      </c>
      <c r="E1611" s="453">
        <f>SUM(E1610)</f>
        <v>4642.78</v>
      </c>
      <c r="F1611" s="479"/>
      <c r="G1611" s="453">
        <v>0</v>
      </c>
      <c r="H1611" s="453">
        <f t="shared" ref="H1611" si="675">SUM(H1609:H1610)</f>
        <v>18606.939999999999</v>
      </c>
      <c r="I1611" s="453">
        <f>SUM(I1609:I1610)</f>
        <v>4654.72</v>
      </c>
      <c r="J1611" s="453">
        <f t="shared" ref="J1611" si="676">SUM(J1609:J1610)</f>
        <v>0</v>
      </c>
    </row>
    <row r="1612" spans="1:10" ht="13.5" customHeight="1" thickTop="1" x14ac:dyDescent="0.25">
      <c r="A1612" s="1"/>
      <c r="B1612" s="1"/>
      <c r="C1612" s="1"/>
      <c r="D1612" s="440"/>
      <c r="E1612" s="440"/>
      <c r="F1612" s="468"/>
      <c r="G1612" s="440"/>
      <c r="H1612" s="440"/>
      <c r="I1612" s="440"/>
      <c r="J1612" s="437"/>
    </row>
    <row r="1613" spans="1:10" ht="13.5" customHeight="1" x14ac:dyDescent="0.25">
      <c r="A1613" s="1"/>
      <c r="B1613" s="1"/>
      <c r="C1613" s="1"/>
      <c r="D1613" s="440"/>
      <c r="E1613" s="440"/>
      <c r="F1613" s="468"/>
      <c r="G1613" s="440"/>
      <c r="H1613" s="440"/>
      <c r="I1613" s="440"/>
      <c r="J1613" s="437"/>
    </row>
    <row r="1614" spans="1:10" ht="13.5" customHeight="1" x14ac:dyDescent="0.25">
      <c r="A1614" s="1"/>
      <c r="B1614" s="1"/>
      <c r="C1614" s="14" t="s">
        <v>1495</v>
      </c>
      <c r="D1614" s="440"/>
      <c r="E1614" s="440"/>
      <c r="F1614" s="468"/>
      <c r="G1614" s="440"/>
      <c r="H1614" s="440"/>
      <c r="I1614" s="440"/>
      <c r="J1614" s="437"/>
    </row>
    <row r="1615" spans="1:10" ht="13.5" customHeight="1" x14ac:dyDescent="0.25">
      <c r="A1615" s="1"/>
      <c r="B1615" s="1" t="s">
        <v>1496</v>
      </c>
      <c r="C1615" s="1" t="s">
        <v>1497</v>
      </c>
      <c r="D1615" s="437">
        <v>4237669</v>
      </c>
      <c r="E1615" s="437">
        <v>1725912.52</v>
      </c>
      <c r="F1615" s="466"/>
      <c r="G1615" s="437">
        <v>3620699</v>
      </c>
      <c r="H1615" s="437">
        <v>3667125.96</v>
      </c>
      <c r="I1615" s="437">
        <v>3171900.96</v>
      </c>
      <c r="J1615" s="437">
        <v>2941554.23</v>
      </c>
    </row>
    <row r="1616" spans="1:10" ht="13.5" customHeight="1" x14ac:dyDescent="0.25">
      <c r="A1616" s="1"/>
      <c r="B1616" s="1" t="s">
        <v>1498</v>
      </c>
      <c r="C1616" s="1" t="s">
        <v>443</v>
      </c>
      <c r="D1616" s="437">
        <v>0</v>
      </c>
      <c r="E1616" s="437"/>
      <c r="F1616" s="466"/>
      <c r="G1616" s="437">
        <v>0</v>
      </c>
      <c r="H1616" s="437">
        <v>0</v>
      </c>
      <c r="I1616" s="437">
        <v>76309.279999999999</v>
      </c>
      <c r="J1616" s="437">
        <v>75019.73</v>
      </c>
    </row>
    <row r="1617" spans="1:10" ht="13.5" customHeight="1" x14ac:dyDescent="0.25">
      <c r="A1617" s="1"/>
      <c r="B1617" s="1" t="s">
        <v>1499</v>
      </c>
      <c r="C1617" s="1" t="s">
        <v>1055</v>
      </c>
      <c r="D1617" s="437">
        <v>54000</v>
      </c>
      <c r="E1617" s="437">
        <v>20313.759999999998</v>
      </c>
      <c r="F1617" s="466"/>
      <c r="G1617" s="437">
        <v>54000</v>
      </c>
      <c r="H1617" s="437">
        <v>46950.54</v>
      </c>
      <c r="I1617" s="437">
        <v>111262.18</v>
      </c>
      <c r="J1617" s="437">
        <v>134677.01</v>
      </c>
    </row>
    <row r="1618" spans="1:10" ht="13.5" customHeight="1" x14ac:dyDescent="0.25">
      <c r="A1618" s="1"/>
      <c r="B1618" s="1" t="s">
        <v>1500</v>
      </c>
      <c r="C1618" s="1" t="s">
        <v>479</v>
      </c>
      <c r="D1618" s="437">
        <v>30000</v>
      </c>
      <c r="E1618" s="437">
        <v>32766.35</v>
      </c>
      <c r="F1618" s="466"/>
      <c r="G1618" s="437">
        <v>30000</v>
      </c>
      <c r="H1618" s="437">
        <v>51527.63</v>
      </c>
      <c r="I1618" s="437">
        <v>127611.7</v>
      </c>
      <c r="J1618" s="437">
        <v>99802.84</v>
      </c>
    </row>
    <row r="1619" spans="1:10" ht="13.5" customHeight="1" x14ac:dyDescent="0.25">
      <c r="A1619" s="1"/>
      <c r="B1619" s="1" t="s">
        <v>1501</v>
      </c>
      <c r="C1619" s="1" t="s">
        <v>674</v>
      </c>
      <c r="D1619" s="437">
        <v>5500</v>
      </c>
      <c r="E1619" s="437">
        <v>3211.41</v>
      </c>
      <c r="F1619" s="466"/>
      <c r="G1619" s="437">
        <v>8000</v>
      </c>
      <c r="H1619" s="437">
        <v>6999.72</v>
      </c>
      <c r="I1619" s="437">
        <v>5615.16</v>
      </c>
      <c r="J1619" s="437">
        <v>4672.8900000000003</v>
      </c>
    </row>
    <row r="1620" spans="1:10" ht="13.5" customHeight="1" x14ac:dyDescent="0.25">
      <c r="A1620" s="1"/>
      <c r="B1620" s="1"/>
      <c r="C1620" s="1"/>
      <c r="D1620" s="438">
        <v>4327169</v>
      </c>
      <c r="E1620" s="438">
        <f t="shared" ref="E1620" si="677">SUM(E1615:E1619)</f>
        <v>1782204.04</v>
      </c>
      <c r="F1620" s="467"/>
      <c r="G1620" s="438">
        <v>3712699</v>
      </c>
      <c r="H1620" s="438">
        <f>SUM(H1615:H1619)</f>
        <v>3772603.85</v>
      </c>
      <c r="I1620" s="438">
        <f>SUM(I1615:I1619)</f>
        <v>3492699.2800000003</v>
      </c>
      <c r="J1620" s="438">
        <f t="shared" ref="J1620" si="678">SUM(J1615:J1619)</f>
        <v>3255726.6999999997</v>
      </c>
    </row>
    <row r="1621" spans="1:10" ht="13.5" customHeight="1" x14ac:dyDescent="0.25">
      <c r="A1621" s="1"/>
      <c r="B1621" s="1"/>
      <c r="C1621" s="1"/>
      <c r="D1621" s="437"/>
      <c r="E1621" s="437"/>
      <c r="F1621" s="466"/>
      <c r="G1621" s="437"/>
      <c r="H1621" s="437"/>
      <c r="I1621" s="437"/>
      <c r="J1621" s="437"/>
    </row>
    <row r="1622" spans="1:10" ht="13.5" customHeight="1" x14ac:dyDescent="0.25">
      <c r="A1622" s="1"/>
      <c r="B1622" s="1" t="s">
        <v>1502</v>
      </c>
      <c r="C1622" s="1" t="s">
        <v>257</v>
      </c>
      <c r="D1622" s="437">
        <v>332313.62850000028</v>
      </c>
      <c r="E1622" s="437">
        <v>128620.12</v>
      </c>
      <c r="F1622" s="466"/>
      <c r="G1622" s="437">
        <v>285031.27</v>
      </c>
      <c r="H1622" s="437">
        <v>275579.56</v>
      </c>
      <c r="I1622" s="437">
        <v>254473.91</v>
      </c>
      <c r="J1622" s="437">
        <v>235997.35</v>
      </c>
    </row>
    <row r="1623" spans="1:10" ht="13.5" customHeight="1" x14ac:dyDescent="0.25">
      <c r="A1623" s="1"/>
      <c r="B1623" s="1" t="s">
        <v>1503</v>
      </c>
      <c r="C1623" s="1" t="s">
        <v>259</v>
      </c>
      <c r="D1623" s="437">
        <v>1077471.1343999985</v>
      </c>
      <c r="E1623" s="437">
        <v>401501.44</v>
      </c>
      <c r="F1623" s="466"/>
      <c r="G1623" s="437">
        <v>994026.31</v>
      </c>
      <c r="H1623" s="437">
        <v>794421.39</v>
      </c>
      <c r="I1623" s="437">
        <v>736397.01</v>
      </c>
      <c r="J1623" s="437">
        <v>733496</v>
      </c>
    </row>
    <row r="1624" spans="1:10" ht="13.5" customHeight="1" x14ac:dyDescent="0.25">
      <c r="A1624" s="1"/>
      <c r="B1624" s="1" t="s">
        <v>1504</v>
      </c>
      <c r="C1624" s="1" t="s">
        <v>261</v>
      </c>
      <c r="D1624" s="437">
        <v>652464.14380000054</v>
      </c>
      <c r="E1624" s="437">
        <v>267185.38</v>
      </c>
      <c r="F1624" s="466"/>
      <c r="G1624" s="437">
        <v>559630.03</v>
      </c>
      <c r="H1624" s="437">
        <v>570130.51</v>
      </c>
      <c r="I1624" s="437">
        <v>509440.8</v>
      </c>
      <c r="J1624" s="437">
        <v>471714.85</v>
      </c>
    </row>
    <row r="1625" spans="1:10" ht="13.5" customHeight="1" x14ac:dyDescent="0.25">
      <c r="A1625" s="1"/>
      <c r="B1625" s="1" t="s">
        <v>1505</v>
      </c>
      <c r="C1625" s="1" t="s">
        <v>263</v>
      </c>
      <c r="D1625" s="437">
        <v>6950.3503999999984</v>
      </c>
      <c r="E1625" s="437">
        <v>2846.2</v>
      </c>
      <c r="F1625" s="466"/>
      <c r="G1625" s="437">
        <v>5961.44</v>
      </c>
      <c r="H1625" s="437">
        <v>6073.38</v>
      </c>
      <c r="I1625" s="437">
        <v>5607.66</v>
      </c>
      <c r="J1625" s="437">
        <v>5962.48</v>
      </c>
    </row>
    <row r="1626" spans="1:10" ht="13.5" customHeight="1" x14ac:dyDescent="0.25">
      <c r="A1626" s="1"/>
      <c r="B1626" s="1" t="s">
        <v>1506</v>
      </c>
      <c r="C1626" s="1" t="s">
        <v>265</v>
      </c>
      <c r="D1626" s="437">
        <v>38612.639999999985</v>
      </c>
      <c r="E1626" s="437">
        <v>14366.66</v>
      </c>
      <c r="F1626" s="466"/>
      <c r="G1626" s="437">
        <v>33356.400000000001</v>
      </c>
      <c r="H1626" s="437">
        <v>27032.95</v>
      </c>
      <c r="I1626" s="437">
        <v>24003.41</v>
      </c>
      <c r="J1626" s="437">
        <v>23121.82</v>
      </c>
    </row>
    <row r="1627" spans="1:10" ht="13.5" customHeight="1" x14ac:dyDescent="0.25">
      <c r="A1627" s="1"/>
      <c r="B1627" s="1" t="s">
        <v>1507</v>
      </c>
      <c r="C1627" s="1" t="s">
        <v>583</v>
      </c>
      <c r="D1627" s="437">
        <v>16800</v>
      </c>
      <c r="E1627" s="437">
        <v>7199.4</v>
      </c>
      <c r="F1627" s="466"/>
      <c r="G1627" s="437">
        <v>13200</v>
      </c>
      <c r="H1627" s="437">
        <v>14121.9</v>
      </c>
      <c r="I1627" s="437">
        <v>13937.3</v>
      </c>
      <c r="J1627" s="437">
        <v>12368.2</v>
      </c>
    </row>
    <row r="1628" spans="1:10" ht="13.5" customHeight="1" x14ac:dyDescent="0.25">
      <c r="A1628" s="1"/>
      <c r="B1628" s="1"/>
      <c r="C1628" s="1"/>
      <c r="D1628" s="438">
        <v>2124611.8970999992</v>
      </c>
      <c r="E1628" s="438">
        <f t="shared" ref="E1628" si="679">SUM(E1622:E1627)</f>
        <v>821719.20000000007</v>
      </c>
      <c r="F1628" s="467"/>
      <c r="G1628" s="438">
        <v>1891205.45</v>
      </c>
      <c r="H1628" s="438">
        <f>SUM(H1622:H1627)</f>
        <v>1687359.6899999997</v>
      </c>
      <c r="I1628" s="438">
        <f>SUM(I1622:I1627)</f>
        <v>1543860.0899999999</v>
      </c>
      <c r="J1628" s="438">
        <f t="shared" ref="J1628" si="680">SUM(J1622:J1627)</f>
        <v>1482660.7</v>
      </c>
    </row>
    <row r="1629" spans="1:10" ht="13.5" customHeight="1" x14ac:dyDescent="0.25">
      <c r="A1629" s="1"/>
      <c r="B1629" s="1"/>
      <c r="C1629" s="1"/>
      <c r="D1629" s="437"/>
      <c r="E1629" s="437"/>
      <c r="F1629" s="466"/>
      <c r="G1629" s="437"/>
      <c r="H1629" s="437"/>
      <c r="I1629" s="437"/>
      <c r="J1629" s="437"/>
    </row>
    <row r="1630" spans="1:10" ht="13.5" customHeight="1" x14ac:dyDescent="0.25">
      <c r="A1630" s="1"/>
      <c r="B1630" s="1" t="s">
        <v>1508</v>
      </c>
      <c r="C1630" s="1" t="s">
        <v>267</v>
      </c>
      <c r="D1630" s="437">
        <v>19000</v>
      </c>
      <c r="E1630" s="437">
        <v>7509.12</v>
      </c>
      <c r="F1630" s="466"/>
      <c r="G1630" s="437">
        <v>19000</v>
      </c>
      <c r="H1630" s="437">
        <v>16609</v>
      </c>
      <c r="I1630" s="437">
        <v>17404.59</v>
      </c>
      <c r="J1630" s="437">
        <v>19509.599999999999</v>
      </c>
    </row>
    <row r="1631" spans="1:10" ht="13.5" customHeight="1" x14ac:dyDescent="0.25">
      <c r="A1631" s="1"/>
      <c r="B1631" s="1" t="s">
        <v>1509</v>
      </c>
      <c r="C1631" s="1" t="s">
        <v>994</v>
      </c>
      <c r="D1631" s="437">
        <v>2000</v>
      </c>
      <c r="E1631" s="440"/>
      <c r="F1631" s="468"/>
      <c r="G1631" s="440">
        <v>2000</v>
      </c>
      <c r="H1631" s="439">
        <v>0</v>
      </c>
      <c r="I1631" s="440">
        <v>0</v>
      </c>
      <c r="J1631" s="440">
        <v>0</v>
      </c>
    </row>
    <row r="1632" spans="1:10" ht="13.5" customHeight="1" x14ac:dyDescent="0.25">
      <c r="A1632" s="1"/>
      <c r="B1632" s="1" t="s">
        <v>1510</v>
      </c>
      <c r="C1632" s="1" t="s">
        <v>1511</v>
      </c>
      <c r="D1632" s="437">
        <v>576618</v>
      </c>
      <c r="E1632" s="437">
        <v>193285.62</v>
      </c>
      <c r="F1632" s="466"/>
      <c r="G1632" s="437">
        <v>502100</v>
      </c>
      <c r="H1632" s="437">
        <v>529801.57999999996</v>
      </c>
      <c r="I1632" s="437">
        <v>516132.63</v>
      </c>
      <c r="J1632" s="437">
        <v>489980.18</v>
      </c>
    </row>
    <row r="1633" spans="1:10" ht="13.5" customHeight="1" x14ac:dyDescent="0.25">
      <c r="A1633" s="1"/>
      <c r="B1633" s="1" t="s">
        <v>1512</v>
      </c>
      <c r="C1633" s="1" t="s">
        <v>1513</v>
      </c>
      <c r="D1633" s="437">
        <v>28000</v>
      </c>
      <c r="E1633" s="437">
        <v>14568.46</v>
      </c>
      <c r="F1633" s="466"/>
      <c r="G1633" s="437">
        <v>25000</v>
      </c>
      <c r="H1633" s="437">
        <v>28311.06</v>
      </c>
      <c r="I1633" s="437">
        <v>22804.44</v>
      </c>
      <c r="J1633" s="437">
        <v>22365.64</v>
      </c>
    </row>
    <row r="1634" spans="1:10" ht="13.5" customHeight="1" x14ac:dyDescent="0.25">
      <c r="A1634" s="1"/>
      <c r="B1634" s="1" t="s">
        <v>1514</v>
      </c>
      <c r="C1634" s="1" t="s">
        <v>1151</v>
      </c>
      <c r="D1634" s="437">
        <v>7500</v>
      </c>
      <c r="E1634" s="437">
        <v>3847.68</v>
      </c>
      <c r="F1634" s="466"/>
      <c r="G1634" s="437">
        <v>6720</v>
      </c>
      <c r="H1634" s="437">
        <v>4459.34</v>
      </c>
      <c r="I1634" s="437">
        <v>4621.71</v>
      </c>
      <c r="J1634" s="437">
        <v>8191.47</v>
      </c>
    </row>
    <row r="1635" spans="1:10" ht="13.5" customHeight="1" x14ac:dyDescent="0.25">
      <c r="A1635" s="1"/>
      <c r="B1635" s="1" t="s">
        <v>1515</v>
      </c>
      <c r="C1635" s="1" t="s">
        <v>490</v>
      </c>
      <c r="D1635" s="437">
        <v>3500</v>
      </c>
      <c r="E1635" s="440"/>
      <c r="F1635" s="468"/>
      <c r="G1635" s="440">
        <v>3500</v>
      </c>
      <c r="H1635" s="439">
        <v>139</v>
      </c>
      <c r="I1635" s="440">
        <v>0</v>
      </c>
      <c r="J1635" s="440">
        <v>0</v>
      </c>
    </row>
    <row r="1636" spans="1:10" ht="13.5" customHeight="1" x14ac:dyDescent="0.25">
      <c r="A1636" s="1"/>
      <c r="B1636" s="1" t="s">
        <v>1516</v>
      </c>
      <c r="C1636" s="1" t="s">
        <v>492</v>
      </c>
      <c r="D1636" s="437">
        <v>1000</v>
      </c>
      <c r="E1636" s="440"/>
      <c r="F1636" s="468"/>
      <c r="G1636" s="440">
        <v>1000</v>
      </c>
      <c r="H1636" s="439">
        <v>0</v>
      </c>
      <c r="I1636" s="440">
        <v>0</v>
      </c>
      <c r="J1636" s="440">
        <v>0</v>
      </c>
    </row>
    <row r="1637" spans="1:10" ht="13.5" customHeight="1" x14ac:dyDescent="0.25">
      <c r="A1637" s="1"/>
      <c r="B1637" s="1" t="s">
        <v>1517</v>
      </c>
      <c r="C1637" s="1" t="s">
        <v>275</v>
      </c>
      <c r="D1637" s="437">
        <v>7000</v>
      </c>
      <c r="E1637" s="437">
        <v>174.91</v>
      </c>
      <c r="F1637" s="466"/>
      <c r="G1637" s="437">
        <v>7000</v>
      </c>
      <c r="H1637" s="437">
        <v>470</v>
      </c>
      <c r="I1637" s="437">
        <v>1995.25</v>
      </c>
      <c r="J1637" s="437">
        <v>7307.53</v>
      </c>
    </row>
    <row r="1638" spans="1:10" ht="13.5" customHeight="1" x14ac:dyDescent="0.25">
      <c r="A1638" s="1"/>
      <c r="B1638" s="1"/>
      <c r="C1638" s="1"/>
      <c r="D1638" s="438">
        <v>644618</v>
      </c>
      <c r="E1638" s="438">
        <f t="shared" ref="E1638" si="681">SUM(E1630:E1637)</f>
        <v>219385.78999999998</v>
      </c>
      <c r="F1638" s="467"/>
      <c r="G1638" s="438">
        <v>566320</v>
      </c>
      <c r="H1638" s="438">
        <f>SUM(H1630:H1637)</f>
        <v>579789.98</v>
      </c>
      <c r="I1638" s="438">
        <f>SUM(I1630:I1637)</f>
        <v>562958.61999999988</v>
      </c>
      <c r="J1638" s="438">
        <f t="shared" ref="J1638" si="682">SUM(J1630:J1637)</f>
        <v>547354.41999999993</v>
      </c>
    </row>
    <row r="1639" spans="1:10" ht="13.5" customHeight="1" x14ac:dyDescent="0.25">
      <c r="A1639" s="1"/>
      <c r="B1639" s="1"/>
      <c r="C1639" s="1"/>
      <c r="D1639" s="437"/>
      <c r="E1639" s="437"/>
      <c r="F1639" s="466"/>
      <c r="G1639" s="437"/>
      <c r="H1639" s="437"/>
      <c r="I1639" s="437"/>
      <c r="J1639" s="437"/>
    </row>
    <row r="1640" spans="1:10" ht="13.5" customHeight="1" x14ac:dyDescent="0.25">
      <c r="A1640" s="1"/>
      <c r="B1640" s="1" t="s">
        <v>1518</v>
      </c>
      <c r="C1640" s="1" t="s">
        <v>1001</v>
      </c>
      <c r="D1640" s="437">
        <v>3500</v>
      </c>
      <c r="E1640" s="440"/>
      <c r="F1640" s="468"/>
      <c r="G1640" s="440">
        <v>3500</v>
      </c>
      <c r="H1640" s="439">
        <v>0</v>
      </c>
      <c r="I1640" s="440">
        <v>0</v>
      </c>
      <c r="J1640" s="440">
        <v>0</v>
      </c>
    </row>
    <row r="1641" spans="1:10" ht="13.5" customHeight="1" x14ac:dyDescent="0.25">
      <c r="A1641" s="1"/>
      <c r="B1641" s="1" t="s">
        <v>1519</v>
      </c>
      <c r="C1641" s="1" t="s">
        <v>281</v>
      </c>
      <c r="D1641" s="437">
        <v>500</v>
      </c>
      <c r="E1641" s="440"/>
      <c r="F1641" s="468"/>
      <c r="G1641" s="440">
        <v>500</v>
      </c>
      <c r="H1641" s="439">
        <v>0</v>
      </c>
      <c r="I1641" s="440">
        <v>0</v>
      </c>
      <c r="J1641" s="440">
        <v>0</v>
      </c>
    </row>
    <row r="1642" spans="1:10" ht="13.5" customHeight="1" x14ac:dyDescent="0.25">
      <c r="A1642" s="1"/>
      <c r="B1642" s="1" t="s">
        <v>1520</v>
      </c>
      <c r="C1642" s="1" t="s">
        <v>283</v>
      </c>
      <c r="D1642" s="437">
        <v>5000</v>
      </c>
      <c r="E1642" s="439">
        <v>4669.6000000000004</v>
      </c>
      <c r="F1642" s="468"/>
      <c r="G1642" s="440">
        <v>5000</v>
      </c>
      <c r="H1642" s="439">
        <v>0</v>
      </c>
      <c r="I1642" s="437">
        <v>62.13</v>
      </c>
      <c r="J1642" s="437">
        <v>4339.0600000000004</v>
      </c>
    </row>
    <row r="1643" spans="1:10" ht="13.5" customHeight="1" x14ac:dyDescent="0.25">
      <c r="A1643" s="1"/>
      <c r="B1643" s="1" t="s">
        <v>1521</v>
      </c>
      <c r="C1643" s="1" t="s">
        <v>1522</v>
      </c>
      <c r="D1643" s="437">
        <v>500</v>
      </c>
      <c r="E1643" s="439">
        <v>36</v>
      </c>
      <c r="F1643" s="468"/>
      <c r="G1643" s="440">
        <v>500</v>
      </c>
      <c r="H1643" s="439">
        <v>0</v>
      </c>
      <c r="I1643" s="440">
        <v>0</v>
      </c>
      <c r="J1643" s="437">
        <v>408</v>
      </c>
    </row>
    <row r="1644" spans="1:10" ht="13.5" customHeight="1" x14ac:dyDescent="0.25">
      <c r="A1644" s="1"/>
      <c r="B1644" s="1" t="s">
        <v>1523</v>
      </c>
      <c r="C1644" s="1" t="s">
        <v>1461</v>
      </c>
      <c r="D1644" s="437">
        <v>7500</v>
      </c>
      <c r="E1644" s="440"/>
      <c r="F1644" s="468"/>
      <c r="G1644" s="440">
        <v>7500</v>
      </c>
      <c r="H1644" s="439">
        <v>123.61</v>
      </c>
      <c r="I1644" s="437">
        <v>545.29999999999995</v>
      </c>
      <c r="J1644" s="437">
        <v>1716.9</v>
      </c>
    </row>
    <row r="1645" spans="1:10" ht="13.5" customHeight="1" x14ac:dyDescent="0.25">
      <c r="A1645" s="1"/>
      <c r="B1645" s="1" t="s">
        <v>1524</v>
      </c>
      <c r="C1645" s="1" t="s">
        <v>509</v>
      </c>
      <c r="D1645" s="437">
        <v>8000</v>
      </c>
      <c r="E1645" s="437">
        <v>22.5</v>
      </c>
      <c r="F1645" s="466"/>
      <c r="G1645" s="437">
        <v>8000</v>
      </c>
      <c r="H1645" s="437">
        <v>442.44</v>
      </c>
      <c r="I1645" s="437">
        <v>45</v>
      </c>
      <c r="J1645" s="437">
        <v>148.43</v>
      </c>
    </row>
    <row r="1646" spans="1:10" ht="13.5" customHeight="1" x14ac:dyDescent="0.25">
      <c r="A1646" s="1"/>
      <c r="B1646" s="1" t="s">
        <v>1525</v>
      </c>
      <c r="C1646" s="1" t="s">
        <v>289</v>
      </c>
      <c r="D1646" s="437">
        <v>4840</v>
      </c>
      <c r="E1646" s="437">
        <v>1449.93</v>
      </c>
      <c r="F1646" s="466"/>
      <c r="G1646" s="437">
        <v>4840</v>
      </c>
      <c r="H1646" s="437">
        <v>6345.17</v>
      </c>
      <c r="I1646" s="437">
        <v>2955.84</v>
      </c>
      <c r="J1646" s="437">
        <v>1382.82</v>
      </c>
    </row>
    <row r="1647" spans="1:10" ht="13.5" customHeight="1" x14ac:dyDescent="0.25">
      <c r="A1647" s="1"/>
      <c r="B1647" s="1"/>
      <c r="C1647" s="1"/>
      <c r="D1647" s="438">
        <v>29840</v>
      </c>
      <c r="E1647" s="438">
        <f t="shared" ref="E1647" si="683">SUM(E1640:E1646)</f>
        <v>6178.0300000000007</v>
      </c>
      <c r="F1647" s="467"/>
      <c r="G1647" s="438">
        <v>29840</v>
      </c>
      <c r="H1647" s="438">
        <f>SUM(H1640:H1646)</f>
        <v>6911.22</v>
      </c>
      <c r="I1647" s="438">
        <f>SUM(I1640:I1646)</f>
        <v>3608.27</v>
      </c>
      <c r="J1647" s="438">
        <f t="shared" ref="J1647" si="684">SUM(J1640:J1646)</f>
        <v>7995.2100000000009</v>
      </c>
    </row>
    <row r="1648" spans="1:10" ht="13.5" customHeight="1" x14ac:dyDescent="0.25">
      <c r="A1648" s="1"/>
      <c r="B1648" s="1"/>
      <c r="C1648" s="1"/>
      <c r="D1648" s="437"/>
      <c r="E1648" s="437"/>
      <c r="F1648" s="466"/>
      <c r="G1648" s="437"/>
      <c r="H1648" s="437"/>
      <c r="I1648" s="437"/>
      <c r="J1648" s="437"/>
    </row>
    <row r="1649" spans="1:10" ht="13.5" customHeight="1" x14ac:dyDescent="0.25">
      <c r="A1649" s="1"/>
      <c r="B1649" s="1" t="s">
        <v>1526</v>
      </c>
      <c r="C1649" s="1" t="s">
        <v>1481</v>
      </c>
      <c r="D1649" s="437">
        <v>1000</v>
      </c>
      <c r="E1649" s="440"/>
      <c r="F1649" s="468"/>
      <c r="G1649" s="440">
        <v>1000</v>
      </c>
      <c r="H1649" s="439">
        <v>0</v>
      </c>
      <c r="I1649" s="440">
        <v>0</v>
      </c>
      <c r="J1649" s="440">
        <v>0</v>
      </c>
    </row>
    <row r="1650" spans="1:10" ht="13.5" customHeight="1" x14ac:dyDescent="0.25">
      <c r="A1650" s="1"/>
      <c r="B1650" s="1" t="s">
        <v>1527</v>
      </c>
      <c r="C1650" s="1" t="s">
        <v>1528</v>
      </c>
      <c r="D1650" s="437">
        <v>830000</v>
      </c>
      <c r="E1650" s="437">
        <v>354142.32</v>
      </c>
      <c r="F1650" s="466"/>
      <c r="G1650" s="437">
        <v>790000</v>
      </c>
      <c r="H1650" s="437">
        <v>659967.71</v>
      </c>
      <c r="I1650" s="437">
        <v>734897.89</v>
      </c>
      <c r="J1650" s="437">
        <v>672131.25</v>
      </c>
    </row>
    <row r="1651" spans="1:10" ht="13.5" customHeight="1" x14ac:dyDescent="0.25">
      <c r="A1651" s="1"/>
      <c r="B1651" s="1"/>
      <c r="C1651" s="1"/>
      <c r="D1651" s="438">
        <v>831000</v>
      </c>
      <c r="E1651" s="438">
        <f t="shared" ref="E1651" si="685">SUM(E1649:E1650)</f>
        <v>354142.32</v>
      </c>
      <c r="F1651" s="467"/>
      <c r="G1651" s="438">
        <v>791000</v>
      </c>
      <c r="H1651" s="438">
        <f>SUM(H1649:H1650)</f>
        <v>659967.71</v>
      </c>
      <c r="I1651" s="438">
        <f>SUM(I1649:I1650)</f>
        <v>734897.89</v>
      </c>
      <c r="J1651" s="438">
        <f t="shared" ref="J1651" si="686">SUM(J1649:J1650)</f>
        <v>672131.25</v>
      </c>
    </row>
    <row r="1652" spans="1:10" ht="13.5" customHeight="1" thickBot="1" x14ac:dyDescent="0.3">
      <c r="A1652" s="1"/>
      <c r="B1652" s="1"/>
      <c r="C1652" s="39" t="s">
        <v>1529</v>
      </c>
      <c r="D1652" s="451">
        <v>7957238.8970999997</v>
      </c>
      <c r="E1652" s="451">
        <f t="shared" ref="E1652" si="687">SUM(E1620+E1628+E1638+E1647+E1651)</f>
        <v>3183629.38</v>
      </c>
      <c r="F1652" s="478"/>
      <c r="G1652" s="451">
        <v>6991064.4500000002</v>
      </c>
      <c r="H1652" s="451">
        <f>SUM(H1620+H1628+H1638+H1647+H1651)</f>
        <v>6706632.4499999993</v>
      </c>
      <c r="I1652" s="451">
        <f>SUM(I1620+I1628+I1638+I1647+I1651)</f>
        <v>6338024.1499999994</v>
      </c>
      <c r="J1652" s="451">
        <f t="shared" ref="J1652" si="688">SUM(J1620+J1628+J1638+J1647+J1651)</f>
        <v>5965868.2799999993</v>
      </c>
    </row>
    <row r="1653" spans="1:10" ht="13.5" customHeight="1" thickTop="1" x14ac:dyDescent="0.25">
      <c r="A1653" s="1"/>
      <c r="B1653" s="1"/>
      <c r="C1653" s="1"/>
      <c r="D1653" s="437"/>
      <c r="E1653" s="437"/>
      <c r="F1653" s="466"/>
      <c r="G1653" s="437"/>
      <c r="H1653" s="437"/>
      <c r="I1653" s="437"/>
      <c r="J1653" s="437"/>
    </row>
    <row r="1654" spans="1:10" ht="13.5" customHeight="1" x14ac:dyDescent="0.25">
      <c r="A1654" s="1"/>
      <c r="B1654" s="1"/>
      <c r="C1654" s="1"/>
      <c r="D1654" s="437"/>
      <c r="E1654" s="437"/>
      <c r="F1654" s="466"/>
      <c r="G1654" s="437"/>
      <c r="H1654" s="437"/>
      <c r="I1654" s="437"/>
      <c r="J1654" s="437"/>
    </row>
    <row r="1655" spans="1:10" ht="13.5" customHeight="1" x14ac:dyDescent="0.25">
      <c r="A1655" s="1"/>
      <c r="B1655" s="1"/>
      <c r="C1655" s="14" t="s">
        <v>1530</v>
      </c>
      <c r="D1655" s="437"/>
      <c r="E1655" s="437"/>
      <c r="F1655" s="466"/>
      <c r="G1655" s="437"/>
      <c r="H1655" s="437"/>
      <c r="I1655" s="437"/>
      <c r="J1655" s="437"/>
    </row>
    <row r="1656" spans="1:10" ht="13.5" customHeight="1" x14ac:dyDescent="0.25">
      <c r="A1656" s="1"/>
      <c r="B1656" s="1" t="s">
        <v>1531</v>
      </c>
      <c r="C1656" s="1" t="s">
        <v>439</v>
      </c>
      <c r="D1656" s="437">
        <v>49662</v>
      </c>
      <c r="E1656" s="437">
        <v>21572.23</v>
      </c>
      <c r="F1656" s="466"/>
      <c r="G1656" s="437">
        <v>91854</v>
      </c>
      <c r="H1656" s="437">
        <v>93191.35</v>
      </c>
      <c r="I1656" s="437">
        <v>83917.5</v>
      </c>
      <c r="J1656" s="437">
        <v>313.67</v>
      </c>
    </row>
    <row r="1657" spans="1:10" ht="13.5" customHeight="1" x14ac:dyDescent="0.25">
      <c r="A1657" s="1"/>
      <c r="B1657" s="1" t="s">
        <v>1532</v>
      </c>
      <c r="C1657" s="1" t="s">
        <v>443</v>
      </c>
      <c r="D1657" s="437">
        <v>0</v>
      </c>
      <c r="E1657" s="437"/>
      <c r="F1657" s="466"/>
      <c r="G1657" s="437">
        <v>0</v>
      </c>
      <c r="H1657" s="437">
        <v>0</v>
      </c>
      <c r="I1657" s="437">
        <v>1421.62</v>
      </c>
      <c r="J1657" s="440">
        <v>0</v>
      </c>
    </row>
    <row r="1658" spans="1:10" ht="13.5" customHeight="1" x14ac:dyDescent="0.25">
      <c r="A1658" s="1"/>
      <c r="B1658" s="22" t="s">
        <v>1533</v>
      </c>
      <c r="C1658" s="1" t="s">
        <v>674</v>
      </c>
      <c r="D1658" s="437">
        <v>0</v>
      </c>
      <c r="E1658" s="437">
        <v>38.46</v>
      </c>
      <c r="F1658" s="466"/>
      <c r="G1658" s="437">
        <v>1500</v>
      </c>
      <c r="H1658" s="437">
        <v>499.98</v>
      </c>
      <c r="I1658" s="437">
        <v>192.3</v>
      </c>
      <c r="J1658" s="437">
        <v>0</v>
      </c>
    </row>
    <row r="1659" spans="1:10" ht="13.5" customHeight="1" x14ac:dyDescent="0.25">
      <c r="A1659" s="1"/>
      <c r="B1659" s="1"/>
      <c r="C1659" s="1"/>
      <c r="D1659" s="441">
        <v>49662</v>
      </c>
      <c r="E1659" s="441">
        <f t="shared" ref="E1659" si="689">SUM(E1656:E1658)</f>
        <v>21610.69</v>
      </c>
      <c r="F1659" s="469"/>
      <c r="G1659" s="452">
        <v>93354</v>
      </c>
      <c r="H1659" s="441">
        <f>SUM(H1656:H1658)</f>
        <v>93691.33</v>
      </c>
      <c r="I1659" s="441">
        <f>SUM(I1656:I1658)</f>
        <v>85531.42</v>
      </c>
      <c r="J1659" s="441">
        <f t="shared" ref="J1659" si="690">SUM(J1656:J1658)</f>
        <v>313.67</v>
      </c>
    </row>
    <row r="1660" spans="1:10" ht="13.5" customHeight="1" x14ac:dyDescent="0.25">
      <c r="A1660" s="1"/>
      <c r="B1660" s="1"/>
      <c r="C1660" s="1"/>
      <c r="D1660" s="440"/>
      <c r="E1660" s="437"/>
      <c r="F1660" s="466"/>
      <c r="G1660" s="437"/>
      <c r="H1660" s="437"/>
      <c r="I1660" s="437"/>
      <c r="J1660" s="440"/>
    </row>
    <row r="1661" spans="1:10" ht="13.5" customHeight="1" x14ac:dyDescent="0.25">
      <c r="A1661" s="1"/>
      <c r="B1661" s="1" t="s">
        <v>1534</v>
      </c>
      <c r="C1661" s="1" t="s">
        <v>257</v>
      </c>
      <c r="D1661" s="437">
        <v>3890.9430000000002</v>
      </c>
      <c r="E1661" s="437">
        <v>1602.07</v>
      </c>
      <c r="F1661" s="466"/>
      <c r="G1661" s="437">
        <v>7325.18</v>
      </c>
      <c r="H1661" s="437">
        <v>6751.75</v>
      </c>
      <c r="I1661" s="437">
        <v>6204.58</v>
      </c>
      <c r="J1661" s="437">
        <v>26.26</v>
      </c>
    </row>
    <row r="1662" spans="1:10" ht="13.5" customHeight="1" x14ac:dyDescent="0.25">
      <c r="A1662" s="1"/>
      <c r="B1662" s="1" t="s">
        <v>1535</v>
      </c>
      <c r="C1662" s="1" t="s">
        <v>259</v>
      </c>
      <c r="D1662" s="437">
        <v>10460.8848</v>
      </c>
      <c r="E1662" s="437">
        <v>5176.8</v>
      </c>
      <c r="F1662" s="466"/>
      <c r="G1662" s="437">
        <v>20926.87</v>
      </c>
      <c r="H1662" s="437">
        <v>19109.080000000002</v>
      </c>
      <c r="I1662" s="437">
        <v>12675.06</v>
      </c>
      <c r="J1662" s="440">
        <v>0</v>
      </c>
    </row>
    <row r="1663" spans="1:10" ht="13.5" customHeight="1" x14ac:dyDescent="0.25">
      <c r="A1663" s="1"/>
      <c r="B1663" s="1" t="s">
        <v>1536</v>
      </c>
      <c r="C1663" s="1" t="s">
        <v>261</v>
      </c>
      <c r="D1663" s="437">
        <v>7639.4723999999997</v>
      </c>
      <c r="E1663" s="437">
        <v>3357.58</v>
      </c>
      <c r="F1663" s="466"/>
      <c r="G1663" s="437">
        <v>14382.25</v>
      </c>
      <c r="H1663" s="437">
        <v>14406.54</v>
      </c>
      <c r="I1663" s="437">
        <v>12773.88</v>
      </c>
      <c r="J1663" s="437">
        <v>49.85</v>
      </c>
    </row>
    <row r="1664" spans="1:10" ht="13.5" customHeight="1" x14ac:dyDescent="0.25">
      <c r="A1664" s="1"/>
      <c r="B1664" s="1" t="s">
        <v>1537</v>
      </c>
      <c r="C1664" s="1" t="s">
        <v>263</v>
      </c>
      <c r="D1664" s="437">
        <v>81.379199999999997</v>
      </c>
      <c r="E1664" s="437">
        <v>35.76</v>
      </c>
      <c r="F1664" s="466"/>
      <c r="G1664" s="437">
        <v>153.21</v>
      </c>
      <c r="H1664" s="437">
        <v>153.44999999999999</v>
      </c>
      <c r="I1664" s="437">
        <v>140.63</v>
      </c>
      <c r="J1664" s="437">
        <v>0.55000000000000004</v>
      </c>
    </row>
    <row r="1665" spans="1:10" ht="13.5" customHeight="1" x14ac:dyDescent="0.25">
      <c r="A1665" s="1"/>
      <c r="B1665" s="1" t="s">
        <v>1538</v>
      </c>
      <c r="C1665" s="1" t="s">
        <v>265</v>
      </c>
      <c r="D1665" s="437">
        <v>374.88</v>
      </c>
      <c r="E1665" s="437">
        <v>175.56</v>
      </c>
      <c r="F1665" s="466"/>
      <c r="G1665" s="437">
        <v>702.24</v>
      </c>
      <c r="H1665" s="437">
        <v>674.64</v>
      </c>
      <c r="I1665" s="437">
        <v>404.1</v>
      </c>
      <c r="J1665" s="440">
        <v>0</v>
      </c>
    </row>
    <row r="1666" spans="1:10" ht="13.5" customHeight="1" x14ac:dyDescent="0.25">
      <c r="A1666" s="1"/>
      <c r="B1666" s="1" t="s">
        <v>1539</v>
      </c>
      <c r="C1666" s="1" t="s">
        <v>583</v>
      </c>
      <c r="D1666" s="437">
        <v>1200</v>
      </c>
      <c r="E1666" s="437">
        <v>646.1</v>
      </c>
      <c r="F1666" s="466"/>
      <c r="G1666" s="437">
        <v>2400</v>
      </c>
      <c r="H1666" s="437">
        <v>2399.8000000000002</v>
      </c>
      <c r="I1666" s="437">
        <v>2307.5</v>
      </c>
      <c r="J1666" s="440">
        <v>0</v>
      </c>
    </row>
    <row r="1667" spans="1:10" ht="13.5" customHeight="1" x14ac:dyDescent="0.25">
      <c r="A1667" s="1"/>
      <c r="B1667" s="1"/>
      <c r="C1667" s="1"/>
      <c r="D1667" s="438">
        <v>23647.559399999998</v>
      </c>
      <c r="E1667" s="438">
        <f t="shared" ref="E1667" si="691">SUM(E1661:E1666)</f>
        <v>10993.87</v>
      </c>
      <c r="F1667" s="467"/>
      <c r="G1667" s="438">
        <v>45889.75</v>
      </c>
      <c r="H1667" s="438">
        <f>SUM(H1661:H1666)</f>
        <v>43495.26</v>
      </c>
      <c r="I1667" s="438">
        <f>SUM(I1661:I1666)</f>
        <v>34505.75</v>
      </c>
      <c r="J1667" s="438">
        <f t="shared" ref="J1667" si="692">SUM(J1661:J1666)</f>
        <v>76.66</v>
      </c>
    </row>
    <row r="1668" spans="1:10" ht="13.5" customHeight="1" thickBot="1" x14ac:dyDescent="0.3">
      <c r="A1668" s="1"/>
      <c r="B1668" s="1"/>
      <c r="C1668" s="39" t="s">
        <v>1540</v>
      </c>
      <c r="D1668" s="451">
        <v>73309.559399999998</v>
      </c>
      <c r="E1668" s="451">
        <f t="shared" ref="E1668" si="693">SUM(E1659+E1667)</f>
        <v>32604.559999999998</v>
      </c>
      <c r="F1668" s="478"/>
      <c r="G1668" s="451">
        <v>139243.75</v>
      </c>
      <c r="H1668" s="451">
        <f>SUM(H1659+H1667)</f>
        <v>137186.59</v>
      </c>
      <c r="I1668" s="451">
        <f>SUM(I1659+I1667)</f>
        <v>120037.17</v>
      </c>
      <c r="J1668" s="451">
        <f t="shared" ref="J1668" si="694">SUM(J1659+J1667)</f>
        <v>390.33000000000004</v>
      </c>
    </row>
    <row r="1669" spans="1:10" ht="13.5" customHeight="1" thickTop="1" x14ac:dyDescent="0.25">
      <c r="A1669" s="1"/>
      <c r="B1669" s="1"/>
      <c r="C1669" s="1"/>
      <c r="D1669" s="437"/>
      <c r="E1669" s="437"/>
      <c r="F1669" s="466"/>
      <c r="G1669" s="437"/>
      <c r="H1669" s="437"/>
      <c r="I1669" s="437"/>
      <c r="J1669" s="440"/>
    </row>
    <row r="1670" spans="1:10" ht="13.5" customHeight="1" x14ac:dyDescent="0.25">
      <c r="A1670" s="1"/>
      <c r="B1670" s="1"/>
      <c r="C1670" s="14" t="s">
        <v>1541</v>
      </c>
      <c r="D1670" s="437"/>
      <c r="E1670" s="437"/>
      <c r="F1670" s="466"/>
      <c r="G1670" s="437"/>
      <c r="H1670" s="437"/>
      <c r="I1670" s="437"/>
      <c r="J1670" s="440"/>
    </row>
    <row r="1671" spans="1:10" ht="13.5" customHeight="1" x14ac:dyDescent="0.25">
      <c r="A1671" s="1"/>
      <c r="B1671" s="1" t="s">
        <v>1542</v>
      </c>
      <c r="C1671" s="1" t="s">
        <v>1497</v>
      </c>
      <c r="D1671" s="437">
        <v>158205</v>
      </c>
      <c r="E1671" s="437">
        <v>70821.38</v>
      </c>
      <c r="F1671" s="466"/>
      <c r="G1671" s="437">
        <v>143744</v>
      </c>
      <c r="H1671" s="437">
        <v>100059.7</v>
      </c>
      <c r="I1671" s="437">
        <v>133662.32</v>
      </c>
      <c r="J1671" s="437">
        <v>125106.69</v>
      </c>
    </row>
    <row r="1672" spans="1:10" ht="13.5" customHeight="1" x14ac:dyDescent="0.25">
      <c r="A1672" s="1"/>
      <c r="B1672" s="1" t="s">
        <v>1543</v>
      </c>
      <c r="C1672" s="1" t="s">
        <v>443</v>
      </c>
      <c r="D1672" s="437">
        <v>0</v>
      </c>
      <c r="E1672" s="437"/>
      <c r="F1672" s="466"/>
      <c r="G1672" s="437">
        <v>0</v>
      </c>
      <c r="H1672" s="437">
        <v>0</v>
      </c>
      <c r="I1672" s="437">
        <v>9601.58</v>
      </c>
      <c r="J1672" s="437">
        <v>23686.37</v>
      </c>
    </row>
    <row r="1673" spans="1:10" ht="13.5" customHeight="1" x14ac:dyDescent="0.25">
      <c r="A1673" s="1"/>
      <c r="B1673" s="1" t="s">
        <v>1544</v>
      </c>
      <c r="C1673" s="1" t="s">
        <v>961</v>
      </c>
      <c r="D1673" s="440" t="s">
        <v>12</v>
      </c>
      <c r="E1673" s="440"/>
      <c r="F1673" s="468"/>
      <c r="G1673" s="440" t="s">
        <v>12</v>
      </c>
      <c r="H1673" s="439">
        <v>3125.93</v>
      </c>
      <c r="I1673" s="440" t="s">
        <v>12</v>
      </c>
      <c r="J1673" s="437">
        <v>63.64</v>
      </c>
    </row>
    <row r="1674" spans="1:10" ht="13.5" customHeight="1" x14ac:dyDescent="0.25">
      <c r="A1674" s="1"/>
      <c r="B1674" s="1"/>
      <c r="C1674" s="1"/>
      <c r="D1674" s="441">
        <v>158205</v>
      </c>
      <c r="E1674" s="441">
        <f t="shared" ref="E1674" si="695">SUM(E1671:E1673)</f>
        <v>70821.38</v>
      </c>
      <c r="F1674" s="469"/>
      <c r="G1674" s="452">
        <v>143744</v>
      </c>
      <c r="H1674" s="441">
        <f>SUM(H1671:H1673)</f>
        <v>103185.62999999999</v>
      </c>
      <c r="I1674" s="441">
        <f>SUM(I1671:I1673)</f>
        <v>143263.9</v>
      </c>
      <c r="J1674" s="441">
        <f t="shared" ref="J1674" si="696">SUM(J1671:J1673)</f>
        <v>148856.70000000001</v>
      </c>
    </row>
    <row r="1675" spans="1:10" ht="13.5" customHeight="1" x14ac:dyDescent="0.25">
      <c r="A1675" s="1"/>
      <c r="B1675" s="1"/>
      <c r="C1675" s="1"/>
      <c r="D1675" s="440"/>
      <c r="E1675" s="440"/>
      <c r="F1675" s="468"/>
      <c r="G1675" s="440"/>
      <c r="H1675" s="440"/>
      <c r="I1675" s="440"/>
      <c r="J1675" s="437"/>
    </row>
    <row r="1676" spans="1:10" ht="13.5" customHeight="1" x14ac:dyDescent="0.25">
      <c r="A1676" s="1"/>
      <c r="B1676" s="1" t="s">
        <v>1545</v>
      </c>
      <c r="C1676" s="1" t="s">
        <v>257</v>
      </c>
      <c r="D1676" s="437">
        <v>12102.241500000004</v>
      </c>
      <c r="E1676" s="437">
        <v>4257.74</v>
      </c>
      <c r="F1676" s="466"/>
      <c r="G1676" s="437">
        <v>10995.98</v>
      </c>
      <c r="H1676" s="437">
        <v>3200.84</v>
      </c>
      <c r="I1676" s="437">
        <v>12314.79</v>
      </c>
      <c r="J1676" s="437">
        <v>6077.55</v>
      </c>
    </row>
    <row r="1677" spans="1:10" ht="13.5" customHeight="1" x14ac:dyDescent="0.25">
      <c r="A1677" s="1"/>
      <c r="B1677" s="1" t="s">
        <v>1546</v>
      </c>
      <c r="C1677" s="1" t="s">
        <v>259</v>
      </c>
      <c r="D1677" s="437">
        <v>68688.193599999999</v>
      </c>
      <c r="E1677" s="437">
        <v>35497.32</v>
      </c>
      <c r="F1677" s="466"/>
      <c r="G1677" s="437">
        <v>68706.039999999994</v>
      </c>
      <c r="H1677" s="437">
        <v>59826.48</v>
      </c>
      <c r="I1677" s="437">
        <v>60845.25</v>
      </c>
      <c r="J1677" s="437">
        <v>51545</v>
      </c>
    </row>
    <row r="1678" spans="1:10" ht="13.5" customHeight="1" x14ac:dyDescent="0.25">
      <c r="A1678" s="1"/>
      <c r="B1678" s="1" t="s">
        <v>1547</v>
      </c>
      <c r="C1678" s="1" t="s">
        <v>261</v>
      </c>
      <c r="D1678" s="437">
        <v>37954.762199999997</v>
      </c>
      <c r="E1678" s="437">
        <v>20770.04</v>
      </c>
      <c r="F1678" s="466"/>
      <c r="G1678" s="437">
        <v>35782.730000000003</v>
      </c>
      <c r="H1678" s="437">
        <v>27931.95</v>
      </c>
      <c r="I1678" s="437">
        <v>36467.480000000003</v>
      </c>
      <c r="J1678" s="437">
        <v>31787.19</v>
      </c>
    </row>
    <row r="1679" spans="1:10" ht="13.5" customHeight="1" x14ac:dyDescent="0.25">
      <c r="A1679" s="1"/>
      <c r="B1679" s="1" t="s">
        <v>1548</v>
      </c>
      <c r="C1679" s="1" t="s">
        <v>263</v>
      </c>
      <c r="D1679" s="437">
        <v>536.97759999999994</v>
      </c>
      <c r="E1679" s="437">
        <v>221.26</v>
      </c>
      <c r="F1679" s="466"/>
      <c r="G1679" s="437">
        <v>513.84</v>
      </c>
      <c r="H1679" s="437">
        <v>498.47</v>
      </c>
      <c r="I1679" s="437">
        <v>622.1</v>
      </c>
      <c r="J1679" s="437">
        <v>433.76</v>
      </c>
    </row>
    <row r="1680" spans="1:10" ht="13.5" customHeight="1" x14ac:dyDescent="0.25">
      <c r="A1680" s="1"/>
      <c r="B1680" s="1" t="s">
        <v>1549</v>
      </c>
      <c r="C1680" s="1" t="s">
        <v>1550</v>
      </c>
      <c r="D1680" s="437">
        <v>2624.1600000000003</v>
      </c>
      <c r="E1680" s="437">
        <v>1199.6600000000001</v>
      </c>
      <c r="F1680" s="466"/>
      <c r="G1680" s="437">
        <v>2457.84</v>
      </c>
      <c r="H1680" s="437">
        <v>2082.44</v>
      </c>
      <c r="I1680" s="437">
        <v>1715.06</v>
      </c>
      <c r="J1680" s="437">
        <v>2086.2600000000002</v>
      </c>
    </row>
    <row r="1681" spans="1:10" ht="13.5" customHeight="1" x14ac:dyDescent="0.25">
      <c r="A1681" s="1"/>
      <c r="B1681" s="1"/>
      <c r="C1681" s="1"/>
      <c r="D1681" s="438">
        <v>121906.3349</v>
      </c>
      <c r="E1681" s="438">
        <f t="shared" ref="E1681" si="697">SUM(E1676:E1680)</f>
        <v>61946.020000000004</v>
      </c>
      <c r="F1681" s="467"/>
      <c r="G1681" s="438">
        <v>118456.43</v>
      </c>
      <c r="H1681" s="438">
        <f>SUM(H1676:H1680)</f>
        <v>93540.180000000008</v>
      </c>
      <c r="I1681" s="438">
        <f>SUM(I1676:I1680)</f>
        <v>111964.68000000002</v>
      </c>
      <c r="J1681" s="438">
        <f t="shared" ref="J1681" si="698">SUM(J1676:J1680)</f>
        <v>91929.76</v>
      </c>
    </row>
    <row r="1682" spans="1:10" ht="13.5" customHeight="1" x14ac:dyDescent="0.25">
      <c r="A1682" s="1"/>
      <c r="B1682" s="1"/>
      <c r="C1682" s="1"/>
      <c r="D1682" s="437"/>
      <c r="E1682" s="437"/>
      <c r="F1682" s="466"/>
      <c r="G1682" s="437"/>
      <c r="H1682" s="437"/>
      <c r="I1682" s="437"/>
      <c r="J1682" s="437"/>
    </row>
    <row r="1683" spans="1:10" ht="13.5" customHeight="1" x14ac:dyDescent="0.25">
      <c r="A1683" s="1"/>
      <c r="B1683" s="1" t="s">
        <v>1551</v>
      </c>
      <c r="C1683" s="1" t="s">
        <v>267</v>
      </c>
      <c r="D1683" s="437">
        <v>1500</v>
      </c>
      <c r="E1683" s="437">
        <v>370.38</v>
      </c>
      <c r="F1683" s="466"/>
      <c r="G1683" s="437">
        <v>1500</v>
      </c>
      <c r="H1683" s="437">
        <v>1302.9000000000001</v>
      </c>
      <c r="I1683" s="437">
        <v>1662.64</v>
      </c>
      <c r="J1683" s="437">
        <v>847.96</v>
      </c>
    </row>
    <row r="1684" spans="1:10" ht="13.5" customHeight="1" x14ac:dyDescent="0.25">
      <c r="A1684" s="1"/>
      <c r="B1684" s="1" t="s">
        <v>1552</v>
      </c>
      <c r="C1684" s="1" t="s">
        <v>269</v>
      </c>
      <c r="D1684" s="437">
        <v>270</v>
      </c>
      <c r="E1684" s="437">
        <v>48.82</v>
      </c>
      <c r="F1684" s="466"/>
      <c r="G1684" s="437">
        <v>270</v>
      </c>
      <c r="H1684" s="437">
        <v>132</v>
      </c>
      <c r="I1684" s="437">
        <v>136.97</v>
      </c>
      <c r="J1684" s="437">
        <v>87.86</v>
      </c>
    </row>
    <row r="1685" spans="1:10" ht="13.5" customHeight="1" x14ac:dyDescent="0.25">
      <c r="A1685" s="1"/>
      <c r="B1685" s="22" t="s">
        <v>1553</v>
      </c>
      <c r="C1685" s="22" t="s">
        <v>1554</v>
      </c>
      <c r="D1685" s="437">
        <v>2000</v>
      </c>
      <c r="E1685" s="437">
        <v>188.51</v>
      </c>
      <c r="F1685" s="466"/>
      <c r="G1685" s="437">
        <v>2000</v>
      </c>
      <c r="H1685" s="437">
        <v>458.4</v>
      </c>
      <c r="I1685" s="437">
        <v>0</v>
      </c>
      <c r="J1685" s="439">
        <v>0</v>
      </c>
    </row>
    <row r="1686" spans="1:10" ht="13.5" customHeight="1" x14ac:dyDescent="0.25">
      <c r="A1686" s="1"/>
      <c r="B1686" s="1" t="s">
        <v>1555</v>
      </c>
      <c r="C1686" s="1" t="s">
        <v>1556</v>
      </c>
      <c r="D1686" s="437">
        <v>450</v>
      </c>
      <c r="E1686" s="437"/>
      <c r="F1686" s="466"/>
      <c r="G1686" s="437">
        <v>450</v>
      </c>
      <c r="H1686" s="437">
        <v>408.86</v>
      </c>
      <c r="I1686" s="437">
        <v>341.01</v>
      </c>
      <c r="J1686" s="439">
        <v>0</v>
      </c>
    </row>
    <row r="1687" spans="1:10" ht="13.5" customHeight="1" x14ac:dyDescent="0.25">
      <c r="A1687" s="1"/>
      <c r="B1687" s="1" t="s">
        <v>1557</v>
      </c>
      <c r="C1687" s="1" t="s">
        <v>488</v>
      </c>
      <c r="D1687" s="437">
        <v>5200</v>
      </c>
      <c r="E1687" s="437">
        <v>1621.11</v>
      </c>
      <c r="F1687" s="466"/>
      <c r="G1687" s="437">
        <v>5200</v>
      </c>
      <c r="H1687" s="437">
        <v>2095.61</v>
      </c>
      <c r="I1687" s="437">
        <v>3887.94</v>
      </c>
      <c r="J1687" s="437">
        <v>5096.1000000000004</v>
      </c>
    </row>
    <row r="1688" spans="1:10" ht="13.5" customHeight="1" x14ac:dyDescent="0.25">
      <c r="A1688" s="1"/>
      <c r="B1688" s="1" t="s">
        <v>1558</v>
      </c>
      <c r="C1688" s="1" t="s">
        <v>1151</v>
      </c>
      <c r="D1688" s="437">
        <v>140</v>
      </c>
      <c r="E1688" s="440"/>
      <c r="F1688" s="468"/>
      <c r="G1688" s="440">
        <v>140</v>
      </c>
      <c r="H1688" s="439">
        <v>0</v>
      </c>
      <c r="I1688" s="440">
        <v>190.95</v>
      </c>
      <c r="J1688" s="440">
        <v>0</v>
      </c>
    </row>
    <row r="1689" spans="1:10" ht="13.5" customHeight="1" x14ac:dyDescent="0.25">
      <c r="A1689" s="1"/>
      <c r="B1689" s="1" t="s">
        <v>1559</v>
      </c>
      <c r="C1689" s="1" t="s">
        <v>490</v>
      </c>
      <c r="D1689" s="437">
        <v>800</v>
      </c>
      <c r="E1689" s="440"/>
      <c r="F1689" s="468"/>
      <c r="G1689" s="440">
        <v>800</v>
      </c>
      <c r="H1689" s="439">
        <v>278.66000000000003</v>
      </c>
      <c r="I1689" s="440">
        <v>0</v>
      </c>
      <c r="J1689" s="437">
        <v>454.96</v>
      </c>
    </row>
    <row r="1690" spans="1:10" ht="13.5" customHeight="1" x14ac:dyDescent="0.25">
      <c r="A1690" s="1"/>
      <c r="B1690" s="1" t="s">
        <v>1560</v>
      </c>
      <c r="C1690" s="1" t="s">
        <v>271</v>
      </c>
      <c r="D1690" s="437">
        <v>70</v>
      </c>
      <c r="E1690" s="440"/>
      <c r="F1690" s="468"/>
      <c r="G1690" s="440">
        <v>57</v>
      </c>
      <c r="H1690" s="439">
        <v>0</v>
      </c>
      <c r="I1690" s="439">
        <v>67</v>
      </c>
      <c r="J1690" s="440">
        <v>0</v>
      </c>
    </row>
    <row r="1691" spans="1:10" ht="13.5" customHeight="1" x14ac:dyDescent="0.25">
      <c r="A1691" s="1"/>
      <c r="B1691" s="1" t="s">
        <v>1561</v>
      </c>
      <c r="C1691" s="1" t="s">
        <v>455</v>
      </c>
      <c r="D1691" s="437">
        <v>250</v>
      </c>
      <c r="E1691" s="440"/>
      <c r="F1691" s="468"/>
      <c r="G1691" s="440">
        <v>250</v>
      </c>
      <c r="H1691" s="439">
        <v>0</v>
      </c>
      <c r="I1691" s="440">
        <v>0</v>
      </c>
      <c r="J1691" s="440">
        <v>0</v>
      </c>
    </row>
    <row r="1692" spans="1:10" ht="13.5" customHeight="1" x14ac:dyDescent="0.25">
      <c r="A1692" s="1"/>
      <c r="B1692" s="1" t="s">
        <v>1562</v>
      </c>
      <c r="C1692" s="1" t="s">
        <v>275</v>
      </c>
      <c r="D1692" s="437">
        <v>0</v>
      </c>
      <c r="E1692" s="439">
        <v>130.55000000000001</v>
      </c>
      <c r="F1692" s="468"/>
      <c r="G1692" s="440">
        <v>0</v>
      </c>
      <c r="H1692" s="439">
        <v>97.02</v>
      </c>
      <c r="I1692" s="439">
        <v>271.02</v>
      </c>
      <c r="J1692" s="440">
        <v>0</v>
      </c>
    </row>
    <row r="1693" spans="1:10" ht="13.5" customHeight="1" x14ac:dyDescent="0.25">
      <c r="A1693" s="1"/>
      <c r="B1693" s="1"/>
      <c r="C1693" s="1"/>
      <c r="D1693" s="441">
        <v>10680</v>
      </c>
      <c r="E1693" s="441">
        <f t="shared" ref="E1693" si="699">SUM(E1683:E1692)</f>
        <v>2359.37</v>
      </c>
      <c r="F1693" s="469"/>
      <c r="G1693" s="452">
        <v>10667</v>
      </c>
      <c r="H1693" s="441">
        <f>SUM(H1683:H1692)</f>
        <v>4773.4500000000007</v>
      </c>
      <c r="I1693" s="441">
        <f>SUM(I1683:I1692)</f>
        <v>6557.5299999999988</v>
      </c>
      <c r="J1693" s="441">
        <f t="shared" ref="J1693" si="700">SUM(J1683:J1692)</f>
        <v>6486.88</v>
      </c>
    </row>
    <row r="1694" spans="1:10" ht="13.5" customHeight="1" x14ac:dyDescent="0.25">
      <c r="A1694" s="1"/>
      <c r="B1694" s="1"/>
      <c r="C1694" s="1"/>
      <c r="D1694" s="440"/>
      <c r="E1694" s="440"/>
      <c r="F1694" s="468"/>
      <c r="G1694" s="440"/>
      <c r="H1694" s="440"/>
      <c r="I1694" s="440"/>
      <c r="J1694" s="440"/>
    </row>
    <row r="1695" spans="1:10" ht="13.5" customHeight="1" x14ac:dyDescent="0.25">
      <c r="A1695" s="1"/>
      <c r="B1695" s="1" t="s">
        <v>1563</v>
      </c>
      <c r="C1695" s="1" t="s">
        <v>1564</v>
      </c>
      <c r="D1695" s="437">
        <v>1000</v>
      </c>
      <c r="E1695" s="440"/>
      <c r="F1695" s="468"/>
      <c r="G1695" s="440">
        <v>1000</v>
      </c>
      <c r="H1695" s="439">
        <v>0</v>
      </c>
      <c r="I1695" s="440">
        <v>0</v>
      </c>
      <c r="J1695" s="440">
        <v>0</v>
      </c>
    </row>
    <row r="1696" spans="1:10" ht="13.5" customHeight="1" x14ac:dyDescent="0.25">
      <c r="A1696" s="1"/>
      <c r="B1696" s="1" t="s">
        <v>1565</v>
      </c>
      <c r="C1696" s="1" t="s">
        <v>1566</v>
      </c>
      <c r="D1696" s="437">
        <v>4425</v>
      </c>
      <c r="E1696" s="440"/>
      <c r="F1696" s="468"/>
      <c r="G1696" s="439">
        <v>4425</v>
      </c>
      <c r="H1696" s="439">
        <v>4420.42</v>
      </c>
      <c r="I1696" s="439">
        <v>3900</v>
      </c>
      <c r="J1696" s="437">
        <v>3360</v>
      </c>
    </row>
    <row r="1697" spans="1:10" ht="13.5" customHeight="1" x14ac:dyDescent="0.25">
      <c r="A1697" s="1"/>
      <c r="B1697" s="1" t="s">
        <v>1567</v>
      </c>
      <c r="C1697" s="1" t="s">
        <v>1568</v>
      </c>
      <c r="D1697" s="437">
        <v>500</v>
      </c>
      <c r="E1697" s="437">
        <v>14.97</v>
      </c>
      <c r="F1697" s="466"/>
      <c r="G1697" s="437">
        <v>500</v>
      </c>
      <c r="H1697" s="437">
        <v>98.8</v>
      </c>
      <c r="I1697" s="437">
        <v>119.71</v>
      </c>
      <c r="J1697" s="437">
        <v>185.03</v>
      </c>
    </row>
    <row r="1698" spans="1:10" ht="13.5" customHeight="1" x14ac:dyDescent="0.25">
      <c r="A1698" s="1"/>
      <c r="B1698" s="1" t="s">
        <v>1569</v>
      </c>
      <c r="C1698" s="1" t="s">
        <v>1570</v>
      </c>
      <c r="D1698" s="437">
        <v>4500</v>
      </c>
      <c r="E1698" s="437">
        <v>491.94</v>
      </c>
      <c r="F1698" s="466"/>
      <c r="G1698" s="437">
        <v>4500</v>
      </c>
      <c r="H1698" s="437">
        <v>2075.8200000000002</v>
      </c>
      <c r="I1698" s="439">
        <v>827.84</v>
      </c>
      <c r="J1698" s="437">
        <v>227.23</v>
      </c>
    </row>
    <row r="1699" spans="1:10" ht="13.5" customHeight="1" x14ac:dyDescent="0.25">
      <c r="A1699" s="1"/>
      <c r="B1699" s="22" t="s">
        <v>1571</v>
      </c>
      <c r="C1699" s="22" t="s">
        <v>502</v>
      </c>
      <c r="D1699" s="437">
        <v>50</v>
      </c>
      <c r="E1699" s="437">
        <v>20</v>
      </c>
      <c r="F1699" s="466"/>
      <c r="G1699" s="437"/>
      <c r="H1699" s="437"/>
      <c r="I1699" s="437"/>
      <c r="J1699" s="437"/>
    </row>
    <row r="1700" spans="1:10" ht="13.5" customHeight="1" x14ac:dyDescent="0.25">
      <c r="A1700" s="1"/>
      <c r="B1700" s="1" t="s">
        <v>1572</v>
      </c>
      <c r="C1700" s="1" t="s">
        <v>509</v>
      </c>
      <c r="D1700" s="437">
        <v>1500</v>
      </c>
      <c r="E1700" s="437">
        <v>110.7</v>
      </c>
      <c r="F1700" s="466"/>
      <c r="G1700" s="437">
        <v>1500</v>
      </c>
      <c r="H1700" s="437">
        <v>1173.83</v>
      </c>
      <c r="I1700" s="437">
        <v>1513.14</v>
      </c>
      <c r="J1700" s="437">
        <v>970.65</v>
      </c>
    </row>
    <row r="1701" spans="1:10" ht="13.5" customHeight="1" x14ac:dyDescent="0.25">
      <c r="A1701" s="1"/>
      <c r="B1701" s="1" t="s">
        <v>1573</v>
      </c>
      <c r="C1701" s="1" t="s">
        <v>287</v>
      </c>
      <c r="D1701" s="437">
        <v>370</v>
      </c>
      <c r="E1701" s="437">
        <v>100</v>
      </c>
      <c r="F1701" s="466"/>
      <c r="G1701" s="437">
        <v>370</v>
      </c>
      <c r="H1701" s="437">
        <v>500</v>
      </c>
      <c r="I1701" s="437">
        <v>300</v>
      </c>
      <c r="J1701" s="437">
        <v>250</v>
      </c>
    </row>
    <row r="1702" spans="1:10" ht="13.5" customHeight="1" x14ac:dyDescent="0.25">
      <c r="A1702" s="1"/>
      <c r="B1702" s="1" t="s">
        <v>1574</v>
      </c>
      <c r="C1702" s="1" t="s">
        <v>567</v>
      </c>
      <c r="D1702" s="437">
        <v>2100</v>
      </c>
      <c r="E1702" s="437">
        <v>960.6</v>
      </c>
      <c r="F1702" s="466"/>
      <c r="G1702" s="437">
        <v>2100</v>
      </c>
      <c r="H1702" s="437">
        <v>2405.61</v>
      </c>
      <c r="I1702" s="437">
        <v>2045.23</v>
      </c>
      <c r="J1702" s="437">
        <v>2069.62</v>
      </c>
    </row>
    <row r="1703" spans="1:10" ht="13.5" customHeight="1" x14ac:dyDescent="0.25">
      <c r="A1703" s="1"/>
      <c r="B1703" s="1"/>
      <c r="C1703" s="1"/>
      <c r="D1703" s="438">
        <v>14445</v>
      </c>
      <c r="E1703" s="438">
        <f t="shared" ref="E1703" si="701">SUM(E1695:E1702)</f>
        <v>1698.21</v>
      </c>
      <c r="F1703" s="467"/>
      <c r="G1703" s="438">
        <v>14395</v>
      </c>
      <c r="H1703" s="438">
        <f>SUM(H1695:H1702)</f>
        <v>10674.480000000001</v>
      </c>
      <c r="I1703" s="438">
        <f>SUM(I1695:I1702)</f>
        <v>8705.92</v>
      </c>
      <c r="J1703" s="438">
        <f t="shared" ref="J1703" si="702">SUM(J1695:J1702)</f>
        <v>7062.53</v>
      </c>
    </row>
    <row r="1704" spans="1:10" ht="13.5" customHeight="1" x14ac:dyDescent="0.25">
      <c r="A1704" s="1"/>
      <c r="B1704" s="1"/>
      <c r="C1704" s="1"/>
      <c r="D1704" s="437"/>
      <c r="E1704" s="437"/>
      <c r="F1704" s="466"/>
      <c r="G1704" s="437"/>
      <c r="H1704" s="437"/>
      <c r="I1704" s="437"/>
      <c r="J1704" s="437"/>
    </row>
    <row r="1705" spans="1:10" ht="13.5" customHeight="1" x14ac:dyDescent="0.25">
      <c r="A1705" s="1"/>
      <c r="B1705" s="1" t="s">
        <v>1575</v>
      </c>
      <c r="C1705" s="1" t="s">
        <v>1481</v>
      </c>
      <c r="D1705" s="437">
        <v>1800</v>
      </c>
      <c r="E1705" s="437">
        <v>471.15</v>
      </c>
      <c r="F1705" s="466"/>
      <c r="G1705" s="437">
        <v>1800</v>
      </c>
      <c r="H1705" s="437">
        <v>2405.61</v>
      </c>
      <c r="I1705" s="437">
        <v>523.51</v>
      </c>
      <c r="J1705" s="437">
        <v>517.36</v>
      </c>
    </row>
    <row r="1706" spans="1:10" ht="13.5" customHeight="1" x14ac:dyDescent="0.25">
      <c r="A1706" s="1"/>
      <c r="B1706" s="22" t="s">
        <v>1576</v>
      </c>
      <c r="C1706" s="22" t="s">
        <v>1577</v>
      </c>
      <c r="D1706" s="437">
        <v>0</v>
      </c>
      <c r="E1706" s="437"/>
      <c r="F1706" s="466"/>
      <c r="G1706" s="437">
        <v>0</v>
      </c>
      <c r="H1706" s="437">
        <v>0</v>
      </c>
      <c r="I1706" s="437">
        <v>0</v>
      </c>
      <c r="J1706" s="437"/>
    </row>
    <row r="1707" spans="1:10" ht="13.5" customHeight="1" x14ac:dyDescent="0.25">
      <c r="A1707" s="1"/>
      <c r="B1707" s="1" t="s">
        <v>1578</v>
      </c>
      <c r="C1707" s="1" t="s">
        <v>1579</v>
      </c>
      <c r="D1707" s="437">
        <v>93000</v>
      </c>
      <c r="E1707" s="437">
        <v>30330</v>
      </c>
      <c r="F1707" s="466"/>
      <c r="G1707" s="437">
        <v>93000</v>
      </c>
      <c r="H1707" s="437">
        <v>24985</v>
      </c>
      <c r="I1707" s="437">
        <v>63510</v>
      </c>
      <c r="J1707" s="437">
        <v>106545</v>
      </c>
    </row>
    <row r="1708" spans="1:10" ht="13.5" customHeight="1" x14ac:dyDescent="0.25">
      <c r="A1708" s="1"/>
      <c r="B1708" s="1" t="s">
        <v>1580</v>
      </c>
      <c r="C1708" s="1" t="s">
        <v>1581</v>
      </c>
      <c r="D1708" s="437">
        <v>700</v>
      </c>
      <c r="E1708" s="440"/>
      <c r="F1708" s="468"/>
      <c r="G1708" s="440">
        <v>700</v>
      </c>
      <c r="H1708" s="439">
        <v>0</v>
      </c>
      <c r="I1708" s="440">
        <v>0</v>
      </c>
      <c r="J1708" s="437">
        <v>339.15</v>
      </c>
    </row>
    <row r="1709" spans="1:10" ht="13.5" customHeight="1" x14ac:dyDescent="0.25">
      <c r="A1709" s="1"/>
      <c r="B1709" s="1"/>
      <c r="C1709" s="1"/>
      <c r="D1709" s="438">
        <v>95500</v>
      </c>
      <c r="E1709" s="438">
        <f t="shared" ref="E1709" si="703">SUM(E1705:E1708)</f>
        <v>30801.15</v>
      </c>
      <c r="F1709" s="467"/>
      <c r="G1709" s="438">
        <v>95500</v>
      </c>
      <c r="H1709" s="438">
        <f>SUM(H1705:H1708)</f>
        <v>27390.61</v>
      </c>
      <c r="I1709" s="438">
        <f>SUM(I1705:I1708)</f>
        <v>64033.51</v>
      </c>
      <c r="J1709" s="438">
        <f t="shared" ref="J1709" si="704">SUM(J1705:J1708)</f>
        <v>107401.51</v>
      </c>
    </row>
    <row r="1710" spans="1:10" ht="13.5" customHeight="1" thickBot="1" x14ac:dyDescent="0.3">
      <c r="A1710" s="1"/>
      <c r="B1710" s="1"/>
      <c r="C1710" s="39" t="s">
        <v>1582</v>
      </c>
      <c r="D1710" s="451">
        <v>400736.33490000002</v>
      </c>
      <c r="E1710" s="451">
        <f t="shared" ref="E1710" si="705">SUM(E1674+E1681+E1693+E1703+E1709)</f>
        <v>167626.13</v>
      </c>
      <c r="F1710" s="478"/>
      <c r="G1710" s="451">
        <v>382762.43</v>
      </c>
      <c r="H1710" s="451">
        <f>SUM(H1674+H1681+H1693+H1703+H1709)</f>
        <v>239564.35000000003</v>
      </c>
      <c r="I1710" s="451">
        <f>SUM(I1674+I1681+I1693+I1703+I1709)</f>
        <v>334525.54000000004</v>
      </c>
      <c r="J1710" s="451">
        <f t="shared" ref="J1710" si="706">SUM(J1674+J1681+J1693+J1703+J1709)</f>
        <v>361737.38</v>
      </c>
    </row>
    <row r="1711" spans="1:10" ht="13.5" customHeight="1" thickTop="1" x14ac:dyDescent="0.25">
      <c r="A1711" s="1"/>
      <c r="B1711" s="1"/>
      <c r="C1711" s="1"/>
      <c r="D1711" s="437"/>
      <c r="E1711" s="440"/>
      <c r="F1711" s="468"/>
      <c r="G1711" s="440"/>
      <c r="H1711" s="440"/>
      <c r="I1711" s="440"/>
      <c r="J1711" s="437"/>
    </row>
    <row r="1712" spans="1:10" ht="13.5" customHeight="1" x14ac:dyDescent="0.25">
      <c r="A1712" s="1"/>
      <c r="B1712" s="1"/>
      <c r="C1712" s="46" t="s">
        <v>1583</v>
      </c>
      <c r="D1712" s="437"/>
      <c r="E1712" s="440"/>
      <c r="F1712" s="468"/>
      <c r="G1712" s="440"/>
      <c r="H1712" s="440"/>
      <c r="I1712" s="440"/>
      <c r="J1712" s="437"/>
    </row>
    <row r="1713" spans="1:10" ht="13.5" customHeight="1" x14ac:dyDescent="0.25">
      <c r="A1713" s="1"/>
      <c r="B1713" s="22" t="s">
        <v>1584</v>
      </c>
      <c r="C1713" s="1" t="s">
        <v>439</v>
      </c>
      <c r="D1713" s="437">
        <v>56264</v>
      </c>
      <c r="E1713" s="437">
        <v>24933.91</v>
      </c>
      <c r="F1713" s="466"/>
      <c r="G1713" s="437">
        <v>53585</v>
      </c>
      <c r="H1713" s="437">
        <v>0</v>
      </c>
      <c r="I1713" s="437">
        <v>0</v>
      </c>
      <c r="J1713" s="437">
        <v>0</v>
      </c>
    </row>
    <row r="1714" spans="1:10" ht="13.5" customHeight="1" x14ac:dyDescent="0.25">
      <c r="A1714" s="1"/>
      <c r="B1714" s="22" t="s">
        <v>1585</v>
      </c>
      <c r="C1714" s="1" t="s">
        <v>443</v>
      </c>
      <c r="D1714" s="437">
        <v>0</v>
      </c>
      <c r="E1714" s="437"/>
      <c r="F1714" s="466"/>
      <c r="G1714" s="437">
        <v>0</v>
      </c>
      <c r="H1714" s="437">
        <v>0</v>
      </c>
      <c r="I1714" s="437">
        <v>0</v>
      </c>
      <c r="J1714" s="437">
        <v>0</v>
      </c>
    </row>
    <row r="1715" spans="1:10" ht="13.5" customHeight="1" x14ac:dyDescent="0.25">
      <c r="A1715" s="1"/>
      <c r="B1715" s="1"/>
      <c r="C1715" s="1"/>
      <c r="D1715" s="438">
        <v>56264</v>
      </c>
      <c r="E1715" s="438">
        <f t="shared" ref="E1715" si="707">SUM(E1713:E1714)</f>
        <v>24933.91</v>
      </c>
      <c r="F1715" s="467"/>
      <c r="G1715" s="438">
        <v>53585</v>
      </c>
      <c r="H1715" s="438">
        <f>SUM(H1713:H1714)</f>
        <v>0</v>
      </c>
      <c r="I1715" s="438">
        <f>SUM(I1713:I1714)</f>
        <v>0</v>
      </c>
      <c r="J1715" s="438">
        <f t="shared" ref="J1715" si="708">SUM(J1713:J1714)</f>
        <v>0</v>
      </c>
    </row>
    <row r="1716" spans="1:10" ht="13.5" customHeight="1" x14ac:dyDescent="0.25">
      <c r="A1716" s="1"/>
      <c r="B1716" s="1"/>
      <c r="C1716" s="1"/>
      <c r="D1716" s="437"/>
      <c r="E1716" s="437"/>
      <c r="F1716" s="466"/>
      <c r="G1716" s="437"/>
      <c r="H1716" s="437"/>
      <c r="I1716" s="437"/>
      <c r="J1716" s="437"/>
    </row>
    <row r="1717" spans="1:10" ht="13.5" customHeight="1" x14ac:dyDescent="0.25">
      <c r="A1717" s="1"/>
      <c r="B1717" s="22" t="s">
        <v>1586</v>
      </c>
      <c r="C1717" s="1" t="s">
        <v>257</v>
      </c>
      <c r="D1717" s="437">
        <v>4304.1959999999999</v>
      </c>
      <c r="E1717" s="437">
        <v>1789.27</v>
      </c>
      <c r="F1717" s="466"/>
      <c r="G1717" s="437">
        <v>4099.25</v>
      </c>
      <c r="H1717" s="437">
        <v>0</v>
      </c>
      <c r="I1717" s="437">
        <v>0</v>
      </c>
      <c r="J1717" s="437">
        <v>0</v>
      </c>
    </row>
    <row r="1718" spans="1:10" ht="13.5" customHeight="1" x14ac:dyDescent="0.25">
      <c r="A1718" s="1"/>
      <c r="B1718" s="22" t="s">
        <v>1587</v>
      </c>
      <c r="C1718" s="1" t="s">
        <v>259</v>
      </c>
      <c r="D1718" s="437">
        <v>10460.8848</v>
      </c>
      <c r="E1718" s="437">
        <v>5176.8</v>
      </c>
      <c r="F1718" s="466"/>
      <c r="G1718" s="437">
        <v>10463.27</v>
      </c>
      <c r="H1718" s="437">
        <v>0</v>
      </c>
      <c r="I1718" s="437">
        <v>0</v>
      </c>
      <c r="J1718" s="437">
        <v>0</v>
      </c>
    </row>
    <row r="1719" spans="1:10" ht="13.5" customHeight="1" x14ac:dyDescent="0.25">
      <c r="A1719" s="1"/>
      <c r="B1719" s="22" t="s">
        <v>1588</v>
      </c>
      <c r="C1719" s="1" t="s">
        <v>261</v>
      </c>
      <c r="D1719" s="437">
        <v>8450.8528000000006</v>
      </c>
      <c r="E1719" s="437">
        <v>3745.08</v>
      </c>
      <c r="F1719" s="466"/>
      <c r="G1719" s="437">
        <v>8048.47</v>
      </c>
      <c r="H1719" s="437">
        <v>0</v>
      </c>
      <c r="I1719" s="437">
        <v>0</v>
      </c>
      <c r="J1719" s="437">
        <v>0</v>
      </c>
    </row>
    <row r="1720" spans="1:10" ht="13.5" customHeight="1" x14ac:dyDescent="0.25">
      <c r="A1720" s="1"/>
      <c r="B1720" s="22" t="s">
        <v>1589</v>
      </c>
      <c r="C1720" s="1" t="s">
        <v>263</v>
      </c>
      <c r="D1720" s="437">
        <v>90.022400000000005</v>
      </c>
      <c r="E1720" s="437">
        <v>39.89</v>
      </c>
      <c r="F1720" s="466"/>
      <c r="G1720" s="437">
        <v>85.74</v>
      </c>
      <c r="H1720" s="437">
        <v>0</v>
      </c>
      <c r="I1720" s="437">
        <v>0</v>
      </c>
      <c r="J1720" s="437">
        <v>0</v>
      </c>
    </row>
    <row r="1721" spans="1:10" ht="13.5" customHeight="1" x14ac:dyDescent="0.25">
      <c r="A1721" s="1"/>
      <c r="B1721" s="22" t="s">
        <v>1590</v>
      </c>
      <c r="C1721" s="1" t="s">
        <v>265</v>
      </c>
      <c r="D1721" s="437">
        <v>374.88</v>
      </c>
      <c r="E1721" s="437">
        <v>175.56</v>
      </c>
      <c r="F1721" s="466"/>
      <c r="G1721" s="437">
        <v>335</v>
      </c>
      <c r="H1721" s="437">
        <v>0</v>
      </c>
      <c r="I1721" s="437">
        <v>0</v>
      </c>
      <c r="J1721" s="437">
        <v>0</v>
      </c>
    </row>
    <row r="1722" spans="1:10" ht="13.5" customHeight="1" x14ac:dyDescent="0.25">
      <c r="A1722" s="1"/>
      <c r="B1722" s="1"/>
      <c r="C1722" s="1"/>
      <c r="D1722" s="438">
        <v>23680.836000000003</v>
      </c>
      <c r="E1722" s="438">
        <f t="shared" ref="E1722" si="709">SUM(E1717:E1721)</f>
        <v>10926.599999999999</v>
      </c>
      <c r="F1722" s="467"/>
      <c r="G1722" s="438">
        <v>22522.671600000001</v>
      </c>
      <c r="H1722" s="438">
        <f>SUM(H1717:H1721)</f>
        <v>0</v>
      </c>
      <c r="I1722" s="438">
        <f>SUM(I1717:I1721)</f>
        <v>0</v>
      </c>
      <c r="J1722" s="438">
        <f t="shared" ref="J1722" si="710">SUM(J1717:J1721)</f>
        <v>0</v>
      </c>
    </row>
    <row r="1723" spans="1:10" ht="13.5" customHeight="1" x14ac:dyDescent="0.25">
      <c r="A1723" s="1"/>
      <c r="B1723" s="1"/>
      <c r="C1723" s="1"/>
      <c r="D1723" s="437"/>
      <c r="E1723" s="437"/>
      <c r="F1723" s="466"/>
      <c r="G1723" s="437"/>
      <c r="H1723" s="437"/>
      <c r="I1723" s="437"/>
      <c r="J1723" s="437"/>
    </row>
    <row r="1724" spans="1:10" ht="13.5" customHeight="1" x14ac:dyDescent="0.25">
      <c r="A1724" s="1"/>
      <c r="B1724" s="22" t="s">
        <v>1591</v>
      </c>
      <c r="C1724" s="1" t="s">
        <v>267</v>
      </c>
      <c r="D1724" s="437">
        <v>600</v>
      </c>
      <c r="E1724" s="437">
        <v>20.88</v>
      </c>
      <c r="F1724" s="466"/>
      <c r="G1724" s="437">
        <v>600</v>
      </c>
      <c r="H1724" s="437">
        <v>0</v>
      </c>
      <c r="I1724" s="437">
        <v>0</v>
      </c>
      <c r="J1724" s="437">
        <v>0</v>
      </c>
    </row>
    <row r="1725" spans="1:10" ht="13.5" customHeight="1" x14ac:dyDescent="0.25">
      <c r="A1725" s="1"/>
      <c r="B1725" s="22" t="s">
        <v>1592</v>
      </c>
      <c r="C1725" s="1" t="s">
        <v>488</v>
      </c>
      <c r="D1725" s="437">
        <v>1500</v>
      </c>
      <c r="E1725" s="437">
        <v>675.04</v>
      </c>
      <c r="F1725" s="466"/>
      <c r="G1725" s="437">
        <v>1000</v>
      </c>
      <c r="H1725" s="437">
        <v>0</v>
      </c>
      <c r="I1725" s="437">
        <v>0</v>
      </c>
      <c r="J1725" s="437">
        <v>0</v>
      </c>
    </row>
    <row r="1726" spans="1:10" ht="13.5" customHeight="1" x14ac:dyDescent="0.25">
      <c r="A1726" s="1"/>
      <c r="B1726" s="22" t="s">
        <v>1593</v>
      </c>
      <c r="C1726" s="1" t="s">
        <v>490</v>
      </c>
      <c r="D1726" s="437">
        <v>600</v>
      </c>
      <c r="E1726" s="440"/>
      <c r="F1726" s="468"/>
      <c r="G1726" s="440">
        <v>600</v>
      </c>
      <c r="H1726" s="439">
        <v>0</v>
      </c>
      <c r="I1726" s="440">
        <v>0</v>
      </c>
      <c r="J1726" s="437">
        <v>0</v>
      </c>
    </row>
    <row r="1727" spans="1:10" ht="13.5" customHeight="1" x14ac:dyDescent="0.25">
      <c r="A1727" s="1"/>
      <c r="B1727" s="22" t="s">
        <v>1594</v>
      </c>
      <c r="C1727" s="1" t="s">
        <v>275</v>
      </c>
      <c r="D1727" s="437">
        <v>400</v>
      </c>
      <c r="E1727" s="437"/>
      <c r="F1727" s="466"/>
      <c r="G1727" s="437">
        <v>400</v>
      </c>
      <c r="H1727" s="437">
        <v>0</v>
      </c>
      <c r="I1727" s="437">
        <v>0</v>
      </c>
      <c r="J1727" s="437">
        <v>0</v>
      </c>
    </row>
    <row r="1728" spans="1:10" ht="13.5" customHeight="1" x14ac:dyDescent="0.25">
      <c r="A1728" s="1"/>
      <c r="B1728" s="1"/>
      <c r="C1728" s="1"/>
      <c r="D1728" s="438">
        <v>3100</v>
      </c>
      <c r="E1728" s="438">
        <f t="shared" ref="E1728" si="711">SUM(E1724:E1727)</f>
        <v>695.92</v>
      </c>
      <c r="F1728" s="467"/>
      <c r="G1728" s="438">
        <v>2600</v>
      </c>
      <c r="H1728" s="438">
        <f>SUM(H1724:H1727)</f>
        <v>0</v>
      </c>
      <c r="I1728" s="438">
        <f>SUM(I1724:I1727)</f>
        <v>0</v>
      </c>
      <c r="J1728" s="438">
        <f t="shared" ref="J1728" si="712">SUM(J1724:J1727)</f>
        <v>0</v>
      </c>
    </row>
    <row r="1729" spans="1:10" ht="13.5" customHeight="1" x14ac:dyDescent="0.25">
      <c r="A1729" s="1"/>
      <c r="B1729" s="1"/>
      <c r="C1729" s="1"/>
      <c r="D1729" s="437"/>
      <c r="E1729" s="437"/>
      <c r="F1729" s="466"/>
      <c r="G1729" s="437"/>
      <c r="H1729" s="437"/>
      <c r="I1729" s="437"/>
      <c r="J1729" s="437"/>
    </row>
    <row r="1730" spans="1:10" ht="13.5" customHeight="1" x14ac:dyDescent="0.25">
      <c r="A1730" s="1"/>
      <c r="B1730" s="22" t="s">
        <v>1595</v>
      </c>
      <c r="C1730" s="1" t="s">
        <v>283</v>
      </c>
      <c r="D1730" s="437">
        <v>700</v>
      </c>
      <c r="E1730" s="437"/>
      <c r="F1730" s="466"/>
      <c r="G1730" s="437">
        <v>700</v>
      </c>
      <c r="H1730" s="437">
        <v>0</v>
      </c>
      <c r="I1730" s="437">
        <v>0</v>
      </c>
      <c r="J1730" s="437">
        <v>0</v>
      </c>
    </row>
    <row r="1731" spans="1:10" ht="13.5" customHeight="1" x14ac:dyDescent="0.25">
      <c r="A1731" s="1"/>
      <c r="B1731" s="22" t="s">
        <v>1596</v>
      </c>
      <c r="C1731" s="1" t="s">
        <v>502</v>
      </c>
      <c r="D1731" s="437">
        <v>200</v>
      </c>
      <c r="E1731" s="440"/>
      <c r="F1731" s="468"/>
      <c r="G1731" s="440">
        <v>200</v>
      </c>
      <c r="H1731" s="439">
        <v>0</v>
      </c>
      <c r="I1731" s="439">
        <v>0</v>
      </c>
      <c r="J1731" s="437">
        <v>0</v>
      </c>
    </row>
    <row r="1732" spans="1:10" ht="13.5" customHeight="1" x14ac:dyDescent="0.25">
      <c r="A1732" s="1"/>
      <c r="B1732" s="22" t="s">
        <v>1597</v>
      </c>
      <c r="C1732" s="1" t="s">
        <v>337</v>
      </c>
      <c r="D1732" s="437">
        <v>500</v>
      </c>
      <c r="E1732" s="437"/>
      <c r="F1732" s="466"/>
      <c r="G1732" s="437">
        <v>500</v>
      </c>
      <c r="H1732" s="437">
        <v>0</v>
      </c>
      <c r="I1732" s="437">
        <v>0</v>
      </c>
      <c r="J1732" s="437">
        <v>0</v>
      </c>
    </row>
    <row r="1733" spans="1:10" ht="13.5" customHeight="1" x14ac:dyDescent="0.25">
      <c r="A1733" s="1"/>
      <c r="B1733" s="22" t="s">
        <v>1598</v>
      </c>
      <c r="C1733" s="1" t="s">
        <v>509</v>
      </c>
      <c r="D1733" s="437">
        <v>1000</v>
      </c>
      <c r="E1733" s="437">
        <v>128.65</v>
      </c>
      <c r="F1733" s="466"/>
      <c r="G1733" s="437">
        <v>1000</v>
      </c>
      <c r="H1733" s="437">
        <v>0</v>
      </c>
      <c r="I1733" s="437">
        <v>0</v>
      </c>
      <c r="J1733" s="437">
        <v>0</v>
      </c>
    </row>
    <row r="1734" spans="1:10" ht="13.5" customHeight="1" x14ac:dyDescent="0.25">
      <c r="A1734" s="1"/>
      <c r="B1734" s="22" t="s">
        <v>1599</v>
      </c>
      <c r="C1734" s="1" t="s">
        <v>840</v>
      </c>
      <c r="D1734" s="437">
        <v>600</v>
      </c>
      <c r="E1734" s="437">
        <v>234.73</v>
      </c>
      <c r="F1734" s="466"/>
      <c r="G1734" s="437">
        <v>600</v>
      </c>
      <c r="H1734" s="437">
        <v>0</v>
      </c>
      <c r="I1734" s="440">
        <v>0</v>
      </c>
      <c r="J1734" s="440">
        <v>0</v>
      </c>
    </row>
    <row r="1735" spans="1:10" ht="13.5" customHeight="1" x14ac:dyDescent="0.25">
      <c r="A1735" s="1"/>
      <c r="B1735" s="22" t="s">
        <v>1600</v>
      </c>
      <c r="C1735" s="1" t="s">
        <v>289</v>
      </c>
      <c r="D1735" s="437">
        <v>1200</v>
      </c>
      <c r="E1735" s="437">
        <v>416.94</v>
      </c>
      <c r="F1735" s="466"/>
      <c r="G1735" s="437">
        <v>920</v>
      </c>
      <c r="H1735" s="437">
        <v>0</v>
      </c>
      <c r="I1735" s="437">
        <v>0</v>
      </c>
      <c r="J1735" s="437">
        <v>0</v>
      </c>
    </row>
    <row r="1736" spans="1:10" ht="13.5" customHeight="1" x14ac:dyDescent="0.25">
      <c r="A1736" s="1"/>
      <c r="B1736" s="1"/>
      <c r="C1736" s="1"/>
      <c r="D1736" s="438">
        <v>4200</v>
      </c>
      <c r="E1736" s="438">
        <f t="shared" ref="E1736" si="713">SUM(E1730:E1735)</f>
        <v>780.31999999999994</v>
      </c>
      <c r="F1736" s="467"/>
      <c r="G1736" s="438">
        <v>3920</v>
      </c>
      <c r="H1736" s="438">
        <f>SUM(H1730:H1735)</f>
        <v>0</v>
      </c>
      <c r="I1736" s="438">
        <f>SUM(I1730:I1735)</f>
        <v>0</v>
      </c>
      <c r="J1736" s="438">
        <f t="shared" ref="J1736" si="714">SUM(J1730:J1735)</f>
        <v>0</v>
      </c>
    </row>
    <row r="1737" spans="1:10" ht="13.5" customHeight="1" thickBot="1" x14ac:dyDescent="0.3">
      <c r="A1737" s="1"/>
      <c r="B1737" s="1"/>
      <c r="C1737" s="48" t="s">
        <v>1601</v>
      </c>
      <c r="D1737" s="451">
        <v>87244.83600000001</v>
      </c>
      <c r="E1737" s="451">
        <f t="shared" ref="E1737" si="715">SUM(E1715+E1722+E1728+E1736)</f>
        <v>37336.749999999993</v>
      </c>
      <c r="F1737" s="478"/>
      <c r="G1737" s="451">
        <v>83136.73</v>
      </c>
      <c r="H1737" s="451">
        <f>SUM(H1715+H1722+H1728+H1736)</f>
        <v>0</v>
      </c>
      <c r="I1737" s="451">
        <f>SUM(I1715+I1722+I1728+I1736)</f>
        <v>0</v>
      </c>
      <c r="J1737" s="451">
        <f t="shared" ref="J1737" si="716">SUM(J1715+J1722+J1728+J1736)</f>
        <v>0</v>
      </c>
    </row>
    <row r="1738" spans="1:10" ht="13.5" customHeight="1" thickTop="1" x14ac:dyDescent="0.25">
      <c r="A1738" s="1"/>
      <c r="B1738" s="1"/>
      <c r="C1738" s="14"/>
      <c r="D1738" s="437"/>
      <c r="E1738" s="440"/>
      <c r="F1738" s="468"/>
      <c r="G1738" s="440"/>
      <c r="H1738" s="440"/>
      <c r="I1738" s="440"/>
      <c r="J1738" s="437"/>
    </row>
    <row r="1739" spans="1:10" ht="13.5" customHeight="1" x14ac:dyDescent="0.25">
      <c r="A1739" s="1"/>
      <c r="B1739" s="1"/>
      <c r="C1739" s="14" t="s">
        <v>41</v>
      </c>
      <c r="D1739" s="437"/>
      <c r="E1739" s="440"/>
      <c r="F1739" s="468"/>
      <c r="G1739" s="440"/>
      <c r="H1739" s="440"/>
      <c r="I1739" s="440"/>
      <c r="J1739" s="437"/>
    </row>
    <row r="1740" spans="1:10" ht="13.5" customHeight="1" x14ac:dyDescent="0.25">
      <c r="A1740" s="1"/>
      <c r="B1740" s="1" t="s">
        <v>1602</v>
      </c>
      <c r="C1740" s="1" t="s">
        <v>439</v>
      </c>
      <c r="D1740" s="437">
        <v>0</v>
      </c>
      <c r="E1740" s="437"/>
      <c r="F1740" s="466"/>
      <c r="G1740" s="437">
        <v>0</v>
      </c>
      <c r="H1740" s="437">
        <v>54889.33</v>
      </c>
      <c r="I1740" s="437">
        <v>47528.88</v>
      </c>
      <c r="J1740" s="437">
        <v>46410.2</v>
      </c>
    </row>
    <row r="1741" spans="1:10" ht="13.5" customHeight="1" x14ac:dyDescent="0.25">
      <c r="A1741" s="1"/>
      <c r="B1741" s="1" t="s">
        <v>1603</v>
      </c>
      <c r="C1741" s="1" t="s">
        <v>443</v>
      </c>
      <c r="D1741" s="437">
        <v>0</v>
      </c>
      <c r="E1741" s="437"/>
      <c r="F1741" s="466"/>
      <c r="G1741" s="437">
        <v>0</v>
      </c>
      <c r="H1741" s="437">
        <v>0</v>
      </c>
      <c r="I1741" s="437">
        <v>3600.89</v>
      </c>
      <c r="J1741" s="437">
        <v>3445.78</v>
      </c>
    </row>
    <row r="1742" spans="1:10" ht="13.5" customHeight="1" x14ac:dyDescent="0.25">
      <c r="A1742" s="1"/>
      <c r="B1742" s="1"/>
      <c r="C1742" s="1"/>
      <c r="D1742" s="438">
        <v>0</v>
      </c>
      <c r="E1742" s="438">
        <f t="shared" ref="E1742" si="717">SUM(E1740:E1741)</f>
        <v>0</v>
      </c>
      <c r="F1742" s="467"/>
      <c r="G1742" s="438">
        <v>0</v>
      </c>
      <c r="H1742" s="438">
        <f>SUM(H1740:H1741)</f>
        <v>54889.33</v>
      </c>
      <c r="I1742" s="438">
        <f>SUM(I1740:I1741)</f>
        <v>51129.77</v>
      </c>
      <c r="J1742" s="438">
        <f t="shared" ref="J1742" si="718">SUM(J1740:J1741)</f>
        <v>49855.979999999996</v>
      </c>
    </row>
    <row r="1743" spans="1:10" ht="13.5" customHeight="1" x14ac:dyDescent="0.25">
      <c r="A1743" s="1"/>
      <c r="B1743" s="1"/>
      <c r="C1743" s="1"/>
      <c r="D1743" s="437"/>
      <c r="E1743" s="437"/>
      <c r="F1743" s="466"/>
      <c r="G1743" s="437"/>
      <c r="H1743" s="437"/>
      <c r="I1743" s="437"/>
      <c r="J1743" s="437"/>
    </row>
    <row r="1744" spans="1:10" ht="13.5" customHeight="1" x14ac:dyDescent="0.25">
      <c r="A1744" s="1"/>
      <c r="B1744" s="1" t="s">
        <v>1604</v>
      </c>
      <c r="C1744" s="1" t="s">
        <v>257</v>
      </c>
      <c r="D1744" s="437">
        <v>0</v>
      </c>
      <c r="E1744" s="437"/>
      <c r="F1744" s="466"/>
      <c r="G1744" s="437">
        <v>0</v>
      </c>
      <c r="H1744" s="437">
        <v>4213.54</v>
      </c>
      <c r="I1744" s="437">
        <v>3542</v>
      </c>
      <c r="J1744" s="437">
        <v>3210.87</v>
      </c>
    </row>
    <row r="1745" spans="1:10" ht="13.5" customHeight="1" x14ac:dyDescent="0.25">
      <c r="A1745" s="1"/>
      <c r="B1745" s="1" t="s">
        <v>1605</v>
      </c>
      <c r="C1745" s="1" t="s">
        <v>259</v>
      </c>
      <c r="D1745" s="437">
        <v>0</v>
      </c>
      <c r="E1745" s="437"/>
      <c r="F1745" s="466"/>
      <c r="G1745" s="437">
        <v>0</v>
      </c>
      <c r="H1745" s="437">
        <v>10355.9</v>
      </c>
      <c r="I1745" s="437">
        <v>10176.06</v>
      </c>
      <c r="J1745" s="437">
        <v>10140</v>
      </c>
    </row>
    <row r="1746" spans="1:10" ht="13.5" customHeight="1" x14ac:dyDescent="0.25">
      <c r="A1746" s="1"/>
      <c r="B1746" s="1" t="s">
        <v>1606</v>
      </c>
      <c r="C1746" s="1" t="s">
        <v>261</v>
      </c>
      <c r="D1746" s="437">
        <v>0</v>
      </c>
      <c r="E1746" s="437"/>
      <c r="F1746" s="466"/>
      <c r="G1746" s="437">
        <v>0</v>
      </c>
      <c r="H1746" s="437">
        <v>8720.89</v>
      </c>
      <c r="I1746" s="437">
        <v>7431.12</v>
      </c>
      <c r="J1746" s="437">
        <v>7219.6</v>
      </c>
    </row>
    <row r="1747" spans="1:10" ht="13.5" customHeight="1" x14ac:dyDescent="0.25">
      <c r="A1747" s="1"/>
      <c r="B1747" s="1" t="s">
        <v>1607</v>
      </c>
      <c r="C1747" s="1" t="s">
        <v>263</v>
      </c>
      <c r="D1747" s="437">
        <v>0</v>
      </c>
      <c r="E1747" s="437"/>
      <c r="F1747" s="466"/>
      <c r="G1747" s="437">
        <v>0</v>
      </c>
      <c r="H1747" s="437">
        <v>92.9</v>
      </c>
      <c r="I1747" s="437">
        <v>81.81</v>
      </c>
      <c r="J1747" s="437">
        <v>91.17</v>
      </c>
    </row>
    <row r="1748" spans="1:10" ht="13.5" customHeight="1" x14ac:dyDescent="0.25">
      <c r="A1748" s="1"/>
      <c r="B1748" s="1" t="s">
        <v>1608</v>
      </c>
      <c r="C1748" s="1" t="s">
        <v>265</v>
      </c>
      <c r="D1748" s="437">
        <v>0</v>
      </c>
      <c r="E1748" s="437"/>
      <c r="F1748" s="466"/>
      <c r="G1748" s="437">
        <v>0</v>
      </c>
      <c r="H1748" s="437">
        <v>337.32</v>
      </c>
      <c r="I1748" s="437">
        <v>323.95999999999998</v>
      </c>
      <c r="J1748" s="437">
        <v>313.24</v>
      </c>
    </row>
    <row r="1749" spans="1:10" ht="13.5" customHeight="1" x14ac:dyDescent="0.25">
      <c r="A1749" s="1"/>
      <c r="B1749" s="1"/>
      <c r="C1749" s="1"/>
      <c r="D1749" s="438">
        <v>0</v>
      </c>
      <c r="E1749" s="438">
        <f t="shared" ref="E1749" si="719">SUM(E1744:E1748)</f>
        <v>0</v>
      </c>
      <c r="F1749" s="467"/>
      <c r="G1749" s="438">
        <v>0</v>
      </c>
      <c r="H1749" s="438">
        <f>SUM(H1744:H1748)</f>
        <v>23720.55</v>
      </c>
      <c r="I1749" s="438">
        <f>SUM(I1744:I1748)</f>
        <v>21554.95</v>
      </c>
      <c r="J1749" s="438">
        <f t="shared" ref="J1749" si="720">SUM(J1744:J1748)</f>
        <v>20974.880000000001</v>
      </c>
    </row>
    <row r="1750" spans="1:10" ht="13.5" customHeight="1" x14ac:dyDescent="0.25">
      <c r="A1750" s="1"/>
      <c r="B1750" s="1"/>
      <c r="C1750" s="1"/>
      <c r="D1750" s="437"/>
      <c r="E1750" s="437"/>
      <c r="F1750" s="466"/>
      <c r="G1750" s="437"/>
      <c r="H1750" s="437"/>
      <c r="I1750" s="437"/>
      <c r="J1750" s="437"/>
    </row>
    <row r="1751" spans="1:10" ht="13.5" customHeight="1" x14ac:dyDescent="0.25">
      <c r="A1751" s="1"/>
      <c r="B1751" s="1" t="s">
        <v>1609</v>
      </c>
      <c r="C1751" s="1" t="s">
        <v>267</v>
      </c>
      <c r="D1751" s="437">
        <v>600</v>
      </c>
      <c r="E1751" s="437"/>
      <c r="F1751" s="466"/>
      <c r="G1751" s="437">
        <v>0</v>
      </c>
      <c r="H1751" s="437">
        <v>85.54</v>
      </c>
      <c r="I1751" s="437">
        <v>80.650000000000006</v>
      </c>
      <c r="J1751" s="437">
        <v>361.58</v>
      </c>
    </row>
    <row r="1752" spans="1:10" ht="13.5" customHeight="1" x14ac:dyDescent="0.25">
      <c r="A1752" s="1"/>
      <c r="B1752" s="1" t="s">
        <v>1610</v>
      </c>
      <c r="C1752" s="1" t="s">
        <v>488</v>
      </c>
      <c r="D1752" s="437">
        <v>1000</v>
      </c>
      <c r="E1752" s="437">
        <v>190.58</v>
      </c>
      <c r="F1752" s="466"/>
      <c r="G1752" s="437">
        <v>0</v>
      </c>
      <c r="H1752" s="437">
        <v>1023.42</v>
      </c>
      <c r="I1752" s="437">
        <v>1265.76</v>
      </c>
      <c r="J1752" s="437">
        <v>791.92</v>
      </c>
    </row>
    <row r="1753" spans="1:10" ht="13.5" customHeight="1" x14ac:dyDescent="0.25">
      <c r="A1753" s="1"/>
      <c r="B1753" s="1" t="s">
        <v>1611</v>
      </c>
      <c r="C1753" s="1" t="s">
        <v>490</v>
      </c>
      <c r="D1753" s="437">
        <v>800</v>
      </c>
      <c r="E1753" s="440"/>
      <c r="F1753" s="468"/>
      <c r="G1753" s="439">
        <v>0</v>
      </c>
      <c r="H1753" s="439">
        <v>0</v>
      </c>
      <c r="I1753" s="440">
        <v>0</v>
      </c>
      <c r="J1753" s="437">
        <v>265.2</v>
      </c>
    </row>
    <row r="1754" spans="1:10" ht="13.5" customHeight="1" x14ac:dyDescent="0.25">
      <c r="A1754" s="1"/>
      <c r="B1754" s="22" t="s">
        <v>1612</v>
      </c>
      <c r="C1754" s="22" t="s">
        <v>1085</v>
      </c>
      <c r="D1754" s="437">
        <v>0</v>
      </c>
      <c r="E1754" s="437"/>
      <c r="F1754" s="466"/>
      <c r="G1754" s="437">
        <v>0</v>
      </c>
      <c r="H1754" s="437">
        <v>0</v>
      </c>
      <c r="I1754" s="437">
        <v>0</v>
      </c>
      <c r="J1754" s="437">
        <v>0</v>
      </c>
    </row>
    <row r="1755" spans="1:10" ht="13.5" customHeight="1" x14ac:dyDescent="0.25">
      <c r="A1755" s="1"/>
      <c r="B1755" s="1" t="s">
        <v>1613</v>
      </c>
      <c r="C1755" s="1" t="s">
        <v>275</v>
      </c>
      <c r="D1755" s="437">
        <v>400</v>
      </c>
      <c r="E1755" s="437"/>
      <c r="F1755" s="466"/>
      <c r="G1755" s="437">
        <v>0</v>
      </c>
      <c r="H1755" s="437">
        <v>1325.16</v>
      </c>
      <c r="I1755" s="437">
        <v>287.92</v>
      </c>
      <c r="J1755" s="437">
        <v>57.99</v>
      </c>
    </row>
    <row r="1756" spans="1:10" ht="13.5" customHeight="1" x14ac:dyDescent="0.25">
      <c r="A1756" s="1"/>
      <c r="B1756" s="1"/>
      <c r="C1756" s="1"/>
      <c r="D1756" s="438">
        <v>2800</v>
      </c>
      <c r="E1756" s="438">
        <f t="shared" ref="E1756" si="721">SUM(E1751:E1755)</f>
        <v>190.58</v>
      </c>
      <c r="F1756" s="467"/>
      <c r="G1756" s="438">
        <v>0</v>
      </c>
      <c r="H1756" s="438">
        <f>SUM(H1751:H1755)</f>
        <v>2434.12</v>
      </c>
      <c r="I1756" s="438">
        <f>SUM(I1751:I1755)</f>
        <v>1634.3300000000002</v>
      </c>
      <c r="J1756" s="438">
        <f t="shared" ref="J1756" si="722">SUM(J1751:J1755)</f>
        <v>1476.69</v>
      </c>
    </row>
    <row r="1757" spans="1:10" ht="13.5" customHeight="1" x14ac:dyDescent="0.25">
      <c r="A1757" s="1"/>
      <c r="B1757" s="1"/>
      <c r="C1757" s="1"/>
      <c r="D1757" s="437"/>
      <c r="E1757" s="437"/>
      <c r="F1757" s="466"/>
      <c r="G1757" s="437"/>
      <c r="H1757" s="437"/>
      <c r="I1757" s="437"/>
      <c r="J1757" s="437"/>
    </row>
    <row r="1758" spans="1:10" ht="13.5" customHeight="1" x14ac:dyDescent="0.25">
      <c r="A1758" s="1"/>
      <c r="B1758" s="1" t="s">
        <v>1614</v>
      </c>
      <c r="C1758" s="1" t="s">
        <v>1615</v>
      </c>
      <c r="D1758" s="437">
        <v>15000</v>
      </c>
      <c r="E1758" s="437">
        <v>91.17</v>
      </c>
      <c r="F1758" s="466"/>
      <c r="G1758" s="437">
        <v>15000</v>
      </c>
      <c r="H1758" s="437">
        <v>6629.49</v>
      </c>
      <c r="I1758" s="439">
        <v>2290.9499999999998</v>
      </c>
      <c r="J1758" s="439">
        <v>0</v>
      </c>
    </row>
    <row r="1759" spans="1:10" ht="13.5" customHeight="1" x14ac:dyDescent="0.25">
      <c r="A1759" s="1"/>
      <c r="B1759" s="1" t="s">
        <v>1616</v>
      </c>
      <c r="C1759" s="1" t="s">
        <v>283</v>
      </c>
      <c r="D1759" s="437">
        <v>1500</v>
      </c>
      <c r="E1759" s="437"/>
      <c r="F1759" s="466"/>
      <c r="G1759" s="437">
        <v>800</v>
      </c>
      <c r="H1759" s="437">
        <v>0</v>
      </c>
      <c r="I1759" s="437">
        <v>604.58000000000004</v>
      </c>
      <c r="J1759" s="437">
        <v>248.27</v>
      </c>
    </row>
    <row r="1760" spans="1:10" ht="13.5" customHeight="1" x14ac:dyDescent="0.25">
      <c r="A1760" s="1"/>
      <c r="B1760" s="1" t="s">
        <v>1617</v>
      </c>
      <c r="C1760" s="1" t="s">
        <v>502</v>
      </c>
      <c r="D1760" s="437">
        <v>200</v>
      </c>
      <c r="E1760" s="440"/>
      <c r="F1760" s="468"/>
      <c r="G1760" s="439">
        <v>0</v>
      </c>
      <c r="H1760" s="439">
        <v>381.48</v>
      </c>
      <c r="I1760" s="439">
        <v>179.88</v>
      </c>
      <c r="J1760" s="437">
        <v>179.88</v>
      </c>
    </row>
    <row r="1761" spans="1:10" ht="13.5" customHeight="1" x14ac:dyDescent="0.25">
      <c r="A1761" s="1"/>
      <c r="B1761" s="1" t="s">
        <v>1618</v>
      </c>
      <c r="C1761" s="1" t="s">
        <v>337</v>
      </c>
      <c r="D1761" s="437">
        <v>2000</v>
      </c>
      <c r="E1761" s="437"/>
      <c r="F1761" s="466"/>
      <c r="G1761" s="437">
        <v>1500</v>
      </c>
      <c r="H1761" s="437">
        <v>193.5</v>
      </c>
      <c r="I1761" s="437">
        <v>1767.5</v>
      </c>
      <c r="J1761" s="437">
        <v>1674.95</v>
      </c>
    </row>
    <row r="1762" spans="1:10" ht="13.5" customHeight="1" x14ac:dyDescent="0.25">
      <c r="A1762" s="1"/>
      <c r="B1762" s="1" t="s">
        <v>1619</v>
      </c>
      <c r="C1762" s="1" t="s">
        <v>1464</v>
      </c>
      <c r="D1762" s="437">
        <v>0</v>
      </c>
      <c r="E1762" s="437"/>
      <c r="F1762" s="466"/>
      <c r="G1762" s="437">
        <v>0</v>
      </c>
      <c r="H1762" s="437">
        <v>0</v>
      </c>
      <c r="I1762" s="437">
        <v>477.12</v>
      </c>
      <c r="J1762" s="437">
        <v>671.07</v>
      </c>
    </row>
    <row r="1763" spans="1:10" ht="13.5" customHeight="1" x14ac:dyDescent="0.25">
      <c r="A1763" s="1"/>
      <c r="B1763" s="1" t="s">
        <v>1620</v>
      </c>
      <c r="C1763" s="1" t="s">
        <v>509</v>
      </c>
      <c r="D1763" s="437">
        <v>1000</v>
      </c>
      <c r="E1763" s="437">
        <v>7.5</v>
      </c>
      <c r="F1763" s="466"/>
      <c r="G1763" s="437">
        <v>0</v>
      </c>
      <c r="H1763" s="437">
        <v>85.36</v>
      </c>
      <c r="I1763" s="437">
        <v>721.41</v>
      </c>
      <c r="J1763" s="437">
        <v>1303.67</v>
      </c>
    </row>
    <row r="1764" spans="1:10" ht="13.5" customHeight="1" x14ac:dyDescent="0.25">
      <c r="A1764" s="1"/>
      <c r="B1764" s="1" t="s">
        <v>1621</v>
      </c>
      <c r="C1764" s="1" t="s">
        <v>840</v>
      </c>
      <c r="D1764" s="437">
        <v>600</v>
      </c>
      <c r="E1764" s="437">
        <v>151.96</v>
      </c>
      <c r="F1764" s="466"/>
      <c r="G1764" s="437">
        <v>0</v>
      </c>
      <c r="H1764" s="437">
        <v>0</v>
      </c>
      <c r="I1764" s="440">
        <v>0</v>
      </c>
      <c r="J1764" s="440">
        <v>0</v>
      </c>
    </row>
    <row r="1765" spans="1:10" ht="13.5" customHeight="1" x14ac:dyDescent="0.25">
      <c r="A1765" s="1"/>
      <c r="B1765" s="1" t="s">
        <v>1622</v>
      </c>
      <c r="C1765" s="1" t="s">
        <v>289</v>
      </c>
      <c r="D1765" s="437">
        <v>0</v>
      </c>
      <c r="E1765" s="437"/>
      <c r="F1765" s="466"/>
      <c r="G1765" s="437">
        <v>0</v>
      </c>
      <c r="H1765" s="437">
        <v>903.37</v>
      </c>
      <c r="I1765" s="437">
        <v>833.88</v>
      </c>
      <c r="J1765" s="437">
        <v>833.88</v>
      </c>
    </row>
    <row r="1766" spans="1:10" ht="13.5" customHeight="1" x14ac:dyDescent="0.25">
      <c r="A1766" s="1"/>
      <c r="B1766" s="1"/>
      <c r="C1766" s="1"/>
      <c r="D1766" s="438">
        <v>20300</v>
      </c>
      <c r="E1766" s="438">
        <f t="shared" ref="E1766" si="723">SUM(E1758:E1765)</f>
        <v>250.63</v>
      </c>
      <c r="F1766" s="467"/>
      <c r="G1766" s="438">
        <v>17300</v>
      </c>
      <c r="H1766" s="438">
        <f>SUM(H1758:H1765)</f>
        <v>8193.1999999999989</v>
      </c>
      <c r="I1766" s="438">
        <f>SUM(I1758:I1765)</f>
        <v>6875.32</v>
      </c>
      <c r="J1766" s="438">
        <f t="shared" ref="J1766" si="724">SUM(J1758:J1765)</f>
        <v>4911.72</v>
      </c>
    </row>
    <row r="1767" spans="1:10" ht="13.5" customHeight="1" thickBot="1" x14ac:dyDescent="0.3">
      <c r="A1767" s="1"/>
      <c r="B1767" s="1"/>
      <c r="C1767" s="39" t="s">
        <v>1623</v>
      </c>
      <c r="D1767" s="451">
        <v>23100</v>
      </c>
      <c r="E1767" s="451">
        <f t="shared" ref="E1767" si="725">SUM(E1742+E1749+E1756+E1766)</f>
        <v>441.21000000000004</v>
      </c>
      <c r="F1767" s="478"/>
      <c r="G1767" s="451">
        <v>17300</v>
      </c>
      <c r="H1767" s="451">
        <f>SUM(H1742+H1749+H1756+H1766)</f>
        <v>89237.2</v>
      </c>
      <c r="I1767" s="451">
        <f>SUM(I1742+I1749+I1756+I1766)</f>
        <v>81194.37</v>
      </c>
      <c r="J1767" s="451">
        <f t="shared" ref="J1767" si="726">SUM(J1742+J1749+J1756+J1766)</f>
        <v>77219.27</v>
      </c>
    </row>
    <row r="1768" spans="1:10" ht="13.5" customHeight="1" thickTop="1" x14ac:dyDescent="0.25">
      <c r="A1768" s="1"/>
      <c r="B1768" s="1"/>
      <c r="C1768" s="1"/>
      <c r="D1768" s="437"/>
      <c r="E1768" s="437"/>
      <c r="F1768" s="466"/>
      <c r="G1768" s="437"/>
      <c r="H1768" s="437"/>
      <c r="I1768" s="437"/>
      <c r="J1768" s="437"/>
    </row>
    <row r="1769" spans="1:10" ht="13.5" customHeight="1" x14ac:dyDescent="0.25">
      <c r="A1769" s="1"/>
      <c r="B1769" s="1"/>
      <c r="C1769" s="14" t="s">
        <v>1624</v>
      </c>
      <c r="D1769" s="437"/>
      <c r="E1769" s="437"/>
      <c r="F1769" s="466"/>
      <c r="G1769" s="437"/>
      <c r="H1769" s="437"/>
      <c r="I1769" s="437"/>
      <c r="J1769" s="437"/>
    </row>
    <row r="1770" spans="1:10" ht="13.5" customHeight="1" x14ac:dyDescent="0.25">
      <c r="A1770" s="1"/>
      <c r="B1770" s="1" t="s">
        <v>1625</v>
      </c>
      <c r="C1770" s="1" t="s">
        <v>439</v>
      </c>
      <c r="D1770" s="437">
        <v>239092</v>
      </c>
      <c r="E1770" s="437">
        <v>95923.520000000004</v>
      </c>
      <c r="F1770" s="466"/>
      <c r="G1770" s="437">
        <v>223640</v>
      </c>
      <c r="H1770" s="437">
        <v>217691.12</v>
      </c>
      <c r="I1770" s="437">
        <v>195992.62</v>
      </c>
      <c r="J1770" s="437">
        <v>150587.60999999999</v>
      </c>
    </row>
    <row r="1771" spans="1:10" ht="13.5" customHeight="1" x14ac:dyDescent="0.25">
      <c r="A1771" s="1"/>
      <c r="B1771" s="1" t="s">
        <v>1626</v>
      </c>
      <c r="C1771" s="1" t="s">
        <v>1627</v>
      </c>
      <c r="D1771" s="437">
        <v>22050</v>
      </c>
      <c r="E1771" s="437">
        <v>9318.75</v>
      </c>
      <c r="F1771" s="466"/>
      <c r="G1771" s="437">
        <v>21000</v>
      </c>
      <c r="H1771" s="437">
        <v>18291.82</v>
      </c>
      <c r="I1771" s="437">
        <v>19230.150000000001</v>
      </c>
      <c r="J1771" s="437">
        <v>17544.73</v>
      </c>
    </row>
    <row r="1772" spans="1:10" ht="13.5" customHeight="1" x14ac:dyDescent="0.25">
      <c r="A1772" s="1"/>
      <c r="B1772" s="1" t="s">
        <v>1628</v>
      </c>
      <c r="C1772" s="1" t="s">
        <v>443</v>
      </c>
      <c r="D1772" s="437">
        <v>0</v>
      </c>
      <c r="E1772" s="437"/>
      <c r="F1772" s="466"/>
      <c r="G1772" s="437">
        <v>0</v>
      </c>
      <c r="H1772" s="437">
        <v>0</v>
      </c>
      <c r="I1772" s="437">
        <v>5545.51</v>
      </c>
      <c r="J1772" s="437">
        <v>5763.91</v>
      </c>
    </row>
    <row r="1773" spans="1:10" ht="13.5" customHeight="1" x14ac:dyDescent="0.25">
      <c r="A1773" s="1"/>
      <c r="B1773" s="1" t="s">
        <v>1629</v>
      </c>
      <c r="C1773" s="1" t="s">
        <v>1055</v>
      </c>
      <c r="D1773" s="437">
        <v>0</v>
      </c>
      <c r="E1773" s="437">
        <v>1848.66</v>
      </c>
      <c r="F1773" s="466"/>
      <c r="G1773" s="437">
        <v>0</v>
      </c>
      <c r="H1773" s="437">
        <v>0</v>
      </c>
      <c r="I1773" s="440">
        <v>0</v>
      </c>
      <c r="J1773" s="440">
        <v>0</v>
      </c>
    </row>
    <row r="1774" spans="1:10" ht="13.5" customHeight="1" x14ac:dyDescent="0.25">
      <c r="A1774" s="1"/>
      <c r="B1774" s="1" t="s">
        <v>1630</v>
      </c>
      <c r="C1774" s="1" t="s">
        <v>1075</v>
      </c>
      <c r="D1774" s="437">
        <v>2000</v>
      </c>
      <c r="E1774" s="437">
        <f>12441.62+1848.66</f>
        <v>14290.28</v>
      </c>
      <c r="F1774" s="466"/>
      <c r="G1774" s="437">
        <v>2000</v>
      </c>
      <c r="H1774" s="437">
        <v>4470.99</v>
      </c>
      <c r="I1774" s="440">
        <v>0</v>
      </c>
      <c r="J1774" s="437">
        <v>50.26</v>
      </c>
    </row>
    <row r="1775" spans="1:10" ht="13.5" customHeight="1" x14ac:dyDescent="0.25">
      <c r="A1775" s="1"/>
      <c r="B1775" s="1"/>
      <c r="C1775" s="1"/>
      <c r="D1775" s="438">
        <v>263142</v>
      </c>
      <c r="E1775" s="438">
        <f t="shared" ref="E1775" si="727">SUM(E1770:E1774)</f>
        <v>121381.21</v>
      </c>
      <c r="F1775" s="467"/>
      <c r="G1775" s="438">
        <v>246640</v>
      </c>
      <c r="H1775" s="438">
        <f>SUM(H1770:H1774)</f>
        <v>240453.93</v>
      </c>
      <c r="I1775" s="438">
        <f>SUM(I1770:I1774)</f>
        <v>220768.28</v>
      </c>
      <c r="J1775" s="438">
        <f t="shared" ref="J1775" si="728">SUM(J1770:J1774)</f>
        <v>173946.51</v>
      </c>
    </row>
    <row r="1776" spans="1:10" ht="13.5" customHeight="1" x14ac:dyDescent="0.25">
      <c r="A1776" s="1"/>
      <c r="B1776" s="1"/>
      <c r="C1776" s="1"/>
      <c r="D1776" s="437"/>
      <c r="E1776" s="440"/>
      <c r="F1776" s="468"/>
      <c r="G1776" s="440"/>
      <c r="H1776" s="440"/>
      <c r="I1776" s="440"/>
      <c r="J1776" s="437"/>
    </row>
    <row r="1777" spans="1:10" ht="13.5" customHeight="1" x14ac:dyDescent="0.25">
      <c r="A1777" s="1"/>
      <c r="B1777" s="1" t="s">
        <v>1631</v>
      </c>
      <c r="C1777" s="1" t="s">
        <v>257</v>
      </c>
      <c r="D1777" s="437">
        <v>20589.363000000001</v>
      </c>
      <c r="E1777" s="437">
        <v>8704.0400000000009</v>
      </c>
      <c r="F1777" s="466"/>
      <c r="G1777" s="437">
        <v>19326.96</v>
      </c>
      <c r="H1777" s="437">
        <v>18368.439999999999</v>
      </c>
      <c r="I1777" s="437">
        <v>16568.78</v>
      </c>
      <c r="J1777" s="437">
        <v>13142.6</v>
      </c>
    </row>
    <row r="1778" spans="1:10" ht="13.5" customHeight="1" x14ac:dyDescent="0.25">
      <c r="A1778" s="1"/>
      <c r="B1778" s="1" t="s">
        <v>1632</v>
      </c>
      <c r="C1778" s="1" t="s">
        <v>259</v>
      </c>
      <c r="D1778" s="437">
        <v>52304.423999999999</v>
      </c>
      <c r="E1778" s="437">
        <v>19515.400000000001</v>
      </c>
      <c r="F1778" s="466"/>
      <c r="G1778" s="437">
        <v>52317.17</v>
      </c>
      <c r="H1778" s="437">
        <v>45938.27</v>
      </c>
      <c r="I1778" s="437">
        <v>46014.34</v>
      </c>
      <c r="J1778" s="437">
        <v>30420</v>
      </c>
    </row>
    <row r="1779" spans="1:10" ht="13.5" customHeight="1" x14ac:dyDescent="0.25">
      <c r="A1779" s="1"/>
      <c r="B1779" s="1" t="s">
        <v>1633</v>
      </c>
      <c r="C1779" s="1" t="s">
        <v>261</v>
      </c>
      <c r="D1779" s="437">
        <v>40425.128399999994</v>
      </c>
      <c r="E1779" s="437">
        <v>17370.259999999998</v>
      </c>
      <c r="F1779" s="466"/>
      <c r="G1779" s="437">
        <v>37946.53</v>
      </c>
      <c r="H1779" s="437">
        <v>37053.31</v>
      </c>
      <c r="I1779" s="437">
        <v>32911.65</v>
      </c>
      <c r="J1779" s="437">
        <v>25441.57</v>
      </c>
    </row>
    <row r="1780" spans="1:10" ht="13.5" customHeight="1" x14ac:dyDescent="0.25">
      <c r="A1780" s="1"/>
      <c r="B1780" s="1" t="s">
        <v>1634</v>
      </c>
      <c r="C1780" s="1" t="s">
        <v>263</v>
      </c>
      <c r="D1780" s="437">
        <v>430.62720000000007</v>
      </c>
      <c r="E1780" s="437">
        <v>185.03</v>
      </c>
      <c r="F1780" s="466"/>
      <c r="G1780" s="437">
        <v>404.22400000000005</v>
      </c>
      <c r="H1780" s="437">
        <v>394.71</v>
      </c>
      <c r="I1780" s="437">
        <v>362.35</v>
      </c>
      <c r="J1780" s="437">
        <v>320.2</v>
      </c>
    </row>
    <row r="1781" spans="1:10" ht="13.5" customHeight="1" x14ac:dyDescent="0.25">
      <c r="A1781" s="1"/>
      <c r="B1781" s="1" t="s">
        <v>1635</v>
      </c>
      <c r="C1781" s="1" t="s">
        <v>265</v>
      </c>
      <c r="D1781" s="437">
        <v>1874.4</v>
      </c>
      <c r="E1781" s="437">
        <v>643.72</v>
      </c>
      <c r="F1781" s="466"/>
      <c r="G1781" s="437">
        <v>1755.6</v>
      </c>
      <c r="H1781" s="437">
        <v>1488.68</v>
      </c>
      <c r="I1781" s="437">
        <v>1464.87</v>
      </c>
      <c r="J1781" s="437">
        <v>939.72</v>
      </c>
    </row>
    <row r="1782" spans="1:10" ht="13.5" customHeight="1" x14ac:dyDescent="0.25">
      <c r="A1782" s="1"/>
      <c r="B1782" s="1" t="s">
        <v>1636</v>
      </c>
      <c r="C1782" s="1" t="s">
        <v>583</v>
      </c>
      <c r="D1782" s="437">
        <v>6000</v>
      </c>
      <c r="E1782" s="437">
        <v>2492.1</v>
      </c>
      <c r="F1782" s="466"/>
      <c r="G1782" s="437">
        <v>6000</v>
      </c>
      <c r="H1782" s="437">
        <v>5584.15</v>
      </c>
      <c r="I1782" s="437">
        <v>5722.6</v>
      </c>
      <c r="J1782" s="437">
        <v>3784.3</v>
      </c>
    </row>
    <row r="1783" spans="1:10" ht="13.5" customHeight="1" x14ac:dyDescent="0.25">
      <c r="A1783" s="1"/>
      <c r="B1783" s="1"/>
      <c r="C1783" s="1"/>
      <c r="D1783" s="438">
        <v>121623.94259999999</v>
      </c>
      <c r="E1783" s="438">
        <f t="shared" ref="E1783" si="729">SUM(E1777:E1782)</f>
        <v>48910.549999999996</v>
      </c>
      <c r="F1783" s="467"/>
      <c r="G1783" s="438">
        <v>117750.49</v>
      </c>
      <c r="H1783" s="438">
        <f>SUM(H1777:H1782)</f>
        <v>108827.55999999998</v>
      </c>
      <c r="I1783" s="438">
        <f>SUM(I1777:I1782)</f>
        <v>103044.59</v>
      </c>
      <c r="J1783" s="438">
        <f t="shared" ref="J1783" si="730">SUM(J1777:J1782)</f>
        <v>74048.39</v>
      </c>
    </row>
    <row r="1784" spans="1:10" ht="13.5" customHeight="1" x14ac:dyDescent="0.25">
      <c r="A1784" s="1"/>
      <c r="B1784" s="1"/>
      <c r="C1784" s="1"/>
      <c r="D1784" s="437"/>
      <c r="E1784" s="437"/>
      <c r="F1784" s="466"/>
      <c r="G1784" s="437"/>
      <c r="H1784" s="437"/>
      <c r="I1784" s="437"/>
      <c r="J1784" s="437"/>
    </row>
    <row r="1785" spans="1:10" ht="13.5" customHeight="1" x14ac:dyDescent="0.25">
      <c r="A1785" s="1"/>
      <c r="B1785" s="1" t="s">
        <v>1637</v>
      </c>
      <c r="C1785" s="1" t="s">
        <v>267</v>
      </c>
      <c r="D1785" s="437">
        <v>2840</v>
      </c>
      <c r="E1785" s="437">
        <v>721.71</v>
      </c>
      <c r="F1785" s="466"/>
      <c r="G1785" s="437">
        <v>2840</v>
      </c>
      <c r="H1785" s="437">
        <v>2147.4299999999998</v>
      </c>
      <c r="I1785" s="437">
        <v>2244.89</v>
      </c>
      <c r="J1785" s="437">
        <v>2198.39</v>
      </c>
    </row>
    <row r="1786" spans="1:10" ht="13.5" customHeight="1" x14ac:dyDescent="0.25">
      <c r="A1786" s="1"/>
      <c r="B1786" s="1" t="s">
        <v>1638</v>
      </c>
      <c r="C1786" s="1" t="s">
        <v>269</v>
      </c>
      <c r="D1786" s="437">
        <v>1400</v>
      </c>
      <c r="E1786" s="437">
        <v>503.01</v>
      </c>
      <c r="F1786" s="466"/>
      <c r="G1786" s="437">
        <v>1400</v>
      </c>
      <c r="H1786" s="437">
        <v>1388.82</v>
      </c>
      <c r="I1786" s="437">
        <v>1014.5</v>
      </c>
      <c r="J1786" s="437">
        <v>1335.25</v>
      </c>
    </row>
    <row r="1787" spans="1:10" ht="13.5" customHeight="1" x14ac:dyDescent="0.25">
      <c r="A1787" s="1"/>
      <c r="B1787" s="1" t="s">
        <v>1639</v>
      </c>
      <c r="C1787" s="1" t="s">
        <v>994</v>
      </c>
      <c r="D1787" s="437">
        <v>0</v>
      </c>
      <c r="E1787" s="437"/>
      <c r="F1787" s="466"/>
      <c r="G1787" s="437">
        <v>0</v>
      </c>
      <c r="H1787" s="437">
        <v>0</v>
      </c>
      <c r="I1787" s="440" t="s">
        <v>12</v>
      </c>
      <c r="J1787" s="440" t="s">
        <v>12</v>
      </c>
    </row>
    <row r="1788" spans="1:10" ht="13.5" customHeight="1" x14ac:dyDescent="0.25">
      <c r="A1788" s="1"/>
      <c r="B1788" s="1" t="s">
        <v>1640</v>
      </c>
      <c r="C1788" s="1" t="s">
        <v>488</v>
      </c>
      <c r="D1788" s="437">
        <v>15000</v>
      </c>
      <c r="E1788" s="437">
        <v>4599.8900000000003</v>
      </c>
      <c r="F1788" s="466"/>
      <c r="G1788" s="437">
        <v>15000</v>
      </c>
      <c r="H1788" s="437">
        <v>7664.41</v>
      </c>
      <c r="I1788" s="437">
        <v>11990.69</v>
      </c>
      <c r="J1788" s="437">
        <v>10189.48</v>
      </c>
    </row>
    <row r="1789" spans="1:10" ht="13.5" customHeight="1" x14ac:dyDescent="0.25">
      <c r="A1789" s="1"/>
      <c r="B1789" s="1" t="s">
        <v>1641</v>
      </c>
      <c r="C1789" s="1" t="s">
        <v>939</v>
      </c>
      <c r="D1789" s="437">
        <v>100</v>
      </c>
      <c r="E1789" s="440"/>
      <c r="F1789" s="468"/>
      <c r="G1789" s="440">
        <v>100</v>
      </c>
      <c r="H1789" s="439">
        <v>0</v>
      </c>
      <c r="I1789" s="439">
        <v>0</v>
      </c>
      <c r="J1789" s="440">
        <v>0</v>
      </c>
    </row>
    <row r="1790" spans="1:10" ht="13.5" customHeight="1" x14ac:dyDescent="0.25">
      <c r="A1790" s="1"/>
      <c r="B1790" s="1" t="s">
        <v>1642</v>
      </c>
      <c r="C1790" s="1" t="s">
        <v>490</v>
      </c>
      <c r="D1790" s="437">
        <v>1600</v>
      </c>
      <c r="E1790" s="437">
        <v>196.78</v>
      </c>
      <c r="F1790" s="466"/>
      <c r="G1790" s="437">
        <v>1600</v>
      </c>
      <c r="H1790" s="437">
        <v>965.96</v>
      </c>
      <c r="I1790" s="437">
        <v>1664.8</v>
      </c>
      <c r="J1790" s="437">
        <v>639.12</v>
      </c>
    </row>
    <row r="1791" spans="1:10" ht="13.5" customHeight="1" x14ac:dyDescent="0.25">
      <c r="A1791" s="1"/>
      <c r="B1791" s="1" t="s">
        <v>1643</v>
      </c>
      <c r="C1791" s="1" t="s">
        <v>492</v>
      </c>
      <c r="D1791" s="437">
        <v>300</v>
      </c>
      <c r="E1791" s="437"/>
      <c r="F1791" s="466"/>
      <c r="G1791" s="437">
        <v>300</v>
      </c>
      <c r="H1791" s="437">
        <v>185.81</v>
      </c>
      <c r="I1791" s="437">
        <v>362.06</v>
      </c>
      <c r="J1791" s="440">
        <v>0</v>
      </c>
    </row>
    <row r="1792" spans="1:10" ht="13.5" customHeight="1" x14ac:dyDescent="0.25">
      <c r="A1792" s="1"/>
      <c r="B1792" s="1" t="s">
        <v>1644</v>
      </c>
      <c r="C1792" s="1" t="s">
        <v>273</v>
      </c>
      <c r="D1792" s="437">
        <v>0</v>
      </c>
      <c r="E1792" s="440"/>
      <c r="F1792" s="468"/>
      <c r="G1792" s="440">
        <v>0</v>
      </c>
      <c r="H1792" s="439">
        <v>1098</v>
      </c>
      <c r="I1792" s="439">
        <v>661.4</v>
      </c>
      <c r="J1792" s="439">
        <v>0</v>
      </c>
    </row>
    <row r="1793" spans="1:10" ht="13.5" customHeight="1" x14ac:dyDescent="0.25">
      <c r="A1793" s="1"/>
      <c r="B1793" s="22" t="s">
        <v>1645</v>
      </c>
      <c r="C1793" s="22" t="s">
        <v>455</v>
      </c>
      <c r="D1793" s="437"/>
      <c r="E1793" s="437">
        <v>379.98</v>
      </c>
      <c r="F1793" s="466"/>
      <c r="G1793" s="437"/>
      <c r="H1793" s="437"/>
      <c r="I1793" s="437"/>
      <c r="J1793" s="437"/>
    </row>
    <row r="1794" spans="1:10" ht="13.5" customHeight="1" x14ac:dyDescent="0.25">
      <c r="A1794" s="1"/>
      <c r="B1794" s="1" t="s">
        <v>1646</v>
      </c>
      <c r="C1794" s="1" t="s">
        <v>275</v>
      </c>
      <c r="D1794" s="437">
        <v>3000</v>
      </c>
      <c r="E1794" s="437">
        <v>908.44</v>
      </c>
      <c r="F1794" s="466"/>
      <c r="G1794" s="437">
        <v>3000</v>
      </c>
      <c r="H1794" s="437">
        <v>1778.7</v>
      </c>
      <c r="I1794" s="437">
        <v>1969.33</v>
      </c>
      <c r="J1794" s="437">
        <v>4622.43</v>
      </c>
    </row>
    <row r="1795" spans="1:10" ht="13.5" customHeight="1" x14ac:dyDescent="0.25">
      <c r="A1795" s="1"/>
      <c r="B1795" s="1"/>
      <c r="C1795" s="1"/>
      <c r="D1795" s="438">
        <v>24240</v>
      </c>
      <c r="E1795" s="438">
        <f t="shared" ref="E1795" si="731">SUM(E1785:E1794)</f>
        <v>7309.8100000000013</v>
      </c>
      <c r="F1795" s="467"/>
      <c r="G1795" s="438">
        <v>24240</v>
      </c>
      <c r="H1795" s="438">
        <f>SUM(H1785:H1794)</f>
        <v>15229.13</v>
      </c>
      <c r="I1795" s="438">
        <f>SUM(I1785:I1794)</f>
        <v>19907.670000000006</v>
      </c>
      <c r="J1795" s="438">
        <f t="shared" ref="J1795" si="732">SUM(J1785:J1794)</f>
        <v>18984.669999999998</v>
      </c>
    </row>
    <row r="1796" spans="1:10" ht="13.5" customHeight="1" x14ac:dyDescent="0.25">
      <c r="A1796" s="1"/>
      <c r="B1796" s="1"/>
      <c r="C1796" s="1"/>
      <c r="D1796" s="437"/>
      <c r="E1796" s="437"/>
      <c r="F1796" s="466"/>
      <c r="G1796" s="437"/>
      <c r="H1796" s="437"/>
      <c r="I1796" s="437"/>
      <c r="J1796" s="437"/>
    </row>
    <row r="1797" spans="1:10" ht="13.5" customHeight="1" x14ac:dyDescent="0.25">
      <c r="A1797" s="1"/>
      <c r="B1797" s="1" t="s">
        <v>1647</v>
      </c>
      <c r="C1797" s="1" t="s">
        <v>1129</v>
      </c>
      <c r="D1797" s="437">
        <v>1000</v>
      </c>
      <c r="E1797" s="440"/>
      <c r="F1797" s="468"/>
      <c r="G1797" s="440">
        <v>1000</v>
      </c>
      <c r="H1797" s="439">
        <v>0</v>
      </c>
      <c r="I1797" s="439">
        <v>200</v>
      </c>
      <c r="J1797" s="440">
        <v>0</v>
      </c>
    </row>
    <row r="1798" spans="1:10" ht="13.5" customHeight="1" x14ac:dyDescent="0.25">
      <c r="A1798" s="1"/>
      <c r="B1798" s="1" t="s">
        <v>1648</v>
      </c>
      <c r="C1798" s="1" t="s">
        <v>283</v>
      </c>
      <c r="D1798" s="437">
        <v>500</v>
      </c>
      <c r="E1798" s="437">
        <v>30</v>
      </c>
      <c r="F1798" s="466"/>
      <c r="G1798" s="437">
        <v>500</v>
      </c>
      <c r="H1798" s="437">
        <v>0</v>
      </c>
      <c r="I1798" s="437">
        <v>192.5</v>
      </c>
      <c r="J1798" s="440">
        <v>0</v>
      </c>
    </row>
    <row r="1799" spans="1:10" ht="13.5" customHeight="1" x14ac:dyDescent="0.25">
      <c r="A1799" s="1"/>
      <c r="B1799" s="1" t="s">
        <v>1649</v>
      </c>
      <c r="C1799" s="1" t="s">
        <v>502</v>
      </c>
      <c r="D1799" s="437">
        <v>1100</v>
      </c>
      <c r="E1799" s="437">
        <v>2117.96</v>
      </c>
      <c r="F1799" s="466"/>
      <c r="G1799" s="437">
        <v>750</v>
      </c>
      <c r="H1799" s="437">
        <v>1209.8800000000001</v>
      </c>
      <c r="I1799" s="437">
        <v>856.38</v>
      </c>
      <c r="J1799" s="437">
        <v>1113.1300000000001</v>
      </c>
    </row>
    <row r="1800" spans="1:10" ht="13.5" customHeight="1" x14ac:dyDescent="0.25">
      <c r="A1800" s="1"/>
      <c r="B1800" s="1" t="s">
        <v>1650</v>
      </c>
      <c r="C1800" s="1" t="s">
        <v>509</v>
      </c>
      <c r="D1800" s="437">
        <v>3000</v>
      </c>
      <c r="E1800" s="437">
        <v>1747.66</v>
      </c>
      <c r="F1800" s="466"/>
      <c r="G1800" s="437">
        <v>3000</v>
      </c>
      <c r="H1800" s="437">
        <v>2544.5</v>
      </c>
      <c r="I1800" s="437">
        <v>2015.23</v>
      </c>
      <c r="J1800" s="437">
        <v>1361.47</v>
      </c>
    </row>
    <row r="1801" spans="1:10" ht="13.5" customHeight="1" x14ac:dyDescent="0.25">
      <c r="A1801" s="1"/>
      <c r="B1801" s="1" t="s">
        <v>1651</v>
      </c>
      <c r="C1801" s="1" t="s">
        <v>840</v>
      </c>
      <c r="D1801" s="437">
        <v>4500</v>
      </c>
      <c r="E1801" s="437">
        <v>1294.8699999999999</v>
      </c>
      <c r="F1801" s="466"/>
      <c r="G1801" s="437">
        <v>1800</v>
      </c>
      <c r="H1801" s="437">
        <v>2927.28</v>
      </c>
      <c r="I1801" s="437">
        <v>1367.64</v>
      </c>
      <c r="J1801" s="437">
        <v>1367.64</v>
      </c>
    </row>
    <row r="1802" spans="1:10" ht="13.5" customHeight="1" x14ac:dyDescent="0.25">
      <c r="A1802" s="1"/>
      <c r="B1802" s="1" t="s">
        <v>1652</v>
      </c>
      <c r="C1802" s="1" t="s">
        <v>1653</v>
      </c>
      <c r="D1802" s="437">
        <v>150</v>
      </c>
      <c r="E1802" s="440"/>
      <c r="F1802" s="468"/>
      <c r="G1802" s="440">
        <v>150</v>
      </c>
      <c r="H1802" s="439">
        <v>163.5</v>
      </c>
      <c r="I1802" s="439">
        <v>0</v>
      </c>
      <c r="J1802" s="437">
        <v>163.5</v>
      </c>
    </row>
    <row r="1803" spans="1:10" ht="13.5" customHeight="1" x14ac:dyDescent="0.25">
      <c r="A1803" s="1"/>
      <c r="B1803" s="1" t="s">
        <v>1654</v>
      </c>
      <c r="C1803" s="1" t="s">
        <v>289</v>
      </c>
      <c r="D1803" s="437">
        <v>2160</v>
      </c>
      <c r="E1803" s="437">
        <v>996.3</v>
      </c>
      <c r="F1803" s="466"/>
      <c r="G1803" s="437">
        <v>2160</v>
      </c>
      <c r="H1803" s="437">
        <v>2572.61</v>
      </c>
      <c r="I1803" s="437">
        <v>2582.62</v>
      </c>
      <c r="J1803" s="437">
        <v>2177.7800000000002</v>
      </c>
    </row>
    <row r="1804" spans="1:10" ht="13.5" customHeight="1" x14ac:dyDescent="0.25">
      <c r="A1804" s="1"/>
      <c r="B1804" s="1"/>
      <c r="C1804" s="1"/>
      <c r="D1804" s="438">
        <v>12410</v>
      </c>
      <c r="E1804" s="438">
        <f t="shared" ref="E1804" si="733">SUM(E1797:E1803)</f>
        <v>6186.79</v>
      </c>
      <c r="F1804" s="467"/>
      <c r="G1804" s="438">
        <v>9360</v>
      </c>
      <c r="H1804" s="438">
        <f>SUM(H1797:H1803)</f>
        <v>9417.77</v>
      </c>
      <c r="I1804" s="438">
        <f>SUM(I1797:I1803)</f>
        <v>7214.37</v>
      </c>
      <c r="J1804" s="438">
        <f t="shared" ref="J1804" si="734">SUM(J1797:J1803)</f>
        <v>6183.52</v>
      </c>
    </row>
    <row r="1805" spans="1:10" ht="13.5" customHeight="1" x14ac:dyDescent="0.25">
      <c r="A1805" s="1"/>
      <c r="B1805" s="1"/>
      <c r="C1805" s="1"/>
      <c r="D1805" s="437"/>
      <c r="E1805" s="437"/>
      <c r="F1805" s="466"/>
      <c r="G1805" s="437"/>
      <c r="H1805" s="437"/>
      <c r="I1805" s="437"/>
      <c r="J1805" s="437"/>
    </row>
    <row r="1806" spans="1:10" ht="13.5" customHeight="1" x14ac:dyDescent="0.25">
      <c r="A1806" s="1"/>
      <c r="B1806" s="1" t="s">
        <v>1655</v>
      </c>
      <c r="C1806" s="1" t="s">
        <v>1315</v>
      </c>
      <c r="D1806" s="437">
        <v>0</v>
      </c>
      <c r="E1806" s="437">
        <v>38590</v>
      </c>
      <c r="F1806" s="466"/>
      <c r="G1806" s="437">
        <v>0</v>
      </c>
      <c r="H1806" s="437">
        <v>0</v>
      </c>
      <c r="I1806" s="439">
        <v>37863.5</v>
      </c>
      <c r="J1806" s="437">
        <v>24920</v>
      </c>
    </row>
    <row r="1807" spans="1:10" ht="13.5" customHeight="1" x14ac:dyDescent="0.25">
      <c r="A1807" s="1"/>
      <c r="B1807" s="1"/>
      <c r="C1807" s="1"/>
      <c r="D1807" s="460">
        <v>0</v>
      </c>
      <c r="E1807" s="460">
        <f>SUM(E1806)</f>
        <v>38590</v>
      </c>
      <c r="F1807" s="484"/>
      <c r="G1807" s="460">
        <v>0</v>
      </c>
      <c r="H1807" s="460">
        <v>0</v>
      </c>
      <c r="I1807" s="438">
        <f>SUM(I1806)</f>
        <v>37863.5</v>
      </c>
      <c r="J1807" s="438">
        <f t="shared" ref="J1807" si="735">SUM(J1806)</f>
        <v>24920</v>
      </c>
    </row>
    <row r="1808" spans="1:10" ht="13.5" customHeight="1" thickBot="1" x14ac:dyDescent="0.3">
      <c r="A1808" s="1"/>
      <c r="B1808" s="1"/>
      <c r="C1808" s="39" t="s">
        <v>1656</v>
      </c>
      <c r="D1808" s="451">
        <v>421415.94260000001</v>
      </c>
      <c r="E1808" s="451">
        <f t="shared" ref="E1808" si="736">SUM(E1775+E1783+E1795+E1804+E1807)</f>
        <v>222378.36000000002</v>
      </c>
      <c r="F1808" s="478"/>
      <c r="G1808" s="451">
        <v>397990.49</v>
      </c>
      <c r="H1808" s="451">
        <f t="shared" ref="H1808" si="737">SUM(H1775+H1783+H1795+H1804+H1807)</f>
        <v>373928.39</v>
      </c>
      <c r="I1808" s="451">
        <f>SUM(I1775+I1783+I1795+I1804+I1807)</f>
        <v>388798.41</v>
      </c>
      <c r="J1808" s="451">
        <f t="shared" ref="J1808" si="738">SUM(J1775+J1783+J1795+J1804+J1807)</f>
        <v>298083.09000000003</v>
      </c>
    </row>
    <row r="1809" spans="1:10" ht="13.5" customHeight="1" thickTop="1" x14ac:dyDescent="0.25">
      <c r="A1809" s="1"/>
      <c r="B1809" s="1"/>
      <c r="C1809" s="1"/>
      <c r="D1809" s="437"/>
      <c r="E1809" s="440"/>
      <c r="F1809" s="468"/>
      <c r="G1809" s="440"/>
      <c r="H1809" s="440"/>
      <c r="I1809" s="440"/>
      <c r="J1809" s="437"/>
    </row>
    <row r="1810" spans="1:10" ht="13.5" customHeight="1" x14ac:dyDescent="0.25">
      <c r="A1810" s="1"/>
      <c r="B1810" s="1"/>
      <c r="C1810" s="14" t="s">
        <v>1657</v>
      </c>
      <c r="D1810" s="437"/>
      <c r="E1810" s="440"/>
      <c r="F1810" s="468"/>
      <c r="G1810" s="440"/>
      <c r="H1810" s="440"/>
      <c r="I1810" s="440"/>
      <c r="J1810" s="437"/>
    </row>
    <row r="1811" spans="1:10" ht="13.5" customHeight="1" x14ac:dyDescent="0.25">
      <c r="A1811" s="1"/>
      <c r="B1811" s="1" t="s">
        <v>1658</v>
      </c>
      <c r="C1811" s="1" t="s">
        <v>439</v>
      </c>
      <c r="D1811" s="437">
        <v>76314</v>
      </c>
      <c r="E1811" s="437">
        <v>30469.95</v>
      </c>
      <c r="F1811" s="466"/>
      <c r="G1811" s="437">
        <v>71371</v>
      </c>
      <c r="H1811" s="437">
        <v>53750.94</v>
      </c>
      <c r="I1811" s="437">
        <v>68068.789999999994</v>
      </c>
      <c r="J1811" s="437">
        <v>66558.94</v>
      </c>
    </row>
    <row r="1812" spans="1:10" ht="13.5" customHeight="1" x14ac:dyDescent="0.25">
      <c r="A1812" s="1"/>
      <c r="B1812" s="1" t="s">
        <v>1659</v>
      </c>
      <c r="C1812" s="1" t="s">
        <v>443</v>
      </c>
      <c r="D1812" s="437">
        <v>0</v>
      </c>
      <c r="E1812" s="437"/>
      <c r="F1812" s="466"/>
      <c r="G1812" s="437">
        <v>0</v>
      </c>
      <c r="H1812" s="437">
        <v>0</v>
      </c>
      <c r="I1812" s="437">
        <v>2716.86</v>
      </c>
      <c r="J1812" s="437">
        <v>2537.71</v>
      </c>
    </row>
    <row r="1813" spans="1:10" ht="13.5" customHeight="1" x14ac:dyDescent="0.25">
      <c r="A1813" s="1"/>
      <c r="B1813" s="1"/>
      <c r="C1813" s="1"/>
      <c r="D1813" s="438">
        <v>76314</v>
      </c>
      <c r="E1813" s="438">
        <f t="shared" ref="E1813" si="739">SUM(E1811:E1812)</f>
        <v>30469.95</v>
      </c>
      <c r="F1813" s="467"/>
      <c r="G1813" s="438">
        <v>71371</v>
      </c>
      <c r="H1813" s="438">
        <f>SUM(H1811:H1812)</f>
        <v>53750.94</v>
      </c>
      <c r="I1813" s="438">
        <f>SUM(I1811:I1812)</f>
        <v>70785.649999999994</v>
      </c>
      <c r="J1813" s="438">
        <f t="shared" ref="J1813" si="740">SUM(J1811:J1812)</f>
        <v>69096.650000000009</v>
      </c>
    </row>
    <row r="1814" spans="1:10" ht="13.5" customHeight="1" x14ac:dyDescent="0.25">
      <c r="A1814" s="1"/>
      <c r="B1814" s="1"/>
      <c r="C1814" s="1"/>
      <c r="D1814" s="437"/>
      <c r="E1814" s="437"/>
      <c r="F1814" s="466"/>
      <c r="G1814" s="437"/>
      <c r="H1814" s="437"/>
      <c r="I1814" s="437"/>
      <c r="J1814" s="437"/>
    </row>
    <row r="1815" spans="1:10" ht="13.5" customHeight="1" x14ac:dyDescent="0.25">
      <c r="A1815" s="1"/>
      <c r="B1815" s="1" t="s">
        <v>1660</v>
      </c>
      <c r="C1815" s="1" t="s">
        <v>257</v>
      </c>
      <c r="D1815" s="437">
        <v>5838.0209999999997</v>
      </c>
      <c r="E1815" s="437">
        <v>1952.01</v>
      </c>
      <c r="F1815" s="466"/>
      <c r="G1815" s="437">
        <v>5459.88</v>
      </c>
      <c r="H1815" s="437">
        <v>3780.53</v>
      </c>
      <c r="I1815" s="437">
        <v>5233.99</v>
      </c>
      <c r="J1815" s="437">
        <v>5108.68</v>
      </c>
    </row>
    <row r="1816" spans="1:10" ht="13.5" customHeight="1" x14ac:dyDescent="0.25">
      <c r="A1816" s="1"/>
      <c r="B1816" s="1" t="s">
        <v>1661</v>
      </c>
      <c r="C1816" s="1" t="s">
        <v>259</v>
      </c>
      <c r="D1816" s="437">
        <v>20921.7696</v>
      </c>
      <c r="E1816" s="437">
        <v>10353.6</v>
      </c>
      <c r="F1816" s="466"/>
      <c r="G1816" s="437">
        <v>20926.87</v>
      </c>
      <c r="H1816" s="437">
        <v>12086.26</v>
      </c>
      <c r="I1816" s="437">
        <v>10190.34</v>
      </c>
      <c r="J1816" s="437">
        <v>10151.56</v>
      </c>
    </row>
    <row r="1817" spans="1:10" ht="13.5" customHeight="1" x14ac:dyDescent="0.25">
      <c r="A1817" s="1"/>
      <c r="B1817" s="1" t="s">
        <v>1662</v>
      </c>
      <c r="C1817" s="1" t="s">
        <v>261</v>
      </c>
      <c r="D1817" s="437">
        <v>11462.362799999999</v>
      </c>
      <c r="E1817" s="437">
        <v>4576.6000000000004</v>
      </c>
      <c r="F1817" s="466"/>
      <c r="G1817" s="437">
        <v>10719.92</v>
      </c>
      <c r="H1817" s="437">
        <v>8073.4</v>
      </c>
      <c r="I1817" s="437">
        <v>10287.75</v>
      </c>
      <c r="J1817" s="437">
        <v>10005.85</v>
      </c>
    </row>
    <row r="1818" spans="1:10" ht="13.5" customHeight="1" x14ac:dyDescent="0.25">
      <c r="A1818" s="1"/>
      <c r="B1818" s="1" t="s">
        <v>1663</v>
      </c>
      <c r="C1818" s="1" t="s">
        <v>263</v>
      </c>
      <c r="D1818" s="437">
        <v>122.10240000000002</v>
      </c>
      <c r="E1818" s="437">
        <v>48.75</v>
      </c>
      <c r="F1818" s="466"/>
      <c r="G1818" s="437">
        <v>114.19</v>
      </c>
      <c r="H1818" s="437">
        <v>86</v>
      </c>
      <c r="I1818" s="437">
        <v>113.26</v>
      </c>
      <c r="J1818" s="437">
        <v>126.31</v>
      </c>
    </row>
    <row r="1819" spans="1:10" ht="13.5" customHeight="1" x14ac:dyDescent="0.25">
      <c r="A1819" s="1"/>
      <c r="B1819" s="1" t="s">
        <v>1664</v>
      </c>
      <c r="C1819" s="1" t="s">
        <v>265</v>
      </c>
      <c r="D1819" s="437">
        <v>749.76</v>
      </c>
      <c r="E1819" s="437">
        <v>351.12</v>
      </c>
      <c r="F1819" s="466"/>
      <c r="G1819" s="437">
        <v>702.24</v>
      </c>
      <c r="H1819" s="437">
        <v>395.84</v>
      </c>
      <c r="I1819" s="437">
        <v>323.95999999999998</v>
      </c>
      <c r="J1819" s="437">
        <v>313.24</v>
      </c>
    </row>
    <row r="1820" spans="1:10" ht="13.5" customHeight="1" x14ac:dyDescent="0.25">
      <c r="A1820" s="1"/>
      <c r="B1820" s="1"/>
      <c r="C1820" s="1"/>
      <c r="D1820" s="438">
        <v>39094.015800000001</v>
      </c>
      <c r="E1820" s="438">
        <f t="shared" ref="E1820" si="741">SUM(E1815:E1819)</f>
        <v>17282.079999999998</v>
      </c>
      <c r="F1820" s="467"/>
      <c r="G1820" s="438">
        <v>37923.11</v>
      </c>
      <c r="H1820" s="438">
        <f>SUM(H1815:H1819)</f>
        <v>24422.030000000002</v>
      </c>
      <c r="I1820" s="438">
        <f>SUM(I1815:I1819)</f>
        <v>26149.3</v>
      </c>
      <c r="J1820" s="438">
        <f t="shared" ref="J1820" si="742">SUM(J1815:J1819)</f>
        <v>25705.640000000003</v>
      </c>
    </row>
    <row r="1821" spans="1:10" ht="13.5" customHeight="1" x14ac:dyDescent="0.25">
      <c r="A1821" s="1"/>
      <c r="B1821" s="1"/>
      <c r="C1821" s="1"/>
      <c r="D1821" s="437"/>
      <c r="E1821" s="437"/>
      <c r="F1821" s="466"/>
      <c r="G1821" s="437"/>
      <c r="H1821" s="437"/>
      <c r="I1821" s="437"/>
      <c r="J1821" s="437"/>
    </row>
    <row r="1822" spans="1:10" ht="13.5" customHeight="1" x14ac:dyDescent="0.25">
      <c r="A1822" s="1"/>
      <c r="B1822" s="1" t="s">
        <v>1665</v>
      </c>
      <c r="C1822" s="1" t="s">
        <v>267</v>
      </c>
      <c r="D1822" s="437">
        <v>1074</v>
      </c>
      <c r="E1822" s="437">
        <v>657.19</v>
      </c>
      <c r="F1822" s="466"/>
      <c r="G1822" s="437">
        <v>1074</v>
      </c>
      <c r="H1822" s="437">
        <v>934.93</v>
      </c>
      <c r="I1822" s="437">
        <v>986.02</v>
      </c>
      <c r="J1822" s="437">
        <v>1192.83</v>
      </c>
    </row>
    <row r="1823" spans="1:10" ht="13.5" customHeight="1" x14ac:dyDescent="0.25">
      <c r="A1823" s="1"/>
      <c r="B1823" s="1" t="s">
        <v>1666</v>
      </c>
      <c r="C1823" s="1" t="s">
        <v>994</v>
      </c>
      <c r="D1823" s="437">
        <v>750</v>
      </c>
      <c r="E1823" s="439">
        <v>0</v>
      </c>
      <c r="F1823" s="468"/>
      <c r="G1823" s="440">
        <v>750</v>
      </c>
      <c r="H1823" s="439">
        <v>69.95</v>
      </c>
      <c r="I1823" s="439">
        <v>625.5</v>
      </c>
      <c r="J1823" s="440">
        <v>0</v>
      </c>
    </row>
    <row r="1824" spans="1:10" ht="13.5" customHeight="1" x14ac:dyDescent="0.25">
      <c r="A1824" s="1"/>
      <c r="B1824" s="1" t="s">
        <v>1667</v>
      </c>
      <c r="C1824" s="1" t="s">
        <v>1668</v>
      </c>
      <c r="D1824" s="437">
        <v>0</v>
      </c>
      <c r="E1824" s="439">
        <v>0</v>
      </c>
      <c r="F1824" s="468"/>
      <c r="G1824" s="440">
        <v>0</v>
      </c>
      <c r="H1824" s="439">
        <v>0</v>
      </c>
      <c r="I1824" s="439">
        <v>47</v>
      </c>
      <c r="J1824" s="439">
        <v>0</v>
      </c>
    </row>
    <row r="1825" spans="1:10" ht="13.5" customHeight="1" x14ac:dyDescent="0.25">
      <c r="A1825" s="1"/>
      <c r="B1825" s="1" t="s">
        <v>1669</v>
      </c>
      <c r="C1825" s="1" t="s">
        <v>1085</v>
      </c>
      <c r="D1825" s="437">
        <v>0</v>
      </c>
      <c r="E1825" s="439">
        <v>0</v>
      </c>
      <c r="F1825" s="468"/>
      <c r="G1825" s="440">
        <v>0</v>
      </c>
      <c r="H1825" s="439">
        <v>0</v>
      </c>
      <c r="I1825" s="439">
        <v>2835</v>
      </c>
      <c r="J1825" s="439">
        <v>0</v>
      </c>
    </row>
    <row r="1826" spans="1:10" ht="13.5" customHeight="1" x14ac:dyDescent="0.25">
      <c r="A1826" s="1"/>
      <c r="B1826" s="1" t="s">
        <v>1670</v>
      </c>
      <c r="C1826" s="1" t="s">
        <v>455</v>
      </c>
      <c r="D1826" s="437">
        <v>0</v>
      </c>
      <c r="E1826" s="439">
        <v>0</v>
      </c>
      <c r="F1826" s="468"/>
      <c r="G1826" s="440">
        <v>0</v>
      </c>
      <c r="H1826" s="439">
        <v>330.33</v>
      </c>
      <c r="I1826" s="439">
        <v>579.98</v>
      </c>
      <c r="J1826" s="437">
        <v>1127.76</v>
      </c>
    </row>
    <row r="1827" spans="1:10" ht="13.5" customHeight="1" x14ac:dyDescent="0.25">
      <c r="A1827" s="1"/>
      <c r="B1827" s="1" t="s">
        <v>1671</v>
      </c>
      <c r="C1827" s="1" t="s">
        <v>275</v>
      </c>
      <c r="D1827" s="437">
        <v>1000</v>
      </c>
      <c r="E1827" s="437">
        <v>488.62</v>
      </c>
      <c r="F1827" s="466"/>
      <c r="G1827" s="437">
        <v>1000</v>
      </c>
      <c r="H1827" s="437">
        <v>2188.12</v>
      </c>
      <c r="I1827" s="437">
        <v>5206.99</v>
      </c>
      <c r="J1827" s="437">
        <v>7188.76</v>
      </c>
    </row>
    <row r="1828" spans="1:10" ht="13.5" customHeight="1" x14ac:dyDescent="0.25">
      <c r="A1828" s="1"/>
      <c r="B1828" s="1"/>
      <c r="C1828" s="1"/>
      <c r="D1828" s="438">
        <v>2824</v>
      </c>
      <c r="E1828" s="438">
        <f t="shared" ref="E1828" si="743">SUM(E1822:E1827)</f>
        <v>1145.81</v>
      </c>
      <c r="F1828" s="467"/>
      <c r="G1828" s="438">
        <v>2824</v>
      </c>
      <c r="H1828" s="438">
        <f>SUM(H1822:H1827)</f>
        <v>3523.33</v>
      </c>
      <c r="I1828" s="438">
        <f>SUM(I1822:I1827)</f>
        <v>10280.49</v>
      </c>
      <c r="J1828" s="438">
        <f t="shared" ref="J1828" si="744">SUM(J1822:J1827)</f>
        <v>9509.35</v>
      </c>
    </row>
    <row r="1829" spans="1:10" ht="13.5" customHeight="1" x14ac:dyDescent="0.25">
      <c r="A1829" s="1"/>
      <c r="B1829" s="1"/>
      <c r="C1829" s="1"/>
      <c r="D1829" s="437"/>
      <c r="E1829" s="437"/>
      <c r="F1829" s="466"/>
      <c r="G1829" s="437"/>
      <c r="H1829" s="437"/>
      <c r="I1829" s="437"/>
      <c r="J1829" s="437"/>
    </row>
    <row r="1830" spans="1:10" ht="13.5" customHeight="1" x14ac:dyDescent="0.25">
      <c r="A1830" s="1"/>
      <c r="B1830" s="1" t="s">
        <v>1672</v>
      </c>
      <c r="C1830" s="1" t="s">
        <v>287</v>
      </c>
      <c r="D1830" s="437">
        <v>0</v>
      </c>
      <c r="E1830" s="439">
        <v>0</v>
      </c>
      <c r="F1830" s="468"/>
      <c r="G1830" s="440">
        <v>0</v>
      </c>
      <c r="H1830" s="439">
        <v>142</v>
      </c>
      <c r="I1830" s="440">
        <v>0</v>
      </c>
      <c r="J1830" s="437">
        <v>71</v>
      </c>
    </row>
    <row r="1831" spans="1:10" ht="13.5" customHeight="1" x14ac:dyDescent="0.25">
      <c r="A1831" s="1"/>
      <c r="B1831" s="1"/>
      <c r="C1831" s="1"/>
      <c r="D1831" s="441">
        <v>0</v>
      </c>
      <c r="E1831" s="441">
        <f t="shared" ref="E1831" si="745">SUM(E1830)</f>
        <v>0</v>
      </c>
      <c r="F1831" s="469"/>
      <c r="G1831" s="441">
        <v>0</v>
      </c>
      <c r="H1831" s="441">
        <f>SUM(H1830)</f>
        <v>142</v>
      </c>
      <c r="I1831" s="441">
        <f>SUM(I1830)</f>
        <v>0</v>
      </c>
      <c r="J1831" s="441">
        <f t="shared" ref="J1831" si="746">SUM(J1830)</f>
        <v>71</v>
      </c>
    </row>
    <row r="1832" spans="1:10" ht="13.5" customHeight="1" thickBot="1" x14ac:dyDescent="0.3">
      <c r="A1832" s="1"/>
      <c r="B1832" s="1"/>
      <c r="C1832" s="39" t="s">
        <v>1673</v>
      </c>
      <c r="D1832" s="453">
        <v>118232.01579999999</v>
      </c>
      <c r="E1832" s="453">
        <f t="shared" ref="E1832" si="747">SUM(E1813+E1820+E1828+E1831)</f>
        <v>48897.84</v>
      </c>
      <c r="F1832" s="479"/>
      <c r="G1832" s="455">
        <v>112118.11</v>
      </c>
      <c r="H1832" s="453">
        <f>SUM(H1813+H1820+H1828+H1831)</f>
        <v>81838.3</v>
      </c>
      <c r="I1832" s="453">
        <f>SUM(I1813+I1820+I1828+I1831)</f>
        <v>107215.44</v>
      </c>
      <c r="J1832" s="453">
        <f t="shared" ref="J1832" si="748">SUM(J1813+J1820+J1828+J1831)</f>
        <v>104382.64000000001</v>
      </c>
    </row>
    <row r="1833" spans="1:10" ht="13.5" customHeight="1" thickTop="1" x14ac:dyDescent="0.25">
      <c r="A1833" s="1"/>
      <c r="B1833" s="1"/>
      <c r="C1833" s="1"/>
      <c r="D1833" s="440"/>
      <c r="E1833" s="440"/>
      <c r="F1833" s="468"/>
      <c r="G1833" s="440"/>
      <c r="H1833" s="440"/>
      <c r="I1833" s="440"/>
      <c r="J1833" s="437"/>
    </row>
    <row r="1834" spans="1:10" ht="13.5" customHeight="1" x14ac:dyDescent="0.25">
      <c r="A1834" s="1"/>
      <c r="B1834" s="1"/>
      <c r="C1834" s="49" t="s">
        <v>1674</v>
      </c>
      <c r="D1834" s="440"/>
      <c r="E1834" s="440"/>
      <c r="F1834" s="468"/>
      <c r="G1834" s="440"/>
      <c r="H1834" s="440"/>
      <c r="I1834" s="440"/>
      <c r="J1834" s="437"/>
    </row>
    <row r="1835" spans="1:10" ht="13.5" customHeight="1" x14ac:dyDescent="0.25">
      <c r="A1835" s="1"/>
      <c r="B1835" s="1" t="s">
        <v>1675</v>
      </c>
      <c r="C1835" s="28" t="s">
        <v>439</v>
      </c>
      <c r="D1835" s="437">
        <v>0</v>
      </c>
      <c r="E1835" s="437"/>
      <c r="F1835" s="466"/>
      <c r="G1835" s="437">
        <v>0</v>
      </c>
      <c r="H1835" s="437">
        <v>0</v>
      </c>
      <c r="I1835" s="437">
        <v>303.56</v>
      </c>
      <c r="J1835" s="437">
        <v>35803.58</v>
      </c>
    </row>
    <row r="1836" spans="1:10" ht="13.5" customHeight="1" x14ac:dyDescent="0.25">
      <c r="A1836" s="1"/>
      <c r="B1836" s="1" t="s">
        <v>1676</v>
      </c>
      <c r="C1836" s="28" t="s">
        <v>443</v>
      </c>
      <c r="D1836" s="437">
        <v>0</v>
      </c>
      <c r="E1836" s="437"/>
      <c r="F1836" s="466"/>
      <c r="G1836" s="437">
        <v>0</v>
      </c>
      <c r="H1836" s="437">
        <v>0</v>
      </c>
      <c r="I1836" s="440">
        <v>0</v>
      </c>
      <c r="J1836" s="437">
        <v>4896.13</v>
      </c>
    </row>
    <row r="1837" spans="1:10" ht="13.5" customHeight="1" x14ac:dyDescent="0.25">
      <c r="A1837" s="1"/>
      <c r="B1837" s="1"/>
      <c r="C1837" s="28"/>
      <c r="D1837" s="438">
        <v>0</v>
      </c>
      <c r="E1837" s="438">
        <f>SUM(E1835:E1836)</f>
        <v>0</v>
      </c>
      <c r="F1837" s="467"/>
      <c r="G1837" s="438">
        <v>0</v>
      </c>
      <c r="H1837" s="438">
        <v>0</v>
      </c>
      <c r="I1837" s="438">
        <f>SUM(I1835:I1836)</f>
        <v>303.56</v>
      </c>
      <c r="J1837" s="438">
        <f t="shared" ref="J1837" si="749">SUM(J1835:J1836)</f>
        <v>40699.71</v>
      </c>
    </row>
    <row r="1838" spans="1:10" ht="13.5" customHeight="1" x14ac:dyDescent="0.25">
      <c r="A1838" s="1"/>
      <c r="B1838" s="1"/>
      <c r="C1838" s="28"/>
      <c r="D1838" s="437"/>
      <c r="E1838" s="437"/>
      <c r="F1838" s="466"/>
      <c r="G1838" s="437"/>
      <c r="H1838" s="437"/>
      <c r="I1838" s="440"/>
      <c r="J1838" s="437"/>
    </row>
    <row r="1839" spans="1:10" ht="13.5" customHeight="1" x14ac:dyDescent="0.25">
      <c r="A1839" s="1"/>
      <c r="B1839" s="1" t="s">
        <v>1677</v>
      </c>
      <c r="C1839" s="28" t="s">
        <v>257</v>
      </c>
      <c r="D1839" s="437">
        <v>0</v>
      </c>
      <c r="E1839" s="437"/>
      <c r="F1839" s="466"/>
      <c r="G1839" s="437">
        <v>0</v>
      </c>
      <c r="H1839" s="437">
        <v>0</v>
      </c>
      <c r="I1839" s="437">
        <v>21.15</v>
      </c>
      <c r="J1839" s="437">
        <v>2850.36</v>
      </c>
    </row>
    <row r="1840" spans="1:10" ht="13.5" customHeight="1" x14ac:dyDescent="0.25">
      <c r="A1840" s="1"/>
      <c r="B1840" s="1" t="s">
        <v>1678</v>
      </c>
      <c r="C1840" s="28" t="s">
        <v>259</v>
      </c>
      <c r="D1840" s="437">
        <v>0</v>
      </c>
      <c r="E1840" s="437"/>
      <c r="F1840" s="466"/>
      <c r="G1840" s="437">
        <v>0</v>
      </c>
      <c r="H1840" s="437">
        <v>0</v>
      </c>
      <c r="I1840" s="437">
        <v>489.96</v>
      </c>
      <c r="J1840" s="437">
        <v>10140</v>
      </c>
    </row>
    <row r="1841" spans="1:10" ht="13.5" customHeight="1" x14ac:dyDescent="0.25">
      <c r="A1841" s="1"/>
      <c r="B1841" s="1" t="s">
        <v>1679</v>
      </c>
      <c r="C1841" s="28" t="s">
        <v>261</v>
      </c>
      <c r="D1841" s="437">
        <v>0</v>
      </c>
      <c r="E1841" s="437"/>
      <c r="F1841" s="466"/>
      <c r="G1841" s="437">
        <v>0</v>
      </c>
      <c r="H1841" s="437">
        <v>0</v>
      </c>
      <c r="I1841" s="437">
        <v>44.08</v>
      </c>
      <c r="J1841" s="437">
        <v>5893.38</v>
      </c>
    </row>
    <row r="1842" spans="1:10" ht="13.5" customHeight="1" x14ac:dyDescent="0.25">
      <c r="A1842" s="1"/>
      <c r="B1842" s="1" t="s">
        <v>1680</v>
      </c>
      <c r="C1842" s="28" t="s">
        <v>263</v>
      </c>
      <c r="D1842" s="437">
        <v>0</v>
      </c>
      <c r="E1842" s="437"/>
      <c r="F1842" s="466"/>
      <c r="G1842" s="437">
        <v>0</v>
      </c>
      <c r="H1842" s="437">
        <v>0</v>
      </c>
      <c r="I1842" s="437">
        <v>0.49</v>
      </c>
      <c r="J1842" s="437">
        <v>74.459999999999994</v>
      </c>
    </row>
    <row r="1843" spans="1:10" ht="13.5" customHeight="1" x14ac:dyDescent="0.25">
      <c r="A1843" s="1"/>
      <c r="B1843" s="1" t="s">
        <v>1681</v>
      </c>
      <c r="C1843" s="28" t="s">
        <v>265</v>
      </c>
      <c r="D1843" s="437">
        <v>0</v>
      </c>
      <c r="E1843" s="437"/>
      <c r="F1843" s="466"/>
      <c r="G1843" s="437">
        <v>0</v>
      </c>
      <c r="H1843" s="437">
        <v>0</v>
      </c>
      <c r="I1843" s="437">
        <v>15.55</v>
      </c>
      <c r="J1843" s="437">
        <v>313.24</v>
      </c>
    </row>
    <row r="1844" spans="1:10" ht="13.5" customHeight="1" x14ac:dyDescent="0.25">
      <c r="A1844" s="1"/>
      <c r="B1844" s="1"/>
      <c r="C1844" s="1"/>
      <c r="D1844" s="438">
        <v>0</v>
      </c>
      <c r="E1844" s="438">
        <f>SUM(E1839:E1843)</f>
        <v>0</v>
      </c>
      <c r="F1844" s="467"/>
      <c r="G1844" s="438">
        <v>0</v>
      </c>
      <c r="H1844" s="438">
        <v>0</v>
      </c>
      <c r="I1844" s="438">
        <f>SUM(I1839:I1843)</f>
        <v>571.2299999999999</v>
      </c>
      <c r="J1844" s="438">
        <f t="shared" ref="J1844" si="750">SUM(J1839:J1843)</f>
        <v>19271.440000000002</v>
      </c>
    </row>
    <row r="1845" spans="1:10" ht="13.5" customHeight="1" x14ac:dyDescent="0.25">
      <c r="A1845" s="1"/>
      <c r="B1845" s="1"/>
      <c r="C1845" s="1"/>
      <c r="D1845" s="437"/>
      <c r="E1845" s="437"/>
      <c r="F1845" s="466"/>
      <c r="G1845" s="437"/>
      <c r="H1845" s="437"/>
      <c r="I1845" s="437"/>
      <c r="J1845" s="437"/>
    </row>
    <row r="1846" spans="1:10" ht="13.5" customHeight="1" x14ac:dyDescent="0.25">
      <c r="A1846" s="1"/>
      <c r="B1846" s="1" t="s">
        <v>1682</v>
      </c>
      <c r="C1846" s="1" t="s">
        <v>267</v>
      </c>
      <c r="D1846" s="437">
        <v>500</v>
      </c>
      <c r="E1846" s="437"/>
      <c r="F1846" s="466"/>
      <c r="G1846" s="437">
        <v>500</v>
      </c>
      <c r="H1846" s="437">
        <v>461.75</v>
      </c>
      <c r="I1846" s="437">
        <v>561.94000000000005</v>
      </c>
      <c r="J1846" s="437">
        <v>615.77</v>
      </c>
    </row>
    <row r="1847" spans="1:10" ht="13.5" customHeight="1" x14ac:dyDescent="0.25">
      <c r="A1847" s="1"/>
      <c r="B1847" s="1" t="s">
        <v>1683</v>
      </c>
      <c r="C1847" s="1" t="s">
        <v>269</v>
      </c>
      <c r="D1847" s="437">
        <v>600</v>
      </c>
      <c r="E1847" s="437">
        <v>116.07</v>
      </c>
      <c r="F1847" s="466"/>
      <c r="G1847" s="437">
        <v>600</v>
      </c>
      <c r="H1847" s="437">
        <v>436.6</v>
      </c>
      <c r="I1847" s="437">
        <v>508.28</v>
      </c>
      <c r="J1847" s="437">
        <v>608.54</v>
      </c>
    </row>
    <row r="1848" spans="1:10" ht="13.5" customHeight="1" x14ac:dyDescent="0.25">
      <c r="A1848" s="1"/>
      <c r="B1848" s="1" t="s">
        <v>1684</v>
      </c>
      <c r="C1848" s="1" t="s">
        <v>455</v>
      </c>
      <c r="D1848" s="437">
        <v>0</v>
      </c>
      <c r="E1848" s="437"/>
      <c r="F1848" s="466"/>
      <c r="G1848" s="437">
        <v>0</v>
      </c>
      <c r="H1848" s="437">
        <v>0</v>
      </c>
      <c r="I1848" s="437">
        <v>236.41</v>
      </c>
      <c r="J1848" s="440">
        <v>0</v>
      </c>
    </row>
    <row r="1849" spans="1:10" ht="13.5" customHeight="1" x14ac:dyDescent="0.25">
      <c r="A1849" s="1"/>
      <c r="B1849" s="1" t="s">
        <v>1685</v>
      </c>
      <c r="C1849" s="1" t="s">
        <v>741</v>
      </c>
      <c r="D1849" s="437">
        <v>0</v>
      </c>
      <c r="E1849" s="437"/>
      <c r="F1849" s="466"/>
      <c r="G1849" s="437">
        <v>0</v>
      </c>
      <c r="H1849" s="437">
        <v>0</v>
      </c>
      <c r="I1849" s="440">
        <v>0</v>
      </c>
      <c r="J1849" s="440">
        <v>0</v>
      </c>
    </row>
    <row r="1850" spans="1:10" ht="13.5" customHeight="1" x14ac:dyDescent="0.25">
      <c r="A1850" s="1"/>
      <c r="B1850" s="1"/>
      <c r="C1850" s="1"/>
      <c r="D1850" s="441">
        <v>1100</v>
      </c>
      <c r="E1850" s="441">
        <f t="shared" ref="E1850" si="751">SUM(E1846:E1849)</f>
        <v>116.07</v>
      </c>
      <c r="F1850" s="469"/>
      <c r="G1850" s="441">
        <v>1100</v>
      </c>
      <c r="H1850" s="441">
        <f>SUM(H1846:H1849)</f>
        <v>898.35</v>
      </c>
      <c r="I1850" s="441">
        <f>SUM(I1846:I1849)</f>
        <v>1306.6300000000001</v>
      </c>
      <c r="J1850" s="441">
        <f t="shared" ref="J1850" si="752">SUM(J1846:J1849)</f>
        <v>1224.31</v>
      </c>
    </row>
    <row r="1851" spans="1:10" ht="13.5" customHeight="1" x14ac:dyDescent="0.25">
      <c r="A1851" s="1"/>
      <c r="B1851" s="1"/>
      <c r="C1851" s="1"/>
      <c r="D1851" s="440"/>
      <c r="E1851" s="440"/>
      <c r="F1851" s="468"/>
      <c r="G1851" s="440"/>
      <c r="H1851" s="440"/>
      <c r="I1851" s="440"/>
      <c r="J1851" s="440"/>
    </row>
    <row r="1852" spans="1:10" ht="13.5" customHeight="1" x14ac:dyDescent="0.25">
      <c r="A1852" s="1"/>
      <c r="B1852" s="1" t="s">
        <v>1686</v>
      </c>
      <c r="C1852" s="1" t="s">
        <v>283</v>
      </c>
      <c r="D1852" s="437">
        <v>1240</v>
      </c>
      <c r="E1852" s="437"/>
      <c r="F1852" s="466"/>
      <c r="G1852" s="437">
        <v>1240</v>
      </c>
      <c r="H1852" s="437">
        <v>0</v>
      </c>
      <c r="I1852" s="437">
        <v>1017.16</v>
      </c>
      <c r="J1852" s="437">
        <v>845.16</v>
      </c>
    </row>
    <row r="1853" spans="1:10" ht="13.5" customHeight="1" x14ac:dyDescent="0.25">
      <c r="A1853" s="1"/>
      <c r="B1853" s="1" t="s">
        <v>1687</v>
      </c>
      <c r="C1853" s="1" t="s">
        <v>502</v>
      </c>
      <c r="D1853" s="437">
        <v>800</v>
      </c>
      <c r="E1853" s="437">
        <v>200</v>
      </c>
      <c r="F1853" s="466"/>
      <c r="G1853" s="437">
        <v>800</v>
      </c>
      <c r="H1853" s="437">
        <v>200</v>
      </c>
      <c r="I1853" s="437">
        <v>200</v>
      </c>
      <c r="J1853" s="437">
        <v>228</v>
      </c>
    </row>
    <row r="1854" spans="1:10" ht="13.5" customHeight="1" x14ac:dyDescent="0.25">
      <c r="A1854" s="1"/>
      <c r="B1854" s="1" t="s">
        <v>1688</v>
      </c>
      <c r="C1854" s="1" t="s">
        <v>431</v>
      </c>
      <c r="D1854" s="437">
        <v>11600</v>
      </c>
      <c r="E1854" s="437">
        <v>6816</v>
      </c>
      <c r="F1854" s="466"/>
      <c r="G1854" s="437">
        <v>11600</v>
      </c>
      <c r="H1854" s="437">
        <v>11777</v>
      </c>
      <c r="I1854" s="437">
        <v>12689.5</v>
      </c>
      <c r="J1854" s="437">
        <v>10755</v>
      </c>
    </row>
    <row r="1855" spans="1:10" ht="13.5" customHeight="1" x14ac:dyDescent="0.25">
      <c r="A1855" s="1"/>
      <c r="B1855" s="1" t="s">
        <v>1689</v>
      </c>
      <c r="C1855" s="1" t="s">
        <v>289</v>
      </c>
      <c r="D1855" s="437">
        <v>700</v>
      </c>
      <c r="E1855" s="437">
        <v>499.01</v>
      </c>
      <c r="F1855" s="466"/>
      <c r="G1855" s="437">
        <v>700</v>
      </c>
      <c r="H1855" s="437">
        <v>734.76</v>
      </c>
      <c r="I1855" s="437">
        <v>417.12</v>
      </c>
      <c r="J1855" s="437">
        <v>417.12</v>
      </c>
    </row>
    <row r="1856" spans="1:10" ht="13.5" customHeight="1" x14ac:dyDescent="0.25">
      <c r="A1856" s="1"/>
      <c r="B1856" s="1"/>
      <c r="C1856" s="1"/>
      <c r="D1856" s="438">
        <v>14340</v>
      </c>
      <c r="E1856" s="438">
        <f t="shared" ref="E1856" si="753">SUM(E1852:E1855)</f>
        <v>7515.01</v>
      </c>
      <c r="F1856" s="467"/>
      <c r="G1856" s="438">
        <v>14340</v>
      </c>
      <c r="H1856" s="438">
        <f>SUM(H1852:H1855)</f>
        <v>12711.76</v>
      </c>
      <c r="I1856" s="438">
        <f>SUM(I1852:I1855)</f>
        <v>14323.78</v>
      </c>
      <c r="J1856" s="438">
        <f t="shared" ref="J1856" si="754">SUM(J1852:J1855)</f>
        <v>12245.28</v>
      </c>
    </row>
    <row r="1857" spans="1:10" ht="13.5" customHeight="1" thickBot="1" x14ac:dyDescent="0.3">
      <c r="A1857" s="1"/>
      <c r="B1857" s="1"/>
      <c r="C1857" s="1" t="s">
        <v>1690</v>
      </c>
      <c r="D1857" s="451">
        <v>15440</v>
      </c>
      <c r="E1857" s="451">
        <f t="shared" ref="E1857" si="755">SUM(E1837+E1844+E1850+E1856)</f>
        <v>7631.08</v>
      </c>
      <c r="F1857" s="478"/>
      <c r="G1857" s="451">
        <v>15440</v>
      </c>
      <c r="H1857" s="451">
        <f>SUM(H1837+H1844+H1850+H1856)</f>
        <v>13610.11</v>
      </c>
      <c r="I1857" s="451">
        <f>SUM(I1837+I1844+I1850+I1856)</f>
        <v>16505.2</v>
      </c>
      <c r="J1857" s="451">
        <f t="shared" ref="J1857" si="756">SUM(J1837+J1844+J1850+J1856)</f>
        <v>73440.740000000005</v>
      </c>
    </row>
    <row r="1858" spans="1:10" ht="13.5" customHeight="1" thickTop="1" x14ac:dyDescent="0.25">
      <c r="A1858" s="1"/>
      <c r="B1858" s="1"/>
      <c r="C1858" s="1"/>
      <c r="D1858" s="437"/>
      <c r="E1858" s="437"/>
      <c r="F1858" s="466"/>
      <c r="G1858" s="437"/>
      <c r="H1858" s="437"/>
      <c r="I1858" s="437"/>
      <c r="J1858" s="437"/>
    </row>
    <row r="1859" spans="1:10" ht="13.5" customHeight="1" x14ac:dyDescent="0.25">
      <c r="A1859" s="1"/>
      <c r="B1859" s="1"/>
      <c r="C1859" s="39" t="s">
        <v>1691</v>
      </c>
      <c r="D1859" s="437"/>
      <c r="E1859" s="437"/>
      <c r="F1859" s="466"/>
      <c r="G1859" s="437"/>
      <c r="H1859" s="437"/>
      <c r="I1859" s="437"/>
      <c r="J1859" s="437"/>
    </row>
    <row r="1860" spans="1:10" ht="13.5" customHeight="1" x14ac:dyDescent="0.25">
      <c r="A1860" s="1"/>
      <c r="B1860" s="1" t="s">
        <v>1692</v>
      </c>
      <c r="C1860" s="1" t="s">
        <v>439</v>
      </c>
      <c r="D1860" s="437">
        <v>115874</v>
      </c>
      <c r="E1860" s="437">
        <v>46501.78</v>
      </c>
      <c r="F1860" s="466"/>
      <c r="G1860" s="437">
        <v>108923</v>
      </c>
      <c r="H1860" s="437">
        <v>109224.89</v>
      </c>
      <c r="I1860" s="437">
        <v>104795.63</v>
      </c>
      <c r="J1860" s="437">
        <v>100355.44</v>
      </c>
    </row>
    <row r="1861" spans="1:10" ht="13.5" customHeight="1" x14ac:dyDescent="0.25">
      <c r="A1861" s="1"/>
      <c r="B1861" s="1" t="s">
        <v>1693</v>
      </c>
      <c r="C1861" s="1" t="s">
        <v>441</v>
      </c>
      <c r="D1861" s="437">
        <v>55952</v>
      </c>
      <c r="E1861" s="437">
        <v>19750</v>
      </c>
      <c r="F1861" s="466"/>
      <c r="G1861" s="437">
        <v>49920</v>
      </c>
      <c r="H1861" s="437">
        <v>48098.39</v>
      </c>
      <c r="I1861" s="437">
        <v>45537.97</v>
      </c>
      <c r="J1861" s="437">
        <v>44257.04</v>
      </c>
    </row>
    <row r="1862" spans="1:10" ht="13.5" customHeight="1" x14ac:dyDescent="0.25">
      <c r="A1862" s="1"/>
      <c r="B1862" s="1" t="s">
        <v>1694</v>
      </c>
      <c r="C1862" s="1" t="s">
        <v>443</v>
      </c>
      <c r="D1862" s="437">
        <v>0</v>
      </c>
      <c r="E1862" s="437"/>
      <c r="F1862" s="466"/>
      <c r="G1862" s="437">
        <v>0</v>
      </c>
      <c r="H1862" s="437">
        <v>0</v>
      </c>
      <c r="I1862" s="440">
        <v>0</v>
      </c>
      <c r="J1862" s="437">
        <v>2360.8000000000002</v>
      </c>
    </row>
    <row r="1863" spans="1:10" ht="13.5" customHeight="1" x14ac:dyDescent="0.25">
      <c r="A1863" s="1"/>
      <c r="B1863" s="1" t="s">
        <v>1695</v>
      </c>
      <c r="C1863" s="1" t="s">
        <v>961</v>
      </c>
      <c r="D1863" s="437">
        <v>0</v>
      </c>
      <c r="E1863" s="437"/>
      <c r="F1863" s="466"/>
      <c r="G1863" s="437">
        <v>0</v>
      </c>
      <c r="H1863" s="437">
        <v>0</v>
      </c>
      <c r="I1863" s="440" t="s">
        <v>12</v>
      </c>
      <c r="J1863" s="437">
        <v>20.52</v>
      </c>
    </row>
    <row r="1864" spans="1:10" ht="13.5" customHeight="1" x14ac:dyDescent="0.25">
      <c r="A1864" s="1"/>
      <c r="B1864" s="1" t="s">
        <v>1696</v>
      </c>
      <c r="C1864" s="1" t="s">
        <v>479</v>
      </c>
      <c r="D1864" s="437">
        <v>745</v>
      </c>
      <c r="E1864" s="437"/>
      <c r="F1864" s="466"/>
      <c r="G1864" s="437">
        <v>745</v>
      </c>
      <c r="H1864" s="437">
        <v>0</v>
      </c>
      <c r="I1864" s="440">
        <v>0</v>
      </c>
      <c r="J1864" s="440">
        <v>0</v>
      </c>
    </row>
    <row r="1865" spans="1:10" ht="13.5" customHeight="1" x14ac:dyDescent="0.25">
      <c r="A1865" s="1"/>
      <c r="B1865" s="1"/>
      <c r="C1865" s="1"/>
      <c r="D1865" s="438">
        <v>172571</v>
      </c>
      <c r="E1865" s="438">
        <f t="shared" ref="E1865" si="757">SUM(E1860:E1864)</f>
        <v>66251.78</v>
      </c>
      <c r="F1865" s="467"/>
      <c r="G1865" s="438">
        <v>159588</v>
      </c>
      <c r="H1865" s="438">
        <f>SUM(H1860:H1864)</f>
        <v>157323.28</v>
      </c>
      <c r="I1865" s="438">
        <f>SUM(I1860:I1864)</f>
        <v>150333.6</v>
      </c>
      <c r="J1865" s="438">
        <f t="shared" ref="J1865" si="758">SUM(J1860:J1864)</f>
        <v>146993.79999999999</v>
      </c>
    </row>
    <row r="1866" spans="1:10" ht="13.5" customHeight="1" x14ac:dyDescent="0.25">
      <c r="A1866" s="1"/>
      <c r="B1866" s="1"/>
      <c r="C1866" s="1"/>
      <c r="D1866" s="437"/>
      <c r="E1866" s="440"/>
      <c r="F1866" s="468"/>
      <c r="G1866" s="440"/>
      <c r="H1866" s="440"/>
      <c r="I1866" s="440"/>
      <c r="J1866" s="440"/>
    </row>
    <row r="1867" spans="1:10" ht="13.5" customHeight="1" x14ac:dyDescent="0.25">
      <c r="A1867" s="1"/>
      <c r="B1867" s="1" t="s">
        <v>1697</v>
      </c>
      <c r="C1867" s="1" t="s">
        <v>257</v>
      </c>
      <c r="D1867" s="437">
        <v>13122.121500000001</v>
      </c>
      <c r="E1867" s="437">
        <v>4657.6899999999996</v>
      </c>
      <c r="F1867" s="466"/>
      <c r="G1867" s="437">
        <v>12208.48</v>
      </c>
      <c r="H1867" s="437">
        <v>11105.13</v>
      </c>
      <c r="I1867" s="437">
        <v>10697.73</v>
      </c>
      <c r="J1867" s="437">
        <v>10484.48</v>
      </c>
    </row>
    <row r="1868" spans="1:10" ht="13.5" customHeight="1" x14ac:dyDescent="0.25">
      <c r="A1868" s="1"/>
      <c r="B1868" s="1" t="s">
        <v>1698</v>
      </c>
      <c r="C1868" s="1" t="s">
        <v>259</v>
      </c>
      <c r="D1868" s="437">
        <v>31382.654400000003</v>
      </c>
      <c r="E1868" s="437">
        <v>15530.4</v>
      </c>
      <c r="F1868" s="466"/>
      <c r="G1868" s="437">
        <v>31390.3</v>
      </c>
      <c r="H1868" s="437">
        <v>31067.7</v>
      </c>
      <c r="I1868" s="437">
        <v>29683.18</v>
      </c>
      <c r="J1868" s="437">
        <v>26178.82</v>
      </c>
    </row>
    <row r="1869" spans="1:10" ht="13.5" customHeight="1" x14ac:dyDescent="0.25">
      <c r="A1869" s="1"/>
      <c r="B1869" s="1" t="s">
        <v>1699</v>
      </c>
      <c r="C1869" s="1" t="s">
        <v>261</v>
      </c>
      <c r="D1869" s="437">
        <v>25763.956200000001</v>
      </c>
      <c r="E1869" s="437">
        <v>9944.01</v>
      </c>
      <c r="F1869" s="466"/>
      <c r="G1869" s="437">
        <v>23970.12</v>
      </c>
      <c r="H1869" s="437">
        <v>23636.959999999999</v>
      </c>
      <c r="I1869" s="437">
        <v>21848.1</v>
      </c>
      <c r="J1869" s="437">
        <v>21286.09</v>
      </c>
    </row>
    <row r="1870" spans="1:10" ht="13.5" customHeight="1" x14ac:dyDescent="0.25">
      <c r="A1870" s="1"/>
      <c r="B1870" s="1" t="s">
        <v>1700</v>
      </c>
      <c r="C1870" s="1" t="s">
        <v>263</v>
      </c>
      <c r="D1870" s="437">
        <v>274.44960000000003</v>
      </c>
      <c r="E1870" s="437">
        <v>105.92</v>
      </c>
      <c r="F1870" s="466"/>
      <c r="G1870" s="437">
        <v>255.34</v>
      </c>
      <c r="H1870" s="437">
        <v>251.78</v>
      </c>
      <c r="I1870" s="437">
        <v>240.53</v>
      </c>
      <c r="J1870" s="437">
        <v>268.58999999999997</v>
      </c>
    </row>
    <row r="1871" spans="1:10" ht="13.5" customHeight="1" x14ac:dyDescent="0.25">
      <c r="A1871" s="1"/>
      <c r="B1871" s="1" t="s">
        <v>1701</v>
      </c>
      <c r="C1871" s="1" t="s">
        <v>265</v>
      </c>
      <c r="D1871" s="437">
        <v>1124.6399999999999</v>
      </c>
      <c r="E1871" s="437">
        <v>526.67999999999995</v>
      </c>
      <c r="F1871" s="466"/>
      <c r="G1871" s="437">
        <v>1053.3599999999999</v>
      </c>
      <c r="H1871" s="437">
        <v>1011.96</v>
      </c>
      <c r="I1871" s="437">
        <v>945.06</v>
      </c>
      <c r="J1871" s="437">
        <v>808.2</v>
      </c>
    </row>
    <row r="1872" spans="1:10" ht="13.5" customHeight="1" x14ac:dyDescent="0.25">
      <c r="A1872" s="1"/>
      <c r="B1872" s="1"/>
      <c r="C1872" s="1"/>
      <c r="D1872" s="438">
        <v>71667.821700000015</v>
      </c>
      <c r="E1872" s="438">
        <f t="shared" ref="E1872" si="759">SUM(E1867:E1871)</f>
        <v>30764.699999999997</v>
      </c>
      <c r="F1872" s="467"/>
      <c r="G1872" s="438">
        <v>68877.600000000006</v>
      </c>
      <c r="H1872" s="438">
        <f>SUM(H1867:H1871)</f>
        <v>67073.530000000013</v>
      </c>
      <c r="I1872" s="438">
        <f>SUM(I1867:I1871)</f>
        <v>63414.6</v>
      </c>
      <c r="J1872" s="438">
        <f t="shared" ref="J1872" si="760">SUM(J1867:J1871)</f>
        <v>59026.179999999993</v>
      </c>
    </row>
    <row r="1873" spans="1:10" ht="13.5" customHeight="1" x14ac:dyDescent="0.25">
      <c r="A1873" s="1"/>
      <c r="B1873" s="1"/>
      <c r="C1873" s="1"/>
      <c r="D1873" s="437"/>
      <c r="E1873" s="437"/>
      <c r="F1873" s="466"/>
      <c r="G1873" s="437"/>
      <c r="H1873" s="437"/>
      <c r="I1873" s="437"/>
      <c r="J1873" s="437"/>
    </row>
    <row r="1874" spans="1:10" ht="13.5" customHeight="1" x14ac:dyDescent="0.25">
      <c r="A1874" s="1"/>
      <c r="B1874" s="1" t="s">
        <v>1702</v>
      </c>
      <c r="C1874" s="1" t="s">
        <v>267</v>
      </c>
      <c r="D1874" s="437">
        <v>500</v>
      </c>
      <c r="E1874" s="437"/>
      <c r="F1874" s="466"/>
      <c r="G1874" s="437">
        <v>0</v>
      </c>
      <c r="H1874" s="437">
        <v>412.91</v>
      </c>
      <c r="I1874" s="437">
        <v>164.85</v>
      </c>
      <c r="J1874" s="437">
        <v>345.06</v>
      </c>
    </row>
    <row r="1875" spans="1:10" ht="13.5" customHeight="1" x14ac:dyDescent="0.25">
      <c r="A1875" s="1"/>
      <c r="B1875" s="1" t="s">
        <v>1703</v>
      </c>
      <c r="C1875" s="1" t="s">
        <v>269</v>
      </c>
      <c r="D1875" s="437">
        <v>600</v>
      </c>
      <c r="E1875" s="437">
        <v>42.62</v>
      </c>
      <c r="F1875" s="466"/>
      <c r="G1875" s="437">
        <v>600</v>
      </c>
      <c r="H1875" s="437">
        <v>72.38</v>
      </c>
      <c r="I1875" s="437">
        <v>365.25</v>
      </c>
      <c r="J1875" s="437">
        <v>563.04999999999995</v>
      </c>
    </row>
    <row r="1876" spans="1:10" ht="13.5" customHeight="1" x14ac:dyDescent="0.25">
      <c r="A1876" s="1"/>
      <c r="B1876" s="1" t="s">
        <v>1704</v>
      </c>
      <c r="C1876" s="1" t="s">
        <v>1705</v>
      </c>
      <c r="D1876" s="437">
        <v>2500</v>
      </c>
      <c r="E1876" s="439">
        <v>1245.01</v>
      </c>
      <c r="F1876" s="468"/>
      <c r="G1876" s="440">
        <v>2500</v>
      </c>
      <c r="H1876" s="439">
        <v>2497.5500000000002</v>
      </c>
      <c r="I1876" s="439">
        <v>2483.04</v>
      </c>
      <c r="J1876" s="437">
        <v>2492.8000000000002</v>
      </c>
    </row>
    <row r="1877" spans="1:10" ht="13.5" customHeight="1" x14ac:dyDescent="0.25">
      <c r="A1877" s="1"/>
      <c r="B1877" s="22" t="s">
        <v>1706</v>
      </c>
      <c r="C1877" s="22" t="s">
        <v>275</v>
      </c>
      <c r="D1877" s="437">
        <v>0</v>
      </c>
      <c r="E1877" s="440"/>
      <c r="F1877" s="468"/>
      <c r="G1877" s="439">
        <v>0</v>
      </c>
      <c r="H1877" s="439">
        <v>333.16</v>
      </c>
      <c r="I1877" s="439">
        <v>0</v>
      </c>
      <c r="J1877" s="437">
        <v>0</v>
      </c>
    </row>
    <row r="1878" spans="1:10" ht="13.5" customHeight="1" x14ac:dyDescent="0.25">
      <c r="A1878" s="1"/>
      <c r="B1878" s="1"/>
      <c r="C1878" s="1"/>
      <c r="D1878" s="438">
        <v>3600</v>
      </c>
      <c r="E1878" s="438">
        <f t="shared" ref="E1878" si="761">SUM(E1874:E1877)</f>
        <v>1287.6299999999999</v>
      </c>
      <c r="F1878" s="467"/>
      <c r="G1878" s="438">
        <v>3100</v>
      </c>
      <c r="H1878" s="438">
        <f>SUM(H1874:H1877)</f>
        <v>3316</v>
      </c>
      <c r="I1878" s="438">
        <f>SUM(I1874:I1877)</f>
        <v>3013.14</v>
      </c>
      <c r="J1878" s="438">
        <f t="shared" ref="J1878" si="762">SUM(J1874:J1877)</f>
        <v>3400.91</v>
      </c>
    </row>
    <row r="1879" spans="1:10" ht="13.5" customHeight="1" x14ac:dyDescent="0.25">
      <c r="A1879" s="1"/>
      <c r="B1879" s="1"/>
      <c r="C1879" s="1"/>
      <c r="D1879" s="437"/>
      <c r="E1879" s="440"/>
      <c r="F1879" s="468"/>
      <c r="G1879" s="440"/>
      <c r="H1879" s="440"/>
      <c r="I1879" s="440"/>
      <c r="J1879" s="437"/>
    </row>
    <row r="1880" spans="1:10" ht="13.5" customHeight="1" x14ac:dyDescent="0.25">
      <c r="A1880" s="1"/>
      <c r="B1880" s="1" t="s">
        <v>1707</v>
      </c>
      <c r="C1880" s="1" t="s">
        <v>283</v>
      </c>
      <c r="D1880" s="437">
        <v>2000</v>
      </c>
      <c r="E1880" s="437"/>
      <c r="F1880" s="466"/>
      <c r="G1880" s="437">
        <v>2000</v>
      </c>
      <c r="H1880" s="437">
        <v>0</v>
      </c>
      <c r="I1880" s="437">
        <v>1457</v>
      </c>
      <c r="J1880" s="437">
        <v>1515.28</v>
      </c>
    </row>
    <row r="1881" spans="1:10" ht="13.5" customHeight="1" x14ac:dyDescent="0.25">
      <c r="A1881" s="1"/>
      <c r="B1881" s="1" t="s">
        <v>1708</v>
      </c>
      <c r="C1881" s="1" t="s">
        <v>431</v>
      </c>
      <c r="D1881" s="437">
        <v>2450</v>
      </c>
      <c r="E1881" s="439">
        <v>1590</v>
      </c>
      <c r="F1881" s="468"/>
      <c r="G1881" s="440">
        <v>2000</v>
      </c>
      <c r="H1881" s="439">
        <v>1590</v>
      </c>
      <c r="I1881" s="439">
        <v>1590</v>
      </c>
      <c r="J1881" s="437">
        <v>1590</v>
      </c>
    </row>
    <row r="1882" spans="1:10" ht="13.5" customHeight="1" x14ac:dyDescent="0.25">
      <c r="A1882" s="1"/>
      <c r="B1882" s="1"/>
      <c r="C1882" s="1"/>
      <c r="D1882" s="438">
        <v>4450</v>
      </c>
      <c r="E1882" s="438">
        <f t="shared" ref="E1882" si="763">SUM(E1880:E1881)</f>
        <v>1590</v>
      </c>
      <c r="F1882" s="467"/>
      <c r="G1882" s="438">
        <v>4000</v>
      </c>
      <c r="H1882" s="438">
        <f>SUM(H1880:H1881)</f>
        <v>1590</v>
      </c>
      <c r="I1882" s="438">
        <f>SUM(I1880:I1881)</f>
        <v>3047</v>
      </c>
      <c r="J1882" s="438">
        <f t="shared" ref="J1882" si="764">SUM(J1880:J1881)</f>
        <v>3105.2799999999997</v>
      </c>
    </row>
    <row r="1883" spans="1:10" ht="13.5" customHeight="1" thickBot="1" x14ac:dyDescent="0.3">
      <c r="A1883" s="1"/>
      <c r="B1883" s="1"/>
      <c r="C1883" s="39" t="s">
        <v>1709</v>
      </c>
      <c r="D1883" s="451">
        <v>252288.82170000003</v>
      </c>
      <c r="E1883" s="451">
        <f t="shared" ref="E1883" si="765">SUM(E1865+E1872+E1878+E1882)</f>
        <v>99894.11</v>
      </c>
      <c r="F1883" s="478"/>
      <c r="G1883" s="451">
        <v>235565.6</v>
      </c>
      <c r="H1883" s="451">
        <f>SUM(H1865+H1872+H1878+H1882)</f>
        <v>229302.81</v>
      </c>
      <c r="I1883" s="451">
        <f>SUM(I1865+I1872+I1878+I1882)</f>
        <v>219808.34000000003</v>
      </c>
      <c r="J1883" s="451">
        <f t="shared" ref="J1883" si="766">SUM(J1865+J1872+J1878+J1882)</f>
        <v>212526.16999999998</v>
      </c>
    </row>
    <row r="1884" spans="1:10" ht="13.5" customHeight="1" thickTop="1" x14ac:dyDescent="0.25">
      <c r="A1884" s="1"/>
      <c r="B1884" s="1"/>
      <c r="C1884" s="1"/>
      <c r="D1884" s="437"/>
      <c r="E1884" s="440"/>
      <c r="F1884" s="468"/>
      <c r="G1884" s="440"/>
      <c r="H1884" s="440"/>
      <c r="I1884" s="440"/>
      <c r="J1884" s="437"/>
    </row>
    <row r="1885" spans="1:10" ht="13.5" customHeight="1" x14ac:dyDescent="0.25">
      <c r="A1885" s="1"/>
      <c r="B1885" s="1"/>
      <c r="C1885" s="14" t="s">
        <v>1710</v>
      </c>
      <c r="D1885" s="437"/>
      <c r="E1885" s="440"/>
      <c r="F1885" s="468"/>
      <c r="G1885" s="440"/>
      <c r="H1885" s="440"/>
      <c r="I1885" s="440"/>
      <c r="J1885" s="437"/>
    </row>
    <row r="1886" spans="1:10" ht="13.5" customHeight="1" x14ac:dyDescent="0.25">
      <c r="A1886" s="1"/>
      <c r="B1886" s="1" t="s">
        <v>1711</v>
      </c>
      <c r="C1886" s="1" t="s">
        <v>492</v>
      </c>
      <c r="D1886" s="437">
        <v>2500</v>
      </c>
      <c r="E1886" s="440"/>
      <c r="F1886" s="468"/>
      <c r="G1886" s="440">
        <v>2500</v>
      </c>
      <c r="H1886" s="439">
        <v>0</v>
      </c>
      <c r="I1886" s="440">
        <v>0</v>
      </c>
      <c r="J1886" s="440">
        <v>0</v>
      </c>
    </row>
    <row r="1887" spans="1:10" ht="13.5" customHeight="1" x14ac:dyDescent="0.25">
      <c r="A1887" s="1"/>
      <c r="B1887" s="22" t="s">
        <v>1712</v>
      </c>
      <c r="C1887" s="22" t="s">
        <v>352</v>
      </c>
      <c r="D1887" s="437">
        <v>2500</v>
      </c>
      <c r="E1887" s="440"/>
      <c r="F1887" s="468"/>
      <c r="G1887" s="440">
        <v>2500</v>
      </c>
      <c r="H1887" s="439">
        <v>11400</v>
      </c>
      <c r="I1887" s="440">
        <v>0</v>
      </c>
      <c r="J1887" s="440">
        <v>0</v>
      </c>
    </row>
    <row r="1888" spans="1:10" ht="13.5" customHeight="1" thickBot="1" x14ac:dyDescent="0.3">
      <c r="A1888" s="1"/>
      <c r="B1888" s="1"/>
      <c r="C1888" s="39" t="s">
        <v>1713</v>
      </c>
      <c r="D1888" s="451">
        <v>5000</v>
      </c>
      <c r="E1888" s="451">
        <f t="shared" ref="E1888" si="767">SUM(E1886:E1887)</f>
        <v>0</v>
      </c>
      <c r="F1888" s="478"/>
      <c r="G1888" s="451">
        <f>SUM(G1886:G1887)</f>
        <v>5000</v>
      </c>
      <c r="H1888" s="451">
        <f>SUM(H1887)</f>
        <v>11400</v>
      </c>
      <c r="I1888" s="451">
        <f>SUM(I1887)</f>
        <v>0</v>
      </c>
      <c r="J1888" s="451">
        <f t="shared" ref="J1888" si="768">SUM(J1887)</f>
        <v>0</v>
      </c>
    </row>
    <row r="1889" spans="1:10" ht="13.5" customHeight="1" thickTop="1" x14ac:dyDescent="0.25">
      <c r="A1889" s="1"/>
      <c r="B1889" s="1"/>
      <c r="C1889" s="1"/>
      <c r="D1889" s="437"/>
      <c r="E1889" s="440"/>
      <c r="F1889" s="468"/>
      <c r="G1889" s="440"/>
      <c r="H1889" s="440"/>
      <c r="I1889" s="440"/>
      <c r="J1889" s="440"/>
    </row>
    <row r="1890" spans="1:10" ht="13.5" customHeight="1" x14ac:dyDescent="0.25">
      <c r="A1890" s="1"/>
      <c r="B1890" s="1"/>
      <c r="C1890" s="14" t="s">
        <v>1714</v>
      </c>
      <c r="D1890" s="437"/>
      <c r="E1890" s="440"/>
      <c r="F1890" s="468"/>
      <c r="G1890" s="440"/>
      <c r="H1890" s="440"/>
      <c r="I1890" s="440"/>
      <c r="J1890" s="440"/>
    </row>
    <row r="1891" spans="1:10" ht="13.5" customHeight="1" x14ac:dyDescent="0.25">
      <c r="A1891" s="1"/>
      <c r="B1891" s="1" t="s">
        <v>1715</v>
      </c>
      <c r="C1891" s="1" t="s">
        <v>1716</v>
      </c>
      <c r="D1891" s="437">
        <v>13706</v>
      </c>
      <c r="E1891" s="437">
        <v>4690</v>
      </c>
      <c r="F1891" s="466"/>
      <c r="G1891" s="437">
        <v>12460.24</v>
      </c>
      <c r="H1891" s="437">
        <v>10976</v>
      </c>
      <c r="I1891" s="437">
        <v>10943.98</v>
      </c>
      <c r="J1891" s="437">
        <v>10378.52</v>
      </c>
    </row>
    <row r="1892" spans="1:10" ht="13.5" customHeight="1" x14ac:dyDescent="0.25">
      <c r="A1892" s="1"/>
      <c r="B1892" s="1"/>
      <c r="C1892" s="1"/>
      <c r="D1892" s="438">
        <v>13706</v>
      </c>
      <c r="E1892" s="438">
        <f t="shared" ref="E1892" si="769">SUM(E1891)</f>
        <v>4690</v>
      </c>
      <c r="F1892" s="467"/>
      <c r="G1892" s="438">
        <v>12460.24</v>
      </c>
      <c r="H1892" s="438">
        <f>SUM(H1891)</f>
        <v>10976</v>
      </c>
      <c r="I1892" s="438">
        <f>SUM(I1891)</f>
        <v>10943.98</v>
      </c>
      <c r="J1892" s="438">
        <f t="shared" ref="J1892" si="770">SUM(J1891)</f>
        <v>10378.52</v>
      </c>
    </row>
    <row r="1893" spans="1:10" ht="13.5" customHeight="1" x14ac:dyDescent="0.25">
      <c r="A1893" s="1"/>
      <c r="B1893" s="1"/>
      <c r="C1893" s="1"/>
      <c r="D1893" s="437"/>
      <c r="E1893" s="437"/>
      <c r="F1893" s="466"/>
      <c r="G1893" s="437"/>
      <c r="H1893" s="437"/>
      <c r="I1893" s="437"/>
      <c r="J1893" s="437"/>
    </row>
    <row r="1894" spans="1:10" ht="13.5" customHeight="1" x14ac:dyDescent="0.25">
      <c r="A1894" s="1"/>
      <c r="B1894" s="1" t="s">
        <v>1717</v>
      </c>
      <c r="C1894" s="1" t="s">
        <v>257</v>
      </c>
      <c r="D1894" s="437">
        <v>1048.509</v>
      </c>
      <c r="E1894" s="437">
        <v>356.64</v>
      </c>
      <c r="F1894" s="466"/>
      <c r="G1894" s="437">
        <v>953.20835999999997</v>
      </c>
      <c r="H1894" s="437">
        <v>841.81</v>
      </c>
      <c r="I1894" s="437">
        <v>837.21</v>
      </c>
      <c r="J1894" s="437">
        <v>793.96</v>
      </c>
    </row>
    <row r="1895" spans="1:10" ht="13.5" customHeight="1" x14ac:dyDescent="0.25">
      <c r="A1895" s="1"/>
      <c r="B1895" s="1" t="s">
        <v>1718</v>
      </c>
      <c r="C1895" s="1" t="s">
        <v>261</v>
      </c>
      <c r="D1895" s="437">
        <v>2058.6412</v>
      </c>
      <c r="E1895" s="437">
        <v>700.24</v>
      </c>
      <c r="F1895" s="466"/>
      <c r="G1895" s="437">
        <v>1871.53</v>
      </c>
      <c r="H1895" s="437">
        <v>1652.79</v>
      </c>
      <c r="I1895" s="437">
        <v>1590.54</v>
      </c>
      <c r="J1895" s="437">
        <v>1503</v>
      </c>
    </row>
    <row r="1896" spans="1:10" ht="13.5" customHeight="1" x14ac:dyDescent="0.25">
      <c r="A1896" s="1"/>
      <c r="B1896" s="1" t="s">
        <v>1719</v>
      </c>
      <c r="C1896" s="1" t="s">
        <v>263</v>
      </c>
      <c r="D1896" s="437">
        <v>21.929600000000001</v>
      </c>
      <c r="E1896" s="437">
        <v>7.46</v>
      </c>
      <c r="F1896" s="466"/>
      <c r="G1896" s="437">
        <v>19.936384</v>
      </c>
      <c r="H1896" s="437">
        <v>17.600000000000001</v>
      </c>
      <c r="I1896" s="437">
        <v>17.510000000000002</v>
      </c>
      <c r="J1896" s="437">
        <v>19.100000000000001</v>
      </c>
    </row>
    <row r="1897" spans="1:10" ht="13.5" customHeight="1" x14ac:dyDescent="0.25">
      <c r="A1897" s="1"/>
      <c r="B1897" s="1"/>
      <c r="C1897" s="1"/>
      <c r="D1897" s="438">
        <v>3129.0798</v>
      </c>
      <c r="E1897" s="438">
        <f t="shared" ref="E1897" si="771">SUM(E1894:E1896)</f>
        <v>1064.3400000000001</v>
      </c>
      <c r="F1897" s="467"/>
      <c r="G1897" s="438">
        <v>2844.67</v>
      </c>
      <c r="H1897" s="438">
        <f>SUM(H1894:H1896)</f>
        <v>2512.1999999999998</v>
      </c>
      <c r="I1897" s="438">
        <f>SUM(I1894:I1896)</f>
        <v>2445.2600000000002</v>
      </c>
      <c r="J1897" s="438">
        <f t="shared" ref="J1897" si="772">SUM(J1894:J1896)</f>
        <v>2316.06</v>
      </c>
    </row>
    <row r="1898" spans="1:10" ht="13.5" customHeight="1" x14ac:dyDescent="0.25">
      <c r="A1898" s="1"/>
      <c r="B1898" s="1"/>
      <c r="C1898" s="1"/>
      <c r="D1898" s="437"/>
      <c r="E1898" s="437"/>
      <c r="F1898" s="466"/>
      <c r="G1898" s="437"/>
      <c r="H1898" s="437"/>
      <c r="I1898" s="437"/>
      <c r="J1898" s="437"/>
    </row>
    <row r="1899" spans="1:10" ht="13.5" customHeight="1" x14ac:dyDescent="0.25">
      <c r="A1899" s="1"/>
      <c r="B1899" s="1" t="s">
        <v>1720</v>
      </c>
      <c r="C1899" s="1" t="s">
        <v>267</v>
      </c>
      <c r="D1899" s="437">
        <v>695</v>
      </c>
      <c r="E1899" s="437"/>
      <c r="F1899" s="466"/>
      <c r="G1899" s="437">
        <v>695</v>
      </c>
      <c r="H1899" s="437">
        <v>236.75</v>
      </c>
      <c r="I1899" s="437">
        <v>809.99</v>
      </c>
      <c r="J1899" s="437">
        <v>598.01</v>
      </c>
    </row>
    <row r="1900" spans="1:10" ht="13.5" customHeight="1" x14ac:dyDescent="0.25">
      <c r="A1900" s="1"/>
      <c r="B1900" s="1" t="s">
        <v>1721</v>
      </c>
      <c r="C1900" s="1" t="s">
        <v>269</v>
      </c>
      <c r="D1900" s="437">
        <v>175</v>
      </c>
      <c r="E1900" s="437">
        <v>39.130000000000003</v>
      </c>
      <c r="F1900" s="466"/>
      <c r="G1900" s="437">
        <v>175</v>
      </c>
      <c r="H1900" s="437">
        <v>134.15</v>
      </c>
      <c r="I1900" s="437">
        <v>163</v>
      </c>
      <c r="J1900" s="437">
        <v>65.66</v>
      </c>
    </row>
    <row r="1901" spans="1:10" ht="13.5" customHeight="1" x14ac:dyDescent="0.25">
      <c r="A1901" s="1"/>
      <c r="B1901" s="1" t="s">
        <v>1722</v>
      </c>
      <c r="C1901" s="1" t="s">
        <v>492</v>
      </c>
      <c r="D1901" s="437">
        <v>1500</v>
      </c>
      <c r="E1901" s="437">
        <v>220.84</v>
      </c>
      <c r="F1901" s="466"/>
      <c r="G1901" s="437">
        <v>1500</v>
      </c>
      <c r="H1901" s="437">
        <v>1496.5</v>
      </c>
      <c r="I1901" s="439">
        <v>1445.05</v>
      </c>
      <c r="J1901" s="437">
        <v>1332</v>
      </c>
    </row>
    <row r="1902" spans="1:10" ht="13.5" customHeight="1" x14ac:dyDescent="0.25">
      <c r="A1902" s="1"/>
      <c r="B1902" s="1" t="s">
        <v>1723</v>
      </c>
      <c r="C1902" s="1" t="s">
        <v>1724</v>
      </c>
      <c r="D1902" s="437">
        <v>0</v>
      </c>
      <c r="E1902" s="437"/>
      <c r="F1902" s="466"/>
      <c r="G1902" s="437">
        <v>0</v>
      </c>
      <c r="H1902" s="437">
        <v>0</v>
      </c>
      <c r="I1902" s="440">
        <v>0</v>
      </c>
      <c r="J1902" s="440">
        <v>0</v>
      </c>
    </row>
    <row r="1903" spans="1:10" ht="13.5" customHeight="1" x14ac:dyDescent="0.25">
      <c r="A1903" s="1"/>
      <c r="B1903" s="1" t="s">
        <v>1725</v>
      </c>
      <c r="C1903" s="1" t="s">
        <v>1726</v>
      </c>
      <c r="D1903" s="437">
        <v>0</v>
      </c>
      <c r="E1903" s="437"/>
      <c r="F1903" s="466"/>
      <c r="G1903" s="437">
        <v>0</v>
      </c>
      <c r="H1903" s="437">
        <v>39.76</v>
      </c>
      <c r="I1903" s="439">
        <v>25.99</v>
      </c>
      <c r="J1903" s="437">
        <v>256.08999999999997</v>
      </c>
    </row>
    <row r="1904" spans="1:10" ht="13.5" customHeight="1" x14ac:dyDescent="0.25">
      <c r="A1904" s="1"/>
      <c r="B1904" s="1"/>
      <c r="C1904" s="1"/>
      <c r="D1904" s="441">
        <v>2370</v>
      </c>
      <c r="E1904" s="441">
        <f t="shared" ref="E1904" si="773">SUM(E1899:E1903)</f>
        <v>259.97000000000003</v>
      </c>
      <c r="F1904" s="469"/>
      <c r="G1904" s="441">
        <v>2370</v>
      </c>
      <c r="H1904" s="441">
        <f>SUM(H1899:H1903)</f>
        <v>1907.16</v>
      </c>
      <c r="I1904" s="441">
        <f>SUM(I1899:I1903)</f>
        <v>2444.0299999999997</v>
      </c>
      <c r="J1904" s="441">
        <f t="shared" ref="J1904" si="774">SUM(J1899:J1903)</f>
        <v>2251.7600000000002</v>
      </c>
    </row>
    <row r="1905" spans="1:10" ht="13.5" customHeight="1" x14ac:dyDescent="0.25">
      <c r="A1905" s="1"/>
      <c r="B1905" s="1"/>
      <c r="C1905" s="1"/>
      <c r="D1905" s="440"/>
      <c r="E1905" s="440"/>
      <c r="F1905" s="468"/>
      <c r="G1905" s="440"/>
      <c r="H1905" s="440"/>
      <c r="I1905" s="440"/>
      <c r="J1905" s="437"/>
    </row>
    <row r="1906" spans="1:10" ht="13.5" customHeight="1" x14ac:dyDescent="0.25">
      <c r="A1906" s="1"/>
      <c r="B1906" s="1" t="s">
        <v>1727</v>
      </c>
      <c r="C1906" s="1" t="s">
        <v>982</v>
      </c>
      <c r="D1906" s="437">
        <v>200</v>
      </c>
      <c r="E1906" s="440"/>
      <c r="F1906" s="468"/>
      <c r="G1906" s="440">
        <v>200</v>
      </c>
      <c r="H1906" s="439">
        <v>217.58</v>
      </c>
      <c r="I1906" s="440">
        <v>0</v>
      </c>
      <c r="J1906" s="437">
        <v>46.65</v>
      </c>
    </row>
    <row r="1907" spans="1:10" ht="13.5" customHeight="1" x14ac:dyDescent="0.25">
      <c r="A1907" s="1"/>
      <c r="B1907" s="1" t="s">
        <v>1728</v>
      </c>
      <c r="C1907" s="1" t="s">
        <v>285</v>
      </c>
      <c r="D1907" s="437">
        <v>0</v>
      </c>
      <c r="E1907" s="437"/>
      <c r="F1907" s="466"/>
      <c r="G1907" s="437">
        <v>0</v>
      </c>
      <c r="H1907" s="437">
        <v>0</v>
      </c>
      <c r="I1907" s="437">
        <v>28</v>
      </c>
      <c r="J1907" s="437">
        <v>35</v>
      </c>
    </row>
    <row r="1908" spans="1:10" ht="13.5" customHeight="1" x14ac:dyDescent="0.25">
      <c r="A1908" s="1"/>
      <c r="B1908" s="1" t="s">
        <v>1729</v>
      </c>
      <c r="C1908" s="1" t="s">
        <v>1730</v>
      </c>
      <c r="D1908" s="437">
        <v>0</v>
      </c>
      <c r="E1908" s="437"/>
      <c r="F1908" s="466"/>
      <c r="G1908" s="437">
        <v>0</v>
      </c>
      <c r="H1908" s="437">
        <v>1975</v>
      </c>
      <c r="I1908" s="437">
        <v>3750</v>
      </c>
      <c r="J1908" s="437">
        <v>100</v>
      </c>
    </row>
    <row r="1909" spans="1:10" ht="13.5" customHeight="1" x14ac:dyDescent="0.25">
      <c r="A1909" s="1"/>
      <c r="B1909" s="1" t="s">
        <v>1731</v>
      </c>
      <c r="C1909" s="1" t="s">
        <v>289</v>
      </c>
      <c r="D1909" s="437">
        <v>1200</v>
      </c>
      <c r="E1909" s="437">
        <v>400.32</v>
      </c>
      <c r="F1909" s="466"/>
      <c r="G1909" s="437">
        <v>1200</v>
      </c>
      <c r="H1909" s="437">
        <v>1284.95</v>
      </c>
      <c r="I1909" s="437">
        <v>1530.46</v>
      </c>
      <c r="J1909" s="437">
        <v>1284.0899999999999</v>
      </c>
    </row>
    <row r="1910" spans="1:10" ht="13.5" customHeight="1" x14ac:dyDescent="0.25">
      <c r="A1910" s="1"/>
      <c r="B1910" s="1"/>
      <c r="C1910" s="1"/>
      <c r="D1910" s="438">
        <v>1400</v>
      </c>
      <c r="E1910" s="438">
        <f t="shared" ref="E1910" si="775">SUM(E1906:E1909)</f>
        <v>400.32</v>
      </c>
      <c r="F1910" s="467"/>
      <c r="G1910" s="438">
        <v>1400</v>
      </c>
      <c r="H1910" s="438">
        <f>SUM(H1906:H1909)</f>
        <v>3477.5299999999997</v>
      </c>
      <c r="I1910" s="438">
        <f>SUM(I1906:I1909)</f>
        <v>5308.46</v>
      </c>
      <c r="J1910" s="438">
        <f t="shared" ref="J1910" si="776">SUM(J1906:J1909)</f>
        <v>1465.74</v>
      </c>
    </row>
    <row r="1911" spans="1:10" ht="13.5" customHeight="1" thickBot="1" x14ac:dyDescent="0.3">
      <c r="A1911" s="1"/>
      <c r="B1911" s="1"/>
      <c r="C1911" s="39" t="s">
        <v>1732</v>
      </c>
      <c r="D1911" s="451">
        <v>20605.0798</v>
      </c>
      <c r="E1911" s="451">
        <f t="shared" ref="E1911" si="777">SUM(E1892+E1897+E1904+E1910)</f>
        <v>6414.63</v>
      </c>
      <c r="F1911" s="478"/>
      <c r="G1911" s="451">
        <v>19074.91</v>
      </c>
      <c r="H1911" s="451">
        <f>SUM(H1892+H1897+H1904+H1910)</f>
        <v>18872.89</v>
      </c>
      <c r="I1911" s="451">
        <f>SUM(I1892+I1897+I1904+I1910)</f>
        <v>21141.73</v>
      </c>
      <c r="J1911" s="451">
        <f t="shared" ref="J1911" si="778">SUM(J1892+J1897+J1904+J1910)</f>
        <v>16412.080000000002</v>
      </c>
    </row>
    <row r="1912" spans="1:10" ht="13.5" customHeight="1" thickTop="1" x14ac:dyDescent="0.25">
      <c r="A1912" s="1"/>
      <c r="B1912" s="1"/>
      <c r="C1912" s="1"/>
      <c r="D1912" s="437"/>
      <c r="E1912" s="437"/>
      <c r="F1912" s="466"/>
      <c r="G1912" s="437"/>
      <c r="H1912" s="437"/>
      <c r="I1912" s="437"/>
      <c r="J1912" s="437"/>
    </row>
    <row r="1913" spans="1:10" ht="13.5" customHeight="1" x14ac:dyDescent="0.25">
      <c r="A1913" s="1"/>
      <c r="B1913" s="1"/>
      <c r="C1913" s="39" t="s">
        <v>1733</v>
      </c>
      <c r="D1913" s="437"/>
      <c r="E1913" s="437"/>
      <c r="F1913" s="466"/>
      <c r="G1913" s="437"/>
      <c r="H1913" s="437"/>
      <c r="I1913" s="437"/>
      <c r="J1913" s="437"/>
    </row>
    <row r="1914" spans="1:10" ht="13.5" customHeight="1" x14ac:dyDescent="0.25">
      <c r="A1914" s="1"/>
      <c r="B1914" s="1" t="s">
        <v>1734</v>
      </c>
      <c r="C1914" s="1" t="s">
        <v>439</v>
      </c>
      <c r="D1914" s="437">
        <v>127818</v>
      </c>
      <c r="E1914" s="437">
        <v>52327.72</v>
      </c>
      <c r="F1914" s="466"/>
      <c r="G1914" s="437">
        <v>123785.60000000001</v>
      </c>
      <c r="H1914" s="437">
        <v>120321.55</v>
      </c>
      <c r="I1914" s="437">
        <v>104246.38</v>
      </c>
      <c r="J1914" s="437">
        <v>115161.47</v>
      </c>
    </row>
    <row r="1915" spans="1:10" ht="13.5" customHeight="1" x14ac:dyDescent="0.25">
      <c r="A1915" s="1"/>
      <c r="B1915" s="1" t="s">
        <v>1735</v>
      </c>
      <c r="C1915" s="1" t="s">
        <v>443</v>
      </c>
      <c r="D1915" s="437">
        <v>0</v>
      </c>
      <c r="E1915" s="437"/>
      <c r="F1915" s="466"/>
      <c r="G1915" s="437">
        <v>0</v>
      </c>
      <c r="H1915" s="437">
        <v>0</v>
      </c>
      <c r="I1915" s="437">
        <v>2710.42</v>
      </c>
      <c r="J1915" s="437">
        <v>5500.86</v>
      </c>
    </row>
    <row r="1916" spans="1:10" ht="13.5" customHeight="1" x14ac:dyDescent="0.25">
      <c r="A1916" s="1"/>
      <c r="B1916" s="1"/>
      <c r="C1916" s="1"/>
      <c r="D1916" s="438">
        <v>127818</v>
      </c>
      <c r="E1916" s="438">
        <f t="shared" ref="E1916" si="779">SUM(E1914:E1915)</f>
        <v>52327.72</v>
      </c>
      <c r="F1916" s="467"/>
      <c r="G1916" s="438">
        <v>123785.60000000001</v>
      </c>
      <c r="H1916" s="438">
        <f>SUM(H1914:H1915)</f>
        <v>120321.55</v>
      </c>
      <c r="I1916" s="438">
        <f>SUM(I1914:I1915)</f>
        <v>106956.8</v>
      </c>
      <c r="J1916" s="438">
        <f t="shared" ref="J1916" si="780">SUM(J1914:J1915)</f>
        <v>120662.33</v>
      </c>
    </row>
    <row r="1917" spans="1:10" ht="13.5" customHeight="1" x14ac:dyDescent="0.25">
      <c r="A1917" s="1"/>
      <c r="B1917" s="1"/>
      <c r="C1917" s="1"/>
      <c r="D1917" s="437"/>
      <c r="E1917" s="437"/>
      <c r="F1917" s="466"/>
      <c r="G1917" s="437"/>
      <c r="H1917" s="437"/>
      <c r="I1917" s="437"/>
      <c r="J1917" s="437"/>
    </row>
    <row r="1918" spans="1:10" ht="13.5" customHeight="1" x14ac:dyDescent="0.25">
      <c r="A1918" s="1"/>
      <c r="B1918" s="1" t="s">
        <v>1736</v>
      </c>
      <c r="C1918" s="1" t="s">
        <v>257</v>
      </c>
      <c r="D1918" s="437">
        <v>11078.577000000001</v>
      </c>
      <c r="E1918" s="437">
        <v>4152.45</v>
      </c>
      <c r="F1918" s="466"/>
      <c r="G1918" s="437">
        <v>10488.58</v>
      </c>
      <c r="H1918" s="437">
        <v>9635.66</v>
      </c>
      <c r="I1918" s="437">
        <v>8127.03</v>
      </c>
      <c r="J1918" s="437">
        <v>9535.23</v>
      </c>
    </row>
    <row r="1919" spans="1:10" ht="13.5" customHeight="1" x14ac:dyDescent="0.25">
      <c r="A1919" s="1"/>
      <c r="B1919" s="1" t="s">
        <v>1737</v>
      </c>
      <c r="C1919" s="1" t="s">
        <v>259</v>
      </c>
      <c r="D1919" s="437">
        <v>20921.7696</v>
      </c>
      <c r="E1919" s="437">
        <v>10353.6</v>
      </c>
      <c r="F1919" s="466"/>
      <c r="G1919" s="437">
        <v>20926.87</v>
      </c>
      <c r="H1919" s="437">
        <v>18985.740000000002</v>
      </c>
      <c r="I1919" s="437">
        <v>19489.09</v>
      </c>
      <c r="J1919" s="437">
        <v>17745</v>
      </c>
    </row>
    <row r="1920" spans="1:10" ht="13.5" customHeight="1" x14ac:dyDescent="0.25">
      <c r="A1920" s="1"/>
      <c r="B1920" s="1" t="s">
        <v>1738</v>
      </c>
      <c r="C1920" s="1" t="s">
        <v>261</v>
      </c>
      <c r="D1920" s="437">
        <v>10756.4228</v>
      </c>
      <c r="E1920" s="437">
        <v>4255.78</v>
      </c>
      <c r="F1920" s="466"/>
      <c r="G1920" s="437">
        <v>10151.120000000001</v>
      </c>
      <c r="H1920" s="437">
        <v>9565.92</v>
      </c>
      <c r="I1920" s="437">
        <v>8903.26</v>
      </c>
      <c r="J1920" s="437">
        <v>9289.83</v>
      </c>
    </row>
    <row r="1921" spans="1:10" ht="13.5" customHeight="1" x14ac:dyDescent="0.25">
      <c r="A1921" s="1"/>
      <c r="B1921" s="1" t="s">
        <v>1739</v>
      </c>
      <c r="C1921" s="1" t="s">
        <v>263</v>
      </c>
      <c r="D1921" s="437">
        <v>114.58240000000001</v>
      </c>
      <c r="E1921" s="437">
        <v>45.35</v>
      </c>
      <c r="F1921" s="466"/>
      <c r="G1921" s="437">
        <v>108.13</v>
      </c>
      <c r="H1921" s="437">
        <v>101.89</v>
      </c>
      <c r="I1921" s="437">
        <v>98.01</v>
      </c>
      <c r="J1921" s="437">
        <v>117.37</v>
      </c>
    </row>
    <row r="1922" spans="1:10" ht="13.5" customHeight="1" x14ac:dyDescent="0.25">
      <c r="A1922" s="1"/>
      <c r="B1922" s="1" t="s">
        <v>1740</v>
      </c>
      <c r="C1922" s="1" t="s">
        <v>265</v>
      </c>
      <c r="D1922" s="437">
        <v>749.76</v>
      </c>
      <c r="E1922" s="437">
        <v>351.12</v>
      </c>
      <c r="F1922" s="466"/>
      <c r="G1922" s="437">
        <v>702.24</v>
      </c>
      <c r="H1922" s="437">
        <v>618.88</v>
      </c>
      <c r="I1922" s="437">
        <v>620.04</v>
      </c>
      <c r="J1922" s="437">
        <v>548.6</v>
      </c>
    </row>
    <row r="1923" spans="1:10" ht="13.5" customHeight="1" x14ac:dyDescent="0.25">
      <c r="A1923" s="1"/>
      <c r="B1923" s="1" t="s">
        <v>1741</v>
      </c>
      <c r="C1923" s="1" t="s">
        <v>1431</v>
      </c>
      <c r="D1923" s="437">
        <v>17000</v>
      </c>
      <c r="E1923" s="437">
        <v>6147.72</v>
      </c>
      <c r="F1923" s="466"/>
      <c r="G1923" s="437">
        <v>13320</v>
      </c>
      <c r="H1923" s="437">
        <v>13320.06</v>
      </c>
      <c r="I1923" s="437">
        <v>11236.26</v>
      </c>
      <c r="J1923" s="437">
        <v>13320.06</v>
      </c>
    </row>
    <row r="1924" spans="1:10" ht="13.5" customHeight="1" x14ac:dyDescent="0.25">
      <c r="A1924" s="1"/>
      <c r="B1924" s="1"/>
      <c r="C1924" s="1"/>
      <c r="D1924" s="438">
        <v>60621.111800000006</v>
      </c>
      <c r="E1924" s="438">
        <f t="shared" ref="E1924" si="781">SUM(E1918:E1923)</f>
        <v>25306.019999999997</v>
      </c>
      <c r="F1924" s="467"/>
      <c r="G1924" s="438">
        <v>54889.2984</v>
      </c>
      <c r="H1924" s="438">
        <f>SUM(H1918:H1923)</f>
        <v>52228.149999999994</v>
      </c>
      <c r="I1924" s="438">
        <f>SUM(I1918:I1923)</f>
        <v>48473.69</v>
      </c>
      <c r="J1924" s="438">
        <f t="shared" ref="J1924" si="782">SUM(J1918:J1923)</f>
        <v>50556.09</v>
      </c>
    </row>
    <row r="1925" spans="1:10" ht="13.5" customHeight="1" x14ac:dyDescent="0.25">
      <c r="A1925" s="1"/>
      <c r="B1925" s="1"/>
      <c r="C1925" s="1"/>
      <c r="D1925" s="437"/>
      <c r="E1925" s="437"/>
      <c r="F1925" s="466"/>
      <c r="G1925" s="437"/>
      <c r="H1925" s="437"/>
      <c r="I1925" s="437"/>
      <c r="J1925" s="437"/>
    </row>
    <row r="1926" spans="1:10" ht="13.5" customHeight="1" x14ac:dyDescent="0.25">
      <c r="A1926" s="1"/>
      <c r="B1926" s="1" t="s">
        <v>1742</v>
      </c>
      <c r="C1926" s="1" t="s">
        <v>267</v>
      </c>
      <c r="D1926" s="437">
        <v>2250</v>
      </c>
      <c r="E1926" s="437">
        <v>353.05</v>
      </c>
      <c r="F1926" s="466"/>
      <c r="G1926" s="437">
        <v>2250</v>
      </c>
      <c r="H1926" s="437">
        <v>834.26</v>
      </c>
      <c r="I1926" s="437">
        <v>786.87</v>
      </c>
      <c r="J1926" s="437">
        <v>1729.81</v>
      </c>
    </row>
    <row r="1927" spans="1:10" ht="13.5" customHeight="1" x14ac:dyDescent="0.25">
      <c r="A1927" s="1"/>
      <c r="B1927" s="1" t="s">
        <v>1743</v>
      </c>
      <c r="C1927" s="1" t="s">
        <v>269</v>
      </c>
      <c r="D1927" s="437">
        <v>3000</v>
      </c>
      <c r="E1927" s="437">
        <v>322.73</v>
      </c>
      <c r="F1927" s="466"/>
      <c r="G1927" s="437">
        <v>3000</v>
      </c>
      <c r="H1927" s="437">
        <v>842.46</v>
      </c>
      <c r="I1927" s="437">
        <v>1335.8</v>
      </c>
      <c r="J1927" s="437">
        <v>1484.87</v>
      </c>
    </row>
    <row r="1928" spans="1:10" ht="13.5" customHeight="1" x14ac:dyDescent="0.25">
      <c r="A1928" s="1"/>
      <c r="B1928" s="1" t="s">
        <v>1744</v>
      </c>
      <c r="C1928" s="1" t="s">
        <v>1554</v>
      </c>
      <c r="D1928" s="437">
        <v>1000</v>
      </c>
      <c r="E1928" s="437"/>
      <c r="F1928" s="466"/>
      <c r="G1928" s="437">
        <v>1000</v>
      </c>
      <c r="H1928" s="437">
        <v>1188.29</v>
      </c>
      <c r="I1928" s="439">
        <v>608.54</v>
      </c>
      <c r="J1928" s="437">
        <v>838.93</v>
      </c>
    </row>
    <row r="1929" spans="1:10" ht="13.5" customHeight="1" x14ac:dyDescent="0.25">
      <c r="A1929" s="1"/>
      <c r="B1929" s="1" t="s">
        <v>1745</v>
      </c>
      <c r="C1929" s="1" t="s">
        <v>1746</v>
      </c>
      <c r="D1929" s="437">
        <v>0</v>
      </c>
      <c r="E1929" s="437"/>
      <c r="F1929" s="466"/>
      <c r="G1929" s="437">
        <v>0</v>
      </c>
      <c r="H1929" s="437">
        <v>0</v>
      </c>
      <c r="I1929" s="439">
        <v>858</v>
      </c>
      <c r="J1929" s="439">
        <v>0</v>
      </c>
    </row>
    <row r="1930" spans="1:10" ht="13.5" customHeight="1" x14ac:dyDescent="0.25">
      <c r="A1930" s="1"/>
      <c r="B1930" s="1" t="s">
        <v>1747</v>
      </c>
      <c r="C1930" s="1" t="s">
        <v>455</v>
      </c>
      <c r="D1930" s="437">
        <v>200</v>
      </c>
      <c r="E1930" s="437"/>
      <c r="F1930" s="466"/>
      <c r="G1930" s="437">
        <v>200</v>
      </c>
      <c r="H1930" s="437">
        <v>0</v>
      </c>
      <c r="I1930" s="439">
        <v>0</v>
      </c>
      <c r="J1930" s="437">
        <v>339.99</v>
      </c>
    </row>
    <row r="1931" spans="1:10" ht="13.5" customHeight="1" x14ac:dyDescent="0.25">
      <c r="A1931" s="1"/>
      <c r="B1931" s="1" t="s">
        <v>1748</v>
      </c>
      <c r="C1931" s="1" t="s">
        <v>1749</v>
      </c>
      <c r="D1931" s="437">
        <v>500</v>
      </c>
      <c r="E1931" s="439">
        <v>200</v>
      </c>
      <c r="F1931" s="468"/>
      <c r="G1931" s="440">
        <v>500</v>
      </c>
      <c r="H1931" s="439">
        <v>449.97</v>
      </c>
      <c r="I1931" s="440">
        <v>0</v>
      </c>
      <c r="J1931" s="440">
        <v>0</v>
      </c>
    </row>
    <row r="1932" spans="1:10" ht="13.5" customHeight="1" x14ac:dyDescent="0.25">
      <c r="A1932" s="1"/>
      <c r="B1932" s="1" t="s">
        <v>1750</v>
      </c>
      <c r="C1932" s="1" t="s">
        <v>275</v>
      </c>
      <c r="D1932" s="437">
        <v>0</v>
      </c>
      <c r="E1932" s="439">
        <v>70.97</v>
      </c>
      <c r="F1932" s="468"/>
      <c r="G1932" s="440">
        <v>0</v>
      </c>
      <c r="H1932" s="439">
        <v>197.07</v>
      </c>
      <c r="I1932" s="439">
        <v>937.97</v>
      </c>
      <c r="J1932" s="437">
        <v>1119.81</v>
      </c>
    </row>
    <row r="1933" spans="1:10" ht="13.5" customHeight="1" x14ac:dyDescent="0.25">
      <c r="A1933" s="1"/>
      <c r="B1933" s="1"/>
      <c r="C1933" s="1"/>
      <c r="D1933" s="441">
        <v>6950</v>
      </c>
      <c r="E1933" s="441">
        <f t="shared" ref="E1933" si="783">SUM(E1926:E1932)</f>
        <v>946.75</v>
      </c>
      <c r="F1933" s="469"/>
      <c r="G1933" s="441">
        <v>6950</v>
      </c>
      <c r="H1933" s="441">
        <f>SUM(H1926:H1932)</f>
        <v>3512.0500000000006</v>
      </c>
      <c r="I1933" s="441">
        <f>SUM(I1926:I1932)</f>
        <v>4527.18</v>
      </c>
      <c r="J1933" s="441">
        <f t="shared" ref="J1933" si="784">SUM(J1926:J1932)</f>
        <v>5513.41</v>
      </c>
    </row>
    <row r="1934" spans="1:10" ht="13.5" customHeight="1" x14ac:dyDescent="0.25">
      <c r="A1934" s="1"/>
      <c r="B1934" s="1"/>
      <c r="C1934" s="1"/>
      <c r="D1934" s="440"/>
      <c r="E1934" s="440"/>
      <c r="F1934" s="468"/>
      <c r="G1934" s="440"/>
      <c r="H1934" s="440"/>
      <c r="I1934" s="440"/>
      <c r="J1934" s="437"/>
    </row>
    <row r="1935" spans="1:10" ht="13.5" customHeight="1" x14ac:dyDescent="0.25">
      <c r="A1935" s="1"/>
      <c r="B1935" s="1" t="s">
        <v>1751</v>
      </c>
      <c r="C1935" s="1" t="s">
        <v>281</v>
      </c>
      <c r="D1935" s="437">
        <v>9400</v>
      </c>
      <c r="E1935" s="437">
        <v>1151.56</v>
      </c>
      <c r="F1935" s="466"/>
      <c r="G1935" s="437">
        <v>6900</v>
      </c>
      <c r="H1935" s="437">
        <v>4072.96</v>
      </c>
      <c r="I1935" s="437">
        <v>6412.96</v>
      </c>
      <c r="J1935" s="437">
        <v>3176.18</v>
      </c>
    </row>
    <row r="1936" spans="1:10" ht="13.5" customHeight="1" x14ac:dyDescent="0.25">
      <c r="A1936" s="1"/>
      <c r="B1936" s="1" t="s">
        <v>1752</v>
      </c>
      <c r="C1936" s="1" t="s">
        <v>283</v>
      </c>
      <c r="D1936" s="437">
        <v>3600</v>
      </c>
      <c r="E1936" s="437">
        <v>1337.44</v>
      </c>
      <c r="F1936" s="466"/>
      <c r="G1936" s="437">
        <v>3600</v>
      </c>
      <c r="H1936" s="437">
        <v>3073.54</v>
      </c>
      <c r="I1936" s="437">
        <v>2925.67</v>
      </c>
      <c r="J1936" s="437">
        <v>2807.79</v>
      </c>
    </row>
    <row r="1937" spans="1:10" ht="13.5" customHeight="1" x14ac:dyDescent="0.25">
      <c r="A1937" s="1"/>
      <c r="B1937" s="1" t="s">
        <v>1753</v>
      </c>
      <c r="C1937" s="1" t="s">
        <v>502</v>
      </c>
      <c r="D1937" s="437">
        <v>500</v>
      </c>
      <c r="E1937" s="437">
        <v>360</v>
      </c>
      <c r="F1937" s="466"/>
      <c r="G1937" s="437">
        <v>500</v>
      </c>
      <c r="H1937" s="437">
        <v>300</v>
      </c>
      <c r="I1937" s="437">
        <v>350</v>
      </c>
      <c r="J1937" s="437">
        <v>525</v>
      </c>
    </row>
    <row r="1938" spans="1:10" ht="13.5" customHeight="1" x14ac:dyDescent="0.25">
      <c r="A1938" s="1"/>
      <c r="B1938" s="1" t="s">
        <v>1754</v>
      </c>
      <c r="C1938" s="1" t="s">
        <v>289</v>
      </c>
      <c r="D1938" s="437">
        <v>6750</v>
      </c>
      <c r="E1938" s="437">
        <v>1830.99</v>
      </c>
      <c r="F1938" s="466"/>
      <c r="G1938" s="437">
        <v>6750</v>
      </c>
      <c r="H1938" s="437">
        <v>5045.93</v>
      </c>
      <c r="I1938" s="437">
        <v>5092.01</v>
      </c>
      <c r="J1938" s="437">
        <v>4957.55</v>
      </c>
    </row>
    <row r="1939" spans="1:10" ht="13.5" customHeight="1" x14ac:dyDescent="0.25">
      <c r="A1939" s="1"/>
      <c r="B1939" s="1"/>
      <c r="C1939" s="1"/>
      <c r="D1939" s="438">
        <v>20250</v>
      </c>
      <c r="E1939" s="438">
        <f t="shared" ref="E1939" si="785">SUM(E1935:E1938)</f>
        <v>4679.99</v>
      </c>
      <c r="F1939" s="467"/>
      <c r="G1939" s="438">
        <v>17750</v>
      </c>
      <c r="H1939" s="438">
        <f>SUM(H1935:H1938)</f>
        <v>12492.43</v>
      </c>
      <c r="I1939" s="438">
        <f>SUM(I1935:I1938)</f>
        <v>14780.640000000001</v>
      </c>
      <c r="J1939" s="438">
        <f t="shared" ref="J1939" si="786">SUM(J1935:J1938)</f>
        <v>11466.52</v>
      </c>
    </row>
    <row r="1940" spans="1:10" ht="13.5" customHeight="1" thickBot="1" x14ac:dyDescent="0.3">
      <c r="A1940" s="1"/>
      <c r="B1940" s="1"/>
      <c r="C1940" s="39" t="s">
        <v>1755</v>
      </c>
      <c r="D1940" s="451">
        <v>215639.11180000001</v>
      </c>
      <c r="E1940" s="451">
        <f t="shared" ref="E1940" si="787">SUM(E1916+E1924+E1933+E1939)</f>
        <v>83260.479999999996</v>
      </c>
      <c r="F1940" s="478"/>
      <c r="G1940" s="451">
        <v>204182.54</v>
      </c>
      <c r="H1940" s="451">
        <f>SUM(H1916+H1924+H1933+H1939)</f>
        <v>188554.18</v>
      </c>
      <c r="I1940" s="451">
        <f>SUM(I1916+I1924+I1933+I1939)</f>
        <v>174738.31</v>
      </c>
      <c r="J1940" s="451">
        <f t="shared" ref="J1940" si="788">SUM(J1916+J1924+J1933+J1939)</f>
        <v>188198.34999999998</v>
      </c>
    </row>
    <row r="1941" spans="1:10" ht="13.5" customHeight="1" thickTop="1" x14ac:dyDescent="0.25">
      <c r="A1941" s="1"/>
      <c r="B1941" s="1"/>
      <c r="C1941" s="1"/>
      <c r="D1941" s="437"/>
      <c r="E1941" s="437"/>
      <c r="F1941" s="466"/>
      <c r="G1941" s="437"/>
      <c r="H1941" s="437"/>
      <c r="I1941" s="437"/>
      <c r="J1941" s="437"/>
    </row>
    <row r="1942" spans="1:10" ht="13.5" customHeight="1" x14ac:dyDescent="0.25">
      <c r="A1942" s="1"/>
      <c r="B1942" s="1"/>
      <c r="C1942" s="14" t="s">
        <v>1756</v>
      </c>
      <c r="D1942" s="437"/>
      <c r="E1942" s="437"/>
      <c r="F1942" s="466"/>
      <c r="G1942" s="437"/>
      <c r="H1942" s="437"/>
      <c r="I1942" s="437"/>
      <c r="J1942" s="437"/>
    </row>
    <row r="1943" spans="1:10" ht="13.5" customHeight="1" x14ac:dyDescent="0.25">
      <c r="A1943" s="1"/>
      <c r="B1943" s="1" t="s">
        <v>1757</v>
      </c>
      <c r="C1943" s="1" t="s">
        <v>267</v>
      </c>
      <c r="D1943" s="437">
        <v>500</v>
      </c>
      <c r="E1943" s="437"/>
      <c r="F1943" s="466"/>
      <c r="G1943" s="437">
        <v>500</v>
      </c>
      <c r="H1943" s="437">
        <v>0</v>
      </c>
      <c r="I1943" s="440">
        <v>0</v>
      </c>
      <c r="J1943" s="440">
        <v>0</v>
      </c>
    </row>
    <row r="1944" spans="1:10" ht="13.5" customHeight="1" x14ac:dyDescent="0.25">
      <c r="A1944" s="1"/>
      <c r="B1944" s="1" t="s">
        <v>1758</v>
      </c>
      <c r="C1944" s="1" t="s">
        <v>1554</v>
      </c>
      <c r="D1944" s="437">
        <v>0</v>
      </c>
      <c r="E1944" s="437">
        <v>1620</v>
      </c>
      <c r="F1944" s="466"/>
      <c r="G1944" s="437">
        <v>0</v>
      </c>
      <c r="H1944" s="437">
        <v>3509.25</v>
      </c>
      <c r="I1944" s="437">
        <v>1665.28</v>
      </c>
      <c r="J1944" s="437">
        <v>2005.16</v>
      </c>
    </row>
    <row r="1945" spans="1:10" ht="13.5" customHeight="1" x14ac:dyDescent="0.25">
      <c r="A1945" s="1"/>
      <c r="B1945" s="1" t="s">
        <v>1759</v>
      </c>
      <c r="C1945" s="1" t="s">
        <v>1760</v>
      </c>
      <c r="D1945" s="437">
        <v>3300</v>
      </c>
      <c r="E1945" s="437"/>
      <c r="F1945" s="466"/>
      <c r="G1945" s="437">
        <v>3300</v>
      </c>
      <c r="H1945" s="437">
        <v>0</v>
      </c>
      <c r="I1945" s="437">
        <v>1661.79</v>
      </c>
      <c r="J1945" s="437">
        <v>2134.36</v>
      </c>
    </row>
    <row r="1946" spans="1:10" ht="13.5" customHeight="1" x14ac:dyDescent="0.25">
      <c r="A1946" s="1"/>
      <c r="B1946" s="1" t="s">
        <v>1761</v>
      </c>
      <c r="C1946" s="1" t="s">
        <v>283</v>
      </c>
      <c r="D1946" s="437">
        <v>500</v>
      </c>
      <c r="E1946" s="437"/>
      <c r="F1946" s="466"/>
      <c r="G1946" s="437">
        <v>500</v>
      </c>
      <c r="H1946" s="437">
        <v>82.89</v>
      </c>
      <c r="I1946" s="437">
        <v>196.62</v>
      </c>
      <c r="J1946" s="437">
        <v>78.260000000000005</v>
      </c>
    </row>
    <row r="1947" spans="1:10" ht="13.5" customHeight="1" thickBot="1" x14ac:dyDescent="0.3">
      <c r="A1947" s="1"/>
      <c r="B1947" s="1"/>
      <c r="C1947" s="39" t="s">
        <v>1762</v>
      </c>
      <c r="D1947" s="451">
        <v>4300</v>
      </c>
      <c r="E1947" s="451">
        <f t="shared" ref="E1947" si="789">SUM(E1943:E1946)</f>
        <v>1620</v>
      </c>
      <c r="F1947" s="478"/>
      <c r="G1947" s="451">
        <v>4300</v>
      </c>
      <c r="H1947" s="451">
        <f>SUM(H1943:H1946)</f>
        <v>3592.14</v>
      </c>
      <c r="I1947" s="451">
        <f>SUM(I1943:I1946)</f>
        <v>3523.6899999999996</v>
      </c>
      <c r="J1947" s="451">
        <f t="shared" ref="J1947" si="790">SUM(J1943:J1946)</f>
        <v>4217.7800000000007</v>
      </c>
    </row>
    <row r="1948" spans="1:10" ht="13.5" customHeight="1" thickTop="1" x14ac:dyDescent="0.25">
      <c r="A1948" s="1"/>
      <c r="B1948" s="1"/>
      <c r="C1948" s="1"/>
      <c r="D1948" s="437"/>
      <c r="E1948" s="437"/>
      <c r="F1948" s="466"/>
      <c r="G1948" s="437"/>
      <c r="H1948" s="437"/>
      <c r="I1948" s="437"/>
      <c r="J1948" s="437"/>
    </row>
    <row r="1949" spans="1:10" ht="13.5" customHeight="1" thickBot="1" x14ac:dyDescent="0.3">
      <c r="A1949" s="49"/>
      <c r="B1949" s="49"/>
      <c r="C1949" s="49" t="s">
        <v>1763</v>
      </c>
      <c r="D1949" s="461">
        <v>37166179.999666013</v>
      </c>
      <c r="E1949" s="461">
        <f t="shared" ref="E1949" si="791">SUM(E174+E251+E257+E273+E305+E312+E359+E423+E459+E467+E493+E522+E551+E583+E589+E620+E625+E656+E684+E712+E739+E767+E787+E807+E820+E834+E849+E863+E900+E936+E976+E1008+E1044+E1072+E1102+E1127+E1160+E1192+E1196+E1215+E1231+E1250+E1265+E1275+E1287+E1295+E1309+E1316+E1330+E1339+E1348+E1354+E1387+E1416+E1444+E1471+E1502+E1506+E1510+E1514+E1519+E1523+E1527+E1594+E1600+E1607+E1611+E1652+E1668+E1710+E1767+E1808+E1832+E1857+E1883+E1888+E1911+E1940+E1947)</f>
        <v>16724865.75</v>
      </c>
      <c r="F1949" s="485"/>
      <c r="G1949" s="461">
        <f t="shared" ref="G1949" si="792">SUM(G174+G251+G257+G273+G305+G312+G359+G423+G459+G467+G493+G522+G551+G583+G589+G620+G625+G656+G684+G712+G739+G767+G787+G807+G820+G834+G849+G863+G900+G936+G976+G1008+G1044+G1072+G1102+G1127+G1160+G1192+G1196+G1215+G1231+G1250+G1265+G1275+G1287+G1295+G1309+G1316+G1330+G1339+G1348+G1354+G1387+G1416+G1444+G1471+G1502+G1506+G1510+G1514+G1519+G1523+G1527+G1594+G1600+G1607+G1611+G1652+G1668+G1710+G1767+G1808+G1832+G1857+G1883+G1888+G1911+G1940+G1947)</f>
        <v>34896871.43</v>
      </c>
      <c r="H1949" s="461">
        <f>SUM(H174+H251+H257+H273+H305+H312+H359+H423+H459+H467+H493+H522+H551+H583+H589+H620+H625+H656+H684+H712+H739+H767+H787+H807+H820+H834+H849+H863+H900+H936+H976+H1008+H1044+H1072+H1102+H1127+H1160+H1192+H1196+H1215+H1231+H1250+H1265+H1275+H1287+H1295+H1309+H1316+H1330+H1339+H1348+H1354+H1387+H1416+H1444+H1471+H1502+H1506+H1510+H1514+H1519+H1523+H1527+H1594+H1600+H1607+H1611+H1652+H1668+H1710+H1767+H1808+H1832+H1857+H1883+H1888+H1911+H1940+H1947)</f>
        <v>31856818.77</v>
      </c>
      <c r="I1949" s="461">
        <f>SUM(I174+I251+I257+I273+I305+I312+I359+I390+I423+I459+I467+I493+I522+I551+I583+I589+I620+I625+I656+I684+I712+I739+I767+I772+I787+I807+I820+I834+I849+I863+I900+I936+I976+I1008+I1044+I1072+I1102+I1127+I1160+I1192+I1196+I1215+I1231+I1250+I1265+I1275+I1287+I1295+I1309+I1316+I1330+I1339+I1348+I1354+I1387+I1416+I1444+I1471+I1502+I1506+I1510+I1514+I1519+I1523+I1527+I1594+I1600+I1607+I1611+I1652+I1668+I1710+I1767+I1808+I1832+I1857+I1883+I1888+I1911+I1940+I1947)</f>
        <v>31847011.670000006</v>
      </c>
      <c r="J1949" s="461">
        <f t="shared" ref="J1949" si="793">SUM(J174+J251+J257+J273+J305+J312+J359+J423+J459+J467+J493+J522+J551+J583+J589+J620+J625+J656+J684+J712+J739+J767+J787+J807+J820+J834+J849+J863+J900+J936+J976+J1008+J1044+J1072+J1102+J1127+J1160+J1192+J1215+J1231+J1250+J1265+J1275+J1287+J1295+J1309+J1316+J1330+J1339+J1348+J1354+J1387+J1416+J1444+J1471+J1502+J1506+J1510+J1514+J1519+J1523+J1527+J1594+J1600+J1607+J1652+J1668+J1710+J1767+J1808+J1832+J1857+J1883+J1888+J1911+J1940+J1947)</f>
        <v>27603560.299999997</v>
      </c>
    </row>
    <row r="1950" spans="1:10" ht="17.25" customHeight="1" thickTop="1" x14ac:dyDescent="0.25">
      <c r="A1950" s="28"/>
      <c r="B1950" s="28"/>
      <c r="C1950" s="28"/>
      <c r="D1950" s="437"/>
      <c r="E1950" s="437"/>
      <c r="F1950" s="466"/>
      <c r="G1950" s="437"/>
      <c r="H1950" s="437"/>
      <c r="I1950" s="437"/>
      <c r="J1950" s="437"/>
    </row>
    <row r="1951" spans="1:10" ht="15.75" customHeight="1" x14ac:dyDescent="0.25">
      <c r="A1951" s="1"/>
      <c r="B1951" s="50" t="s">
        <v>1764</v>
      </c>
      <c r="C1951" s="50"/>
      <c r="D1951" s="437"/>
      <c r="E1951" s="437"/>
      <c r="F1951" s="466"/>
      <c r="G1951" s="437"/>
      <c r="H1951" s="437"/>
      <c r="I1951" s="437"/>
      <c r="J1951" s="437"/>
    </row>
    <row r="1952" spans="1:10" ht="13.5" customHeight="1" x14ac:dyDescent="0.25">
      <c r="A1952" s="1"/>
      <c r="B1952" s="50"/>
      <c r="C1952" s="50"/>
      <c r="D1952" s="437"/>
      <c r="E1952" s="437"/>
      <c r="F1952" s="466"/>
      <c r="G1952" s="437"/>
      <c r="H1952" s="437"/>
      <c r="I1952" s="437"/>
      <c r="J1952" s="437"/>
    </row>
    <row r="1953" spans="1:10" ht="13.5" customHeight="1" x14ac:dyDescent="0.25">
      <c r="A1953" s="14" t="s">
        <v>13</v>
      </c>
      <c r="B1953" s="39"/>
      <c r="C1953" s="1"/>
      <c r="D1953" s="437"/>
      <c r="E1953" s="437"/>
      <c r="F1953" s="466"/>
      <c r="G1953" s="437"/>
      <c r="H1953" s="437"/>
      <c r="I1953" s="437"/>
      <c r="J1953" s="437"/>
    </row>
    <row r="1954" spans="1:10" ht="13.5" customHeight="1" x14ac:dyDescent="0.25">
      <c r="A1954" s="1"/>
      <c r="B1954" s="1" t="s">
        <v>1765</v>
      </c>
      <c r="C1954" s="1" t="s">
        <v>1766</v>
      </c>
      <c r="D1954" s="437">
        <v>-200000</v>
      </c>
      <c r="E1954" s="437">
        <v>-103506.85</v>
      </c>
      <c r="F1954" s="466"/>
      <c r="G1954" s="437">
        <v>-200000</v>
      </c>
      <c r="H1954" s="437">
        <v>-217965.29</v>
      </c>
      <c r="I1954" s="437">
        <v>-184597.41</v>
      </c>
      <c r="J1954" s="437">
        <v>-183546.18</v>
      </c>
    </row>
    <row r="1955" spans="1:10" ht="13.5" customHeight="1" x14ac:dyDescent="0.25">
      <c r="A1955" s="1"/>
      <c r="B1955" s="1" t="s">
        <v>1767</v>
      </c>
      <c r="C1955" s="1" t="s">
        <v>1768</v>
      </c>
      <c r="D1955" s="437">
        <v>-25000</v>
      </c>
      <c r="E1955" s="437">
        <v>-15706.63</v>
      </c>
      <c r="F1955" s="466"/>
      <c r="G1955" s="437">
        <v>-25000</v>
      </c>
      <c r="H1955" s="437">
        <v>-31740.94</v>
      </c>
      <c r="I1955" s="437">
        <v>-33044.01</v>
      </c>
      <c r="J1955" s="437">
        <v>-30272.93</v>
      </c>
    </row>
    <row r="1956" spans="1:10" ht="13.5" customHeight="1" x14ac:dyDescent="0.25">
      <c r="A1956" s="1"/>
      <c r="B1956" s="1" t="s">
        <v>1769</v>
      </c>
      <c r="C1956" s="1" t="s">
        <v>1770</v>
      </c>
      <c r="D1956" s="437">
        <v>-20000</v>
      </c>
      <c r="E1956" s="437">
        <v>-8176.48</v>
      </c>
      <c r="F1956" s="466"/>
      <c r="G1956" s="437">
        <v>-20000</v>
      </c>
      <c r="H1956" s="437">
        <v>-17521.310000000001</v>
      </c>
      <c r="I1956" s="437">
        <v>-18385.34</v>
      </c>
      <c r="J1956" s="437">
        <v>-18682.3</v>
      </c>
    </row>
    <row r="1957" spans="1:10" ht="13.5" customHeight="1" x14ac:dyDescent="0.25">
      <c r="A1957" s="1"/>
      <c r="B1957" s="1" t="s">
        <v>1771</v>
      </c>
      <c r="C1957" s="1" t="s">
        <v>229</v>
      </c>
      <c r="D1957" s="437">
        <v>-55000</v>
      </c>
      <c r="E1957" s="437"/>
      <c r="F1957" s="466"/>
      <c r="G1957" s="437">
        <v>-55000</v>
      </c>
      <c r="H1957" s="437">
        <v>0</v>
      </c>
      <c r="I1957" s="440">
        <v>0</v>
      </c>
      <c r="J1957" s="440">
        <v>0</v>
      </c>
    </row>
    <row r="1958" spans="1:10" ht="13.5" customHeight="1" thickBot="1" x14ac:dyDescent="0.3">
      <c r="A1958" s="1"/>
      <c r="B1958" s="1"/>
      <c r="C1958" s="39" t="s">
        <v>1772</v>
      </c>
      <c r="D1958" s="451">
        <v>-300000</v>
      </c>
      <c r="E1958" s="451">
        <f t="shared" ref="E1958" si="794">SUM(E1954:E1957)</f>
        <v>-127389.96</v>
      </c>
      <c r="F1958" s="478"/>
      <c r="G1958" s="451">
        <v>-300000</v>
      </c>
      <c r="H1958" s="451">
        <f>SUM(H1954:H1957)</f>
        <v>-267227.54000000004</v>
      </c>
      <c r="I1958" s="451">
        <f>SUM(I1954:I1957)</f>
        <v>-236026.76</v>
      </c>
      <c r="J1958" s="451">
        <f t="shared" ref="J1958" si="795">SUM(J1954:J1957)</f>
        <v>-232501.40999999997</v>
      </c>
    </row>
    <row r="1959" spans="1:10" ht="13.5" customHeight="1" thickTop="1" x14ac:dyDescent="0.25">
      <c r="A1959" s="1"/>
      <c r="B1959" s="1"/>
      <c r="C1959" s="1"/>
      <c r="D1959" s="437"/>
      <c r="E1959" s="437"/>
      <c r="F1959" s="466"/>
      <c r="G1959" s="437"/>
      <c r="H1959" s="437"/>
      <c r="I1959" s="437"/>
      <c r="J1959" s="437"/>
    </row>
    <row r="1960" spans="1:10" ht="13.5" customHeight="1" x14ac:dyDescent="0.25">
      <c r="A1960" s="14" t="s">
        <v>1773</v>
      </c>
      <c r="B1960" s="39"/>
      <c r="C1960" s="1"/>
      <c r="D1960" s="437"/>
      <c r="E1960" s="440"/>
      <c r="F1960" s="468"/>
      <c r="G1960" s="440"/>
      <c r="H1960" s="440"/>
      <c r="I1960" s="440"/>
      <c r="J1960" s="440"/>
    </row>
    <row r="1961" spans="1:10" ht="13.5" customHeight="1" x14ac:dyDescent="0.25">
      <c r="A1961" s="1"/>
      <c r="B1961" s="1"/>
      <c r="C1961" s="14" t="s">
        <v>1774</v>
      </c>
      <c r="D1961" s="437"/>
      <c r="E1961" s="440"/>
      <c r="F1961" s="468"/>
      <c r="G1961" s="440"/>
      <c r="H1961" s="440"/>
      <c r="I1961" s="440"/>
      <c r="J1961" s="440"/>
    </row>
    <row r="1962" spans="1:10" ht="13.5" customHeight="1" x14ac:dyDescent="0.25">
      <c r="A1962" s="1"/>
      <c r="B1962" s="22" t="s">
        <v>1775</v>
      </c>
      <c r="C1962" s="22" t="s">
        <v>267</v>
      </c>
      <c r="D1962" s="437">
        <v>0</v>
      </c>
      <c r="E1962" s="437"/>
      <c r="F1962" s="466"/>
      <c r="G1962" s="437">
        <v>0</v>
      </c>
      <c r="H1962" s="437">
        <v>408.67</v>
      </c>
      <c r="I1962" s="437">
        <v>0</v>
      </c>
      <c r="J1962" s="437">
        <v>0</v>
      </c>
    </row>
    <row r="1963" spans="1:10" ht="13.5" customHeight="1" x14ac:dyDescent="0.25">
      <c r="A1963" s="1"/>
      <c r="B1963" s="22" t="s">
        <v>1776</v>
      </c>
      <c r="C1963" s="22" t="s">
        <v>273</v>
      </c>
      <c r="D1963" s="437">
        <v>0</v>
      </c>
      <c r="E1963" s="437"/>
      <c r="F1963" s="466"/>
      <c r="G1963" s="437">
        <v>0</v>
      </c>
      <c r="H1963" s="437">
        <v>5145.68</v>
      </c>
      <c r="I1963" s="437">
        <v>0</v>
      </c>
      <c r="J1963" s="437">
        <v>0</v>
      </c>
    </row>
    <row r="1964" spans="1:10" ht="13.5" customHeight="1" x14ac:dyDescent="0.25">
      <c r="A1964" s="1"/>
      <c r="B1964" s="1" t="s">
        <v>1777</v>
      </c>
      <c r="C1964" s="1" t="s">
        <v>279</v>
      </c>
      <c r="D1964" s="437">
        <v>0</v>
      </c>
      <c r="E1964" s="437">
        <v>14999.72</v>
      </c>
      <c r="F1964" s="466"/>
      <c r="G1964" s="437">
        <v>0</v>
      </c>
      <c r="H1964" s="437">
        <v>15532.72</v>
      </c>
      <c r="I1964" s="437">
        <v>1877.76</v>
      </c>
      <c r="J1964" s="437">
        <v>6510.49</v>
      </c>
    </row>
    <row r="1965" spans="1:10" ht="13.5" customHeight="1" x14ac:dyDescent="0.25">
      <c r="A1965" s="1"/>
      <c r="B1965" s="1" t="s">
        <v>1778</v>
      </c>
      <c r="C1965" s="1" t="s">
        <v>429</v>
      </c>
      <c r="D1965" s="437">
        <v>70000</v>
      </c>
      <c r="E1965" s="440"/>
      <c r="F1965" s="468"/>
      <c r="G1965" s="440">
        <v>70000</v>
      </c>
      <c r="H1965" s="439">
        <v>6808.44</v>
      </c>
      <c r="I1965" s="439">
        <v>6000</v>
      </c>
      <c r="J1965" s="437">
        <v>47200</v>
      </c>
    </row>
    <row r="1966" spans="1:10" ht="13.5" customHeight="1" x14ac:dyDescent="0.25">
      <c r="A1966" s="1"/>
      <c r="B1966" s="1"/>
      <c r="C1966" s="1"/>
      <c r="D1966" s="438">
        <v>70000</v>
      </c>
      <c r="E1966" s="438">
        <f>SUM(E1962:E1965)</f>
        <v>14999.72</v>
      </c>
      <c r="F1966" s="467"/>
      <c r="G1966" s="438">
        <f t="shared" ref="G1966:H1966" si="796">SUM(G1962:G1965)</f>
        <v>70000</v>
      </c>
      <c r="H1966" s="438">
        <f t="shared" si="796"/>
        <v>27895.51</v>
      </c>
      <c r="I1966" s="438">
        <f>SUM(I1964:I1965)</f>
        <v>7877.76</v>
      </c>
      <c r="J1966" s="438">
        <f t="shared" ref="J1966" si="797">SUM(J1964:J1965)</f>
        <v>53710.49</v>
      </c>
    </row>
    <row r="1967" spans="1:10" ht="13.5" customHeight="1" x14ac:dyDescent="0.25">
      <c r="A1967" s="1"/>
      <c r="B1967" s="1"/>
      <c r="C1967" s="1"/>
      <c r="D1967" s="437"/>
      <c r="E1967" s="440"/>
      <c r="F1967" s="468"/>
      <c r="G1967" s="440"/>
      <c r="H1967" s="440"/>
      <c r="I1967" s="440"/>
      <c r="J1967" s="437"/>
    </row>
    <row r="1968" spans="1:10" ht="13.5" customHeight="1" x14ac:dyDescent="0.25">
      <c r="A1968" s="1"/>
      <c r="B1968" s="1"/>
      <c r="C1968" s="14" t="s">
        <v>1779</v>
      </c>
      <c r="D1968" s="437"/>
      <c r="E1968" s="440"/>
      <c r="F1968" s="468"/>
      <c r="G1968" s="440"/>
      <c r="H1968" s="440"/>
      <c r="I1968" s="440"/>
      <c r="J1968" s="437"/>
    </row>
    <row r="1969" spans="1:10" ht="13.5" customHeight="1" x14ac:dyDescent="0.25">
      <c r="A1969" s="1"/>
      <c r="B1969" s="1" t="s">
        <v>1780</v>
      </c>
      <c r="C1969" s="1" t="s">
        <v>273</v>
      </c>
      <c r="D1969" s="437">
        <v>0</v>
      </c>
      <c r="E1969" s="437"/>
      <c r="F1969" s="466"/>
      <c r="G1969" s="437">
        <v>0</v>
      </c>
      <c r="H1969" s="437">
        <v>0</v>
      </c>
      <c r="I1969" s="437">
        <v>847</v>
      </c>
      <c r="J1969" s="440">
        <v>0</v>
      </c>
    </row>
    <row r="1970" spans="1:10" ht="13.5" customHeight="1" x14ac:dyDescent="0.25">
      <c r="A1970" s="1"/>
      <c r="B1970" s="1" t="s">
        <v>1781</v>
      </c>
      <c r="C1970" s="1" t="s">
        <v>1782</v>
      </c>
      <c r="D1970" s="437">
        <v>200000</v>
      </c>
      <c r="E1970" s="437">
        <v>9385.18</v>
      </c>
      <c r="F1970" s="466"/>
      <c r="G1970" s="437">
        <v>200000</v>
      </c>
      <c r="H1970" s="437">
        <v>94979.54</v>
      </c>
      <c r="I1970" s="437">
        <v>116257.91</v>
      </c>
      <c r="J1970" s="437">
        <v>169781.54</v>
      </c>
    </row>
    <row r="1971" spans="1:10" ht="13.5" customHeight="1" x14ac:dyDescent="0.25">
      <c r="A1971" s="1"/>
      <c r="B1971" s="1" t="s">
        <v>1783</v>
      </c>
      <c r="C1971" s="1" t="s">
        <v>283</v>
      </c>
      <c r="D1971" s="437">
        <v>0</v>
      </c>
      <c r="E1971" s="437"/>
      <c r="F1971" s="466"/>
      <c r="G1971" s="437">
        <v>0</v>
      </c>
      <c r="H1971" s="437">
        <v>0</v>
      </c>
      <c r="I1971" s="440">
        <v>0</v>
      </c>
      <c r="J1971" s="440">
        <v>0</v>
      </c>
    </row>
    <row r="1972" spans="1:10" ht="13.5" customHeight="1" x14ac:dyDescent="0.25">
      <c r="A1972" s="1"/>
      <c r="B1972" s="1" t="s">
        <v>1784</v>
      </c>
      <c r="C1972" s="1" t="s">
        <v>429</v>
      </c>
      <c r="D1972" s="437">
        <v>0</v>
      </c>
      <c r="E1972" s="437"/>
      <c r="F1972" s="466"/>
      <c r="G1972" s="437">
        <v>0</v>
      </c>
      <c r="H1972" s="437">
        <v>2788</v>
      </c>
      <c r="I1972" s="437">
        <v>1941</v>
      </c>
      <c r="J1972" s="440">
        <v>0</v>
      </c>
    </row>
    <row r="1973" spans="1:10" ht="13.5" customHeight="1" x14ac:dyDescent="0.25">
      <c r="A1973" s="1"/>
      <c r="B1973" s="1" t="s">
        <v>1785</v>
      </c>
      <c r="C1973" s="1" t="s">
        <v>1786</v>
      </c>
      <c r="D1973" s="437">
        <v>0</v>
      </c>
      <c r="E1973" s="437"/>
      <c r="F1973" s="466"/>
      <c r="G1973" s="437">
        <v>0</v>
      </c>
      <c r="H1973" s="437">
        <v>0</v>
      </c>
      <c r="I1973" s="440">
        <v>0</v>
      </c>
      <c r="J1973" s="440">
        <v>0</v>
      </c>
    </row>
    <row r="1974" spans="1:10" ht="13.5" customHeight="1" x14ac:dyDescent="0.25">
      <c r="A1974" s="1"/>
      <c r="B1974" s="1" t="s">
        <v>1787</v>
      </c>
      <c r="C1974" s="1" t="s">
        <v>289</v>
      </c>
      <c r="D1974" s="437">
        <v>2190</v>
      </c>
      <c r="E1974" s="437">
        <v>460.88</v>
      </c>
      <c r="F1974" s="466"/>
      <c r="G1974" s="437">
        <v>2190</v>
      </c>
      <c r="H1974" s="437">
        <v>0</v>
      </c>
      <c r="I1974" s="440">
        <v>0</v>
      </c>
      <c r="J1974" s="440">
        <v>0</v>
      </c>
    </row>
    <row r="1975" spans="1:10" ht="13.5" customHeight="1" x14ac:dyDescent="0.25">
      <c r="A1975" s="1"/>
      <c r="B1975" s="22" t="s">
        <v>1788</v>
      </c>
      <c r="C1975" s="22" t="s">
        <v>1789</v>
      </c>
      <c r="D1975" s="437">
        <v>0</v>
      </c>
      <c r="E1975" s="437"/>
      <c r="F1975" s="466"/>
      <c r="G1975" s="437">
        <v>0</v>
      </c>
      <c r="H1975" s="437">
        <v>4970</v>
      </c>
      <c r="I1975" s="440">
        <v>0</v>
      </c>
      <c r="J1975" s="440">
        <v>0</v>
      </c>
    </row>
    <row r="1976" spans="1:10" ht="13.5" customHeight="1" x14ac:dyDescent="0.25">
      <c r="A1976" s="1"/>
      <c r="B1976" s="1"/>
      <c r="C1976" s="1"/>
      <c r="D1976" s="438">
        <v>202190</v>
      </c>
      <c r="E1976" s="438">
        <f t="shared" ref="E1976" si="798">SUM(E1969:E1975)</f>
        <v>9846.06</v>
      </c>
      <c r="F1976" s="467"/>
      <c r="G1976" s="438">
        <v>202190</v>
      </c>
      <c r="H1976" s="438">
        <f>SUM(H1969:H1975)</f>
        <v>102737.54</v>
      </c>
      <c r="I1976" s="438">
        <f>SUM(I1969:I1975)</f>
        <v>119045.91</v>
      </c>
      <c r="J1976" s="438">
        <f t="shared" ref="J1976" si="799">SUM(J1969:J1975)</f>
        <v>169781.54</v>
      </c>
    </row>
    <row r="1977" spans="1:10" ht="13.5" customHeight="1" x14ac:dyDescent="0.25">
      <c r="A1977" s="1"/>
      <c r="B1977" s="1"/>
      <c r="C1977" s="1"/>
      <c r="D1977" s="437"/>
      <c r="E1977" s="440"/>
      <c r="F1977" s="468"/>
      <c r="G1977" s="440"/>
      <c r="H1977" s="440"/>
      <c r="I1977" s="440"/>
      <c r="J1977" s="440"/>
    </row>
    <row r="1978" spans="1:10" ht="13.5" customHeight="1" x14ac:dyDescent="0.25">
      <c r="A1978" s="1"/>
      <c r="B1978" s="1"/>
      <c r="C1978" s="14" t="s">
        <v>1790</v>
      </c>
      <c r="D1978" s="437"/>
      <c r="E1978" s="440"/>
      <c r="F1978" s="468"/>
      <c r="G1978" s="440"/>
      <c r="H1978" s="440"/>
      <c r="I1978" s="440"/>
      <c r="J1978" s="440"/>
    </row>
    <row r="1979" spans="1:10" ht="13.5" customHeight="1" x14ac:dyDescent="0.25">
      <c r="A1979" s="1"/>
      <c r="B1979" s="1" t="s">
        <v>1791</v>
      </c>
      <c r="C1979" s="1" t="s">
        <v>267</v>
      </c>
      <c r="D1979" s="437">
        <v>2650</v>
      </c>
      <c r="E1979" s="437"/>
      <c r="F1979" s="466"/>
      <c r="G1979" s="437">
        <v>2650</v>
      </c>
      <c r="H1979" s="437">
        <v>0</v>
      </c>
      <c r="I1979" s="440">
        <v>0</v>
      </c>
      <c r="J1979" s="440">
        <v>0</v>
      </c>
    </row>
    <row r="1980" spans="1:10" ht="13.5" customHeight="1" x14ac:dyDescent="0.25">
      <c r="A1980" s="1"/>
      <c r="B1980" s="1" t="s">
        <v>1792</v>
      </c>
      <c r="C1980" s="1" t="s">
        <v>455</v>
      </c>
      <c r="D1980" s="437">
        <v>0</v>
      </c>
      <c r="E1980" s="437"/>
      <c r="F1980" s="466"/>
      <c r="G1980" s="437">
        <v>0</v>
      </c>
      <c r="H1980" s="437">
        <v>0</v>
      </c>
      <c r="I1980" s="440">
        <v>0</v>
      </c>
      <c r="J1980" s="440">
        <v>0</v>
      </c>
    </row>
    <row r="1981" spans="1:10" ht="13.5" customHeight="1" x14ac:dyDescent="0.25">
      <c r="A1981" s="1"/>
      <c r="B1981" s="1" t="s">
        <v>1793</v>
      </c>
      <c r="C1981" s="1" t="s">
        <v>1794</v>
      </c>
      <c r="D1981" s="437">
        <v>1350</v>
      </c>
      <c r="E1981" s="437"/>
      <c r="F1981" s="466"/>
      <c r="G1981" s="437">
        <v>1350</v>
      </c>
      <c r="H1981" s="437">
        <v>0</v>
      </c>
      <c r="I1981" s="440">
        <v>0</v>
      </c>
      <c r="J1981" s="440">
        <v>0</v>
      </c>
    </row>
    <row r="1982" spans="1:10" ht="13.5" customHeight="1" x14ac:dyDescent="0.25">
      <c r="A1982" s="1"/>
      <c r="B1982" s="1" t="s">
        <v>1795</v>
      </c>
      <c r="C1982" s="1" t="s">
        <v>1796</v>
      </c>
      <c r="D1982" s="437">
        <v>15000</v>
      </c>
      <c r="E1982" s="437"/>
      <c r="F1982" s="466"/>
      <c r="G1982" s="437">
        <v>15000</v>
      </c>
      <c r="H1982" s="437">
        <v>0</v>
      </c>
      <c r="I1982" s="440">
        <v>0</v>
      </c>
      <c r="J1982" s="440">
        <v>0</v>
      </c>
    </row>
    <row r="1983" spans="1:10" ht="13.5" customHeight="1" x14ac:dyDescent="0.25">
      <c r="A1983" s="1"/>
      <c r="B1983" s="1" t="s">
        <v>1797</v>
      </c>
      <c r="C1983" s="1" t="s">
        <v>283</v>
      </c>
      <c r="D1983" s="437">
        <v>1000</v>
      </c>
      <c r="E1983" s="437"/>
      <c r="F1983" s="466"/>
      <c r="G1983" s="437">
        <v>1000</v>
      </c>
      <c r="H1983" s="437">
        <v>0</v>
      </c>
      <c r="I1983" s="440">
        <v>0</v>
      </c>
      <c r="J1983" s="440">
        <v>0</v>
      </c>
    </row>
    <row r="1984" spans="1:10" ht="13.5" customHeight="1" x14ac:dyDescent="0.25">
      <c r="A1984" s="1"/>
      <c r="B1984" s="1" t="s">
        <v>1798</v>
      </c>
      <c r="C1984" s="1" t="s">
        <v>289</v>
      </c>
      <c r="D1984" s="437">
        <v>1000</v>
      </c>
      <c r="E1984" s="437"/>
      <c r="F1984" s="466"/>
      <c r="G1984" s="437">
        <v>1000</v>
      </c>
      <c r="H1984" s="437">
        <v>0</v>
      </c>
      <c r="I1984" s="440">
        <v>0</v>
      </c>
      <c r="J1984" s="440">
        <v>0</v>
      </c>
    </row>
    <row r="1985" spans="1:10" ht="13.5" customHeight="1" x14ac:dyDescent="0.25">
      <c r="A1985" s="1"/>
      <c r="B1985" s="1" t="s">
        <v>1799</v>
      </c>
      <c r="C1985" s="1" t="s">
        <v>1789</v>
      </c>
      <c r="D1985" s="437">
        <v>0</v>
      </c>
      <c r="E1985" s="437"/>
      <c r="F1985" s="466"/>
      <c r="G1985" s="437">
        <v>0</v>
      </c>
      <c r="H1985" s="437">
        <v>0</v>
      </c>
      <c r="I1985" s="440">
        <v>0</v>
      </c>
      <c r="J1985" s="440">
        <v>0</v>
      </c>
    </row>
    <row r="1986" spans="1:10" ht="13.5" customHeight="1" x14ac:dyDescent="0.25">
      <c r="A1986" s="1"/>
      <c r="B1986" s="1" t="s">
        <v>1800</v>
      </c>
      <c r="C1986" s="1" t="s">
        <v>352</v>
      </c>
      <c r="D1986" s="437">
        <v>6810</v>
      </c>
      <c r="E1986" s="437"/>
      <c r="F1986" s="466"/>
      <c r="G1986" s="437">
        <v>6810</v>
      </c>
      <c r="H1986" s="437">
        <v>0</v>
      </c>
      <c r="I1986" s="440">
        <v>0</v>
      </c>
      <c r="J1986" s="440">
        <v>0</v>
      </c>
    </row>
    <row r="1987" spans="1:10" ht="13.5" customHeight="1" x14ac:dyDescent="0.25">
      <c r="A1987" s="1"/>
      <c r="B1987" s="1"/>
      <c r="C1987" s="1"/>
      <c r="D1987" s="438">
        <v>27810</v>
      </c>
      <c r="E1987" s="438">
        <f t="shared" ref="E1987" si="800">SUM(E1979:E1986)</f>
        <v>0</v>
      </c>
      <c r="F1987" s="467"/>
      <c r="G1987" s="438">
        <v>27810</v>
      </c>
      <c r="H1987" s="438">
        <f>SUM(H1979:H1986)</f>
        <v>0</v>
      </c>
      <c r="I1987" s="438">
        <f>SUM(I1979:I1986)</f>
        <v>0</v>
      </c>
      <c r="J1987" s="438">
        <f t="shared" ref="J1987" si="801">SUM(J1979:J1986)</f>
        <v>0</v>
      </c>
    </row>
    <row r="1988" spans="1:10" ht="13.5" customHeight="1" x14ac:dyDescent="0.25">
      <c r="A1988" s="1"/>
      <c r="B1988" s="1"/>
      <c r="C1988" s="1"/>
      <c r="D1988" s="437"/>
      <c r="E1988" s="437"/>
      <c r="F1988" s="466"/>
      <c r="G1988" s="437"/>
      <c r="H1988" s="437"/>
      <c r="I1988" s="437"/>
      <c r="J1988" s="437"/>
    </row>
    <row r="1989" spans="1:10" ht="13.5" customHeight="1" thickBot="1" x14ac:dyDescent="0.3">
      <c r="A1989" s="1"/>
      <c r="B1989" s="28"/>
      <c r="C1989" s="49" t="s">
        <v>1801</v>
      </c>
      <c r="D1989" s="451">
        <v>300000</v>
      </c>
      <c r="E1989" s="451">
        <f t="shared" ref="E1989" si="802">SUM(E1966+E1976+E1987)</f>
        <v>24845.78</v>
      </c>
      <c r="F1989" s="478"/>
      <c r="G1989" s="451">
        <v>300000</v>
      </c>
      <c r="H1989" s="451">
        <f t="shared" ref="H1989" si="803">SUM(H1966+H1976+H1987)</f>
        <v>130633.04999999999</v>
      </c>
      <c r="I1989" s="451">
        <f>SUM(I1966+I1976+I1987)</f>
        <v>126923.67</v>
      </c>
      <c r="J1989" s="451">
        <f t="shared" ref="J1989" si="804">SUM(J1966+J1976+J1987)</f>
        <v>223492.03</v>
      </c>
    </row>
    <row r="1990" spans="1:10" ht="23.25" customHeight="1" thickTop="1" x14ac:dyDescent="0.25">
      <c r="A1990" s="1"/>
      <c r="B1990" s="1"/>
      <c r="C1990" s="14"/>
      <c r="D1990" s="437"/>
      <c r="E1990" s="437"/>
      <c r="F1990" s="466"/>
      <c r="G1990" s="437"/>
      <c r="H1990" s="437"/>
      <c r="I1990" s="437"/>
      <c r="J1990" s="437"/>
    </row>
    <row r="1991" spans="1:10" ht="15" customHeight="1" x14ac:dyDescent="0.25">
      <c r="A1991" s="1"/>
      <c r="B1991" s="50" t="s">
        <v>1802</v>
      </c>
      <c r="C1991" s="50" t="s">
        <v>1803</v>
      </c>
      <c r="D1991" s="437"/>
      <c r="E1991" s="437"/>
      <c r="F1991" s="466"/>
      <c r="G1991" s="437"/>
      <c r="H1991" s="437"/>
      <c r="I1991" s="437"/>
      <c r="J1991" s="437"/>
    </row>
    <row r="1992" spans="1:10" ht="13.5" customHeight="1" x14ac:dyDescent="0.25">
      <c r="A1992" s="1"/>
      <c r="B1992" s="1"/>
      <c r="C1992" s="14"/>
      <c r="D1992" s="437"/>
      <c r="E1992" s="437"/>
      <c r="F1992" s="466"/>
      <c r="G1992" s="437"/>
      <c r="H1992" s="437"/>
      <c r="I1992" s="437"/>
      <c r="J1992" s="437"/>
    </row>
    <row r="1993" spans="1:10" ht="13.5" customHeight="1" x14ac:dyDescent="0.25">
      <c r="A1993" s="14" t="s">
        <v>13</v>
      </c>
      <c r="B1993" s="1"/>
      <c r="C1993" s="1"/>
      <c r="D1993" s="437"/>
      <c r="E1993" s="437"/>
      <c r="F1993" s="466"/>
      <c r="G1993" s="437"/>
      <c r="H1993" s="437"/>
      <c r="I1993" s="437"/>
      <c r="J1993" s="437"/>
    </row>
    <row r="1994" spans="1:10" ht="13.5" customHeight="1" x14ac:dyDescent="0.25">
      <c r="A1994" s="1"/>
      <c r="B1994" s="1" t="s">
        <v>1804</v>
      </c>
      <c r="C1994" s="1" t="s">
        <v>1805</v>
      </c>
      <c r="D1994" s="437">
        <v>-4226163</v>
      </c>
      <c r="E1994" s="437">
        <v>-3858375.66</v>
      </c>
      <c r="F1994" s="466"/>
      <c r="G1994" s="437">
        <v>-3932799.8</v>
      </c>
      <c r="H1994" s="437">
        <v>-3718047.06</v>
      </c>
      <c r="I1994" s="437">
        <v>-3458286.68</v>
      </c>
      <c r="J1994" s="437">
        <v>-2870325.88</v>
      </c>
    </row>
    <row r="1995" spans="1:10" ht="13.5" customHeight="1" x14ac:dyDescent="0.25">
      <c r="A1995" s="1"/>
      <c r="B1995" s="1" t="s">
        <v>1806</v>
      </c>
      <c r="C1995" s="1" t="s">
        <v>1807</v>
      </c>
      <c r="D1995" s="437">
        <v>-1794236</v>
      </c>
      <c r="E1995" s="437">
        <v>-1562350.11</v>
      </c>
      <c r="F1995" s="466"/>
      <c r="G1995" s="437">
        <v>-1664604</v>
      </c>
      <c r="H1995" s="437">
        <v>-1495719.29</v>
      </c>
      <c r="I1995" s="437">
        <v>-1373525.08</v>
      </c>
      <c r="J1995" s="437">
        <v>-1267422.77</v>
      </c>
    </row>
    <row r="1996" spans="1:10" ht="13.5" customHeight="1" x14ac:dyDescent="0.25">
      <c r="A1996" s="1"/>
      <c r="B1996" s="1" t="s">
        <v>1808</v>
      </c>
      <c r="C1996" s="1" t="s">
        <v>1809</v>
      </c>
      <c r="D1996" s="437">
        <v>-90000</v>
      </c>
      <c r="E1996" s="437">
        <v>-58204.77</v>
      </c>
      <c r="F1996" s="466"/>
      <c r="G1996" s="437">
        <v>-90000</v>
      </c>
      <c r="H1996" s="437">
        <v>-87166</v>
      </c>
      <c r="I1996" s="437">
        <v>-63435.61</v>
      </c>
      <c r="J1996" s="437">
        <v>-74129.8</v>
      </c>
    </row>
    <row r="1997" spans="1:10" ht="13.5" customHeight="1" x14ac:dyDescent="0.25">
      <c r="A1997" s="1"/>
      <c r="B1997" s="1" t="s">
        <v>1810</v>
      </c>
      <c r="C1997" s="1" t="s">
        <v>1811</v>
      </c>
      <c r="D1997" s="437">
        <v>-20000</v>
      </c>
      <c r="E1997" s="437">
        <v>-21624.84</v>
      </c>
      <c r="F1997" s="466"/>
      <c r="G1997" s="437">
        <v>-20000</v>
      </c>
      <c r="H1997" s="437">
        <v>-31207.08</v>
      </c>
      <c r="I1997" s="437">
        <v>-19857.490000000002</v>
      </c>
      <c r="J1997" s="437">
        <v>-18601.169999999998</v>
      </c>
    </row>
    <row r="1998" spans="1:10" ht="13.5" customHeight="1" x14ac:dyDescent="0.25">
      <c r="A1998" s="1"/>
      <c r="B1998" s="1"/>
      <c r="C1998" s="1"/>
      <c r="D1998" s="438">
        <v>-6130399</v>
      </c>
      <c r="E1998" s="438">
        <f t="shared" ref="E1998" si="805">SUM(E1994:E1997)</f>
        <v>-5500555.3799999999</v>
      </c>
      <c r="F1998" s="467"/>
      <c r="G1998" s="438">
        <v>-5707403.7999999998</v>
      </c>
      <c r="H1998" s="438">
        <f>SUM(H1994:H1997)</f>
        <v>-5332139.43</v>
      </c>
      <c r="I1998" s="438">
        <f>SUM(I1994:I1997)</f>
        <v>-4915104.8600000003</v>
      </c>
      <c r="J1998" s="438">
        <f t="shared" ref="J1998" si="806">SUM(J1994:J1997)</f>
        <v>-4230479.62</v>
      </c>
    </row>
    <row r="1999" spans="1:10" ht="13.5" customHeight="1" x14ac:dyDescent="0.25">
      <c r="A1999" s="1"/>
      <c r="B1999" s="1"/>
      <c r="C1999" s="1"/>
      <c r="D1999" s="437"/>
      <c r="E1999" s="437"/>
      <c r="F1999" s="466"/>
      <c r="G1999" s="437"/>
      <c r="H1999" s="437"/>
      <c r="I1999" s="437"/>
      <c r="J1999" s="437"/>
    </row>
    <row r="2000" spans="1:10" ht="13.5" customHeight="1" x14ac:dyDescent="0.25">
      <c r="A2000" s="1"/>
      <c r="B2000" s="1" t="s">
        <v>1812</v>
      </c>
      <c r="C2000" s="1" t="s">
        <v>1813</v>
      </c>
      <c r="D2000" s="437">
        <v>-360000</v>
      </c>
      <c r="E2000" s="437">
        <v>-360000</v>
      </c>
      <c r="F2000" s="466"/>
      <c r="G2000" s="437">
        <v>-360000</v>
      </c>
      <c r="H2000" s="437">
        <v>-360299.58</v>
      </c>
      <c r="I2000" s="437">
        <v>-360546.76</v>
      </c>
      <c r="J2000" s="437">
        <v>-360059.01</v>
      </c>
    </row>
    <row r="2001" spans="1:10" ht="13.5" customHeight="1" x14ac:dyDescent="0.25">
      <c r="A2001" s="1"/>
      <c r="B2001" s="1" t="s">
        <v>1814</v>
      </c>
      <c r="C2001" s="22" t="s">
        <v>1815</v>
      </c>
      <c r="D2001" s="437">
        <v>0</v>
      </c>
      <c r="E2001" s="437">
        <v>0</v>
      </c>
      <c r="F2001" s="466"/>
      <c r="G2001" s="437">
        <v>0</v>
      </c>
      <c r="H2001" s="437">
        <v>0</v>
      </c>
      <c r="I2001" s="440">
        <v>0</v>
      </c>
      <c r="J2001" s="440">
        <v>0</v>
      </c>
    </row>
    <row r="2002" spans="1:10" ht="13.5" customHeight="1" x14ac:dyDescent="0.25">
      <c r="A2002" s="1"/>
      <c r="B2002" s="1" t="s">
        <v>1816</v>
      </c>
      <c r="C2002" s="1" t="s">
        <v>1817</v>
      </c>
      <c r="D2002" s="437">
        <v>-56583</v>
      </c>
      <c r="E2002" s="437">
        <v>0</v>
      </c>
      <c r="F2002" s="466"/>
      <c r="G2002" s="437">
        <v>-56583</v>
      </c>
      <c r="H2002" s="437">
        <v>-57392.42</v>
      </c>
      <c r="I2002" s="439">
        <v>-57461.22</v>
      </c>
      <c r="J2002" s="437">
        <v>-56528.480000000003</v>
      </c>
    </row>
    <row r="2003" spans="1:10" ht="13.5" customHeight="1" x14ac:dyDescent="0.25">
      <c r="A2003" s="1"/>
      <c r="B2003" s="1" t="s">
        <v>1818</v>
      </c>
      <c r="C2003" s="1" t="s">
        <v>1819</v>
      </c>
      <c r="D2003" s="437">
        <v>-85000</v>
      </c>
      <c r="E2003" s="437">
        <v>-40204.910000000003</v>
      </c>
      <c r="F2003" s="466"/>
      <c r="G2003" s="437">
        <v>-85000</v>
      </c>
      <c r="H2003" s="437">
        <v>-92321.97</v>
      </c>
      <c r="I2003" s="437">
        <v>-94703.88</v>
      </c>
      <c r="J2003" s="437">
        <v>-90228.03</v>
      </c>
    </row>
    <row r="2004" spans="1:10" ht="13.5" customHeight="1" x14ac:dyDescent="0.25">
      <c r="A2004" s="1"/>
      <c r="B2004" s="1" t="s">
        <v>1820</v>
      </c>
      <c r="C2004" s="1" t="s">
        <v>1821</v>
      </c>
      <c r="D2004" s="437">
        <v>0</v>
      </c>
      <c r="E2004" s="437">
        <v>0</v>
      </c>
      <c r="F2004" s="466"/>
      <c r="G2004" s="437">
        <v>0</v>
      </c>
      <c r="H2004" s="437">
        <v>0</v>
      </c>
      <c r="I2004" s="439">
        <v>0</v>
      </c>
      <c r="J2004" s="440">
        <v>0</v>
      </c>
    </row>
    <row r="2005" spans="1:10" ht="13.5" customHeight="1" x14ac:dyDescent="0.25">
      <c r="A2005" s="1"/>
      <c r="B2005" s="1" t="s">
        <v>1822</v>
      </c>
      <c r="C2005" s="1" t="s">
        <v>1823</v>
      </c>
      <c r="D2005" s="437">
        <v>-800000</v>
      </c>
      <c r="E2005" s="437">
        <v>-501350</v>
      </c>
      <c r="F2005" s="466"/>
      <c r="G2005" s="437">
        <v>-800000</v>
      </c>
      <c r="H2005" s="437">
        <v>-767080</v>
      </c>
      <c r="I2005" s="437">
        <v>-813960</v>
      </c>
      <c r="J2005" s="437">
        <v>-792270</v>
      </c>
    </row>
    <row r="2006" spans="1:10" ht="13.5" customHeight="1" x14ac:dyDescent="0.25">
      <c r="A2006" s="1"/>
      <c r="B2006" s="1"/>
      <c r="C2006" s="1"/>
      <c r="D2006" s="438">
        <v>-1301583</v>
      </c>
      <c r="E2006" s="438">
        <f t="shared" ref="E2006" si="807">SUM(E2000:E2005)</f>
        <v>-901554.91</v>
      </c>
      <c r="F2006" s="467"/>
      <c r="G2006" s="438">
        <v>-1301583</v>
      </c>
      <c r="H2006" s="438">
        <f>SUM(H2000:H2005)</f>
        <v>-1277093.97</v>
      </c>
      <c r="I2006" s="438">
        <f>SUM(I2000:I2005)</f>
        <v>-1326671.8599999999</v>
      </c>
      <c r="J2006" s="438">
        <f t="shared" ref="J2006" si="808">SUM(J2000:J2005)</f>
        <v>-1299085.52</v>
      </c>
    </row>
    <row r="2007" spans="1:10" ht="13.5" customHeight="1" x14ac:dyDescent="0.25">
      <c r="A2007" s="1"/>
      <c r="B2007" s="1"/>
      <c r="C2007" s="1"/>
      <c r="D2007" s="437"/>
      <c r="E2007" s="437"/>
      <c r="F2007" s="466"/>
      <c r="G2007" s="437"/>
      <c r="H2007" s="437"/>
      <c r="I2007" s="437"/>
      <c r="J2007" s="437"/>
    </row>
    <row r="2008" spans="1:10" ht="13.5" customHeight="1" x14ac:dyDescent="0.25">
      <c r="A2008" s="1"/>
      <c r="B2008" s="1" t="s">
        <v>1824</v>
      </c>
      <c r="C2008" s="1" t="s">
        <v>1825</v>
      </c>
      <c r="D2008" s="437">
        <v>-90000</v>
      </c>
      <c r="E2008" s="437">
        <v>-52461</v>
      </c>
      <c r="F2008" s="466"/>
      <c r="G2008" s="437">
        <v>-80000</v>
      </c>
      <c r="H2008" s="437">
        <v>-71833</v>
      </c>
      <c r="I2008" s="437">
        <v>-72045</v>
      </c>
      <c r="J2008" s="437">
        <v>-72777</v>
      </c>
    </row>
    <row r="2009" spans="1:10" ht="13.5" customHeight="1" x14ac:dyDescent="0.25">
      <c r="A2009" s="1"/>
      <c r="B2009" s="1" t="s">
        <v>1826</v>
      </c>
      <c r="C2009" s="1" t="s">
        <v>1827</v>
      </c>
      <c r="D2009" s="437">
        <v>-300000</v>
      </c>
      <c r="E2009" s="437">
        <v>-180097</v>
      </c>
      <c r="F2009" s="466"/>
      <c r="G2009" s="437">
        <v>-230000</v>
      </c>
      <c r="H2009" s="437">
        <v>-298251</v>
      </c>
      <c r="I2009" s="437">
        <v>-241988</v>
      </c>
      <c r="J2009" s="437">
        <v>-191665</v>
      </c>
    </row>
    <row r="2010" spans="1:10" ht="13.5" customHeight="1" x14ac:dyDescent="0.25">
      <c r="A2010" s="1"/>
      <c r="B2010" s="1" t="s">
        <v>1828</v>
      </c>
      <c r="C2010" s="1" t="s">
        <v>1829</v>
      </c>
      <c r="D2010" s="437">
        <v>-90000</v>
      </c>
      <c r="E2010" s="437">
        <v>-57182</v>
      </c>
      <c r="F2010" s="466"/>
      <c r="G2010" s="437">
        <v>-80000</v>
      </c>
      <c r="H2010" s="437">
        <v>-97552</v>
      </c>
      <c r="I2010" s="437">
        <v>-88582</v>
      </c>
      <c r="J2010" s="437">
        <v>-85636</v>
      </c>
    </row>
    <row r="2011" spans="1:10" ht="13.5" customHeight="1" x14ac:dyDescent="0.25">
      <c r="A2011" s="1"/>
      <c r="B2011" s="1" t="s">
        <v>1830</v>
      </c>
      <c r="C2011" s="1" t="s">
        <v>1831</v>
      </c>
      <c r="D2011" s="437">
        <v>-80000</v>
      </c>
      <c r="E2011" s="437">
        <v>-48907</v>
      </c>
      <c r="F2011" s="466"/>
      <c r="G2011" s="437">
        <v>-70000</v>
      </c>
      <c r="H2011" s="437">
        <v>-74212.2</v>
      </c>
      <c r="I2011" s="437">
        <v>-61567</v>
      </c>
      <c r="J2011" s="437">
        <v>-69429.3</v>
      </c>
    </row>
    <row r="2012" spans="1:10" ht="13.5" customHeight="1" x14ac:dyDescent="0.25">
      <c r="A2012" s="1"/>
      <c r="B2012" s="1"/>
      <c r="C2012" s="1"/>
      <c r="D2012" s="438">
        <v>-560000</v>
      </c>
      <c r="E2012" s="438">
        <f t="shared" ref="E2012" si="809">SUM(E2008:E2011)</f>
        <v>-338647</v>
      </c>
      <c r="F2012" s="467"/>
      <c r="G2012" s="438">
        <v>-460000</v>
      </c>
      <c r="H2012" s="438">
        <f>SUM(H2008:H2011)</f>
        <v>-541848.19999999995</v>
      </c>
      <c r="I2012" s="438">
        <f>SUM(I2008:I2011)</f>
        <v>-464182</v>
      </c>
      <c r="J2012" s="438">
        <f t="shared" ref="J2012" si="810">SUM(J2008:J2011)</f>
        <v>-419507.3</v>
      </c>
    </row>
    <row r="2013" spans="1:10" ht="13.5" customHeight="1" x14ac:dyDescent="0.25">
      <c r="A2013" s="1"/>
      <c r="B2013" s="1"/>
      <c r="C2013" s="1"/>
      <c r="D2013" s="437"/>
      <c r="E2013" s="437"/>
      <c r="F2013" s="466"/>
      <c r="G2013" s="437"/>
      <c r="H2013" s="437"/>
      <c r="I2013" s="437"/>
      <c r="J2013" s="437"/>
    </row>
    <row r="2014" spans="1:10" ht="13.5" customHeight="1" x14ac:dyDescent="0.25">
      <c r="A2014" s="1"/>
      <c r="B2014" s="1" t="s">
        <v>1832</v>
      </c>
      <c r="C2014" s="1" t="s">
        <v>197</v>
      </c>
      <c r="D2014" s="437">
        <v>-20000</v>
      </c>
      <c r="E2014" s="440"/>
      <c r="F2014" s="468"/>
      <c r="G2014" s="439">
        <v>-20000</v>
      </c>
      <c r="H2014" s="439">
        <v>-27766.32</v>
      </c>
      <c r="I2014" s="439">
        <v>-45934.71</v>
      </c>
      <c r="J2014" s="437">
        <v>-42958.05</v>
      </c>
    </row>
    <row r="2015" spans="1:10" ht="13.5" customHeight="1" x14ac:dyDescent="0.25">
      <c r="A2015" s="1"/>
      <c r="B2015" s="1" t="s">
        <v>1833</v>
      </c>
      <c r="C2015" s="1" t="s">
        <v>201</v>
      </c>
      <c r="D2015" s="437">
        <v>0</v>
      </c>
      <c r="E2015" s="440"/>
      <c r="F2015" s="468"/>
      <c r="G2015" s="440">
        <v>0</v>
      </c>
      <c r="H2015" s="439">
        <v>-96987.08</v>
      </c>
      <c r="I2015" s="439">
        <v>-10000</v>
      </c>
      <c r="J2015" s="437">
        <v>-41779.050000000003</v>
      </c>
    </row>
    <row r="2016" spans="1:10" ht="13.5" customHeight="1" x14ac:dyDescent="0.25">
      <c r="A2016" s="1"/>
      <c r="B2016" s="22" t="s">
        <v>1834</v>
      </c>
      <c r="C2016" s="22" t="s">
        <v>1835</v>
      </c>
      <c r="D2016" s="437">
        <v>0</v>
      </c>
      <c r="E2016" s="437">
        <v>-180000</v>
      </c>
      <c r="F2016" s="466"/>
      <c r="G2016" s="437">
        <v>0</v>
      </c>
      <c r="H2016" s="437"/>
      <c r="I2016" s="437"/>
      <c r="J2016" s="437"/>
    </row>
    <row r="2017" spans="1:10" ht="13.5" customHeight="1" x14ac:dyDescent="0.25">
      <c r="A2017" s="1"/>
      <c r="B2017" s="1" t="s">
        <v>1836</v>
      </c>
      <c r="C2017" s="1" t="s">
        <v>225</v>
      </c>
      <c r="D2017" s="437">
        <v>0</v>
      </c>
      <c r="E2017" s="437">
        <v>-39665.32</v>
      </c>
      <c r="F2017" s="466"/>
      <c r="G2017" s="437">
        <v>0</v>
      </c>
      <c r="H2017" s="437">
        <v>-180171.76</v>
      </c>
      <c r="I2017" s="437">
        <v>-64901.43</v>
      </c>
      <c r="J2017" s="437">
        <v>-178882.54</v>
      </c>
    </row>
    <row r="2018" spans="1:10" ht="13.5" customHeight="1" x14ac:dyDescent="0.25">
      <c r="A2018" s="1"/>
      <c r="B2018" s="1" t="s">
        <v>1837</v>
      </c>
      <c r="C2018" s="1" t="s">
        <v>1838</v>
      </c>
      <c r="D2018" s="437">
        <v>-16800</v>
      </c>
      <c r="E2018" s="437">
        <v>-16800</v>
      </c>
      <c r="F2018" s="466"/>
      <c r="G2018" s="437">
        <v>-16800</v>
      </c>
      <c r="H2018" s="437">
        <v>-16800</v>
      </c>
      <c r="I2018" s="437">
        <v>-16800</v>
      </c>
      <c r="J2018" s="437">
        <v>-16800</v>
      </c>
    </row>
    <row r="2019" spans="1:10" ht="13.5" customHeight="1" x14ac:dyDescent="0.25">
      <c r="A2019" s="1"/>
      <c r="B2019" s="1"/>
      <c r="C2019" s="1"/>
      <c r="D2019" s="438">
        <v>-36800</v>
      </c>
      <c r="E2019" s="438">
        <f t="shared" ref="E2019" si="811">SUM(E2014:E2018)</f>
        <v>-236465.32</v>
      </c>
      <c r="F2019" s="467"/>
      <c r="G2019" s="438">
        <v>-36800</v>
      </c>
      <c r="H2019" s="438">
        <f>SUM(H2014:H2018)</f>
        <v>-321725.16000000003</v>
      </c>
      <c r="I2019" s="438">
        <f>SUM(I2014:I2018)</f>
        <v>-137636.14000000001</v>
      </c>
      <c r="J2019" s="438">
        <f t="shared" ref="J2019" si="812">SUM(J2014:J2018)</f>
        <v>-280419.64</v>
      </c>
    </row>
    <row r="2020" spans="1:10" ht="13.5" customHeight="1" thickBot="1" x14ac:dyDescent="0.3">
      <c r="A2020" s="1"/>
      <c r="B2020" s="1"/>
      <c r="C2020" s="14" t="s">
        <v>1839</v>
      </c>
      <c r="D2020" s="461">
        <v>-8028782</v>
      </c>
      <c r="E2020" s="461">
        <f t="shared" ref="E2020" si="813">SUM(E1998+E2006+E2012+E2019)</f>
        <v>-6977222.6100000003</v>
      </c>
      <c r="F2020" s="485"/>
      <c r="G2020" s="461">
        <v>-7505786.7999999998</v>
      </c>
      <c r="H2020" s="461">
        <f>SUM(H1998+H2006+H2012+H2019)</f>
        <v>-7472806.7599999998</v>
      </c>
      <c r="I2020" s="461">
        <f>SUM(I1998+I2006+I2012+I2019)</f>
        <v>-6843594.8600000003</v>
      </c>
      <c r="J2020" s="461">
        <f t="shared" ref="J2020" si="814">SUM(J1998+J2006+J2012+J2019)</f>
        <v>-6229492.0800000001</v>
      </c>
    </row>
    <row r="2021" spans="1:10" ht="13.5" customHeight="1" thickTop="1" x14ac:dyDescent="0.25">
      <c r="A2021" s="1"/>
      <c r="B2021" s="1"/>
      <c r="C2021" s="1"/>
      <c r="D2021" s="437"/>
      <c r="E2021" s="437"/>
      <c r="F2021" s="466"/>
      <c r="G2021" s="437"/>
      <c r="H2021" s="437"/>
      <c r="I2021" s="437"/>
      <c r="J2021" s="437"/>
    </row>
    <row r="2022" spans="1:10" ht="13.5" customHeight="1" x14ac:dyDescent="0.25">
      <c r="A2022" s="1"/>
      <c r="B2022" s="1"/>
      <c r="C2022" s="1"/>
      <c r="D2022" s="437"/>
      <c r="E2022" s="437"/>
      <c r="F2022" s="466"/>
      <c r="G2022" s="437"/>
      <c r="H2022" s="437"/>
      <c r="I2022" s="437"/>
      <c r="J2022" s="437"/>
    </row>
    <row r="2023" spans="1:10" ht="13.5" customHeight="1" x14ac:dyDescent="0.25">
      <c r="A2023" s="14" t="s">
        <v>1773</v>
      </c>
      <c r="B2023" s="1"/>
      <c r="C2023" s="1"/>
      <c r="D2023" s="437"/>
      <c r="E2023" s="437"/>
      <c r="F2023" s="466"/>
      <c r="G2023" s="437"/>
      <c r="H2023" s="437"/>
      <c r="I2023" s="437"/>
      <c r="J2023" s="437"/>
    </row>
    <row r="2024" spans="1:10" ht="13.5" customHeight="1" x14ac:dyDescent="0.25">
      <c r="A2024" s="14"/>
      <c r="B2024" s="1"/>
      <c r="C2024" s="14" t="s">
        <v>1840</v>
      </c>
      <c r="D2024" s="437"/>
      <c r="E2024" s="437"/>
      <c r="F2024" s="466"/>
      <c r="G2024" s="437"/>
      <c r="H2024" s="437"/>
      <c r="I2024" s="437"/>
      <c r="J2024" s="437"/>
    </row>
    <row r="2025" spans="1:10" ht="13.5" customHeight="1" x14ac:dyDescent="0.25">
      <c r="A2025" s="1"/>
      <c r="B2025" s="1" t="s">
        <v>1841</v>
      </c>
      <c r="C2025" s="1" t="s">
        <v>297</v>
      </c>
      <c r="D2025" s="437">
        <v>31069</v>
      </c>
      <c r="E2025" s="437">
        <v>10342.08</v>
      </c>
      <c r="F2025" s="466"/>
      <c r="G2025" s="437">
        <v>41425</v>
      </c>
      <c r="H2025" s="437">
        <v>24131.53</v>
      </c>
      <c r="I2025" s="437">
        <v>20323.560000000001</v>
      </c>
      <c r="J2025" s="437">
        <v>26162.7</v>
      </c>
    </row>
    <row r="2026" spans="1:10" ht="13.5" customHeight="1" x14ac:dyDescent="0.25">
      <c r="A2026" s="1"/>
      <c r="B2026" s="1" t="s">
        <v>1842</v>
      </c>
      <c r="C2026" s="22" t="s">
        <v>1843</v>
      </c>
      <c r="D2026" s="437">
        <v>0</v>
      </c>
      <c r="E2026" s="437"/>
      <c r="F2026" s="466"/>
      <c r="G2026" s="437">
        <v>0</v>
      </c>
      <c r="H2026" s="437">
        <v>0</v>
      </c>
      <c r="I2026" s="440">
        <v>0</v>
      </c>
      <c r="J2026" s="440">
        <v>0</v>
      </c>
    </row>
    <row r="2027" spans="1:10" ht="13.5" customHeight="1" x14ac:dyDescent="0.25">
      <c r="A2027" s="1"/>
      <c r="B2027" s="1"/>
      <c r="C2027" s="1"/>
      <c r="D2027" s="441">
        <v>31069</v>
      </c>
      <c r="E2027" s="441">
        <f t="shared" ref="E2027" si="815">SUM(E2025:E2026)</f>
        <v>10342.08</v>
      </c>
      <c r="F2027" s="469"/>
      <c r="G2027" s="441">
        <v>41425</v>
      </c>
      <c r="H2027" s="441">
        <f>SUM(H2025:H2026)</f>
        <v>24131.53</v>
      </c>
      <c r="I2027" s="441">
        <f>SUM(I2025:I2026)</f>
        <v>20323.560000000001</v>
      </c>
      <c r="J2027" s="441">
        <f t="shared" ref="J2027" si="816">SUM(J2025:J2026)</f>
        <v>26162.7</v>
      </c>
    </row>
    <row r="2028" spans="1:10" ht="13.5" customHeight="1" x14ac:dyDescent="0.25">
      <c r="A2028" s="1"/>
      <c r="B2028" s="1"/>
      <c r="C2028" s="1"/>
      <c r="D2028" s="440"/>
      <c r="E2028" s="440"/>
      <c r="F2028" s="468"/>
      <c r="G2028" s="440"/>
      <c r="H2028" s="440"/>
      <c r="I2028" s="440"/>
      <c r="J2028" s="440"/>
    </row>
    <row r="2029" spans="1:10" ht="13.5" customHeight="1" x14ac:dyDescent="0.25">
      <c r="A2029" s="1"/>
      <c r="B2029" s="1" t="s">
        <v>1844</v>
      </c>
      <c r="C2029" s="1" t="s">
        <v>317</v>
      </c>
      <c r="D2029" s="437">
        <v>300</v>
      </c>
      <c r="E2029" s="437"/>
      <c r="F2029" s="466"/>
      <c r="G2029" s="437">
        <v>300</v>
      </c>
      <c r="H2029" s="437">
        <v>0</v>
      </c>
      <c r="I2029" s="440">
        <v>0</v>
      </c>
      <c r="J2029" s="440">
        <v>0</v>
      </c>
    </row>
    <row r="2030" spans="1:10" ht="13.5" customHeight="1" x14ac:dyDescent="0.25">
      <c r="A2030" s="1"/>
      <c r="B2030" s="1" t="s">
        <v>1845</v>
      </c>
      <c r="C2030" s="1" t="s">
        <v>1175</v>
      </c>
      <c r="D2030" s="437">
        <v>1500</v>
      </c>
      <c r="E2030" s="437">
        <v>440.95</v>
      </c>
      <c r="F2030" s="466"/>
      <c r="G2030" s="437">
        <v>1500</v>
      </c>
      <c r="H2030" s="437">
        <v>868.97</v>
      </c>
      <c r="I2030" s="437">
        <v>1379.12</v>
      </c>
      <c r="J2030" s="437">
        <v>1133.3800000000001</v>
      </c>
    </row>
    <row r="2031" spans="1:10" ht="13.5" customHeight="1" x14ac:dyDescent="0.25">
      <c r="A2031" s="1"/>
      <c r="B2031" s="1" t="s">
        <v>1846</v>
      </c>
      <c r="C2031" s="1" t="s">
        <v>1177</v>
      </c>
      <c r="D2031" s="437">
        <v>1500</v>
      </c>
      <c r="E2031" s="437">
        <v>905.76</v>
      </c>
      <c r="F2031" s="466"/>
      <c r="G2031" s="437">
        <v>1500</v>
      </c>
      <c r="H2031" s="437">
        <v>763.34</v>
      </c>
      <c r="I2031" s="437">
        <v>1013.1</v>
      </c>
      <c r="J2031" s="437">
        <v>654.01</v>
      </c>
    </row>
    <row r="2032" spans="1:10" ht="13.5" customHeight="1" x14ac:dyDescent="0.25">
      <c r="A2032" s="1"/>
      <c r="B2032" s="22" t="s">
        <v>1847</v>
      </c>
      <c r="C2032" s="22" t="s">
        <v>1848</v>
      </c>
      <c r="D2032" s="437">
        <v>0</v>
      </c>
      <c r="E2032" s="440"/>
      <c r="F2032" s="468"/>
      <c r="G2032" s="440"/>
      <c r="H2032" s="439">
        <v>1244.08</v>
      </c>
      <c r="I2032" s="440"/>
      <c r="J2032" s="440"/>
    </row>
    <row r="2033" spans="1:10" ht="13.5" customHeight="1" x14ac:dyDescent="0.25">
      <c r="A2033" s="1"/>
      <c r="B2033" s="1" t="s">
        <v>1849</v>
      </c>
      <c r="C2033" s="1" t="s">
        <v>1850</v>
      </c>
      <c r="D2033" s="440">
        <v>0</v>
      </c>
      <c r="E2033" s="440"/>
      <c r="F2033" s="468"/>
      <c r="G2033" s="440">
        <v>0</v>
      </c>
      <c r="H2033" s="439">
        <v>0</v>
      </c>
      <c r="I2033" s="440" t="s">
        <v>12</v>
      </c>
      <c r="J2033" s="440" t="s">
        <v>12</v>
      </c>
    </row>
    <row r="2034" spans="1:10" ht="13.5" customHeight="1" x14ac:dyDescent="0.25">
      <c r="A2034" s="1"/>
      <c r="B2034" s="1"/>
      <c r="C2034" s="1"/>
      <c r="D2034" s="441">
        <v>3300</v>
      </c>
      <c r="E2034" s="441">
        <f t="shared" ref="E2034" si="817">SUM(E2029:E2033)</f>
        <v>1346.71</v>
      </c>
      <c r="F2034" s="469"/>
      <c r="G2034" s="441">
        <v>3300</v>
      </c>
      <c r="H2034" s="441">
        <f>SUM(H2029:H2033)</f>
        <v>2876.39</v>
      </c>
      <c r="I2034" s="441">
        <f>SUM(I2029:I2033)</f>
        <v>2392.2199999999998</v>
      </c>
      <c r="J2034" s="441">
        <f t="shared" ref="J2034" si="818">SUM(J2029:J2033)</f>
        <v>1787.39</v>
      </c>
    </row>
    <row r="2035" spans="1:10" ht="13.5" customHeight="1" x14ac:dyDescent="0.25">
      <c r="A2035" s="1"/>
      <c r="B2035" s="1"/>
      <c r="C2035" s="1"/>
      <c r="D2035" s="440"/>
      <c r="E2035" s="440"/>
      <c r="F2035" s="468"/>
      <c r="G2035" s="440"/>
      <c r="H2035" s="440"/>
      <c r="I2035" s="440"/>
      <c r="J2035" s="440"/>
    </row>
    <row r="2036" spans="1:10" ht="13.5" customHeight="1" x14ac:dyDescent="0.25">
      <c r="A2036" s="1"/>
      <c r="B2036" s="1" t="s">
        <v>1851</v>
      </c>
      <c r="C2036" s="1" t="s">
        <v>1852</v>
      </c>
      <c r="D2036" s="437">
        <v>1000</v>
      </c>
      <c r="E2036" s="437">
        <v>504</v>
      </c>
      <c r="F2036" s="466"/>
      <c r="G2036" s="437">
        <v>4000</v>
      </c>
      <c r="H2036" s="437">
        <v>1557.5</v>
      </c>
      <c r="I2036" s="437">
        <v>492</v>
      </c>
      <c r="J2036" s="437">
        <v>853</v>
      </c>
    </row>
    <row r="2037" spans="1:10" ht="13.5" customHeight="1" x14ac:dyDescent="0.25">
      <c r="A2037" s="1"/>
      <c r="B2037" s="1" t="s">
        <v>1853</v>
      </c>
      <c r="C2037" s="1" t="s">
        <v>1854</v>
      </c>
      <c r="D2037" s="437">
        <v>0</v>
      </c>
      <c r="E2037" s="437"/>
      <c r="F2037" s="466"/>
      <c r="G2037" s="437" t="s">
        <v>12</v>
      </c>
      <c r="H2037" s="437">
        <v>0</v>
      </c>
      <c r="I2037" s="440" t="s">
        <v>12</v>
      </c>
      <c r="J2037" s="440" t="s">
        <v>12</v>
      </c>
    </row>
    <row r="2038" spans="1:10" ht="13.5" customHeight="1" x14ac:dyDescent="0.25">
      <c r="A2038" s="1"/>
      <c r="B2038" s="1"/>
      <c r="C2038" s="1"/>
      <c r="D2038" s="441">
        <v>1000</v>
      </c>
      <c r="E2038" s="441">
        <f t="shared" ref="E2038" si="819">SUM(E2036:E2037)</f>
        <v>504</v>
      </c>
      <c r="F2038" s="469"/>
      <c r="G2038" s="441">
        <v>1000</v>
      </c>
      <c r="H2038" s="441">
        <f>SUM(H2036:H2037)</f>
        <v>1557.5</v>
      </c>
      <c r="I2038" s="441">
        <f>SUM(I2036:I2037)</f>
        <v>492</v>
      </c>
      <c r="J2038" s="441">
        <f t="shared" ref="J2038" si="820">SUM(J2036:J2037)</f>
        <v>853</v>
      </c>
    </row>
    <row r="2039" spans="1:10" ht="13.5" customHeight="1" thickBot="1" x14ac:dyDescent="0.3">
      <c r="A2039" s="1"/>
      <c r="B2039" s="1"/>
      <c r="C2039" s="39" t="s">
        <v>1855</v>
      </c>
      <c r="D2039" s="453">
        <v>35369</v>
      </c>
      <c r="E2039" s="453">
        <f t="shared" ref="E2039" si="821">SUM(E2027+E2034+E2038)</f>
        <v>12192.79</v>
      </c>
      <c r="F2039" s="479"/>
      <c r="G2039" s="455">
        <v>45725</v>
      </c>
      <c r="H2039" s="453">
        <f>SUM(H2027+H2034+H2038)</f>
        <v>28565.42</v>
      </c>
      <c r="I2039" s="453">
        <f>SUM(I2027+I2034+I2038)</f>
        <v>23207.780000000002</v>
      </c>
      <c r="J2039" s="453">
        <f t="shared" ref="J2039" si="822">SUM(J2027+J2034+J2038)</f>
        <v>28803.09</v>
      </c>
    </row>
    <row r="2040" spans="1:10" ht="13.5" customHeight="1" thickTop="1" x14ac:dyDescent="0.25">
      <c r="A2040" s="1"/>
      <c r="B2040" s="1"/>
      <c r="C2040" s="1"/>
      <c r="D2040" s="440"/>
      <c r="E2040" s="440"/>
      <c r="F2040" s="468"/>
      <c r="G2040" s="440"/>
      <c r="H2040" s="440"/>
      <c r="I2040" s="440"/>
      <c r="J2040" s="440"/>
    </row>
    <row r="2041" spans="1:10" ht="13.5" customHeight="1" x14ac:dyDescent="0.25">
      <c r="A2041" s="1"/>
      <c r="B2041" s="1"/>
      <c r="C2041" s="14"/>
      <c r="D2041" s="440"/>
      <c r="E2041" s="440"/>
      <c r="F2041" s="468"/>
      <c r="G2041" s="440"/>
      <c r="H2041" s="440"/>
      <c r="I2041" s="440"/>
      <c r="J2041" s="440"/>
    </row>
    <row r="2042" spans="1:10" ht="13.5" customHeight="1" x14ac:dyDescent="0.25">
      <c r="A2042" s="1"/>
      <c r="B2042" s="1"/>
      <c r="C2042" s="14" t="s">
        <v>1856</v>
      </c>
      <c r="D2042" s="440"/>
      <c r="E2042" s="440"/>
      <c r="F2042" s="468"/>
      <c r="G2042" s="440"/>
      <c r="H2042" s="440"/>
      <c r="I2042" s="440"/>
      <c r="J2042" s="440"/>
    </row>
    <row r="2043" spans="1:10" ht="13.5" customHeight="1" x14ac:dyDescent="0.25">
      <c r="A2043" s="1"/>
      <c r="B2043" s="1" t="s">
        <v>1857</v>
      </c>
      <c r="C2043" s="1" t="s">
        <v>437</v>
      </c>
      <c r="D2043" s="437">
        <v>74745</v>
      </c>
      <c r="E2043" s="437">
        <v>29844.02</v>
      </c>
      <c r="F2043" s="466"/>
      <c r="G2043" s="437">
        <v>69905</v>
      </c>
      <c r="H2043" s="437">
        <v>70442.64</v>
      </c>
      <c r="I2043" s="437">
        <v>69051.75</v>
      </c>
      <c r="J2043" s="437">
        <v>62435</v>
      </c>
    </row>
    <row r="2044" spans="1:10" ht="13.5" customHeight="1" x14ac:dyDescent="0.25">
      <c r="A2044" s="1"/>
      <c r="B2044" s="1" t="s">
        <v>1858</v>
      </c>
      <c r="C2044" s="1" t="s">
        <v>439</v>
      </c>
      <c r="D2044" s="437">
        <v>376775</v>
      </c>
      <c r="E2044" s="437">
        <v>148637.29</v>
      </c>
      <c r="F2044" s="466"/>
      <c r="G2044" s="437">
        <v>355474</v>
      </c>
      <c r="H2044" s="437">
        <v>324385.31</v>
      </c>
      <c r="I2044" s="437">
        <v>335316.26</v>
      </c>
      <c r="J2044" s="437">
        <v>327105.99</v>
      </c>
    </row>
    <row r="2045" spans="1:10" ht="13.5" customHeight="1" x14ac:dyDescent="0.25">
      <c r="A2045" s="1"/>
      <c r="B2045" s="1" t="s">
        <v>1859</v>
      </c>
      <c r="C2045" s="1" t="s">
        <v>441</v>
      </c>
      <c r="D2045" s="437">
        <v>65000</v>
      </c>
      <c r="E2045" s="437">
        <v>19370.560000000001</v>
      </c>
      <c r="F2045" s="466"/>
      <c r="G2045" s="437">
        <v>40000</v>
      </c>
      <c r="H2045" s="437">
        <v>46902.720000000001</v>
      </c>
      <c r="I2045" s="437">
        <v>34643.980000000003</v>
      </c>
      <c r="J2045" s="437">
        <v>14876.43</v>
      </c>
    </row>
    <row r="2046" spans="1:10" ht="13.5" customHeight="1" x14ac:dyDescent="0.25">
      <c r="A2046" s="1"/>
      <c r="B2046" s="1" t="s">
        <v>1860</v>
      </c>
      <c r="C2046" s="1" t="s">
        <v>443</v>
      </c>
      <c r="D2046" s="437">
        <v>0</v>
      </c>
      <c r="E2046" s="437"/>
      <c r="F2046" s="466"/>
      <c r="G2046" s="437">
        <v>0</v>
      </c>
      <c r="H2046" s="437">
        <v>0</v>
      </c>
      <c r="I2046" s="437">
        <v>9437.0400000000009</v>
      </c>
      <c r="J2046" s="437">
        <v>9575.2199999999993</v>
      </c>
    </row>
    <row r="2047" spans="1:10" ht="13.5" customHeight="1" x14ac:dyDescent="0.25">
      <c r="A2047" s="1"/>
      <c r="B2047" s="1"/>
      <c r="C2047" s="1"/>
      <c r="D2047" s="438">
        <v>516520</v>
      </c>
      <c r="E2047" s="438">
        <f t="shared" ref="E2047" si="823">SUM(E2043:E2046)</f>
        <v>197851.87</v>
      </c>
      <c r="F2047" s="467"/>
      <c r="G2047" s="438">
        <v>465379</v>
      </c>
      <c r="H2047" s="438">
        <f>SUM(H2043:H2046)</f>
        <v>441730.67000000004</v>
      </c>
      <c r="I2047" s="438">
        <f>SUM(I2043:I2046)</f>
        <v>448449.02999999997</v>
      </c>
      <c r="J2047" s="438">
        <f t="shared" ref="J2047" si="824">SUM(J2043:J2046)</f>
        <v>413992.63999999996</v>
      </c>
    </row>
    <row r="2048" spans="1:10" ht="13.5" customHeight="1" x14ac:dyDescent="0.25">
      <c r="A2048" s="1"/>
      <c r="B2048" s="1"/>
      <c r="C2048" s="1"/>
      <c r="D2048" s="437"/>
      <c r="E2048" s="437"/>
      <c r="F2048" s="466"/>
      <c r="G2048" s="437"/>
      <c r="H2048" s="437"/>
      <c r="I2048" s="437"/>
      <c r="J2048" s="437"/>
    </row>
    <row r="2049" spans="1:10" ht="13.5" customHeight="1" x14ac:dyDescent="0.25">
      <c r="A2049" s="1"/>
      <c r="B2049" s="1" t="s">
        <v>1861</v>
      </c>
      <c r="C2049" s="1" t="s">
        <v>257</v>
      </c>
      <c r="D2049" s="437">
        <v>36453.78</v>
      </c>
      <c r="E2049" s="437">
        <v>13994.15</v>
      </c>
      <c r="F2049" s="466"/>
      <c r="G2049" s="437">
        <v>34453.99</v>
      </c>
      <c r="H2049" s="437">
        <v>31641.48</v>
      </c>
      <c r="I2049" s="437">
        <v>31572.76</v>
      </c>
      <c r="J2049" s="437">
        <v>28605.360000000001</v>
      </c>
    </row>
    <row r="2050" spans="1:10" ht="13.5" customHeight="1" x14ac:dyDescent="0.25">
      <c r="A2050" s="1"/>
      <c r="B2050" s="1" t="s">
        <v>1862</v>
      </c>
      <c r="C2050" s="1" t="s">
        <v>259</v>
      </c>
      <c r="D2050" s="437">
        <v>104608.84800000001</v>
      </c>
      <c r="E2050" s="437">
        <v>47903.24</v>
      </c>
      <c r="F2050" s="466"/>
      <c r="G2050" s="437">
        <v>104634.35</v>
      </c>
      <c r="H2050" s="437">
        <v>86605.65</v>
      </c>
      <c r="I2050" s="437">
        <v>95815.49</v>
      </c>
      <c r="J2050" s="437">
        <v>84512.58</v>
      </c>
    </row>
    <row r="2051" spans="1:10" ht="13.5" customHeight="1" x14ac:dyDescent="0.25">
      <c r="A2051" s="1"/>
      <c r="B2051" s="1" t="s">
        <v>1863</v>
      </c>
      <c r="C2051" s="1" t="s">
        <v>261</v>
      </c>
      <c r="D2051" s="437">
        <v>71573.304000000004</v>
      </c>
      <c r="E2051" s="437">
        <v>29878.89</v>
      </c>
      <c r="F2051" s="466"/>
      <c r="G2051" s="437">
        <v>67646.929999999993</v>
      </c>
      <c r="H2051" s="437">
        <v>64870.15</v>
      </c>
      <c r="I2051" s="437">
        <v>65070.720000000001</v>
      </c>
      <c r="J2051" s="437">
        <v>60049.36</v>
      </c>
    </row>
    <row r="2052" spans="1:10" ht="13.5" customHeight="1" x14ac:dyDescent="0.25">
      <c r="A2052" s="1"/>
      <c r="B2052" s="1" t="s">
        <v>1864</v>
      </c>
      <c r="C2052" s="1" t="s">
        <v>1865</v>
      </c>
      <c r="D2052" s="437">
        <v>11400</v>
      </c>
      <c r="E2052" s="437">
        <v>5166</v>
      </c>
      <c r="F2052" s="466"/>
      <c r="G2052" s="437">
        <v>11400</v>
      </c>
      <c r="H2052" s="437">
        <v>7536</v>
      </c>
      <c r="I2052" s="437">
        <v>7859.8</v>
      </c>
      <c r="J2052" s="437">
        <v>7906.36</v>
      </c>
    </row>
    <row r="2053" spans="1:10" ht="13.5" customHeight="1" x14ac:dyDescent="0.25">
      <c r="A2053" s="1"/>
      <c r="B2053" s="1" t="s">
        <v>1866</v>
      </c>
      <c r="C2053" s="1" t="s">
        <v>263</v>
      </c>
      <c r="D2053" s="437">
        <v>762.43200000000013</v>
      </c>
      <c r="E2053" s="437">
        <v>318.31</v>
      </c>
      <c r="F2053" s="466"/>
      <c r="G2053" s="437">
        <v>720.61</v>
      </c>
      <c r="H2053" s="437">
        <v>691</v>
      </c>
      <c r="I2053" s="437">
        <v>716.4</v>
      </c>
      <c r="J2053" s="437">
        <v>757.94</v>
      </c>
    </row>
    <row r="2054" spans="1:10" ht="13.5" customHeight="1" x14ac:dyDescent="0.25">
      <c r="A2054" s="1"/>
      <c r="B2054" s="1" t="s">
        <v>1867</v>
      </c>
      <c r="C2054" s="1" t="s">
        <v>295</v>
      </c>
      <c r="D2054" s="437">
        <v>238.54499999999996</v>
      </c>
      <c r="E2054" s="437">
        <v>54.8</v>
      </c>
      <c r="F2054" s="466"/>
      <c r="G2054" s="437">
        <v>225.76</v>
      </c>
      <c r="H2054" s="437">
        <v>322.93</v>
      </c>
      <c r="I2054" s="437">
        <v>376.52</v>
      </c>
      <c r="J2054" s="437">
        <v>380.07</v>
      </c>
    </row>
    <row r="2055" spans="1:10" ht="13.5" customHeight="1" x14ac:dyDescent="0.25">
      <c r="A2055" s="1"/>
      <c r="B2055" s="1" t="s">
        <v>1868</v>
      </c>
      <c r="C2055" s="1" t="s">
        <v>265</v>
      </c>
      <c r="D2055" s="437">
        <v>3748.8000000000006</v>
      </c>
      <c r="E2055" s="437">
        <v>1609.3</v>
      </c>
      <c r="F2055" s="466"/>
      <c r="G2055" s="437">
        <v>3511.2</v>
      </c>
      <c r="H2055" s="437">
        <v>2952.24</v>
      </c>
      <c r="I2055" s="437">
        <v>3184.9</v>
      </c>
      <c r="J2055" s="437">
        <v>2923</v>
      </c>
    </row>
    <row r="2056" spans="1:10" ht="13.5" customHeight="1" x14ac:dyDescent="0.25">
      <c r="A2056" s="1"/>
      <c r="B2056" s="1" t="s">
        <v>1869</v>
      </c>
      <c r="C2056" s="1" t="s">
        <v>1431</v>
      </c>
      <c r="D2056" s="437">
        <v>4200</v>
      </c>
      <c r="E2056" s="437">
        <v>1938.49</v>
      </c>
      <c r="F2056" s="466"/>
      <c r="G2056" s="437">
        <v>4200</v>
      </c>
      <c r="H2056" s="437">
        <v>4200.04</v>
      </c>
      <c r="I2056" s="437">
        <v>4200.04</v>
      </c>
      <c r="J2056" s="437">
        <v>3925.41</v>
      </c>
    </row>
    <row r="2057" spans="1:10" ht="13.5" customHeight="1" x14ac:dyDescent="0.25">
      <c r="A2057" s="1"/>
      <c r="B2057" s="1"/>
      <c r="C2057" s="1"/>
      <c r="D2057" s="438">
        <v>232985.70900000003</v>
      </c>
      <c r="E2057" s="438">
        <f t="shared" ref="E2057" si="825">SUM(E2049:E2056)</f>
        <v>100863.18000000001</v>
      </c>
      <c r="F2057" s="467"/>
      <c r="G2057" s="438">
        <v>226792.84</v>
      </c>
      <c r="H2057" s="438">
        <f>SUM(H2049:H2056)</f>
        <v>198819.49</v>
      </c>
      <c r="I2057" s="438">
        <f>SUM(I2049:I2056)</f>
        <v>208796.62999999998</v>
      </c>
      <c r="J2057" s="438">
        <f t="shared" ref="J2057" si="826">SUM(J2049:J2056)</f>
        <v>189060.08</v>
      </c>
    </row>
    <row r="2058" spans="1:10" ht="13.5" customHeight="1" x14ac:dyDescent="0.25">
      <c r="A2058" s="1"/>
      <c r="B2058" s="1"/>
      <c r="C2058" s="1"/>
      <c r="D2058" s="437"/>
      <c r="E2058" s="437"/>
      <c r="F2058" s="466"/>
      <c r="G2058" s="437"/>
      <c r="H2058" s="437"/>
      <c r="I2058" s="437"/>
      <c r="J2058" s="437"/>
    </row>
    <row r="2059" spans="1:10" ht="13.5" customHeight="1" x14ac:dyDescent="0.25">
      <c r="A2059" s="1"/>
      <c r="B2059" s="1" t="s">
        <v>1870</v>
      </c>
      <c r="C2059" s="1" t="s">
        <v>267</v>
      </c>
      <c r="D2059" s="437">
        <v>1000</v>
      </c>
      <c r="E2059" s="437">
        <v>650.55999999999995</v>
      </c>
      <c r="F2059" s="466"/>
      <c r="G2059" s="437">
        <v>1000</v>
      </c>
      <c r="H2059" s="437">
        <v>774.79</v>
      </c>
      <c r="I2059" s="437">
        <v>814.21</v>
      </c>
      <c r="J2059" s="437">
        <v>1074.24</v>
      </c>
    </row>
    <row r="2060" spans="1:10" ht="13.5" customHeight="1" x14ac:dyDescent="0.25">
      <c r="A2060" s="1"/>
      <c r="B2060" s="1" t="s">
        <v>1871</v>
      </c>
      <c r="C2060" s="1" t="s">
        <v>269</v>
      </c>
      <c r="D2060" s="437">
        <v>40</v>
      </c>
      <c r="E2060" s="437">
        <v>45.59</v>
      </c>
      <c r="F2060" s="466"/>
      <c r="G2060" s="437">
        <v>40</v>
      </c>
      <c r="H2060" s="437">
        <v>0</v>
      </c>
      <c r="I2060" s="440">
        <v>0</v>
      </c>
      <c r="J2060" s="437">
        <v>39.28</v>
      </c>
    </row>
    <row r="2061" spans="1:10" ht="13.5" customHeight="1" x14ac:dyDescent="0.25">
      <c r="A2061" s="1"/>
      <c r="B2061" s="1" t="s">
        <v>1872</v>
      </c>
      <c r="C2061" s="1" t="s">
        <v>488</v>
      </c>
      <c r="D2061" s="437">
        <v>56000</v>
      </c>
      <c r="E2061" s="437">
        <v>17599.25</v>
      </c>
      <c r="F2061" s="466"/>
      <c r="G2061" s="437">
        <v>56000</v>
      </c>
      <c r="H2061" s="437">
        <v>32532.11</v>
      </c>
      <c r="I2061" s="437">
        <v>50708.06</v>
      </c>
      <c r="J2061" s="437">
        <v>65993.08</v>
      </c>
    </row>
    <row r="2062" spans="1:10" ht="13.5" customHeight="1" x14ac:dyDescent="0.25">
      <c r="A2062" s="1"/>
      <c r="B2062" s="1" t="s">
        <v>1873</v>
      </c>
      <c r="C2062" s="1" t="s">
        <v>1151</v>
      </c>
      <c r="D2062" s="437">
        <v>6300</v>
      </c>
      <c r="E2062" s="437">
        <v>1152.5999999999999</v>
      </c>
      <c r="F2062" s="466"/>
      <c r="G2062" s="437">
        <v>6300</v>
      </c>
      <c r="H2062" s="437">
        <v>3974.1</v>
      </c>
      <c r="I2062" s="437">
        <v>4638.2700000000004</v>
      </c>
      <c r="J2062" s="437">
        <v>4538.6499999999996</v>
      </c>
    </row>
    <row r="2063" spans="1:10" ht="13.5" customHeight="1" x14ac:dyDescent="0.25">
      <c r="A2063" s="1"/>
      <c r="B2063" s="1" t="s">
        <v>1874</v>
      </c>
      <c r="C2063" s="1" t="s">
        <v>1875</v>
      </c>
      <c r="D2063" s="437">
        <v>772729.86</v>
      </c>
      <c r="E2063" s="437">
        <v>219935.91</v>
      </c>
      <c r="F2063" s="466"/>
      <c r="G2063" s="437">
        <v>771436.77</v>
      </c>
      <c r="H2063" s="437">
        <v>731957.82</v>
      </c>
      <c r="I2063" s="437">
        <v>652444.14</v>
      </c>
      <c r="J2063" s="437">
        <v>658368.92000000004</v>
      </c>
    </row>
    <row r="2064" spans="1:10" ht="13.5" customHeight="1" x14ac:dyDescent="0.25">
      <c r="A2064" s="1"/>
      <c r="B2064" s="1" t="s">
        <v>1876</v>
      </c>
      <c r="C2064" s="1" t="s">
        <v>1877</v>
      </c>
      <c r="D2064" s="437">
        <v>15000</v>
      </c>
      <c r="E2064" s="437">
        <v>2675.78</v>
      </c>
      <c r="F2064" s="466"/>
      <c r="G2064" s="437">
        <v>15000</v>
      </c>
      <c r="H2064" s="437">
        <v>21060.959999999999</v>
      </c>
      <c r="I2064" s="437">
        <v>27571.85</v>
      </c>
      <c r="J2064" s="437">
        <v>6145.14</v>
      </c>
    </row>
    <row r="2065" spans="1:10" ht="13.5" customHeight="1" x14ac:dyDescent="0.25">
      <c r="A2065" s="1"/>
      <c r="B2065" s="1" t="s">
        <v>1878</v>
      </c>
      <c r="C2065" s="1" t="s">
        <v>490</v>
      </c>
      <c r="D2065" s="437">
        <v>8000</v>
      </c>
      <c r="E2065" s="437">
        <v>4326.5</v>
      </c>
      <c r="F2065" s="466"/>
      <c r="G2065" s="437">
        <v>8000</v>
      </c>
      <c r="H2065" s="437">
        <v>7331.28</v>
      </c>
      <c r="I2065" s="437">
        <v>7577.59</v>
      </c>
      <c r="J2065" s="437">
        <v>5513.85</v>
      </c>
    </row>
    <row r="2066" spans="1:10" ht="13.5" customHeight="1" x14ac:dyDescent="0.25">
      <c r="A2066" s="1"/>
      <c r="B2066" s="1" t="s">
        <v>1879</v>
      </c>
      <c r="C2066" s="1" t="s">
        <v>1154</v>
      </c>
      <c r="D2066" s="437">
        <v>15000</v>
      </c>
      <c r="E2066" s="437">
        <v>3529.3</v>
      </c>
      <c r="F2066" s="466"/>
      <c r="G2066" s="437">
        <v>15000</v>
      </c>
      <c r="H2066" s="437">
        <v>11080.87</v>
      </c>
      <c r="I2066" s="437">
        <v>14679.92</v>
      </c>
      <c r="J2066" s="437">
        <v>11586.19</v>
      </c>
    </row>
    <row r="2067" spans="1:10" ht="13.5" customHeight="1" x14ac:dyDescent="0.25">
      <c r="A2067" s="1"/>
      <c r="B2067" s="1" t="s">
        <v>1880</v>
      </c>
      <c r="C2067" s="1" t="s">
        <v>1881</v>
      </c>
      <c r="D2067" s="437">
        <v>10611</v>
      </c>
      <c r="E2067" s="437">
        <v>4961.97</v>
      </c>
      <c r="F2067" s="466"/>
      <c r="G2067" s="437">
        <v>10611</v>
      </c>
      <c r="H2067" s="437">
        <v>12603.63</v>
      </c>
      <c r="I2067" s="437">
        <v>8113.28</v>
      </c>
      <c r="J2067" s="437">
        <v>6431.96</v>
      </c>
    </row>
    <row r="2068" spans="1:10" ht="13.5" customHeight="1" x14ac:dyDescent="0.25">
      <c r="A2068" s="1"/>
      <c r="B2068" s="1" t="s">
        <v>1882</v>
      </c>
      <c r="C2068" s="1" t="s">
        <v>1442</v>
      </c>
      <c r="D2068" s="437">
        <v>1500</v>
      </c>
      <c r="E2068" s="437">
        <v>86.16</v>
      </c>
      <c r="F2068" s="466"/>
      <c r="G2068" s="437">
        <v>1500</v>
      </c>
      <c r="H2068" s="437">
        <v>859.81</v>
      </c>
      <c r="I2068" s="437">
        <v>567.46</v>
      </c>
      <c r="J2068" s="440">
        <v>0</v>
      </c>
    </row>
    <row r="2069" spans="1:10" ht="13.5" customHeight="1" x14ac:dyDescent="0.25">
      <c r="A2069" s="1"/>
      <c r="B2069" s="1" t="s">
        <v>1883</v>
      </c>
      <c r="C2069" s="1" t="s">
        <v>273</v>
      </c>
      <c r="D2069" s="437">
        <v>2000</v>
      </c>
      <c r="E2069" s="437">
        <v>4276.17</v>
      </c>
      <c r="F2069" s="466"/>
      <c r="G2069" s="437">
        <v>2000</v>
      </c>
      <c r="H2069" s="437">
        <v>3985.96</v>
      </c>
      <c r="I2069" s="437">
        <v>1965.66</v>
      </c>
      <c r="J2069" s="440">
        <v>0</v>
      </c>
    </row>
    <row r="2070" spans="1:10" ht="13.5" customHeight="1" x14ac:dyDescent="0.25">
      <c r="A2070" s="1"/>
      <c r="B2070" s="1" t="s">
        <v>1884</v>
      </c>
      <c r="C2070" s="1" t="s">
        <v>275</v>
      </c>
      <c r="D2070" s="437">
        <v>1400</v>
      </c>
      <c r="E2070" s="437">
        <v>2208.9</v>
      </c>
      <c r="F2070" s="466"/>
      <c r="G2070" s="437">
        <v>1400</v>
      </c>
      <c r="H2070" s="437">
        <v>1746.07</v>
      </c>
      <c r="I2070" s="437">
        <v>1178.9000000000001</v>
      </c>
      <c r="J2070" s="437">
        <v>50.48</v>
      </c>
    </row>
    <row r="2071" spans="1:10" ht="13.5" customHeight="1" x14ac:dyDescent="0.25">
      <c r="A2071" s="1"/>
      <c r="B2071" s="1"/>
      <c r="C2071" s="1"/>
      <c r="D2071" s="438">
        <v>889580.86</v>
      </c>
      <c r="E2071" s="438">
        <f t="shared" ref="E2071" si="827">SUM(E2059:E2070)</f>
        <v>261448.69</v>
      </c>
      <c r="F2071" s="467"/>
      <c r="G2071" s="438">
        <v>888287.77</v>
      </c>
      <c r="H2071" s="438">
        <f>SUM(H2059:H2070)</f>
        <v>827907.39999999991</v>
      </c>
      <c r="I2071" s="438">
        <f>SUM(I2059:I2070)</f>
        <v>770259.34000000008</v>
      </c>
      <c r="J2071" s="438">
        <f t="shared" ref="J2071" si="828">SUM(J2059:J2070)</f>
        <v>759741.78999999992</v>
      </c>
    </row>
    <row r="2072" spans="1:10" ht="13.5" customHeight="1" x14ac:dyDescent="0.25">
      <c r="A2072" s="1"/>
      <c r="B2072" s="1"/>
      <c r="C2072" s="1"/>
      <c r="D2072" s="437"/>
      <c r="E2072" s="437"/>
      <c r="F2072" s="466"/>
      <c r="G2072" s="437"/>
      <c r="H2072" s="437"/>
      <c r="I2072" s="437"/>
      <c r="J2072" s="437"/>
    </row>
    <row r="2073" spans="1:10" ht="13.5" customHeight="1" x14ac:dyDescent="0.25">
      <c r="A2073" s="1"/>
      <c r="B2073" s="1" t="s">
        <v>1885</v>
      </c>
      <c r="C2073" s="1" t="s">
        <v>279</v>
      </c>
      <c r="D2073" s="437">
        <v>1275</v>
      </c>
      <c r="E2073" s="440"/>
      <c r="F2073" s="468"/>
      <c r="G2073" s="440">
        <v>1275</v>
      </c>
      <c r="H2073" s="439">
        <v>200</v>
      </c>
      <c r="I2073" s="439">
        <v>0</v>
      </c>
      <c r="J2073" s="437">
        <v>600</v>
      </c>
    </row>
    <row r="2074" spans="1:10" ht="13.5" customHeight="1" x14ac:dyDescent="0.25">
      <c r="A2074" s="1"/>
      <c r="B2074" s="1" t="s">
        <v>1886</v>
      </c>
      <c r="C2074" s="1" t="s">
        <v>329</v>
      </c>
      <c r="D2074" s="437">
        <v>2000</v>
      </c>
      <c r="E2074" s="437">
        <v>1049.03</v>
      </c>
      <c r="F2074" s="466"/>
      <c r="G2074" s="437">
        <v>2000</v>
      </c>
      <c r="H2074" s="437">
        <v>2305.11</v>
      </c>
      <c r="I2074" s="437">
        <v>2234.4299999999998</v>
      </c>
      <c r="J2074" s="437">
        <v>2159.27</v>
      </c>
    </row>
    <row r="2075" spans="1:10" ht="13.5" customHeight="1" x14ac:dyDescent="0.25">
      <c r="A2075" s="1"/>
      <c r="B2075" s="1" t="s">
        <v>1887</v>
      </c>
      <c r="C2075" s="1" t="s">
        <v>281</v>
      </c>
      <c r="D2075" s="437">
        <v>165</v>
      </c>
      <c r="E2075" s="437"/>
      <c r="F2075" s="466"/>
      <c r="G2075" s="437">
        <v>165</v>
      </c>
      <c r="H2075" s="437">
        <v>0</v>
      </c>
      <c r="I2075" s="439">
        <v>0</v>
      </c>
      <c r="J2075" s="440">
        <v>0</v>
      </c>
    </row>
    <row r="2076" spans="1:10" ht="13.5" customHeight="1" x14ac:dyDescent="0.25">
      <c r="A2076" s="1"/>
      <c r="B2076" s="1" t="s">
        <v>1888</v>
      </c>
      <c r="C2076" s="1" t="s">
        <v>426</v>
      </c>
      <c r="D2076" s="437">
        <v>1400</v>
      </c>
      <c r="E2076" s="437">
        <v>1811.14</v>
      </c>
      <c r="F2076" s="466"/>
      <c r="G2076" s="437">
        <v>1400</v>
      </c>
      <c r="H2076" s="437">
        <v>0</v>
      </c>
      <c r="I2076" s="437">
        <v>711.84</v>
      </c>
      <c r="J2076" s="437">
        <v>399.29</v>
      </c>
    </row>
    <row r="2077" spans="1:10" ht="13.5" customHeight="1" x14ac:dyDescent="0.25">
      <c r="A2077" s="1"/>
      <c r="B2077" s="1" t="s">
        <v>1889</v>
      </c>
      <c r="C2077" s="1" t="s">
        <v>1175</v>
      </c>
      <c r="D2077" s="437">
        <v>3463</v>
      </c>
      <c r="E2077" s="437">
        <v>1380.06</v>
      </c>
      <c r="F2077" s="466"/>
      <c r="G2077" s="437">
        <v>3463</v>
      </c>
      <c r="H2077" s="437">
        <v>3787.48</v>
      </c>
      <c r="I2077" s="437">
        <v>3372.23</v>
      </c>
      <c r="J2077" s="437">
        <v>2654.97</v>
      </c>
    </row>
    <row r="2078" spans="1:10" ht="13.5" customHeight="1" x14ac:dyDescent="0.25">
      <c r="A2078" s="1"/>
      <c r="B2078" s="1" t="s">
        <v>1890</v>
      </c>
      <c r="C2078" s="1" t="s">
        <v>1177</v>
      </c>
      <c r="D2078" s="437">
        <v>1000</v>
      </c>
      <c r="E2078" s="437">
        <v>1408.17</v>
      </c>
      <c r="F2078" s="466"/>
      <c r="G2078" s="437">
        <v>1000</v>
      </c>
      <c r="H2078" s="437">
        <v>1032.2</v>
      </c>
      <c r="I2078" s="437">
        <v>1093.43</v>
      </c>
      <c r="J2078" s="437">
        <v>858.48</v>
      </c>
    </row>
    <row r="2079" spans="1:10" ht="13.5" customHeight="1" x14ac:dyDescent="0.25">
      <c r="A2079" s="1"/>
      <c r="B2079" s="1" t="s">
        <v>1891</v>
      </c>
      <c r="C2079" s="1" t="s">
        <v>1179</v>
      </c>
      <c r="D2079" s="437">
        <v>1530</v>
      </c>
      <c r="E2079" s="437">
        <v>510.32</v>
      </c>
      <c r="F2079" s="466"/>
      <c r="G2079" s="437">
        <v>1530</v>
      </c>
      <c r="H2079" s="437">
        <v>943.73</v>
      </c>
      <c r="I2079" s="437">
        <v>1350.1</v>
      </c>
      <c r="J2079" s="437">
        <v>1187.82</v>
      </c>
    </row>
    <row r="2080" spans="1:10" ht="13.5" customHeight="1" x14ac:dyDescent="0.25">
      <c r="A2080" s="1"/>
      <c r="B2080" s="1" t="s">
        <v>1892</v>
      </c>
      <c r="C2080" s="1" t="s">
        <v>1893</v>
      </c>
      <c r="D2080" s="437">
        <v>1000</v>
      </c>
      <c r="E2080" s="437">
        <v>0</v>
      </c>
      <c r="F2080" s="466"/>
      <c r="G2080" s="437">
        <v>1000</v>
      </c>
      <c r="H2080" s="437">
        <v>0</v>
      </c>
      <c r="I2080" s="440">
        <v>0</v>
      </c>
      <c r="J2080" s="437">
        <v>96.32</v>
      </c>
    </row>
    <row r="2081" spans="1:10" ht="13.5" customHeight="1" x14ac:dyDescent="0.25">
      <c r="A2081" s="1"/>
      <c r="B2081" s="1" t="s">
        <v>1894</v>
      </c>
      <c r="C2081" s="1" t="s">
        <v>1895</v>
      </c>
      <c r="D2081" s="437">
        <v>3000</v>
      </c>
      <c r="E2081" s="437">
        <v>4964.8100000000004</v>
      </c>
      <c r="F2081" s="466"/>
      <c r="G2081" s="437">
        <v>3000</v>
      </c>
      <c r="H2081" s="437">
        <v>205.4</v>
      </c>
      <c r="I2081" s="437">
        <v>7175.9</v>
      </c>
      <c r="J2081" s="437">
        <v>3215.53</v>
      </c>
    </row>
    <row r="2082" spans="1:10" ht="13.5" customHeight="1" x14ac:dyDescent="0.25">
      <c r="A2082" s="1"/>
      <c r="B2082" s="1" t="s">
        <v>1896</v>
      </c>
      <c r="C2082" s="1" t="s">
        <v>1897</v>
      </c>
      <c r="D2082" s="437">
        <v>37076</v>
      </c>
      <c r="E2082" s="437">
        <v>6715.01</v>
      </c>
      <c r="F2082" s="466"/>
      <c r="G2082" s="437">
        <v>37076</v>
      </c>
      <c r="H2082" s="437">
        <v>17480.259999999998</v>
      </c>
      <c r="I2082" s="437">
        <v>34624.400000000001</v>
      </c>
      <c r="J2082" s="437">
        <v>35380.65</v>
      </c>
    </row>
    <row r="2083" spans="1:10" ht="13.5" customHeight="1" x14ac:dyDescent="0.25">
      <c r="A2083" s="1"/>
      <c r="B2083" s="1" t="s">
        <v>1898</v>
      </c>
      <c r="C2083" s="1" t="s">
        <v>1161</v>
      </c>
      <c r="D2083" s="437">
        <v>817</v>
      </c>
      <c r="E2083" s="437">
        <v>186.88</v>
      </c>
      <c r="F2083" s="466"/>
      <c r="G2083" s="437">
        <v>817</v>
      </c>
      <c r="H2083" s="437">
        <v>467.54</v>
      </c>
      <c r="I2083" s="437">
        <v>832.42</v>
      </c>
      <c r="J2083" s="437">
        <v>816.98</v>
      </c>
    </row>
    <row r="2084" spans="1:10" ht="13.5" customHeight="1" x14ac:dyDescent="0.25">
      <c r="A2084" s="1"/>
      <c r="B2084" s="1" t="s">
        <v>1899</v>
      </c>
      <c r="C2084" s="1" t="s">
        <v>509</v>
      </c>
      <c r="D2084" s="437">
        <v>33649</v>
      </c>
      <c r="E2084" s="437">
        <v>6804.35</v>
      </c>
      <c r="F2084" s="466"/>
      <c r="G2084" s="437">
        <v>33649</v>
      </c>
      <c r="H2084" s="437">
        <v>15224.44</v>
      </c>
      <c r="I2084" s="437">
        <v>57250.79</v>
      </c>
      <c r="J2084" s="437">
        <v>43579.26</v>
      </c>
    </row>
    <row r="2085" spans="1:10" ht="13.5" customHeight="1" x14ac:dyDescent="0.25">
      <c r="A2085" s="1"/>
      <c r="B2085" s="1" t="s">
        <v>1900</v>
      </c>
      <c r="C2085" s="1" t="s">
        <v>1901</v>
      </c>
      <c r="D2085" s="437">
        <v>850</v>
      </c>
      <c r="E2085" s="437"/>
      <c r="F2085" s="466"/>
      <c r="G2085" s="437">
        <v>850</v>
      </c>
      <c r="H2085" s="437">
        <v>772.5</v>
      </c>
      <c r="I2085" s="439">
        <v>750</v>
      </c>
      <c r="J2085" s="437">
        <v>4764.5</v>
      </c>
    </row>
    <row r="2086" spans="1:10" ht="13.5" customHeight="1" x14ac:dyDescent="0.25">
      <c r="A2086" s="1"/>
      <c r="B2086" s="1" t="s">
        <v>1902</v>
      </c>
      <c r="C2086" s="1" t="s">
        <v>1470</v>
      </c>
      <c r="D2086" s="437">
        <v>1000</v>
      </c>
      <c r="E2086" s="437"/>
      <c r="F2086" s="466"/>
      <c r="G2086" s="437">
        <v>1000</v>
      </c>
      <c r="H2086" s="437">
        <v>385</v>
      </c>
      <c r="I2086" s="439">
        <v>275</v>
      </c>
      <c r="J2086" s="437">
        <v>49.67</v>
      </c>
    </row>
    <row r="2087" spans="1:10" ht="13.5" customHeight="1" x14ac:dyDescent="0.25">
      <c r="A2087" s="1"/>
      <c r="B2087" s="1" t="s">
        <v>1903</v>
      </c>
      <c r="C2087" s="1" t="s">
        <v>565</v>
      </c>
      <c r="D2087" s="437">
        <v>0</v>
      </c>
      <c r="E2087" s="437">
        <v>177.5</v>
      </c>
      <c r="F2087" s="466"/>
      <c r="G2087" s="437">
        <v>0</v>
      </c>
      <c r="H2087" s="437">
        <v>0</v>
      </c>
      <c r="I2087" s="437">
        <v>135</v>
      </c>
      <c r="J2087" s="440">
        <v>0</v>
      </c>
    </row>
    <row r="2088" spans="1:10" ht="13.5" customHeight="1" x14ac:dyDescent="0.25">
      <c r="A2088" s="1"/>
      <c r="B2088" s="1" t="s">
        <v>1904</v>
      </c>
      <c r="C2088" s="1" t="s">
        <v>1475</v>
      </c>
      <c r="D2088" s="437">
        <v>3196</v>
      </c>
      <c r="E2088" s="440"/>
      <c r="F2088" s="468"/>
      <c r="G2088" s="440">
        <v>3196</v>
      </c>
      <c r="H2088" s="439">
        <v>2400</v>
      </c>
      <c r="I2088" s="439">
        <v>800</v>
      </c>
      <c r="J2088" s="437">
        <v>3166.67</v>
      </c>
    </row>
    <row r="2089" spans="1:10" ht="13.5" customHeight="1" x14ac:dyDescent="0.25">
      <c r="A2089" s="1"/>
      <c r="B2089" s="1"/>
      <c r="C2089" s="1"/>
      <c r="D2089" s="438">
        <v>91421</v>
      </c>
      <c r="E2089" s="438">
        <f t="shared" ref="E2089" si="829">SUM(E2073:E2088)</f>
        <v>25007.270000000004</v>
      </c>
      <c r="F2089" s="467"/>
      <c r="G2089" s="438">
        <v>91421</v>
      </c>
      <c r="H2089" s="438">
        <f>SUM(H2073:H2088)</f>
        <v>45203.66</v>
      </c>
      <c r="I2089" s="438">
        <f>SUM(I2073:I2088)</f>
        <v>110605.54000000001</v>
      </c>
      <c r="J2089" s="438">
        <f t="shared" ref="J2089" si="830">SUM(J2073:J2088)</f>
        <v>98929.41</v>
      </c>
    </row>
    <row r="2090" spans="1:10" ht="13.5" customHeight="1" x14ac:dyDescent="0.25">
      <c r="A2090" s="1"/>
      <c r="B2090" s="1"/>
      <c r="C2090" s="1"/>
      <c r="D2090" s="437"/>
      <c r="E2090" s="440"/>
      <c r="F2090" s="468"/>
      <c r="G2090" s="440"/>
      <c r="H2090" s="440"/>
      <c r="I2090" s="440"/>
      <c r="J2090" s="437"/>
    </row>
    <row r="2091" spans="1:10" ht="13.5" customHeight="1" x14ac:dyDescent="0.25">
      <c r="A2091" s="1"/>
      <c r="B2091" s="1" t="s">
        <v>1905</v>
      </c>
      <c r="C2091" s="1" t="s">
        <v>1186</v>
      </c>
      <c r="D2091" s="437">
        <v>1004</v>
      </c>
      <c r="E2091" s="437"/>
      <c r="F2091" s="466"/>
      <c r="G2091" s="437">
        <v>1004</v>
      </c>
      <c r="H2091" s="437">
        <v>0</v>
      </c>
      <c r="I2091" s="440">
        <v>0</v>
      </c>
      <c r="J2091" s="437">
        <v>1003.7</v>
      </c>
    </row>
    <row r="2092" spans="1:10" ht="13.5" customHeight="1" x14ac:dyDescent="0.25">
      <c r="A2092" s="1"/>
      <c r="B2092" s="1" t="s">
        <v>1906</v>
      </c>
      <c r="C2092" s="1" t="s">
        <v>1315</v>
      </c>
      <c r="D2092" s="437">
        <v>48003</v>
      </c>
      <c r="E2092" s="437"/>
      <c r="F2092" s="466"/>
      <c r="G2092" s="437">
        <v>48003</v>
      </c>
      <c r="H2092" s="437">
        <v>0</v>
      </c>
      <c r="I2092" s="437">
        <v>96500</v>
      </c>
      <c r="J2092" s="437">
        <v>30000</v>
      </c>
    </row>
    <row r="2093" spans="1:10" ht="13.5" customHeight="1" x14ac:dyDescent="0.25">
      <c r="A2093" s="1"/>
      <c r="B2093" s="1" t="s">
        <v>1907</v>
      </c>
      <c r="C2093" s="1" t="s">
        <v>1908</v>
      </c>
      <c r="D2093" s="437">
        <v>62150</v>
      </c>
      <c r="E2093" s="439">
        <v>180000</v>
      </c>
      <c r="F2093" s="468"/>
      <c r="G2093" s="440">
        <v>12150</v>
      </c>
      <c r="H2093" s="439">
        <v>228796</v>
      </c>
      <c r="I2093" s="439">
        <v>2486.66</v>
      </c>
      <c r="J2093" s="437">
        <v>15150</v>
      </c>
    </row>
    <row r="2094" spans="1:10" ht="13.5" customHeight="1" x14ac:dyDescent="0.25">
      <c r="A2094" s="1"/>
      <c r="B2094" s="1" t="s">
        <v>1909</v>
      </c>
      <c r="C2094" s="1" t="s">
        <v>843</v>
      </c>
      <c r="D2094" s="437">
        <v>0</v>
      </c>
      <c r="E2094" s="437"/>
      <c r="F2094" s="466"/>
      <c r="G2094" s="437">
        <v>0</v>
      </c>
      <c r="H2094" s="437">
        <v>0</v>
      </c>
      <c r="I2094" s="440">
        <v>0</v>
      </c>
      <c r="J2094" s="440">
        <v>0</v>
      </c>
    </row>
    <row r="2095" spans="1:10" ht="13.5" customHeight="1" x14ac:dyDescent="0.25">
      <c r="A2095" s="1"/>
      <c r="B2095" s="1" t="s">
        <v>1910</v>
      </c>
      <c r="C2095" s="1" t="s">
        <v>352</v>
      </c>
      <c r="D2095" s="437">
        <v>30325</v>
      </c>
      <c r="E2095" s="437">
        <v>121306</v>
      </c>
      <c r="F2095" s="466"/>
      <c r="G2095" s="437">
        <v>30325</v>
      </c>
      <c r="H2095" s="437">
        <v>0</v>
      </c>
      <c r="I2095" s="440">
        <v>0</v>
      </c>
      <c r="J2095" s="440">
        <v>0</v>
      </c>
    </row>
    <row r="2096" spans="1:10" ht="13.5" customHeight="1" x14ac:dyDescent="0.25">
      <c r="A2096" s="1"/>
      <c r="B2096" s="1"/>
      <c r="C2096" s="1"/>
      <c r="D2096" s="438">
        <v>141482</v>
      </c>
      <c r="E2096" s="438">
        <f t="shared" ref="E2096" si="831">SUM(E2091:E2095)</f>
        <v>301306</v>
      </c>
      <c r="F2096" s="467"/>
      <c r="G2096" s="438">
        <v>91482</v>
      </c>
      <c r="H2096" s="438">
        <f>SUM(H2091:H2095)</f>
        <v>228796</v>
      </c>
      <c r="I2096" s="438">
        <f>SUM(I2091:I2095)</f>
        <v>98986.66</v>
      </c>
      <c r="J2096" s="438">
        <f t="shared" ref="J2096" si="832">SUM(J2091:J2095)</f>
        <v>46153.7</v>
      </c>
    </row>
    <row r="2097" spans="1:10" ht="13.5" customHeight="1" thickBot="1" x14ac:dyDescent="0.3">
      <c r="A2097" s="1"/>
      <c r="B2097" s="1"/>
      <c r="C2097" s="39" t="s">
        <v>1911</v>
      </c>
      <c r="D2097" s="451">
        <v>1871989.5690000001</v>
      </c>
      <c r="E2097" s="451">
        <f t="shared" ref="E2097" si="833">SUM(E2047+E2057+E2071+E2089+E2096)</f>
        <v>886477.01</v>
      </c>
      <c r="F2097" s="478"/>
      <c r="G2097" s="451">
        <v>1763362.61</v>
      </c>
      <c r="H2097" s="451">
        <f>SUM(H2047+H2057+H2071+H2089+H2096)</f>
        <v>1742457.22</v>
      </c>
      <c r="I2097" s="451">
        <f>SUM(I2047+I2057+I2071+I2089+I2096)</f>
        <v>1637097.2</v>
      </c>
      <c r="J2097" s="451">
        <f t="shared" ref="J2097" si="834">SUM(J2047+J2057+J2071+J2089+J2096)</f>
        <v>1507877.6199999996</v>
      </c>
    </row>
    <row r="2098" spans="1:10" ht="13.5" customHeight="1" thickTop="1" x14ac:dyDescent="0.25">
      <c r="A2098" s="1"/>
      <c r="B2098" s="1"/>
      <c r="C2098" s="1"/>
      <c r="D2098" s="437"/>
      <c r="E2098" s="437"/>
      <c r="F2098" s="466"/>
      <c r="G2098" s="437"/>
      <c r="H2098" s="437"/>
      <c r="I2098" s="437"/>
      <c r="J2098" s="437"/>
    </row>
    <row r="2099" spans="1:10" ht="13.5" customHeight="1" x14ac:dyDescent="0.25">
      <c r="A2099" s="1"/>
      <c r="B2099" s="1"/>
      <c r="C2099" s="14"/>
      <c r="D2099" s="437"/>
      <c r="E2099" s="440"/>
      <c r="F2099" s="468"/>
      <c r="G2099" s="440"/>
      <c r="H2099" s="440"/>
      <c r="I2099" s="440"/>
      <c r="J2099" s="437"/>
    </row>
    <row r="2100" spans="1:10" ht="13.5" customHeight="1" x14ac:dyDescent="0.25">
      <c r="A2100" s="1"/>
      <c r="B2100" s="1"/>
      <c r="C2100" s="14" t="s">
        <v>1912</v>
      </c>
      <c r="D2100" s="437"/>
      <c r="E2100" s="440"/>
      <c r="F2100" s="468"/>
      <c r="G2100" s="440"/>
      <c r="H2100" s="440"/>
      <c r="I2100" s="440"/>
      <c r="J2100" s="437"/>
    </row>
    <row r="2101" spans="1:10" ht="13.5" customHeight="1" x14ac:dyDescent="0.25">
      <c r="A2101" s="1"/>
      <c r="B2101" s="1" t="s">
        <v>1913</v>
      </c>
      <c r="C2101" s="1" t="s">
        <v>437</v>
      </c>
      <c r="D2101" s="437">
        <v>74745</v>
      </c>
      <c r="E2101" s="437">
        <v>30390.91</v>
      </c>
      <c r="F2101" s="466"/>
      <c r="G2101" s="437">
        <v>71186</v>
      </c>
      <c r="H2101" s="437">
        <v>70489</v>
      </c>
      <c r="I2101" s="437">
        <v>69051.75</v>
      </c>
      <c r="J2101" s="437">
        <v>67603.58</v>
      </c>
    </row>
    <row r="2102" spans="1:10" ht="13.5" customHeight="1" x14ac:dyDescent="0.25">
      <c r="A2102" s="1"/>
      <c r="B2102" s="1" t="s">
        <v>1914</v>
      </c>
      <c r="C2102" s="1" t="s">
        <v>439</v>
      </c>
      <c r="D2102" s="437">
        <v>460343</v>
      </c>
      <c r="E2102" s="437">
        <v>158926.26999999999</v>
      </c>
      <c r="F2102" s="466"/>
      <c r="G2102" s="437">
        <v>375784</v>
      </c>
      <c r="H2102" s="437">
        <v>378191.26</v>
      </c>
      <c r="I2102" s="437">
        <v>329532.42</v>
      </c>
      <c r="J2102" s="437">
        <v>306972.05</v>
      </c>
    </row>
    <row r="2103" spans="1:10" ht="13.5" customHeight="1" x14ac:dyDescent="0.25">
      <c r="A2103" s="1"/>
      <c r="B2103" s="1" t="s">
        <v>1915</v>
      </c>
      <c r="C2103" s="1" t="s">
        <v>441</v>
      </c>
      <c r="D2103" s="437">
        <v>40000</v>
      </c>
      <c r="E2103" s="437">
        <v>8702.4</v>
      </c>
      <c r="F2103" s="466"/>
      <c r="G2103" s="437">
        <v>40000</v>
      </c>
      <c r="H2103" s="437">
        <v>10250.25</v>
      </c>
      <c r="I2103" s="437">
        <v>24463.32</v>
      </c>
      <c r="J2103" s="437">
        <v>3012.75</v>
      </c>
    </row>
    <row r="2104" spans="1:10" ht="13.5" customHeight="1" x14ac:dyDescent="0.25">
      <c r="A2104" s="1"/>
      <c r="B2104" s="1" t="s">
        <v>1916</v>
      </c>
      <c r="C2104" s="1" t="s">
        <v>443</v>
      </c>
      <c r="D2104" s="437">
        <v>0</v>
      </c>
      <c r="E2104" s="437"/>
      <c r="F2104" s="466"/>
      <c r="G2104" s="437">
        <v>0</v>
      </c>
      <c r="H2104" s="437">
        <v>0</v>
      </c>
      <c r="I2104" s="437">
        <v>19113.14</v>
      </c>
      <c r="J2104" s="437">
        <v>29496.65</v>
      </c>
    </row>
    <row r="2105" spans="1:10" ht="13.5" customHeight="1" x14ac:dyDescent="0.25">
      <c r="A2105" s="1"/>
      <c r="B2105" s="1" t="s">
        <v>1917</v>
      </c>
      <c r="C2105" s="1" t="s">
        <v>445</v>
      </c>
      <c r="D2105" s="437">
        <v>0</v>
      </c>
      <c r="E2105" s="437"/>
      <c r="F2105" s="466"/>
      <c r="G2105" s="437">
        <v>0</v>
      </c>
      <c r="H2105" s="437">
        <v>58.23</v>
      </c>
      <c r="I2105" s="437"/>
      <c r="J2105" s="437"/>
    </row>
    <row r="2106" spans="1:10" ht="13.5" customHeight="1" x14ac:dyDescent="0.25">
      <c r="A2106" s="1"/>
      <c r="B2106" s="1" t="s">
        <v>1918</v>
      </c>
      <c r="C2106" s="1" t="s">
        <v>1075</v>
      </c>
      <c r="D2106" s="437">
        <v>15000</v>
      </c>
      <c r="E2106" s="437">
        <v>349.39</v>
      </c>
      <c r="F2106" s="466"/>
      <c r="G2106" s="437">
        <v>15000</v>
      </c>
      <c r="H2106" s="437">
        <v>3505.85</v>
      </c>
      <c r="I2106" s="437">
        <v>1114.3599999999999</v>
      </c>
      <c r="J2106" s="437">
        <f>2786.8+43.28</f>
        <v>2830.0800000000004</v>
      </c>
    </row>
    <row r="2107" spans="1:10" ht="13.5" customHeight="1" x14ac:dyDescent="0.25">
      <c r="A2107" s="1"/>
      <c r="B2107" s="1"/>
      <c r="C2107" s="1"/>
      <c r="D2107" s="438">
        <v>590088</v>
      </c>
      <c r="E2107" s="438">
        <f t="shared" ref="E2107" si="835">SUM(E2101:E2106)</f>
        <v>198368.97</v>
      </c>
      <c r="F2107" s="467"/>
      <c r="G2107" s="438">
        <v>501970</v>
      </c>
      <c r="H2107" s="438">
        <f>SUM(H2101:H2106)</f>
        <v>462494.58999999997</v>
      </c>
      <c r="I2107" s="438">
        <f>SUM(I2101:I2106)</f>
        <v>443274.99</v>
      </c>
      <c r="J2107" s="438">
        <f t="shared" ref="J2107" si="836">SUM(J2101:J2106)</f>
        <v>409915.11000000004</v>
      </c>
    </row>
    <row r="2108" spans="1:10" ht="13.5" customHeight="1" x14ac:dyDescent="0.25">
      <c r="A2108" s="1"/>
      <c r="B2108" s="1"/>
      <c r="C2108" s="1"/>
      <c r="D2108" s="437"/>
      <c r="E2108" s="437"/>
      <c r="F2108" s="466"/>
      <c r="G2108" s="437"/>
      <c r="H2108" s="437"/>
      <c r="I2108" s="437"/>
      <c r="J2108" s="437"/>
    </row>
    <row r="2109" spans="1:10" ht="13.5" customHeight="1" x14ac:dyDescent="0.25">
      <c r="A2109" s="1"/>
      <c r="B2109" s="1" t="s">
        <v>1919</v>
      </c>
      <c r="C2109" s="1" t="s">
        <v>257</v>
      </c>
      <c r="D2109" s="437">
        <v>45463.031999999992</v>
      </c>
      <c r="E2109" s="437">
        <v>14233.35</v>
      </c>
      <c r="F2109" s="466"/>
      <c r="G2109" s="437">
        <v>38722.01</v>
      </c>
      <c r="H2109" s="437">
        <v>33255.11</v>
      </c>
      <c r="I2109" s="437">
        <v>32189.67</v>
      </c>
      <c r="J2109" s="437">
        <v>29756.98</v>
      </c>
    </row>
    <row r="2110" spans="1:10" ht="13.5" customHeight="1" x14ac:dyDescent="0.25">
      <c r="A2110" s="1"/>
      <c r="B2110" s="1" t="s">
        <v>1920</v>
      </c>
      <c r="C2110" s="1" t="s">
        <v>259</v>
      </c>
      <c r="D2110" s="437">
        <v>125530.61760000003</v>
      </c>
      <c r="E2110" s="437">
        <v>50409.96</v>
      </c>
      <c r="F2110" s="466"/>
      <c r="G2110" s="437">
        <v>104634.35</v>
      </c>
      <c r="H2110" s="437">
        <v>96793.07</v>
      </c>
      <c r="I2110" s="437">
        <v>81893.09</v>
      </c>
      <c r="J2110" s="437">
        <v>81119.5</v>
      </c>
    </row>
    <row r="2111" spans="1:10" ht="13.5" customHeight="1" x14ac:dyDescent="0.25">
      <c r="A2111" s="1"/>
      <c r="B2111" s="1" t="s">
        <v>1921</v>
      </c>
      <c r="C2111" s="1" t="s">
        <v>261</v>
      </c>
      <c r="D2111" s="437">
        <v>89262.057599999986</v>
      </c>
      <c r="E2111" s="437">
        <v>30052.560000000001</v>
      </c>
      <c r="F2111" s="466"/>
      <c r="G2111" s="437">
        <v>76026.73</v>
      </c>
      <c r="H2111" s="437">
        <v>68501.83</v>
      </c>
      <c r="I2111" s="437">
        <v>63592.12</v>
      </c>
      <c r="J2111" s="437">
        <v>58980.18</v>
      </c>
    </row>
    <row r="2112" spans="1:10" ht="13.5" customHeight="1" x14ac:dyDescent="0.25">
      <c r="A2112" s="1"/>
      <c r="B2112" s="1" t="s">
        <v>1922</v>
      </c>
      <c r="C2112" s="1" t="s">
        <v>1865</v>
      </c>
      <c r="D2112" s="437">
        <v>10000</v>
      </c>
      <c r="E2112" s="437">
        <v>5712</v>
      </c>
      <c r="F2112" s="466"/>
      <c r="G2112" s="437">
        <v>10000</v>
      </c>
      <c r="H2112" s="437">
        <v>8628</v>
      </c>
      <c r="I2112" s="437">
        <v>8136</v>
      </c>
      <c r="J2112" s="437">
        <v>8573.68</v>
      </c>
    </row>
    <row r="2113" spans="1:10" ht="13.5" customHeight="1" x14ac:dyDescent="0.25">
      <c r="A2113" s="1"/>
      <c r="B2113" s="1" t="s">
        <v>1923</v>
      </c>
      <c r="C2113" s="1" t="s">
        <v>263</v>
      </c>
      <c r="D2113" s="437">
        <v>950.86080000000015</v>
      </c>
      <c r="E2113" s="437">
        <v>320.14</v>
      </c>
      <c r="F2113" s="466"/>
      <c r="G2113" s="437">
        <v>809.87</v>
      </c>
      <c r="H2113" s="437">
        <v>730.46</v>
      </c>
      <c r="I2113" s="437">
        <v>700.1</v>
      </c>
      <c r="J2113" s="437">
        <v>744.46</v>
      </c>
    </row>
    <row r="2114" spans="1:10" ht="13.5" customHeight="1" x14ac:dyDescent="0.25">
      <c r="A2114" s="1"/>
      <c r="B2114" s="1" t="s">
        <v>1924</v>
      </c>
      <c r="C2114" s="1" t="s">
        <v>295</v>
      </c>
      <c r="D2114" s="437">
        <v>306.65879999999999</v>
      </c>
      <c r="E2114" s="437">
        <v>57.23</v>
      </c>
      <c r="F2114" s="466"/>
      <c r="G2114" s="437">
        <v>258.47000000000003</v>
      </c>
      <c r="H2114" s="437">
        <v>247.55</v>
      </c>
      <c r="I2114" s="437">
        <v>310.67</v>
      </c>
      <c r="J2114" s="437">
        <v>370.85</v>
      </c>
    </row>
    <row r="2115" spans="1:10" ht="13.5" customHeight="1" x14ac:dyDescent="0.25">
      <c r="A2115" s="1"/>
      <c r="B2115" s="1" t="s">
        <v>1925</v>
      </c>
      <c r="C2115" s="1" t="s">
        <v>265</v>
      </c>
      <c r="D2115" s="437">
        <v>4498.5600000000004</v>
      </c>
      <c r="E2115" s="437">
        <v>1697.08</v>
      </c>
      <c r="F2115" s="466"/>
      <c r="G2115" s="437">
        <v>3511.2</v>
      </c>
      <c r="H2115" s="437">
        <v>3288.37</v>
      </c>
      <c r="I2115" s="437">
        <v>2661.92</v>
      </c>
      <c r="J2115" s="437">
        <v>2507.64</v>
      </c>
    </row>
    <row r="2116" spans="1:10" ht="13.5" customHeight="1" x14ac:dyDescent="0.25">
      <c r="A2116" s="1"/>
      <c r="B2116" s="1" t="s">
        <v>1926</v>
      </c>
      <c r="C2116" s="1" t="s">
        <v>1431</v>
      </c>
      <c r="D2116" s="437">
        <v>4200</v>
      </c>
      <c r="E2116" s="437">
        <v>1938.48</v>
      </c>
      <c r="F2116" s="466"/>
      <c r="G2116" s="437">
        <v>4200</v>
      </c>
      <c r="H2116" s="437">
        <v>4200.04</v>
      </c>
      <c r="I2116" s="437">
        <v>4200.1000000000004</v>
      </c>
      <c r="J2116" s="437">
        <v>4200.04</v>
      </c>
    </row>
    <row r="2117" spans="1:10" ht="13.5" customHeight="1" x14ac:dyDescent="0.25">
      <c r="A2117" s="1"/>
      <c r="B2117" s="1"/>
      <c r="C2117" s="1"/>
      <c r="D2117" s="438">
        <v>280211.7868</v>
      </c>
      <c r="E2117" s="438">
        <f t="shared" ref="E2117" si="837">SUM(E2109:E2116)</f>
        <v>104420.79999999999</v>
      </c>
      <c r="F2117" s="467"/>
      <c r="G2117" s="438">
        <v>238162.63</v>
      </c>
      <c r="H2117" s="438">
        <f>SUM(H2109:H2116)</f>
        <v>215644.43</v>
      </c>
      <c r="I2117" s="438">
        <f>SUM(I2109:I2116)</f>
        <v>193683.67000000004</v>
      </c>
      <c r="J2117" s="438">
        <f t="shared" ref="J2117" si="838">SUM(J2109:J2116)</f>
        <v>186253.33000000002</v>
      </c>
    </row>
    <row r="2118" spans="1:10" ht="13.5" customHeight="1" x14ac:dyDescent="0.25">
      <c r="A2118" s="1"/>
      <c r="B2118" s="1"/>
      <c r="C2118" s="1"/>
      <c r="D2118" s="437"/>
      <c r="E2118" s="437"/>
      <c r="F2118" s="466"/>
      <c r="G2118" s="437"/>
      <c r="H2118" s="437"/>
      <c r="I2118" s="437"/>
      <c r="J2118" s="437"/>
    </row>
    <row r="2119" spans="1:10" ht="13.5" customHeight="1" x14ac:dyDescent="0.25">
      <c r="A2119" s="1"/>
      <c r="B2119" s="1" t="s">
        <v>1927</v>
      </c>
      <c r="C2119" s="1" t="s">
        <v>267</v>
      </c>
      <c r="D2119" s="437">
        <v>1000</v>
      </c>
      <c r="E2119" s="437">
        <v>119.97</v>
      </c>
      <c r="F2119" s="466"/>
      <c r="G2119" s="437">
        <v>1000</v>
      </c>
      <c r="H2119" s="437">
        <v>737.53</v>
      </c>
      <c r="I2119" s="437">
        <v>699.76</v>
      </c>
      <c r="J2119" s="437">
        <v>594.64</v>
      </c>
    </row>
    <row r="2120" spans="1:10" ht="13.5" customHeight="1" x14ac:dyDescent="0.25">
      <c r="A2120" s="1"/>
      <c r="B2120" s="1" t="s">
        <v>1928</v>
      </c>
      <c r="C2120" s="1" t="s">
        <v>488</v>
      </c>
      <c r="D2120" s="437">
        <v>78465</v>
      </c>
      <c r="E2120" s="437">
        <v>21641.279999999999</v>
      </c>
      <c r="F2120" s="466"/>
      <c r="G2120" s="437">
        <v>78465</v>
      </c>
      <c r="H2120" s="437">
        <v>35536.559999999998</v>
      </c>
      <c r="I2120" s="437">
        <v>57069.38</v>
      </c>
      <c r="J2120" s="437">
        <v>72007.89</v>
      </c>
    </row>
    <row r="2121" spans="1:10" ht="13.5" customHeight="1" x14ac:dyDescent="0.25">
      <c r="A2121" s="1"/>
      <c r="B2121" s="1" t="s">
        <v>1929</v>
      </c>
      <c r="C2121" s="1" t="s">
        <v>1151</v>
      </c>
      <c r="D2121" s="437">
        <v>5000</v>
      </c>
      <c r="E2121" s="437">
        <v>3221.6</v>
      </c>
      <c r="F2121" s="466"/>
      <c r="G2121" s="437">
        <v>5000</v>
      </c>
      <c r="H2121" s="437">
        <v>5411.92</v>
      </c>
      <c r="I2121" s="437">
        <v>4953.43</v>
      </c>
      <c r="J2121" s="437">
        <v>3461.28</v>
      </c>
    </row>
    <row r="2122" spans="1:10" ht="13.5" customHeight="1" x14ac:dyDescent="0.25">
      <c r="A2122" s="1"/>
      <c r="B2122" s="1" t="s">
        <v>1930</v>
      </c>
      <c r="C2122" s="1" t="s">
        <v>1875</v>
      </c>
      <c r="D2122" s="437">
        <v>641672.77999999991</v>
      </c>
      <c r="E2122" s="437">
        <v>178952.05</v>
      </c>
      <c r="F2122" s="466"/>
      <c r="G2122" s="437">
        <v>663212.98</v>
      </c>
      <c r="H2122" s="437">
        <v>502411.21</v>
      </c>
      <c r="I2122" s="437">
        <v>451840.17</v>
      </c>
      <c r="J2122" s="437">
        <v>428029.45</v>
      </c>
    </row>
    <row r="2123" spans="1:10" ht="13.5" customHeight="1" x14ac:dyDescent="0.25">
      <c r="A2123" s="1"/>
      <c r="B2123" s="1" t="s">
        <v>1931</v>
      </c>
      <c r="C2123" s="1" t="s">
        <v>1877</v>
      </c>
      <c r="D2123" s="437">
        <v>18000</v>
      </c>
      <c r="E2123" s="437">
        <v>3065.91</v>
      </c>
      <c r="F2123" s="466"/>
      <c r="G2123" s="437">
        <v>18000</v>
      </c>
      <c r="H2123" s="437">
        <v>77977.09</v>
      </c>
      <c r="I2123" s="437">
        <v>71664.350000000006</v>
      </c>
      <c r="J2123" s="437">
        <v>14511.6</v>
      </c>
    </row>
    <row r="2124" spans="1:10" ht="13.5" customHeight="1" x14ac:dyDescent="0.25">
      <c r="A2124" s="1"/>
      <c r="B2124" s="1" t="s">
        <v>1932</v>
      </c>
      <c r="C2124" s="1" t="s">
        <v>490</v>
      </c>
      <c r="D2124" s="437">
        <v>13000</v>
      </c>
      <c r="E2124" s="437">
        <v>3092</v>
      </c>
      <c r="F2124" s="466"/>
      <c r="G2124" s="437">
        <v>13000</v>
      </c>
      <c r="H2124" s="437">
        <v>7538.94</v>
      </c>
      <c r="I2124" s="437">
        <v>15555.48</v>
      </c>
      <c r="J2124" s="437">
        <v>8974.15</v>
      </c>
    </row>
    <row r="2125" spans="1:10" ht="13.5" customHeight="1" x14ac:dyDescent="0.25">
      <c r="A2125" s="1"/>
      <c r="B2125" s="1" t="s">
        <v>1933</v>
      </c>
      <c r="C2125" s="1" t="s">
        <v>1154</v>
      </c>
      <c r="D2125" s="437">
        <v>12000</v>
      </c>
      <c r="E2125" s="437">
        <v>5849.8</v>
      </c>
      <c r="F2125" s="466"/>
      <c r="G2125" s="437">
        <v>12000</v>
      </c>
      <c r="H2125" s="437">
        <v>14027.89</v>
      </c>
      <c r="I2125" s="437">
        <v>22417</v>
      </c>
      <c r="J2125" s="437">
        <v>16665.509999999998</v>
      </c>
    </row>
    <row r="2126" spans="1:10" ht="13.5" customHeight="1" x14ac:dyDescent="0.25">
      <c r="A2126" s="1"/>
      <c r="B2126" s="1" t="s">
        <v>1934</v>
      </c>
      <c r="C2126" s="1" t="s">
        <v>1881</v>
      </c>
      <c r="D2126" s="437">
        <v>4452</v>
      </c>
      <c r="E2126" s="437">
        <v>2043.84</v>
      </c>
      <c r="F2126" s="466"/>
      <c r="G2126" s="437">
        <v>4452</v>
      </c>
      <c r="H2126" s="437">
        <v>2044.81</v>
      </c>
      <c r="I2126" s="437">
        <v>6622.9</v>
      </c>
      <c r="J2126" s="437">
        <v>2299.9699999999998</v>
      </c>
    </row>
    <row r="2127" spans="1:10" ht="13.5" customHeight="1" x14ac:dyDescent="0.25">
      <c r="A2127" s="1"/>
      <c r="B2127" s="1" t="s">
        <v>1935</v>
      </c>
      <c r="C2127" s="1" t="s">
        <v>1442</v>
      </c>
      <c r="D2127" s="437">
        <v>0</v>
      </c>
      <c r="E2127" s="437">
        <v>390.95</v>
      </c>
      <c r="F2127" s="466"/>
      <c r="G2127" s="437">
        <v>0</v>
      </c>
      <c r="H2127" s="437">
        <v>1063.0999999999999</v>
      </c>
      <c r="I2127" s="437">
        <v>490.67</v>
      </c>
      <c r="J2127" s="440">
        <v>0</v>
      </c>
    </row>
    <row r="2128" spans="1:10" ht="13.5" customHeight="1" x14ac:dyDescent="0.25">
      <c r="A2128" s="1"/>
      <c r="B2128" s="1" t="s">
        <v>1936</v>
      </c>
      <c r="C2128" s="1" t="s">
        <v>273</v>
      </c>
      <c r="D2128" s="437">
        <v>0</v>
      </c>
      <c r="E2128" s="437"/>
      <c r="F2128" s="466"/>
      <c r="G2128" s="437">
        <v>0</v>
      </c>
      <c r="H2128" s="437">
        <v>11589.91</v>
      </c>
      <c r="I2128" s="437">
        <v>5955.85</v>
      </c>
      <c r="J2128" s="440">
        <v>0</v>
      </c>
    </row>
    <row r="2129" spans="1:10" ht="13.5" customHeight="1" x14ac:dyDescent="0.25">
      <c r="A2129" s="1"/>
      <c r="B2129" s="1" t="s">
        <v>1937</v>
      </c>
      <c r="C2129" s="1" t="s">
        <v>275</v>
      </c>
      <c r="D2129" s="437">
        <v>0</v>
      </c>
      <c r="E2129" s="437">
        <v>211.93</v>
      </c>
      <c r="F2129" s="466"/>
      <c r="G2129" s="437">
        <v>0</v>
      </c>
      <c r="H2129" s="437">
        <v>608.51</v>
      </c>
      <c r="I2129" s="437">
        <v>3528.69</v>
      </c>
      <c r="J2129" s="437">
        <v>137.47</v>
      </c>
    </row>
    <row r="2130" spans="1:10" ht="13.5" customHeight="1" x14ac:dyDescent="0.25">
      <c r="A2130" s="1"/>
      <c r="B2130" s="1"/>
      <c r="C2130" s="1"/>
      <c r="D2130" s="441">
        <v>773589.77999999991</v>
      </c>
      <c r="E2130" s="441">
        <f t="shared" ref="E2130" si="839">SUM(E2119:E2129)</f>
        <v>218589.33</v>
      </c>
      <c r="F2130" s="469"/>
      <c r="G2130" s="452">
        <v>795129.98</v>
      </c>
      <c r="H2130" s="441">
        <f>SUM(H2119:H2129)</f>
        <v>658947.47</v>
      </c>
      <c r="I2130" s="441">
        <f>SUM(I2119:I2129)</f>
        <v>640797.67999999993</v>
      </c>
      <c r="J2130" s="441">
        <f t="shared" ref="J2130" si="840">SUM(J2119:J2129)</f>
        <v>546681.96</v>
      </c>
    </row>
    <row r="2131" spans="1:10" ht="13.5" customHeight="1" x14ac:dyDescent="0.25">
      <c r="A2131" s="1"/>
      <c r="B2131" s="1"/>
      <c r="C2131" s="1"/>
      <c r="D2131" s="440"/>
      <c r="E2131" s="437"/>
      <c r="F2131" s="466"/>
      <c r="G2131" s="437"/>
      <c r="H2131" s="437"/>
      <c r="I2131" s="437"/>
      <c r="J2131" s="437"/>
    </row>
    <row r="2132" spans="1:10" ht="13.5" customHeight="1" x14ac:dyDescent="0.25">
      <c r="A2132" s="1"/>
      <c r="B2132" s="1" t="s">
        <v>1938</v>
      </c>
      <c r="C2132" s="1" t="s">
        <v>279</v>
      </c>
      <c r="D2132" s="437">
        <v>0</v>
      </c>
      <c r="E2132" s="437"/>
      <c r="F2132" s="466"/>
      <c r="G2132" s="437">
        <v>0</v>
      </c>
      <c r="H2132" s="437">
        <v>6409</v>
      </c>
      <c r="I2132" s="437">
        <v>600</v>
      </c>
      <c r="J2132" s="437">
        <v>38560.11</v>
      </c>
    </row>
    <row r="2133" spans="1:10" ht="13.5" customHeight="1" x14ac:dyDescent="0.25">
      <c r="A2133" s="1"/>
      <c r="B2133" s="1" t="s">
        <v>1939</v>
      </c>
      <c r="C2133" s="1" t="s">
        <v>329</v>
      </c>
      <c r="D2133" s="437">
        <v>1962</v>
      </c>
      <c r="E2133" s="437">
        <v>199.6</v>
      </c>
      <c r="F2133" s="466"/>
      <c r="G2133" s="437">
        <v>1962</v>
      </c>
      <c r="H2133" s="437">
        <v>434.4</v>
      </c>
      <c r="I2133" s="437">
        <v>593.91999999999996</v>
      </c>
      <c r="J2133" s="437">
        <v>551.98</v>
      </c>
    </row>
    <row r="2134" spans="1:10" ht="13.5" customHeight="1" x14ac:dyDescent="0.25">
      <c r="A2134" s="1"/>
      <c r="B2134" s="1" t="s">
        <v>1940</v>
      </c>
      <c r="C2134" s="1" t="s">
        <v>426</v>
      </c>
      <c r="D2134" s="437">
        <v>914</v>
      </c>
      <c r="E2134" s="437">
        <v>763</v>
      </c>
      <c r="F2134" s="466"/>
      <c r="G2134" s="437">
        <v>914</v>
      </c>
      <c r="H2134" s="437">
        <v>2035.64</v>
      </c>
      <c r="I2134" s="437">
        <v>2544.87</v>
      </c>
      <c r="J2134" s="437">
        <v>1092.94</v>
      </c>
    </row>
    <row r="2135" spans="1:10" ht="13.5" customHeight="1" x14ac:dyDescent="0.25">
      <c r="A2135" s="1"/>
      <c r="B2135" s="22" t="s">
        <v>1941</v>
      </c>
      <c r="C2135" s="22" t="s">
        <v>504</v>
      </c>
      <c r="D2135" s="437">
        <v>402</v>
      </c>
      <c r="E2135" s="437"/>
      <c r="F2135" s="466"/>
      <c r="G2135" s="437">
        <v>402</v>
      </c>
      <c r="H2135" s="437">
        <v>0</v>
      </c>
      <c r="I2135" s="437">
        <v>0</v>
      </c>
      <c r="J2135" s="437">
        <v>0</v>
      </c>
    </row>
    <row r="2136" spans="1:10" ht="13.5" customHeight="1" x14ac:dyDescent="0.25">
      <c r="A2136" s="1"/>
      <c r="B2136" s="1" t="s">
        <v>1942</v>
      </c>
      <c r="C2136" s="1" t="s">
        <v>1175</v>
      </c>
      <c r="D2136" s="437">
        <v>2500</v>
      </c>
      <c r="E2136" s="437">
        <v>2691.49</v>
      </c>
      <c r="F2136" s="466"/>
      <c r="G2136" s="437">
        <v>2500</v>
      </c>
      <c r="H2136" s="437">
        <v>5341.94</v>
      </c>
      <c r="I2136" s="437">
        <v>4301.95</v>
      </c>
      <c r="J2136" s="437">
        <v>2911.89</v>
      </c>
    </row>
    <row r="2137" spans="1:10" ht="13.5" customHeight="1" x14ac:dyDescent="0.25">
      <c r="A2137" s="1"/>
      <c r="B2137" s="1" t="s">
        <v>1943</v>
      </c>
      <c r="C2137" s="1" t="s">
        <v>1893</v>
      </c>
      <c r="D2137" s="437">
        <v>8596</v>
      </c>
      <c r="E2137" s="437"/>
      <c r="F2137" s="466"/>
      <c r="G2137" s="437">
        <v>8596</v>
      </c>
      <c r="H2137" s="437">
        <v>118.95</v>
      </c>
      <c r="I2137" s="437">
        <v>2233.0500000000002</v>
      </c>
      <c r="J2137" s="437">
        <v>551.9</v>
      </c>
    </row>
    <row r="2138" spans="1:10" ht="13.5" customHeight="1" x14ac:dyDescent="0.25">
      <c r="A2138" s="1"/>
      <c r="B2138" s="1" t="s">
        <v>1944</v>
      </c>
      <c r="C2138" s="1" t="s">
        <v>1895</v>
      </c>
      <c r="D2138" s="437">
        <v>850</v>
      </c>
      <c r="E2138" s="437">
        <v>385.7</v>
      </c>
      <c r="F2138" s="466"/>
      <c r="G2138" s="437">
        <v>850</v>
      </c>
      <c r="H2138" s="437">
        <v>982.5</v>
      </c>
      <c r="I2138" s="437">
        <v>3968.64</v>
      </c>
      <c r="J2138" s="437">
        <v>375.7</v>
      </c>
    </row>
    <row r="2139" spans="1:10" ht="13.5" customHeight="1" x14ac:dyDescent="0.25">
      <c r="A2139" s="1"/>
      <c r="B2139" s="1" t="s">
        <v>1945</v>
      </c>
      <c r="C2139" s="1" t="s">
        <v>1897</v>
      </c>
      <c r="D2139" s="437">
        <v>40000</v>
      </c>
      <c r="E2139" s="437">
        <v>17361.55</v>
      </c>
      <c r="F2139" s="466"/>
      <c r="G2139" s="437">
        <v>40000</v>
      </c>
      <c r="H2139" s="437">
        <v>46762.879999999997</v>
      </c>
      <c r="I2139" s="437">
        <v>47396.26</v>
      </c>
      <c r="J2139" s="437">
        <v>60717.96</v>
      </c>
    </row>
    <row r="2140" spans="1:10" ht="13.5" customHeight="1" x14ac:dyDescent="0.25">
      <c r="A2140" s="1"/>
      <c r="B2140" s="1" t="s">
        <v>1946</v>
      </c>
      <c r="C2140" s="1" t="s">
        <v>1161</v>
      </c>
      <c r="D2140" s="437">
        <v>500</v>
      </c>
      <c r="E2140" s="439">
        <v>465</v>
      </c>
      <c r="F2140" s="468"/>
      <c r="G2140" s="440">
        <v>500</v>
      </c>
      <c r="H2140" s="439">
        <v>77.2</v>
      </c>
      <c r="I2140" s="439">
        <v>14833.14</v>
      </c>
      <c r="J2140" s="437">
        <v>1168.6300000000001</v>
      </c>
    </row>
    <row r="2141" spans="1:10" ht="13.5" customHeight="1" x14ac:dyDescent="0.25">
      <c r="A2141" s="1"/>
      <c r="B2141" s="1" t="s">
        <v>1947</v>
      </c>
      <c r="C2141" s="1" t="s">
        <v>509</v>
      </c>
      <c r="D2141" s="437">
        <v>25000</v>
      </c>
      <c r="E2141" s="437">
        <v>5284.43</v>
      </c>
      <c r="F2141" s="466"/>
      <c r="G2141" s="437">
        <v>25000</v>
      </c>
      <c r="H2141" s="437">
        <v>19992.75</v>
      </c>
      <c r="I2141" s="437">
        <v>17836.509999999998</v>
      </c>
      <c r="J2141" s="437">
        <v>11240.75</v>
      </c>
    </row>
    <row r="2142" spans="1:10" ht="13.5" customHeight="1" x14ac:dyDescent="0.25">
      <c r="A2142" s="1"/>
      <c r="B2142" s="1" t="s">
        <v>1948</v>
      </c>
      <c r="C2142" s="1" t="s">
        <v>1901</v>
      </c>
      <c r="D2142" s="437">
        <v>850</v>
      </c>
      <c r="E2142" s="437"/>
      <c r="F2142" s="466"/>
      <c r="G2142" s="437">
        <v>850</v>
      </c>
      <c r="H2142" s="437">
        <v>772.5</v>
      </c>
      <c r="I2142" s="439">
        <v>750</v>
      </c>
      <c r="J2142" s="437">
        <v>4764.5</v>
      </c>
    </row>
    <row r="2143" spans="1:10" ht="13.5" customHeight="1" x14ac:dyDescent="0.25">
      <c r="A2143" s="1"/>
      <c r="B2143" s="1" t="s">
        <v>1949</v>
      </c>
      <c r="C2143" s="1" t="s">
        <v>1470</v>
      </c>
      <c r="D2143" s="437">
        <v>0</v>
      </c>
      <c r="E2143" s="437"/>
      <c r="F2143" s="466"/>
      <c r="G2143" s="437">
        <v>0</v>
      </c>
      <c r="H2143" s="437">
        <v>0</v>
      </c>
      <c r="I2143" s="439">
        <v>1860.19</v>
      </c>
      <c r="J2143" s="440">
        <v>0</v>
      </c>
    </row>
    <row r="2144" spans="1:10" ht="13.5" customHeight="1" x14ac:dyDescent="0.25">
      <c r="A2144" s="1"/>
      <c r="B2144" s="1" t="s">
        <v>1950</v>
      </c>
      <c r="C2144" s="1" t="s">
        <v>565</v>
      </c>
      <c r="D2144" s="437">
        <v>178</v>
      </c>
      <c r="E2144" s="437"/>
      <c r="F2144" s="466"/>
      <c r="G2144" s="437">
        <v>178</v>
      </c>
      <c r="H2144" s="437">
        <v>0</v>
      </c>
      <c r="I2144" s="437">
        <v>177.5</v>
      </c>
      <c r="J2144" s="440">
        <v>0</v>
      </c>
    </row>
    <row r="2145" spans="1:10" ht="13.5" customHeight="1" x14ac:dyDescent="0.25">
      <c r="A2145" s="1"/>
      <c r="B2145" s="1" t="s">
        <v>1951</v>
      </c>
      <c r="C2145" s="1" t="s">
        <v>1475</v>
      </c>
      <c r="D2145" s="437">
        <v>0</v>
      </c>
      <c r="E2145" s="437"/>
      <c r="F2145" s="466"/>
      <c r="G2145" s="437">
        <v>0</v>
      </c>
      <c r="H2145" s="437">
        <v>26023.03</v>
      </c>
      <c r="I2145" s="437">
        <v>455.75</v>
      </c>
      <c r="J2145" s="437">
        <v>3153.54</v>
      </c>
    </row>
    <row r="2146" spans="1:10" ht="13.5" customHeight="1" x14ac:dyDescent="0.25">
      <c r="A2146" s="1"/>
      <c r="B2146" s="1"/>
      <c r="C2146" s="1"/>
      <c r="D2146" s="441">
        <v>81752</v>
      </c>
      <c r="E2146" s="441">
        <f t="shared" ref="E2146" si="841">SUM(E2132:E2145)</f>
        <v>27150.77</v>
      </c>
      <c r="F2146" s="469"/>
      <c r="G2146" s="441">
        <v>81752</v>
      </c>
      <c r="H2146" s="441">
        <f>SUM(H2132:H2145)</f>
        <v>108950.79</v>
      </c>
      <c r="I2146" s="441">
        <f>SUM(I2132:I2145)</f>
        <v>97551.78</v>
      </c>
      <c r="J2146" s="441">
        <f t="shared" ref="J2146" si="842">SUM(J2132:J2145)</f>
        <v>125089.90000000001</v>
      </c>
    </row>
    <row r="2147" spans="1:10" ht="13.5" customHeight="1" x14ac:dyDescent="0.25">
      <c r="A2147" s="1"/>
      <c r="B2147" s="1"/>
      <c r="C2147" s="1"/>
      <c r="D2147" s="440"/>
      <c r="E2147" s="437"/>
      <c r="F2147" s="466"/>
      <c r="G2147" s="437"/>
      <c r="H2147" s="437"/>
      <c r="I2147" s="437"/>
      <c r="J2147" s="437"/>
    </row>
    <row r="2148" spans="1:10" ht="13.5" customHeight="1" x14ac:dyDescent="0.25">
      <c r="A2148" s="1"/>
      <c r="B2148" s="22" t="s">
        <v>1952</v>
      </c>
      <c r="C2148" s="22" t="s">
        <v>1186</v>
      </c>
      <c r="D2148" s="437">
        <v>5500</v>
      </c>
      <c r="E2148" s="437"/>
      <c r="F2148" s="466"/>
      <c r="G2148" s="437">
        <v>5500</v>
      </c>
      <c r="H2148" s="437">
        <v>0</v>
      </c>
      <c r="I2148" s="437">
        <v>5700</v>
      </c>
      <c r="J2148" s="440">
        <v>0</v>
      </c>
    </row>
    <row r="2149" spans="1:10" ht="13.5" customHeight="1" x14ac:dyDescent="0.25">
      <c r="A2149" s="1"/>
      <c r="B2149" s="1" t="s">
        <v>1953</v>
      </c>
      <c r="C2149" s="1" t="s">
        <v>1315</v>
      </c>
      <c r="D2149" s="437">
        <v>5500</v>
      </c>
      <c r="E2149" s="437">
        <v>60000</v>
      </c>
      <c r="F2149" s="466"/>
      <c r="G2149" s="437">
        <v>5500</v>
      </c>
      <c r="H2149" s="437">
        <v>158695</v>
      </c>
      <c r="I2149" s="437">
        <v>148488.95999999999</v>
      </c>
      <c r="J2149" s="440">
        <v>0</v>
      </c>
    </row>
    <row r="2150" spans="1:10" ht="13.5" customHeight="1" x14ac:dyDescent="0.25">
      <c r="A2150" s="1"/>
      <c r="B2150" s="1" t="s">
        <v>1954</v>
      </c>
      <c r="C2150" s="1" t="s">
        <v>1908</v>
      </c>
      <c r="D2150" s="437">
        <v>135000</v>
      </c>
      <c r="E2150" s="437">
        <v>66250</v>
      </c>
      <c r="F2150" s="466"/>
      <c r="G2150" s="437">
        <v>135000</v>
      </c>
      <c r="H2150" s="437">
        <v>272764.81</v>
      </c>
      <c r="I2150" s="437">
        <v>190291</v>
      </c>
      <c r="J2150" s="437">
        <v>331915.17</v>
      </c>
    </row>
    <row r="2151" spans="1:10" ht="13.5" customHeight="1" x14ac:dyDescent="0.25">
      <c r="A2151" s="1"/>
      <c r="B2151" s="1" t="s">
        <v>1955</v>
      </c>
      <c r="C2151" s="1" t="s">
        <v>1789</v>
      </c>
      <c r="D2151" s="437">
        <v>348</v>
      </c>
      <c r="E2151" s="437"/>
      <c r="F2151" s="466"/>
      <c r="G2151" s="437">
        <v>348</v>
      </c>
      <c r="H2151" s="437">
        <v>0</v>
      </c>
      <c r="I2151" s="440">
        <v>0</v>
      </c>
      <c r="J2151" s="440">
        <v>0</v>
      </c>
    </row>
    <row r="2152" spans="1:10" ht="13.5" customHeight="1" x14ac:dyDescent="0.25">
      <c r="A2152" s="1"/>
      <c r="B2152" s="1" t="s">
        <v>1956</v>
      </c>
      <c r="C2152" s="1" t="s">
        <v>843</v>
      </c>
      <c r="D2152" s="437">
        <v>0</v>
      </c>
      <c r="E2152" s="437"/>
      <c r="F2152" s="466"/>
      <c r="G2152" s="437">
        <v>0</v>
      </c>
      <c r="H2152" s="437">
        <v>0</v>
      </c>
      <c r="I2152" s="440">
        <v>0</v>
      </c>
      <c r="J2152" s="440">
        <v>0</v>
      </c>
    </row>
    <row r="2153" spans="1:10" ht="13.5" customHeight="1" x14ac:dyDescent="0.25">
      <c r="A2153" s="1"/>
      <c r="B2153" s="1" t="s">
        <v>1957</v>
      </c>
      <c r="C2153" s="1" t="s">
        <v>352</v>
      </c>
      <c r="D2153" s="440">
        <v>0</v>
      </c>
      <c r="E2153" s="437"/>
      <c r="F2153" s="466"/>
      <c r="G2153" s="437">
        <v>0</v>
      </c>
      <c r="H2153" s="437">
        <v>13500</v>
      </c>
      <c r="I2153" s="439">
        <v>52370.06</v>
      </c>
      <c r="J2153" s="440">
        <v>0</v>
      </c>
    </row>
    <row r="2154" spans="1:10" ht="13.5" customHeight="1" x14ac:dyDescent="0.25">
      <c r="A2154" s="1"/>
      <c r="B2154" s="1"/>
      <c r="C2154" s="1"/>
      <c r="D2154" s="441">
        <v>146348</v>
      </c>
      <c r="E2154" s="441">
        <f t="shared" ref="E2154" si="843">SUM(E2148:E2153)</f>
        <v>126250</v>
      </c>
      <c r="F2154" s="469"/>
      <c r="G2154" s="452">
        <v>146348</v>
      </c>
      <c r="H2154" s="441">
        <f>SUM(H2148:H2153)</f>
        <v>444959.81</v>
      </c>
      <c r="I2154" s="441">
        <f>SUM(I2148:I2153)</f>
        <v>396850.01999999996</v>
      </c>
      <c r="J2154" s="441">
        <f t="shared" ref="J2154" si="844">SUM(J2148:J2153)</f>
        <v>331915.17</v>
      </c>
    </row>
    <row r="2155" spans="1:10" ht="17.25" customHeight="1" thickBot="1" x14ac:dyDescent="0.3">
      <c r="A2155" s="1"/>
      <c r="B2155" s="1"/>
      <c r="C2155" s="39" t="s">
        <v>1958</v>
      </c>
      <c r="D2155" s="453">
        <v>1871989.5667999999</v>
      </c>
      <c r="E2155" s="453">
        <f t="shared" ref="E2155" si="845">SUM(E2107+E2117+E2130+E2146+E2154)</f>
        <v>674779.87</v>
      </c>
      <c r="F2155" s="479"/>
      <c r="G2155" s="455">
        <v>1763362.61</v>
      </c>
      <c r="H2155" s="453">
        <f>SUM(H2107+H2117+H2130+H2146+H2154)</f>
        <v>1890997.09</v>
      </c>
      <c r="I2155" s="453">
        <f>SUM(I2107+I2117+I2130+I2146+I2154)</f>
        <v>1772158.14</v>
      </c>
      <c r="J2155" s="453">
        <f t="shared" ref="J2155" si="846">SUM(J2107+J2117+J2130+J2146+J2154)</f>
        <v>1599855.4699999997</v>
      </c>
    </row>
    <row r="2156" spans="1:10" ht="13.5" customHeight="1" thickTop="1" x14ac:dyDescent="0.25">
      <c r="A2156" s="1"/>
      <c r="B2156" s="1"/>
      <c r="C2156" s="1"/>
      <c r="D2156" s="440"/>
      <c r="E2156" s="440"/>
      <c r="F2156" s="468"/>
      <c r="G2156" s="440"/>
      <c r="H2156" s="440"/>
      <c r="I2156" s="440"/>
      <c r="J2156" s="440"/>
    </row>
    <row r="2157" spans="1:10" ht="13.5" customHeight="1" x14ac:dyDescent="0.25">
      <c r="A2157" s="1"/>
      <c r="B2157" s="1"/>
      <c r="C2157" s="14"/>
      <c r="D2157" s="440"/>
      <c r="E2157" s="440"/>
      <c r="F2157" s="468"/>
      <c r="G2157" s="440"/>
      <c r="H2157" s="440"/>
      <c r="I2157" s="440"/>
      <c r="J2157" s="440"/>
    </row>
    <row r="2158" spans="1:10" ht="13.5" customHeight="1" x14ac:dyDescent="0.25">
      <c r="A2158" s="1"/>
      <c r="B2158" s="1"/>
      <c r="C2158" s="14" t="s">
        <v>1959</v>
      </c>
      <c r="D2158" s="440"/>
      <c r="E2158" s="440"/>
      <c r="F2158" s="468"/>
      <c r="G2158" s="440"/>
      <c r="H2158" s="440"/>
      <c r="I2158" s="440"/>
      <c r="J2158" s="440"/>
    </row>
    <row r="2159" spans="1:10" ht="13.5" customHeight="1" x14ac:dyDescent="0.25">
      <c r="A2159" s="1"/>
      <c r="B2159" s="1" t="s">
        <v>1960</v>
      </c>
      <c r="C2159" s="1" t="s">
        <v>437</v>
      </c>
      <c r="D2159" s="437">
        <v>76115</v>
      </c>
      <c r="E2159" s="437">
        <v>30948.58</v>
      </c>
      <c r="F2159" s="466"/>
      <c r="G2159" s="437">
        <v>72491</v>
      </c>
      <c r="H2159" s="437">
        <v>70534.210000000006</v>
      </c>
      <c r="I2159" s="437">
        <v>69051.8</v>
      </c>
      <c r="J2159" s="437">
        <v>67603.679999999993</v>
      </c>
    </row>
    <row r="2160" spans="1:10" ht="13.5" customHeight="1" x14ac:dyDescent="0.25">
      <c r="A2160" s="1"/>
      <c r="B2160" s="1" t="s">
        <v>1961</v>
      </c>
      <c r="C2160" s="1" t="s">
        <v>439</v>
      </c>
      <c r="D2160" s="437">
        <v>381232</v>
      </c>
      <c r="E2160" s="437">
        <v>154045.62</v>
      </c>
      <c r="F2160" s="466"/>
      <c r="G2160" s="437">
        <v>373497</v>
      </c>
      <c r="H2160" s="437">
        <v>367141.86</v>
      </c>
      <c r="I2160" s="437">
        <v>339519.14</v>
      </c>
      <c r="J2160" s="437">
        <v>318553.57</v>
      </c>
    </row>
    <row r="2161" spans="1:10" ht="13.5" customHeight="1" x14ac:dyDescent="0.25">
      <c r="A2161" s="1"/>
      <c r="B2161" s="1" t="s">
        <v>1962</v>
      </c>
      <c r="C2161" s="1" t="s">
        <v>441</v>
      </c>
      <c r="D2161" s="437">
        <v>32000</v>
      </c>
      <c r="E2161" s="437">
        <v>9178.5499999999993</v>
      </c>
      <c r="F2161" s="466"/>
      <c r="G2161" s="437">
        <v>32000</v>
      </c>
      <c r="H2161" s="437">
        <v>25036.1</v>
      </c>
      <c r="I2161" s="437">
        <v>21881.89</v>
      </c>
      <c r="J2161" s="437">
        <v>15754.31</v>
      </c>
    </row>
    <row r="2162" spans="1:10" ht="13.5" customHeight="1" x14ac:dyDescent="0.25">
      <c r="A2162" s="1"/>
      <c r="B2162" s="1" t="s">
        <v>1963</v>
      </c>
      <c r="C2162" s="1" t="s">
        <v>443</v>
      </c>
      <c r="D2162" s="437">
        <v>0</v>
      </c>
      <c r="E2162" s="437"/>
      <c r="F2162" s="466"/>
      <c r="G2162" s="437">
        <v>0</v>
      </c>
      <c r="H2162" s="437">
        <v>0</v>
      </c>
      <c r="I2162" s="437">
        <v>14412.3</v>
      </c>
      <c r="J2162" s="437">
        <v>13798.84</v>
      </c>
    </row>
    <row r="2163" spans="1:10" ht="13.5" customHeight="1" x14ac:dyDescent="0.25">
      <c r="A2163" s="1"/>
      <c r="B2163" s="1" t="s">
        <v>1964</v>
      </c>
      <c r="C2163" s="1" t="s">
        <v>1965</v>
      </c>
      <c r="D2163" s="440">
        <v>0</v>
      </c>
      <c r="E2163" s="437"/>
      <c r="F2163" s="466"/>
      <c r="G2163" s="437">
        <v>0</v>
      </c>
      <c r="H2163" s="437">
        <v>220.5</v>
      </c>
      <c r="I2163" s="440" t="s">
        <v>12</v>
      </c>
      <c r="J2163" s="440" t="s">
        <v>12</v>
      </c>
    </row>
    <row r="2164" spans="1:10" ht="13.5" customHeight="1" x14ac:dyDescent="0.25">
      <c r="A2164" s="1"/>
      <c r="B2164" s="1"/>
      <c r="C2164" s="1"/>
      <c r="D2164" s="441">
        <v>489347</v>
      </c>
      <c r="E2164" s="441">
        <f>SUM(E2159:E2162)</f>
        <v>194172.75</v>
      </c>
      <c r="F2164" s="469"/>
      <c r="G2164" s="452">
        <v>477988</v>
      </c>
      <c r="H2164" s="441">
        <f>SUM(H2159:H2163)</f>
        <v>462932.67</v>
      </c>
      <c r="I2164" s="441">
        <f>SUM(I2159:I2163)</f>
        <v>444865.13</v>
      </c>
      <c r="J2164" s="441">
        <f t="shared" ref="J2164" si="847">SUM(J2159:J2163)</f>
        <v>415710.4</v>
      </c>
    </row>
    <row r="2165" spans="1:10" ht="13.5" customHeight="1" x14ac:dyDescent="0.25">
      <c r="A2165" s="1"/>
      <c r="B2165" s="1"/>
      <c r="C2165" s="1"/>
      <c r="D2165" s="440"/>
      <c r="E2165" s="440"/>
      <c r="F2165" s="468"/>
      <c r="G2165" s="440"/>
      <c r="H2165" s="440"/>
      <c r="I2165" s="440"/>
      <c r="J2165" s="440"/>
    </row>
    <row r="2166" spans="1:10" ht="13.5" customHeight="1" x14ac:dyDescent="0.25">
      <c r="A2166" s="1"/>
      <c r="B2166" s="1" t="s">
        <v>1966</v>
      </c>
      <c r="C2166" s="1" t="s">
        <v>257</v>
      </c>
      <c r="D2166" s="437">
        <v>37756.345500000003</v>
      </c>
      <c r="E2166" s="437">
        <v>14171.17</v>
      </c>
      <c r="F2166" s="466"/>
      <c r="G2166" s="437">
        <v>36933.279999999999</v>
      </c>
      <c r="H2166" s="437">
        <v>33940.980000000003</v>
      </c>
      <c r="I2166" s="437">
        <v>32581.05</v>
      </c>
      <c r="J2166" s="437">
        <v>29867.82</v>
      </c>
    </row>
    <row r="2167" spans="1:10" ht="13.5" customHeight="1" x14ac:dyDescent="0.25">
      <c r="A2167" s="1"/>
      <c r="B2167" s="1" t="s">
        <v>1967</v>
      </c>
      <c r="C2167" s="1" t="s">
        <v>259</v>
      </c>
      <c r="D2167" s="437">
        <v>104608.84800000001</v>
      </c>
      <c r="E2167" s="437">
        <v>46101.72</v>
      </c>
      <c r="F2167" s="466"/>
      <c r="G2167" s="437">
        <v>104634.35</v>
      </c>
      <c r="H2167" s="437">
        <v>94313.63</v>
      </c>
      <c r="I2167" s="437">
        <v>84882.02</v>
      </c>
      <c r="J2167" s="437">
        <v>89582.38</v>
      </c>
    </row>
    <row r="2168" spans="1:10" ht="13.5" customHeight="1" x14ac:dyDescent="0.25">
      <c r="A2168" s="1"/>
      <c r="B2168" s="1" t="s">
        <v>1968</v>
      </c>
      <c r="C2168" s="1" t="s">
        <v>261</v>
      </c>
      <c r="D2168" s="437">
        <v>74130.759399999995</v>
      </c>
      <c r="E2168" s="437">
        <v>29075.119999999999</v>
      </c>
      <c r="F2168" s="466"/>
      <c r="G2168" s="437">
        <v>72434.64</v>
      </c>
      <c r="H2168" s="437">
        <v>68530</v>
      </c>
      <c r="I2168" s="437">
        <v>64397.02</v>
      </c>
      <c r="J2168" s="437">
        <v>60564.05</v>
      </c>
    </row>
    <row r="2169" spans="1:10" ht="13.5" customHeight="1" x14ac:dyDescent="0.25">
      <c r="A2169" s="1"/>
      <c r="B2169" s="1" t="s">
        <v>1969</v>
      </c>
      <c r="C2169" s="1" t="s">
        <v>1865</v>
      </c>
      <c r="D2169" s="437">
        <v>11000</v>
      </c>
      <c r="E2169" s="437">
        <v>5664</v>
      </c>
      <c r="F2169" s="466"/>
      <c r="G2169" s="437">
        <v>11000</v>
      </c>
      <c r="H2169" s="437">
        <v>7956</v>
      </c>
      <c r="I2169" s="437">
        <v>7991.36</v>
      </c>
      <c r="J2169" s="437">
        <v>8056.28</v>
      </c>
    </row>
    <row r="2170" spans="1:10" ht="13.5" customHeight="1" x14ac:dyDescent="0.25">
      <c r="A2170" s="1"/>
      <c r="B2170" s="1" t="s">
        <v>1970</v>
      </c>
      <c r="C2170" s="1" t="s">
        <v>263</v>
      </c>
      <c r="D2170" s="437">
        <v>789.67520000000013</v>
      </c>
      <c r="E2170" s="437">
        <v>309.70999999999998</v>
      </c>
      <c r="F2170" s="466"/>
      <c r="G2170" s="437">
        <v>771.5</v>
      </c>
      <c r="H2170" s="437">
        <v>730.01</v>
      </c>
      <c r="I2170" s="437">
        <v>708.93</v>
      </c>
      <c r="J2170" s="437">
        <v>764.99</v>
      </c>
    </row>
    <row r="2171" spans="1:10" ht="13.5" customHeight="1" x14ac:dyDescent="0.25">
      <c r="A2171" s="1"/>
      <c r="B2171" s="1" t="s">
        <v>1971</v>
      </c>
      <c r="C2171" s="1" t="s">
        <v>295</v>
      </c>
      <c r="D2171" s="437">
        <v>278.89487643835611</v>
      </c>
      <c r="E2171" s="437">
        <v>53.26</v>
      </c>
      <c r="F2171" s="466"/>
      <c r="G2171" s="437">
        <v>243.3</v>
      </c>
      <c r="H2171" s="437">
        <v>282.56</v>
      </c>
      <c r="I2171" s="437">
        <v>296.95</v>
      </c>
      <c r="J2171" s="437">
        <v>361.99</v>
      </c>
    </row>
    <row r="2172" spans="1:10" ht="13.5" customHeight="1" x14ac:dyDescent="0.25">
      <c r="A2172" s="1"/>
      <c r="B2172" s="1" t="s">
        <v>1972</v>
      </c>
      <c r="C2172" s="1" t="s">
        <v>265</v>
      </c>
      <c r="D2172" s="437">
        <v>3748.8000000000006</v>
      </c>
      <c r="E2172" s="437">
        <v>1550.78</v>
      </c>
      <c r="F2172" s="466"/>
      <c r="G2172" s="437">
        <v>3511.2</v>
      </c>
      <c r="H2172" s="437">
        <v>2782.2</v>
      </c>
      <c r="I2172" s="437">
        <v>2862</v>
      </c>
      <c r="J2172" s="437">
        <v>2765.52</v>
      </c>
    </row>
    <row r="2173" spans="1:10" ht="13.5" customHeight="1" x14ac:dyDescent="0.25">
      <c r="A2173" s="1"/>
      <c r="B2173" s="1" t="s">
        <v>1973</v>
      </c>
      <c r="C2173" s="1" t="s">
        <v>1431</v>
      </c>
      <c r="D2173" s="437">
        <v>4200</v>
      </c>
      <c r="E2173" s="437">
        <v>1938.48</v>
      </c>
      <c r="F2173" s="466"/>
      <c r="G2173" s="437">
        <v>4200</v>
      </c>
      <c r="H2173" s="437">
        <v>4200.04</v>
      </c>
      <c r="I2173" s="437">
        <v>4200.04</v>
      </c>
      <c r="J2173" s="437">
        <v>4200.04</v>
      </c>
    </row>
    <row r="2174" spans="1:10" ht="13.5" customHeight="1" x14ac:dyDescent="0.25">
      <c r="A2174" s="1"/>
      <c r="B2174" s="1"/>
      <c r="C2174" s="1"/>
      <c r="D2174" s="438">
        <v>236513.32297643839</v>
      </c>
      <c r="E2174" s="438">
        <f t="shared" ref="E2174" si="848">SUM(E2166:E2173)</f>
        <v>98864.239999999991</v>
      </c>
      <c r="F2174" s="467"/>
      <c r="G2174" s="438">
        <v>233718.27</v>
      </c>
      <c r="H2174" s="438">
        <f>SUM(H2166:H2173)</f>
        <v>212735.42000000004</v>
      </c>
      <c r="I2174" s="438">
        <f>SUM(I2166:I2173)</f>
        <v>197919.37</v>
      </c>
      <c r="J2174" s="438">
        <f t="shared" ref="J2174" si="849">SUM(J2166:J2173)</f>
        <v>196163.06999999998</v>
      </c>
    </row>
    <row r="2175" spans="1:10" ht="13.5" customHeight="1" x14ac:dyDescent="0.25">
      <c r="A2175" s="1"/>
      <c r="B2175" s="1"/>
      <c r="C2175" s="1"/>
      <c r="D2175" s="437"/>
      <c r="E2175" s="437"/>
      <c r="F2175" s="466"/>
      <c r="G2175" s="437"/>
      <c r="H2175" s="437"/>
      <c r="I2175" s="437"/>
      <c r="J2175" s="437"/>
    </row>
    <row r="2176" spans="1:10" ht="13.5" customHeight="1" x14ac:dyDescent="0.25">
      <c r="A2176" s="1"/>
      <c r="B2176" s="1" t="s">
        <v>1974</v>
      </c>
      <c r="C2176" s="1" t="s">
        <v>267</v>
      </c>
      <c r="D2176" s="437">
        <v>800</v>
      </c>
      <c r="E2176" s="437"/>
      <c r="F2176" s="466"/>
      <c r="G2176" s="437">
        <v>800</v>
      </c>
      <c r="H2176" s="437">
        <v>397.03</v>
      </c>
      <c r="I2176" s="437">
        <v>388.5</v>
      </c>
      <c r="J2176" s="437">
        <v>476.99</v>
      </c>
    </row>
    <row r="2177" spans="1:10" ht="13.5" customHeight="1" x14ac:dyDescent="0.25">
      <c r="A2177" s="1"/>
      <c r="B2177" s="1" t="s">
        <v>1975</v>
      </c>
      <c r="C2177" s="1" t="s">
        <v>488</v>
      </c>
      <c r="D2177" s="437">
        <v>60000</v>
      </c>
      <c r="E2177" s="437">
        <v>26598.05</v>
      </c>
      <c r="F2177" s="466"/>
      <c r="G2177" s="437">
        <v>55000</v>
      </c>
      <c r="H2177" s="437">
        <v>40814.11</v>
      </c>
      <c r="I2177" s="437">
        <v>53229.35</v>
      </c>
      <c r="J2177" s="437">
        <v>57951.040000000001</v>
      </c>
    </row>
    <row r="2178" spans="1:10" ht="13.5" customHeight="1" x14ac:dyDescent="0.25">
      <c r="A2178" s="1"/>
      <c r="B2178" s="1" t="s">
        <v>1976</v>
      </c>
      <c r="C2178" s="1" t="s">
        <v>1151</v>
      </c>
      <c r="D2178" s="437">
        <v>4200</v>
      </c>
      <c r="E2178" s="437">
        <v>1307.1199999999999</v>
      </c>
      <c r="F2178" s="466"/>
      <c r="G2178" s="437">
        <v>4200</v>
      </c>
      <c r="H2178" s="437">
        <v>3762.48</v>
      </c>
      <c r="I2178" s="437">
        <v>4267.22</v>
      </c>
      <c r="J2178" s="437">
        <v>4056.71</v>
      </c>
    </row>
    <row r="2179" spans="1:10" ht="13.5" customHeight="1" x14ac:dyDescent="0.25">
      <c r="A2179" s="1"/>
      <c r="B2179" s="1" t="s">
        <v>1977</v>
      </c>
      <c r="C2179" s="1" t="s">
        <v>1875</v>
      </c>
      <c r="D2179" s="437">
        <v>697129.25</v>
      </c>
      <c r="E2179" s="437">
        <v>57391.62</v>
      </c>
      <c r="F2179" s="466"/>
      <c r="G2179" s="437">
        <v>682856.34</v>
      </c>
      <c r="H2179" s="437">
        <v>713593.49</v>
      </c>
      <c r="I2179" s="437">
        <v>815226.66</v>
      </c>
      <c r="J2179" s="437">
        <v>750599.06</v>
      </c>
    </row>
    <row r="2180" spans="1:10" ht="13.5" customHeight="1" x14ac:dyDescent="0.25">
      <c r="A2180" s="1"/>
      <c r="B2180" s="1" t="s">
        <v>1978</v>
      </c>
      <c r="C2180" s="1" t="s">
        <v>1877</v>
      </c>
      <c r="D2180" s="437">
        <v>60000</v>
      </c>
      <c r="E2180" s="437">
        <v>102.59</v>
      </c>
      <c r="F2180" s="466"/>
      <c r="G2180" s="437">
        <v>50000</v>
      </c>
      <c r="H2180" s="437">
        <v>51462.720000000001</v>
      </c>
      <c r="I2180" s="437">
        <v>11625.48</v>
      </c>
      <c r="J2180" s="437">
        <v>12579.15</v>
      </c>
    </row>
    <row r="2181" spans="1:10" ht="13.5" customHeight="1" x14ac:dyDescent="0.25">
      <c r="A2181" s="1"/>
      <c r="B2181" s="1" t="s">
        <v>1979</v>
      </c>
      <c r="C2181" s="1" t="s">
        <v>490</v>
      </c>
      <c r="D2181" s="437">
        <v>12000</v>
      </c>
      <c r="E2181" s="437">
        <v>9680.7099999999991</v>
      </c>
      <c r="F2181" s="466"/>
      <c r="G2181" s="437">
        <v>12000</v>
      </c>
      <c r="H2181" s="437">
        <v>5329.29</v>
      </c>
      <c r="I2181" s="437">
        <v>9151.24</v>
      </c>
      <c r="J2181" s="437">
        <v>12262.17</v>
      </c>
    </row>
    <row r="2182" spans="1:10" ht="13.5" customHeight="1" x14ac:dyDescent="0.25">
      <c r="A2182" s="1"/>
      <c r="B2182" s="1" t="s">
        <v>1980</v>
      </c>
      <c r="C2182" s="1" t="s">
        <v>1154</v>
      </c>
      <c r="D2182" s="437">
        <v>7000</v>
      </c>
      <c r="E2182" s="437">
        <v>1794.87</v>
      </c>
      <c r="F2182" s="466"/>
      <c r="G2182" s="437">
        <v>7000</v>
      </c>
      <c r="H2182" s="437">
        <v>3470.6</v>
      </c>
      <c r="I2182" s="437">
        <v>4793.01</v>
      </c>
      <c r="J2182" s="437">
        <v>6617.02</v>
      </c>
    </row>
    <row r="2183" spans="1:10" ht="13.5" customHeight="1" x14ac:dyDescent="0.25">
      <c r="A2183" s="1"/>
      <c r="B2183" s="1" t="s">
        <v>1981</v>
      </c>
      <c r="C2183" s="1" t="s">
        <v>1881</v>
      </c>
      <c r="D2183" s="437">
        <v>6000</v>
      </c>
      <c r="E2183" s="439">
        <v>70.72</v>
      </c>
      <c r="F2183" s="468"/>
      <c r="G2183" s="439">
        <v>7000</v>
      </c>
      <c r="H2183" s="439">
        <v>3825.64</v>
      </c>
      <c r="I2183" s="439">
        <v>2868</v>
      </c>
      <c r="J2183" s="437">
        <v>3183.91</v>
      </c>
    </row>
    <row r="2184" spans="1:10" ht="13.5" customHeight="1" x14ac:dyDescent="0.25">
      <c r="A2184" s="1"/>
      <c r="B2184" s="1" t="s">
        <v>1982</v>
      </c>
      <c r="C2184" s="1" t="s">
        <v>1442</v>
      </c>
      <c r="D2184" s="437">
        <v>750</v>
      </c>
      <c r="E2184" s="437"/>
      <c r="F2184" s="466"/>
      <c r="G2184" s="437">
        <v>750</v>
      </c>
      <c r="H2184" s="437">
        <v>0</v>
      </c>
      <c r="I2184" s="437">
        <v>156.77000000000001</v>
      </c>
      <c r="J2184" s="440">
        <v>0</v>
      </c>
    </row>
    <row r="2185" spans="1:10" ht="13.5" customHeight="1" x14ac:dyDescent="0.25">
      <c r="A2185" s="1"/>
      <c r="B2185" s="1" t="s">
        <v>1983</v>
      </c>
      <c r="C2185" s="1" t="s">
        <v>273</v>
      </c>
      <c r="D2185" s="437">
        <v>2000</v>
      </c>
      <c r="E2185" s="437"/>
      <c r="F2185" s="466"/>
      <c r="G2185" s="437">
        <v>2000</v>
      </c>
      <c r="H2185" s="437">
        <v>2727.97</v>
      </c>
      <c r="I2185" s="439">
        <v>1400</v>
      </c>
      <c r="J2185" s="437">
        <v>1484.99</v>
      </c>
    </row>
    <row r="2186" spans="1:10" ht="13.5" customHeight="1" x14ac:dyDescent="0.25">
      <c r="A2186" s="1"/>
      <c r="B2186" s="1" t="s">
        <v>1984</v>
      </c>
      <c r="C2186" s="1" t="s">
        <v>275</v>
      </c>
      <c r="D2186" s="437">
        <v>1500</v>
      </c>
      <c r="E2186" s="437">
        <v>190.62</v>
      </c>
      <c r="F2186" s="466"/>
      <c r="G2186" s="437">
        <v>1500</v>
      </c>
      <c r="H2186" s="437">
        <v>849.98</v>
      </c>
      <c r="I2186" s="437">
        <v>1611.55</v>
      </c>
      <c r="J2186" s="437">
        <v>815.07</v>
      </c>
    </row>
    <row r="2187" spans="1:10" ht="13.5" customHeight="1" x14ac:dyDescent="0.25">
      <c r="A2187" s="1"/>
      <c r="B2187" s="1"/>
      <c r="C2187" s="1"/>
      <c r="D2187" s="438">
        <v>851379.25</v>
      </c>
      <c r="E2187" s="438">
        <f t="shared" ref="E2187" si="850">SUM(E2176:E2186)</f>
        <v>97136.299999999988</v>
      </c>
      <c r="F2187" s="467"/>
      <c r="G2187" s="438">
        <v>823106.34</v>
      </c>
      <c r="H2187" s="438">
        <f>SUM(H2176:H2186)</f>
        <v>826233.30999999994</v>
      </c>
      <c r="I2187" s="438">
        <f>SUM(I2176:I2186)</f>
        <v>904717.78</v>
      </c>
      <c r="J2187" s="438">
        <f t="shared" ref="J2187" si="851">SUM(J2176:J2186)</f>
        <v>850026.1100000001</v>
      </c>
    </row>
    <row r="2188" spans="1:10" ht="13.5" customHeight="1" x14ac:dyDescent="0.25">
      <c r="A2188" s="1"/>
      <c r="B2188" s="1"/>
      <c r="C2188" s="1"/>
      <c r="D2188" s="437"/>
      <c r="E2188" s="437"/>
      <c r="F2188" s="466"/>
      <c r="G2188" s="437"/>
      <c r="H2188" s="437"/>
      <c r="I2188" s="437"/>
      <c r="J2188" s="437"/>
    </row>
    <row r="2189" spans="1:10" ht="13.5" customHeight="1" x14ac:dyDescent="0.25">
      <c r="A2189" s="1"/>
      <c r="B2189" s="1" t="s">
        <v>1985</v>
      </c>
      <c r="C2189" s="1" t="s">
        <v>317</v>
      </c>
      <c r="D2189" s="437">
        <v>800</v>
      </c>
      <c r="E2189" s="437"/>
      <c r="F2189" s="466"/>
      <c r="G2189" s="437">
        <v>800</v>
      </c>
      <c r="H2189" s="437">
        <v>0</v>
      </c>
      <c r="I2189" s="440">
        <v>0</v>
      </c>
      <c r="J2189" s="440">
        <v>0</v>
      </c>
    </row>
    <row r="2190" spans="1:10" ht="13.5" customHeight="1" x14ac:dyDescent="0.25">
      <c r="A2190" s="1"/>
      <c r="B2190" s="1" t="s">
        <v>1986</v>
      </c>
      <c r="C2190" s="1" t="s">
        <v>497</v>
      </c>
      <c r="D2190" s="437">
        <v>0</v>
      </c>
      <c r="E2190" s="437"/>
      <c r="F2190" s="466"/>
      <c r="G2190" s="437">
        <v>0</v>
      </c>
      <c r="H2190" s="437">
        <v>0</v>
      </c>
      <c r="I2190" s="440">
        <v>0</v>
      </c>
      <c r="J2190" s="440" t="s">
        <v>12</v>
      </c>
    </row>
    <row r="2191" spans="1:10" ht="13.5" customHeight="1" x14ac:dyDescent="0.25">
      <c r="A2191" s="1"/>
      <c r="B2191" s="1" t="s">
        <v>1987</v>
      </c>
      <c r="C2191" s="1" t="s">
        <v>329</v>
      </c>
      <c r="D2191" s="437">
        <v>1700</v>
      </c>
      <c r="E2191" s="437">
        <v>796.77</v>
      </c>
      <c r="F2191" s="466"/>
      <c r="G2191" s="437">
        <v>1500</v>
      </c>
      <c r="H2191" s="437">
        <v>1769.02</v>
      </c>
      <c r="I2191" s="437">
        <v>1680.65</v>
      </c>
      <c r="J2191" s="437">
        <v>1628.3</v>
      </c>
    </row>
    <row r="2192" spans="1:10" ht="13.5" customHeight="1" x14ac:dyDescent="0.25">
      <c r="A2192" s="1"/>
      <c r="B2192" s="1" t="s">
        <v>1988</v>
      </c>
      <c r="C2192" s="1" t="s">
        <v>426</v>
      </c>
      <c r="D2192" s="437">
        <v>800</v>
      </c>
      <c r="E2192" s="437">
        <v>672</v>
      </c>
      <c r="F2192" s="466"/>
      <c r="G2192" s="437">
        <v>800</v>
      </c>
      <c r="H2192" s="437">
        <v>694.07</v>
      </c>
      <c r="I2192" s="437">
        <v>503.78</v>
      </c>
      <c r="J2192" s="437">
        <v>662.71</v>
      </c>
    </row>
    <row r="2193" spans="1:10" ht="13.5" customHeight="1" x14ac:dyDescent="0.25">
      <c r="A2193" s="1"/>
      <c r="B2193" s="1" t="s">
        <v>1989</v>
      </c>
      <c r="C2193" s="1" t="s">
        <v>1175</v>
      </c>
      <c r="D2193" s="437">
        <v>3000</v>
      </c>
      <c r="E2193" s="437">
        <v>1561.31</v>
      </c>
      <c r="F2193" s="466"/>
      <c r="G2193" s="437">
        <v>2000</v>
      </c>
      <c r="H2193" s="437">
        <v>3277.37</v>
      </c>
      <c r="I2193" s="437">
        <v>2280.7800000000002</v>
      </c>
      <c r="J2193" s="437">
        <v>2244.12</v>
      </c>
    </row>
    <row r="2194" spans="1:10" ht="13.5" customHeight="1" x14ac:dyDescent="0.25">
      <c r="A2194" s="1"/>
      <c r="B2194" s="1" t="s">
        <v>1990</v>
      </c>
      <c r="C2194" s="1" t="s">
        <v>1179</v>
      </c>
      <c r="D2194" s="437">
        <v>500</v>
      </c>
      <c r="E2194" s="437">
        <v>209.52</v>
      </c>
      <c r="F2194" s="466"/>
      <c r="G2194" s="437">
        <v>500</v>
      </c>
      <c r="H2194" s="437">
        <v>506.62</v>
      </c>
      <c r="I2194" s="437">
        <v>487.95</v>
      </c>
      <c r="J2194" s="437">
        <v>456.54</v>
      </c>
    </row>
    <row r="2195" spans="1:10" ht="13.5" customHeight="1" x14ac:dyDescent="0.25">
      <c r="A2195" s="1"/>
      <c r="B2195" s="1" t="s">
        <v>1991</v>
      </c>
      <c r="C2195" s="1" t="s">
        <v>1893</v>
      </c>
      <c r="D2195" s="437">
        <v>1500</v>
      </c>
      <c r="E2195" s="437">
        <v>534.4</v>
      </c>
      <c r="F2195" s="466"/>
      <c r="G2195" s="437">
        <v>1500</v>
      </c>
      <c r="H2195" s="437">
        <v>620.61</v>
      </c>
      <c r="I2195" s="437">
        <v>518.35</v>
      </c>
      <c r="J2195" s="437">
        <v>2197.98</v>
      </c>
    </row>
    <row r="2196" spans="1:10" ht="13.5" customHeight="1" x14ac:dyDescent="0.25">
      <c r="A2196" s="1"/>
      <c r="B2196" s="1" t="s">
        <v>1992</v>
      </c>
      <c r="C2196" s="1" t="s">
        <v>1895</v>
      </c>
      <c r="D2196" s="437">
        <v>2500</v>
      </c>
      <c r="E2196" s="437">
        <v>125</v>
      </c>
      <c r="F2196" s="466"/>
      <c r="G2196" s="437">
        <v>2500</v>
      </c>
      <c r="H2196" s="437">
        <v>2333.86</v>
      </c>
      <c r="I2196" s="437">
        <v>1108.1500000000001</v>
      </c>
      <c r="J2196" s="437">
        <v>3803.96</v>
      </c>
    </row>
    <row r="2197" spans="1:10" ht="13.5" customHeight="1" x14ac:dyDescent="0.25">
      <c r="A2197" s="1"/>
      <c r="B2197" s="1" t="s">
        <v>1993</v>
      </c>
      <c r="C2197" s="1" t="s">
        <v>1897</v>
      </c>
      <c r="D2197" s="437">
        <v>25000</v>
      </c>
      <c r="E2197" s="437">
        <v>13637.05</v>
      </c>
      <c r="F2197" s="466"/>
      <c r="G2197" s="437">
        <v>25000</v>
      </c>
      <c r="H2197" s="437">
        <v>19046.099999999999</v>
      </c>
      <c r="I2197" s="437">
        <v>22873.51</v>
      </c>
      <c r="J2197" s="437">
        <v>22162.39</v>
      </c>
    </row>
    <row r="2198" spans="1:10" ht="13.5" customHeight="1" x14ac:dyDescent="0.25">
      <c r="A2198" s="1"/>
      <c r="B2198" s="1" t="s">
        <v>1994</v>
      </c>
      <c r="C2198" s="1" t="s">
        <v>1161</v>
      </c>
      <c r="D2198" s="437">
        <v>2500</v>
      </c>
      <c r="E2198" s="437">
        <v>18.03</v>
      </c>
      <c r="F2198" s="466"/>
      <c r="G2198" s="437">
        <v>2500</v>
      </c>
      <c r="H2198" s="437">
        <v>866.85</v>
      </c>
      <c r="I2198" s="437">
        <v>1507.93</v>
      </c>
      <c r="J2198" s="437">
        <v>254.95</v>
      </c>
    </row>
    <row r="2199" spans="1:10" ht="13.5" customHeight="1" x14ac:dyDescent="0.25">
      <c r="A2199" s="1"/>
      <c r="B2199" s="1" t="s">
        <v>1995</v>
      </c>
      <c r="C2199" s="1" t="s">
        <v>509</v>
      </c>
      <c r="D2199" s="437">
        <v>25000</v>
      </c>
      <c r="E2199" s="437">
        <v>7374.9</v>
      </c>
      <c r="F2199" s="466"/>
      <c r="G2199" s="437">
        <v>25000</v>
      </c>
      <c r="H2199" s="437">
        <v>20439.25</v>
      </c>
      <c r="I2199" s="437">
        <v>31673.43</v>
      </c>
      <c r="J2199" s="437">
        <v>15314.83</v>
      </c>
    </row>
    <row r="2200" spans="1:10" ht="13.5" customHeight="1" x14ac:dyDescent="0.25">
      <c r="A2200" s="1"/>
      <c r="B2200" s="1" t="s">
        <v>1996</v>
      </c>
      <c r="C2200" s="1" t="s">
        <v>1901</v>
      </c>
      <c r="D2200" s="437">
        <v>850</v>
      </c>
      <c r="E2200" s="437"/>
      <c r="F2200" s="466"/>
      <c r="G2200" s="437">
        <v>850</v>
      </c>
      <c r="H2200" s="437">
        <v>772.5</v>
      </c>
      <c r="I2200" s="439">
        <v>750</v>
      </c>
      <c r="J2200" s="437">
        <v>4764.5</v>
      </c>
    </row>
    <row r="2201" spans="1:10" ht="13.5" customHeight="1" x14ac:dyDescent="0.25">
      <c r="A2201" s="1"/>
      <c r="B2201" s="22" t="s">
        <v>1997</v>
      </c>
      <c r="C2201" s="22" t="s">
        <v>840</v>
      </c>
      <c r="D2201" s="437">
        <v>0</v>
      </c>
      <c r="E2201" s="437">
        <v>56.99</v>
      </c>
      <c r="F2201" s="466"/>
      <c r="G2201" s="437">
        <v>0</v>
      </c>
      <c r="H2201" s="437"/>
      <c r="I2201" s="440"/>
      <c r="J2201" s="437"/>
    </row>
    <row r="2202" spans="1:10" ht="13.5" customHeight="1" x14ac:dyDescent="0.25">
      <c r="A2202" s="1"/>
      <c r="B2202" s="1" t="s">
        <v>1998</v>
      </c>
      <c r="C2202" s="1" t="s">
        <v>1470</v>
      </c>
      <c r="D2202" s="437">
        <v>500</v>
      </c>
      <c r="E2202" s="437"/>
      <c r="F2202" s="466"/>
      <c r="G2202" s="437">
        <v>500</v>
      </c>
      <c r="H2202" s="437">
        <v>608.98</v>
      </c>
      <c r="I2202" s="440">
        <v>0</v>
      </c>
      <c r="J2202" s="437">
        <v>200</v>
      </c>
    </row>
    <row r="2203" spans="1:10" ht="13.5" customHeight="1" x14ac:dyDescent="0.25">
      <c r="A2203" s="1"/>
      <c r="B2203" s="1" t="s">
        <v>1999</v>
      </c>
      <c r="C2203" s="1" t="s">
        <v>565</v>
      </c>
      <c r="D2203" s="440">
        <v>0</v>
      </c>
      <c r="E2203" s="437">
        <v>177.5</v>
      </c>
      <c r="F2203" s="466"/>
      <c r="G2203" s="437">
        <v>0</v>
      </c>
      <c r="H2203" s="437">
        <v>0</v>
      </c>
      <c r="I2203" s="440" t="s">
        <v>12</v>
      </c>
      <c r="J2203" s="440" t="s">
        <v>12</v>
      </c>
    </row>
    <row r="2204" spans="1:10" ht="13.5" customHeight="1" x14ac:dyDescent="0.25">
      <c r="A2204" s="1"/>
      <c r="B2204" s="1"/>
      <c r="C2204" s="1"/>
      <c r="D2204" s="441">
        <v>64650</v>
      </c>
      <c r="E2204" s="441">
        <f t="shared" ref="E2204" si="852">SUM(E2189:E2203)</f>
        <v>25163.469999999998</v>
      </c>
      <c r="F2204" s="469"/>
      <c r="G2204" s="452">
        <v>63450</v>
      </c>
      <c r="H2204" s="441">
        <f>SUM(H2189:H2203)</f>
        <v>50935.23</v>
      </c>
      <c r="I2204" s="441">
        <f>SUM(I2189:I2203)</f>
        <v>63384.53</v>
      </c>
      <c r="J2204" s="441">
        <f t="shared" ref="J2204" si="853">SUM(J2189:J2203)</f>
        <v>53690.28</v>
      </c>
    </row>
    <row r="2205" spans="1:10" ht="13.5" customHeight="1" x14ac:dyDescent="0.25">
      <c r="A2205" s="1"/>
      <c r="B2205" s="1"/>
      <c r="C2205" s="1"/>
      <c r="D2205" s="440"/>
      <c r="E2205" s="440"/>
      <c r="F2205" s="468"/>
      <c r="G2205" s="440"/>
      <c r="H2205" s="440"/>
      <c r="I2205" s="440"/>
      <c r="J2205" s="440"/>
    </row>
    <row r="2206" spans="1:10" ht="13.5" customHeight="1" x14ac:dyDescent="0.25">
      <c r="A2206" s="1"/>
      <c r="B2206" s="1" t="s">
        <v>2000</v>
      </c>
      <c r="C2206" s="1" t="s">
        <v>1186</v>
      </c>
      <c r="D2206" s="437">
        <v>5100</v>
      </c>
      <c r="E2206" s="437"/>
      <c r="F2206" s="466"/>
      <c r="G2206" s="437">
        <v>5100</v>
      </c>
      <c r="H2206" s="437">
        <v>3629.51</v>
      </c>
      <c r="I2206" s="440">
        <v>0</v>
      </c>
      <c r="J2206" s="437">
        <v>4260.79</v>
      </c>
    </row>
    <row r="2207" spans="1:10" ht="13.5" customHeight="1" x14ac:dyDescent="0.25">
      <c r="A2207" s="1"/>
      <c r="B2207" s="1" t="s">
        <v>2001</v>
      </c>
      <c r="C2207" s="1" t="s">
        <v>1315</v>
      </c>
      <c r="D2207" s="437">
        <v>50000</v>
      </c>
      <c r="E2207" s="439">
        <v>74500</v>
      </c>
      <c r="F2207" s="468"/>
      <c r="G2207" s="440">
        <v>40000</v>
      </c>
      <c r="H2207" s="439">
        <v>52951</v>
      </c>
      <c r="I2207" s="440">
        <v>0</v>
      </c>
      <c r="J2207" s="437">
        <v>20000</v>
      </c>
    </row>
    <row r="2208" spans="1:10" ht="13.5" customHeight="1" x14ac:dyDescent="0.25">
      <c r="A2208" s="1"/>
      <c r="B2208" s="1" t="s">
        <v>2002</v>
      </c>
      <c r="C2208" s="1" t="s">
        <v>1908</v>
      </c>
      <c r="D2208" s="437">
        <v>175000</v>
      </c>
      <c r="E2208" s="439">
        <v>111212</v>
      </c>
      <c r="F2208" s="468"/>
      <c r="G2208" s="439">
        <v>120000</v>
      </c>
      <c r="H2208" s="439">
        <v>177050</v>
      </c>
      <c r="I2208" s="440">
        <v>122467</v>
      </c>
      <c r="J2208" s="437">
        <v>107100</v>
      </c>
    </row>
    <row r="2209" spans="1:10" ht="13.5" customHeight="1" x14ac:dyDescent="0.25">
      <c r="A2209" s="1"/>
      <c r="B2209" s="1" t="s">
        <v>2003</v>
      </c>
      <c r="C2209" s="1" t="s">
        <v>843</v>
      </c>
      <c r="D2209" s="437">
        <v>0</v>
      </c>
      <c r="E2209" s="437"/>
      <c r="F2209" s="466"/>
      <c r="G2209" s="437">
        <v>0</v>
      </c>
      <c r="H2209" s="437">
        <v>0</v>
      </c>
      <c r="I2209" s="440">
        <v>0</v>
      </c>
      <c r="J2209" s="440">
        <v>0</v>
      </c>
    </row>
    <row r="2210" spans="1:10" ht="13.5" customHeight="1" x14ac:dyDescent="0.25">
      <c r="A2210" s="1"/>
      <c r="B2210" s="1" t="s">
        <v>2004</v>
      </c>
      <c r="C2210" s="1" t="s">
        <v>352</v>
      </c>
      <c r="D2210" s="437">
        <v>0</v>
      </c>
      <c r="E2210" s="437">
        <v>31500</v>
      </c>
      <c r="F2210" s="466"/>
      <c r="G2210" s="437">
        <v>0</v>
      </c>
      <c r="H2210" s="437">
        <v>0</v>
      </c>
      <c r="I2210" s="440">
        <v>0</v>
      </c>
      <c r="J2210" s="437">
        <v>7450</v>
      </c>
    </row>
    <row r="2211" spans="1:10" ht="13.5" customHeight="1" x14ac:dyDescent="0.25">
      <c r="A2211" s="1"/>
      <c r="B2211" s="1" t="s">
        <v>2005</v>
      </c>
      <c r="C2211" s="1" t="s">
        <v>716</v>
      </c>
      <c r="D2211" s="437">
        <v>0</v>
      </c>
      <c r="E2211" s="437"/>
      <c r="F2211" s="466"/>
      <c r="G2211" s="437">
        <v>0</v>
      </c>
      <c r="H2211" s="437">
        <v>0</v>
      </c>
      <c r="I2211" s="440">
        <v>0</v>
      </c>
      <c r="J2211" s="437">
        <v>2000</v>
      </c>
    </row>
    <row r="2212" spans="1:10" ht="13.5" customHeight="1" x14ac:dyDescent="0.25">
      <c r="A2212" s="1"/>
      <c r="B2212" s="1"/>
      <c r="C2212" s="1"/>
      <c r="D2212" s="438">
        <v>230100</v>
      </c>
      <c r="E2212" s="438">
        <f t="shared" ref="E2212" si="854">SUM(E2206:E2211)</f>
        <v>217212</v>
      </c>
      <c r="F2212" s="467"/>
      <c r="G2212" s="438">
        <v>165100</v>
      </c>
      <c r="H2212" s="438">
        <f>SUM(H2206:H2211)</f>
        <v>233630.51</v>
      </c>
      <c r="I2212" s="438">
        <f>SUM(I2206:I2211)</f>
        <v>122467</v>
      </c>
      <c r="J2212" s="438">
        <f t="shared" ref="J2212" si="855">SUM(J2206:J2211)</f>
        <v>140810.79</v>
      </c>
    </row>
    <row r="2213" spans="1:10" ht="13.5" customHeight="1" thickBot="1" x14ac:dyDescent="0.3">
      <c r="A2213" s="1"/>
      <c r="B2213" s="1"/>
      <c r="C2213" s="39" t="s">
        <v>2006</v>
      </c>
      <c r="D2213" s="451">
        <v>1871989.5729764383</v>
      </c>
      <c r="E2213" s="451">
        <f t="shared" ref="E2213" si="856">SUM(E2164+E2174+E2187+E2204+E2212)</f>
        <v>632548.76</v>
      </c>
      <c r="F2213" s="478"/>
      <c r="G2213" s="451">
        <v>1763362.61</v>
      </c>
      <c r="H2213" s="451">
        <f>SUM(H2164+H2174+H2187+H2204+H2212)</f>
        <v>1786467.14</v>
      </c>
      <c r="I2213" s="451">
        <f>SUM(I2164+I2174+I2187+I2204+I2212)</f>
        <v>1733353.81</v>
      </c>
      <c r="J2213" s="451">
        <f t="shared" ref="J2213" si="857">SUM(J2164+J2174+J2187+J2204+J2212)</f>
        <v>1656400.6500000001</v>
      </c>
    </row>
    <row r="2214" spans="1:10" ht="13.5" customHeight="1" thickTop="1" x14ac:dyDescent="0.25">
      <c r="A2214" s="1"/>
      <c r="B2214" s="1"/>
      <c r="C2214" s="1"/>
      <c r="D2214" s="437"/>
      <c r="E2214" s="440"/>
      <c r="F2214" s="468"/>
      <c r="G2214" s="440"/>
      <c r="H2214" s="440"/>
      <c r="I2214" s="440"/>
      <c r="J2214" s="437"/>
    </row>
    <row r="2215" spans="1:10" ht="13.5" customHeight="1" x14ac:dyDescent="0.25">
      <c r="A2215" s="1"/>
      <c r="B2215" s="1"/>
      <c r="C2215" s="14"/>
      <c r="D2215" s="437"/>
      <c r="E2215" s="440"/>
      <c r="F2215" s="468"/>
      <c r="G2215" s="440"/>
      <c r="H2215" s="440"/>
      <c r="I2215" s="440"/>
      <c r="J2215" s="437"/>
    </row>
    <row r="2216" spans="1:10" ht="13.5" customHeight="1" x14ac:dyDescent="0.25">
      <c r="A2216" s="1"/>
      <c r="B2216" s="1"/>
      <c r="C2216" s="14" t="s">
        <v>2007</v>
      </c>
      <c r="D2216" s="437"/>
      <c r="E2216" s="440"/>
      <c r="F2216" s="468"/>
      <c r="G2216" s="440"/>
      <c r="H2216" s="440"/>
      <c r="I2216" s="440"/>
      <c r="J2216" s="437"/>
    </row>
    <row r="2217" spans="1:10" ht="13.5" customHeight="1" x14ac:dyDescent="0.25">
      <c r="A2217" s="1"/>
      <c r="B2217" s="1" t="s">
        <v>2008</v>
      </c>
      <c r="C2217" s="1" t="s">
        <v>437</v>
      </c>
      <c r="D2217" s="437">
        <v>74745</v>
      </c>
      <c r="E2217" s="437">
        <v>29844</v>
      </c>
      <c r="F2217" s="466"/>
      <c r="G2217" s="437">
        <v>69905</v>
      </c>
      <c r="H2217" s="437">
        <v>71411.73</v>
      </c>
      <c r="I2217" s="437">
        <v>63725.95</v>
      </c>
      <c r="J2217" s="437">
        <v>67603.679999999993</v>
      </c>
    </row>
    <row r="2218" spans="1:10" ht="13.5" customHeight="1" x14ac:dyDescent="0.25">
      <c r="A2218" s="1"/>
      <c r="B2218" s="1" t="s">
        <v>2009</v>
      </c>
      <c r="C2218" s="1" t="s">
        <v>439</v>
      </c>
      <c r="D2218" s="437">
        <v>384973</v>
      </c>
      <c r="E2218" s="437">
        <v>155613.98000000001</v>
      </c>
      <c r="F2218" s="466"/>
      <c r="G2218" s="437">
        <v>374019</v>
      </c>
      <c r="H2218" s="437">
        <v>367874.06</v>
      </c>
      <c r="I2218" s="437">
        <v>342867.22</v>
      </c>
      <c r="J2218" s="437">
        <v>327929.26</v>
      </c>
    </row>
    <row r="2219" spans="1:10" ht="13.5" customHeight="1" x14ac:dyDescent="0.25">
      <c r="A2219" s="1"/>
      <c r="B2219" s="1" t="s">
        <v>2010</v>
      </c>
      <c r="C2219" s="1" t="s">
        <v>441</v>
      </c>
      <c r="D2219" s="437">
        <v>32000</v>
      </c>
      <c r="E2219" s="437">
        <v>9606.24</v>
      </c>
      <c r="F2219" s="466"/>
      <c r="G2219" s="437">
        <v>32000</v>
      </c>
      <c r="H2219" s="437">
        <v>15904.56</v>
      </c>
      <c r="I2219" s="439">
        <v>4032</v>
      </c>
      <c r="J2219" s="437">
        <v>537.6</v>
      </c>
    </row>
    <row r="2220" spans="1:10" ht="13.5" customHeight="1" x14ac:dyDescent="0.25">
      <c r="A2220" s="1"/>
      <c r="B2220" s="1" t="s">
        <v>2011</v>
      </c>
      <c r="C2220" s="1" t="s">
        <v>443</v>
      </c>
      <c r="D2220" s="437">
        <v>0</v>
      </c>
      <c r="E2220" s="437"/>
      <c r="F2220" s="466"/>
      <c r="G2220" s="437">
        <v>0</v>
      </c>
      <c r="H2220" s="437">
        <v>0</v>
      </c>
      <c r="I2220" s="437">
        <v>17421.830000000002</v>
      </c>
      <c r="J2220" s="437">
        <v>14628.84</v>
      </c>
    </row>
    <row r="2221" spans="1:10" ht="13.5" customHeight="1" x14ac:dyDescent="0.25">
      <c r="A2221" s="1"/>
      <c r="B2221" s="1" t="s">
        <v>2012</v>
      </c>
      <c r="C2221" s="1" t="s">
        <v>1965</v>
      </c>
      <c r="D2221" s="437">
        <v>0</v>
      </c>
      <c r="E2221" s="437"/>
      <c r="F2221" s="466"/>
      <c r="G2221" s="437">
        <v>0</v>
      </c>
      <c r="H2221" s="437">
        <v>0</v>
      </c>
      <c r="I2221" s="440" t="s">
        <v>12</v>
      </c>
      <c r="J2221" s="437"/>
    </row>
    <row r="2222" spans="1:10" ht="13.5" customHeight="1" x14ac:dyDescent="0.25">
      <c r="A2222" s="1"/>
      <c r="B2222" s="1" t="s">
        <v>2013</v>
      </c>
      <c r="C2222" s="1" t="s">
        <v>1075</v>
      </c>
      <c r="D2222" s="437">
        <v>11257</v>
      </c>
      <c r="E2222" s="437"/>
      <c r="F2222" s="466"/>
      <c r="G2222" s="437">
        <v>11257</v>
      </c>
      <c r="H2222" s="437">
        <v>484.86</v>
      </c>
      <c r="I2222" s="439">
        <v>67.64</v>
      </c>
      <c r="J2222" s="437">
        <f>32.89+113.8</f>
        <v>146.69</v>
      </c>
    </row>
    <row r="2223" spans="1:10" ht="13.5" customHeight="1" x14ac:dyDescent="0.25">
      <c r="A2223" s="1"/>
      <c r="B2223" s="1"/>
      <c r="C2223" s="1"/>
      <c r="D2223" s="438">
        <v>502975</v>
      </c>
      <c r="E2223" s="438">
        <f t="shared" ref="E2223" si="858">SUM(E2217:E2222)</f>
        <v>195064.22</v>
      </c>
      <c r="F2223" s="467"/>
      <c r="G2223" s="438">
        <v>487181</v>
      </c>
      <c r="H2223" s="438">
        <f>SUM(H2217:H2222)</f>
        <v>455675.20999999996</v>
      </c>
      <c r="I2223" s="438">
        <f>SUM(I2217:I2222)</f>
        <v>428114.64</v>
      </c>
      <c r="J2223" s="438">
        <f t="shared" ref="J2223" si="859">SUM(J2217:J2222)</f>
        <v>410846.07</v>
      </c>
    </row>
    <row r="2224" spans="1:10" ht="13.5" customHeight="1" x14ac:dyDescent="0.25">
      <c r="A2224" s="1"/>
      <c r="B2224" s="1"/>
      <c r="C2224" s="1"/>
      <c r="D2224" s="437"/>
      <c r="E2224" s="440"/>
      <c r="F2224" s="468"/>
      <c r="G2224" s="440"/>
      <c r="H2224" s="440"/>
      <c r="I2224" s="440"/>
      <c r="J2224" s="437"/>
    </row>
    <row r="2225" spans="1:10" ht="13.5" customHeight="1" x14ac:dyDescent="0.25">
      <c r="A2225" s="1"/>
      <c r="B2225" s="1" t="s">
        <v>2014</v>
      </c>
      <c r="C2225" s="1" t="s">
        <v>257</v>
      </c>
      <c r="D2225" s="437">
        <v>41464.377</v>
      </c>
      <c r="E2225" s="437">
        <v>13558.07</v>
      </c>
      <c r="F2225" s="466"/>
      <c r="G2225" s="437">
        <v>37636.550000000003</v>
      </c>
      <c r="H2225" s="437">
        <v>31949.52</v>
      </c>
      <c r="I2225" s="437">
        <v>29536.41</v>
      </c>
      <c r="J2225" s="437">
        <v>28203.51</v>
      </c>
    </row>
    <row r="2226" spans="1:10" ht="13.5" customHeight="1" x14ac:dyDescent="0.25">
      <c r="A2226" s="1"/>
      <c r="B2226" s="1" t="s">
        <v>2015</v>
      </c>
      <c r="C2226" s="1" t="s">
        <v>259</v>
      </c>
      <c r="D2226" s="437">
        <v>115069.73280000003</v>
      </c>
      <c r="E2226" s="437">
        <v>51890.52</v>
      </c>
      <c r="F2226" s="466"/>
      <c r="G2226" s="437">
        <v>104634.35</v>
      </c>
      <c r="H2226" s="437">
        <v>95018.34</v>
      </c>
      <c r="I2226" s="437">
        <v>101760.6</v>
      </c>
      <c r="J2226" s="437">
        <v>101399.75</v>
      </c>
    </row>
    <row r="2227" spans="1:10" ht="13.5" customHeight="1" x14ac:dyDescent="0.25">
      <c r="A2227" s="1"/>
      <c r="B2227" s="1" t="s">
        <v>2016</v>
      </c>
      <c r="C2227" s="1" t="s">
        <v>261</v>
      </c>
      <c r="D2227" s="437">
        <v>81411.103600000002</v>
      </c>
      <c r="E2227" s="437">
        <v>29567.97</v>
      </c>
      <c r="F2227" s="466"/>
      <c r="G2227" s="437">
        <v>73805.429999999993</v>
      </c>
      <c r="H2227" s="437">
        <v>68026.73</v>
      </c>
      <c r="I2227" s="437">
        <v>62271.89</v>
      </c>
      <c r="J2227" s="437">
        <v>59773.34</v>
      </c>
    </row>
    <row r="2228" spans="1:10" ht="13.5" customHeight="1" x14ac:dyDescent="0.25">
      <c r="A2228" s="1"/>
      <c r="B2228" s="1" t="s">
        <v>2017</v>
      </c>
      <c r="C2228" s="1" t="s">
        <v>1865</v>
      </c>
      <c r="D2228" s="437">
        <v>10000</v>
      </c>
      <c r="E2228" s="437">
        <v>6072</v>
      </c>
      <c r="F2228" s="466"/>
      <c r="G2228" s="437">
        <v>10000</v>
      </c>
      <c r="H2228" s="437">
        <v>8528</v>
      </c>
      <c r="I2228" s="437">
        <v>9195.7999999999993</v>
      </c>
      <c r="J2228" s="437">
        <v>9534.36</v>
      </c>
    </row>
    <row r="2229" spans="1:10" ht="13.5" customHeight="1" x14ac:dyDescent="0.25">
      <c r="A2229" s="1"/>
      <c r="B2229" s="1" t="s">
        <v>2018</v>
      </c>
      <c r="C2229" s="1" t="s">
        <v>263</v>
      </c>
      <c r="D2229" s="437">
        <v>867.22880000000021</v>
      </c>
      <c r="E2229" s="437">
        <v>314.98</v>
      </c>
      <c r="F2229" s="466"/>
      <c r="G2229" s="437">
        <v>786.21</v>
      </c>
      <c r="H2229" s="437">
        <v>724.67</v>
      </c>
      <c r="I2229" s="437">
        <v>685.64</v>
      </c>
      <c r="J2229" s="437">
        <v>754.98</v>
      </c>
    </row>
    <row r="2230" spans="1:10" ht="13.5" customHeight="1" x14ac:dyDescent="0.25">
      <c r="A2230" s="1"/>
      <c r="B2230" s="1" t="s">
        <v>2019</v>
      </c>
      <c r="C2230" s="1" t="s">
        <v>295</v>
      </c>
      <c r="D2230" s="437">
        <v>0</v>
      </c>
      <c r="E2230" s="437">
        <v>53.92</v>
      </c>
      <c r="F2230" s="466"/>
      <c r="G2230" s="437">
        <v>250.37</v>
      </c>
      <c r="H2230" s="437">
        <v>317.58999999999997</v>
      </c>
      <c r="I2230" s="437">
        <v>300.7</v>
      </c>
      <c r="J2230" s="437">
        <v>377.02</v>
      </c>
    </row>
    <row r="2231" spans="1:10" ht="13.5" customHeight="1" x14ac:dyDescent="0.25">
      <c r="A2231" s="1"/>
      <c r="B2231" s="1" t="s">
        <v>2020</v>
      </c>
      <c r="C2231" s="1" t="s">
        <v>265</v>
      </c>
      <c r="D2231" s="437">
        <v>3900</v>
      </c>
      <c r="E2231" s="437">
        <v>1755.6</v>
      </c>
      <c r="F2231" s="466"/>
      <c r="G2231" s="437">
        <v>3511.2</v>
      </c>
      <c r="H2231" s="437">
        <v>3094.4</v>
      </c>
      <c r="I2231" s="437">
        <v>3239.6</v>
      </c>
      <c r="J2231" s="437">
        <v>3132.4</v>
      </c>
    </row>
    <row r="2232" spans="1:10" ht="13.5" customHeight="1" x14ac:dyDescent="0.25">
      <c r="A2232" s="1"/>
      <c r="B2232" s="1" t="s">
        <v>2021</v>
      </c>
      <c r="C2232" s="1" t="s">
        <v>1431</v>
      </c>
      <c r="D2232" s="437">
        <v>4200</v>
      </c>
      <c r="E2232" s="437">
        <v>1938.48</v>
      </c>
      <c r="F2232" s="466"/>
      <c r="G2232" s="437">
        <v>4200</v>
      </c>
      <c r="H2232" s="437">
        <v>3941.46</v>
      </c>
      <c r="I2232" s="437">
        <v>3990.08</v>
      </c>
      <c r="J2232" s="437">
        <v>4200.04</v>
      </c>
    </row>
    <row r="2233" spans="1:10" ht="13.5" customHeight="1" x14ac:dyDescent="0.25">
      <c r="A2233" s="1"/>
      <c r="B2233" s="1"/>
      <c r="C2233" s="1"/>
      <c r="D2233" s="438">
        <v>256912.44220000005</v>
      </c>
      <c r="E2233" s="438">
        <f t="shared" ref="E2233" si="860">SUM(E2225:E2232)</f>
        <v>105151.54</v>
      </c>
      <c r="F2233" s="467"/>
      <c r="G2233" s="438">
        <v>234824.1</v>
      </c>
      <c r="H2233" s="438">
        <f>SUM(H2225:H2232)</f>
        <v>211600.71</v>
      </c>
      <c r="I2233" s="438">
        <f>SUM(I2225:I2232)</f>
        <v>210980.72000000003</v>
      </c>
      <c r="J2233" s="438">
        <f t="shared" ref="J2233" si="861">SUM(J2225:J2232)</f>
        <v>207375.39999999997</v>
      </c>
    </row>
    <row r="2234" spans="1:10" ht="13.5" customHeight="1" x14ac:dyDescent="0.25">
      <c r="A2234" s="1"/>
      <c r="B2234" s="1"/>
      <c r="C2234" s="1"/>
      <c r="D2234" s="437"/>
      <c r="E2234" s="437"/>
      <c r="F2234" s="466"/>
      <c r="G2234" s="437"/>
      <c r="H2234" s="437"/>
      <c r="I2234" s="437"/>
      <c r="J2234" s="437"/>
    </row>
    <row r="2235" spans="1:10" ht="13.5" customHeight="1" x14ac:dyDescent="0.25">
      <c r="A2235" s="1"/>
      <c r="B2235" s="1" t="s">
        <v>2022</v>
      </c>
      <c r="C2235" s="1" t="s">
        <v>267</v>
      </c>
      <c r="D2235" s="437">
        <v>2000</v>
      </c>
      <c r="E2235" s="437"/>
      <c r="F2235" s="466"/>
      <c r="G2235" s="437">
        <v>2500</v>
      </c>
      <c r="H2235" s="437">
        <v>863.05</v>
      </c>
      <c r="I2235" s="437">
        <v>763.79</v>
      </c>
      <c r="J2235" s="437">
        <v>698.22</v>
      </c>
    </row>
    <row r="2236" spans="1:10" ht="13.5" customHeight="1" x14ac:dyDescent="0.25">
      <c r="A2236" s="1"/>
      <c r="B2236" s="1" t="s">
        <v>2023</v>
      </c>
      <c r="C2236" s="1" t="s">
        <v>269</v>
      </c>
      <c r="D2236" s="437">
        <v>25</v>
      </c>
      <c r="E2236" s="437"/>
      <c r="F2236" s="466"/>
      <c r="G2236" s="437">
        <v>25</v>
      </c>
      <c r="H2236" s="437">
        <v>0</v>
      </c>
      <c r="I2236" s="439">
        <v>66.55</v>
      </c>
      <c r="J2236" s="437">
        <v>22.83</v>
      </c>
    </row>
    <row r="2237" spans="1:10" ht="13.5" customHeight="1" x14ac:dyDescent="0.25">
      <c r="A2237" s="1"/>
      <c r="B2237" s="1" t="s">
        <v>2024</v>
      </c>
      <c r="C2237" s="1" t="s">
        <v>488</v>
      </c>
      <c r="D2237" s="437">
        <v>55000</v>
      </c>
      <c r="E2237" s="437">
        <v>21095.360000000001</v>
      </c>
      <c r="F2237" s="466"/>
      <c r="G2237" s="437">
        <v>55000</v>
      </c>
      <c r="H2237" s="437">
        <v>33172.339999999997</v>
      </c>
      <c r="I2237" s="437">
        <v>54006.65</v>
      </c>
      <c r="J2237" s="437">
        <v>53069.69</v>
      </c>
    </row>
    <row r="2238" spans="1:10" ht="13.5" customHeight="1" x14ac:dyDescent="0.25">
      <c r="A2238" s="1"/>
      <c r="B2238" s="1" t="s">
        <v>2025</v>
      </c>
      <c r="C2238" s="1" t="s">
        <v>1151</v>
      </c>
      <c r="D2238" s="437">
        <v>6000</v>
      </c>
      <c r="E2238" s="437">
        <v>1462.46</v>
      </c>
      <c r="F2238" s="466"/>
      <c r="G2238" s="437">
        <v>6000</v>
      </c>
      <c r="H2238" s="437">
        <v>4819.13</v>
      </c>
      <c r="I2238" s="437">
        <v>5933.41</v>
      </c>
      <c r="J2238" s="437">
        <v>5985.74</v>
      </c>
    </row>
    <row r="2239" spans="1:10" ht="13.5" customHeight="1" x14ac:dyDescent="0.25">
      <c r="A2239" s="1"/>
      <c r="B2239" s="1" t="s">
        <v>2026</v>
      </c>
      <c r="C2239" s="1" t="s">
        <v>1875</v>
      </c>
      <c r="D2239" s="437">
        <v>749394.77</v>
      </c>
      <c r="E2239" s="437">
        <v>96221.47</v>
      </c>
      <c r="F2239" s="466"/>
      <c r="G2239" s="437">
        <v>650230.15</v>
      </c>
      <c r="H2239" s="437">
        <v>486147.51</v>
      </c>
      <c r="I2239" s="437">
        <v>421179.62</v>
      </c>
      <c r="J2239" s="437">
        <v>602112.5</v>
      </c>
    </row>
    <row r="2240" spans="1:10" ht="13.5" customHeight="1" x14ac:dyDescent="0.25">
      <c r="A2240" s="1"/>
      <c r="B2240" s="1" t="s">
        <v>2027</v>
      </c>
      <c r="C2240" s="1" t="s">
        <v>1877</v>
      </c>
      <c r="D2240" s="437">
        <v>30000</v>
      </c>
      <c r="E2240" s="437">
        <v>11983.2</v>
      </c>
      <c r="F2240" s="466"/>
      <c r="G2240" s="437">
        <v>30000</v>
      </c>
      <c r="H2240" s="437">
        <v>55473.34</v>
      </c>
      <c r="I2240" s="437">
        <v>88667.75</v>
      </c>
      <c r="J2240" s="437">
        <v>19306.95</v>
      </c>
    </row>
    <row r="2241" spans="1:10" ht="13.5" customHeight="1" x14ac:dyDescent="0.25">
      <c r="A2241" s="1"/>
      <c r="B2241" s="1" t="s">
        <v>2028</v>
      </c>
      <c r="C2241" s="1" t="s">
        <v>490</v>
      </c>
      <c r="D2241" s="437">
        <v>10000</v>
      </c>
      <c r="E2241" s="437">
        <v>3107.12</v>
      </c>
      <c r="F2241" s="466"/>
      <c r="G2241" s="437">
        <v>10000</v>
      </c>
      <c r="H2241" s="437">
        <v>8278.39</v>
      </c>
      <c r="I2241" s="437">
        <v>12398.68</v>
      </c>
      <c r="J2241" s="437">
        <v>15498.88</v>
      </c>
    </row>
    <row r="2242" spans="1:10" ht="13.5" customHeight="1" x14ac:dyDescent="0.25">
      <c r="A2242" s="1"/>
      <c r="B2242" s="1" t="s">
        <v>2029</v>
      </c>
      <c r="C2242" s="1" t="s">
        <v>1154</v>
      </c>
      <c r="D2242" s="437">
        <v>7500</v>
      </c>
      <c r="E2242" s="437">
        <v>2360.4499999999998</v>
      </c>
      <c r="F2242" s="466"/>
      <c r="G2242" s="437">
        <v>7500</v>
      </c>
      <c r="H2242" s="437">
        <v>5251.06</v>
      </c>
      <c r="I2242" s="437">
        <v>5743.38</v>
      </c>
      <c r="J2242" s="437">
        <v>9451.76</v>
      </c>
    </row>
    <row r="2243" spans="1:10" ht="13.5" customHeight="1" x14ac:dyDescent="0.25">
      <c r="A2243" s="1"/>
      <c r="B2243" s="1" t="s">
        <v>2030</v>
      </c>
      <c r="C2243" s="1" t="s">
        <v>1881</v>
      </c>
      <c r="D2243" s="437">
        <v>5500</v>
      </c>
      <c r="E2243" s="437"/>
      <c r="F2243" s="466"/>
      <c r="G2243" s="437">
        <v>7000</v>
      </c>
      <c r="H2243" s="437">
        <v>2470.61</v>
      </c>
      <c r="I2243" s="437">
        <v>2158.35</v>
      </c>
      <c r="J2243" s="437">
        <v>19055.62</v>
      </c>
    </row>
    <row r="2244" spans="1:10" ht="13.5" customHeight="1" x14ac:dyDescent="0.25">
      <c r="A2244" s="1"/>
      <c r="B2244" s="1" t="s">
        <v>2031</v>
      </c>
      <c r="C2244" s="1" t="s">
        <v>1442</v>
      </c>
      <c r="D2244" s="437">
        <v>350</v>
      </c>
      <c r="E2244" s="437">
        <v>62.89</v>
      </c>
      <c r="F2244" s="466"/>
      <c r="G2244" s="437">
        <v>250</v>
      </c>
      <c r="H2244" s="437">
        <v>228.32</v>
      </c>
      <c r="I2244" s="437">
        <v>1034.54</v>
      </c>
      <c r="J2244" s="440">
        <v>0</v>
      </c>
    </row>
    <row r="2245" spans="1:10" ht="13.5" customHeight="1" x14ac:dyDescent="0.25">
      <c r="A2245" s="1"/>
      <c r="B2245" s="1" t="s">
        <v>2032</v>
      </c>
      <c r="C2245" s="1" t="s">
        <v>273</v>
      </c>
      <c r="D2245" s="437">
        <v>3000</v>
      </c>
      <c r="E2245" s="437">
        <v>3650</v>
      </c>
      <c r="F2245" s="466"/>
      <c r="G2245" s="437">
        <v>3000</v>
      </c>
      <c r="H2245" s="437">
        <v>9275.4699999999993</v>
      </c>
      <c r="I2245" s="437">
        <v>5159.09</v>
      </c>
      <c r="J2245" s="437">
        <v>2460.31</v>
      </c>
    </row>
    <row r="2246" spans="1:10" ht="13.5" customHeight="1" x14ac:dyDescent="0.25">
      <c r="A2246" s="1"/>
      <c r="B2246" s="22" t="s">
        <v>2033</v>
      </c>
      <c r="C2246" s="22" t="s">
        <v>2034</v>
      </c>
      <c r="D2246" s="437">
        <v>2000</v>
      </c>
      <c r="E2246" s="437"/>
      <c r="F2246" s="466"/>
      <c r="G2246" s="437">
        <v>0</v>
      </c>
      <c r="H2246" s="437">
        <v>2200</v>
      </c>
      <c r="I2246" s="437">
        <v>5159.09</v>
      </c>
      <c r="J2246" s="437">
        <v>2460.31</v>
      </c>
    </row>
    <row r="2247" spans="1:10" ht="13.5" customHeight="1" x14ac:dyDescent="0.25">
      <c r="A2247" s="1"/>
      <c r="B2247" s="1" t="s">
        <v>2035</v>
      </c>
      <c r="C2247" s="1" t="s">
        <v>275</v>
      </c>
      <c r="D2247" s="437">
        <v>2500</v>
      </c>
      <c r="E2247" s="437"/>
      <c r="F2247" s="466"/>
      <c r="G2247" s="437">
        <v>2500</v>
      </c>
      <c r="H2247" s="437">
        <v>0</v>
      </c>
      <c r="I2247" s="437">
        <v>2711.61</v>
      </c>
      <c r="J2247" s="437">
        <v>6861.13</v>
      </c>
    </row>
    <row r="2248" spans="1:10" ht="13.5" customHeight="1" x14ac:dyDescent="0.25">
      <c r="A2248" s="1"/>
      <c r="B2248" s="1"/>
      <c r="C2248" s="1"/>
      <c r="D2248" s="438">
        <v>873269.77</v>
      </c>
      <c r="E2248" s="438">
        <f t="shared" ref="E2248" si="862">SUM(E2235:E2247)</f>
        <v>139942.95000000004</v>
      </c>
      <c r="F2248" s="467"/>
      <c r="G2248" s="438">
        <v>774005.15</v>
      </c>
      <c r="H2248" s="438">
        <f>SUM(H2235:H2247)</f>
        <v>608179.22</v>
      </c>
      <c r="I2248" s="438">
        <f>SUM(I2235:I2247)</f>
        <v>604982.51</v>
      </c>
      <c r="J2248" s="438">
        <f t="shared" ref="J2248" si="863">SUM(J2235:J2247)</f>
        <v>736983.94000000006</v>
      </c>
    </row>
    <row r="2249" spans="1:10" ht="13.5" customHeight="1" x14ac:dyDescent="0.25">
      <c r="A2249" s="1"/>
      <c r="B2249" s="1"/>
      <c r="C2249" s="1"/>
      <c r="D2249" s="437"/>
      <c r="E2249" s="437"/>
      <c r="F2249" s="466"/>
      <c r="G2249" s="437"/>
      <c r="H2249" s="437"/>
      <c r="I2249" s="437"/>
      <c r="J2249" s="437"/>
    </row>
    <row r="2250" spans="1:10" ht="13.5" customHeight="1" x14ac:dyDescent="0.25">
      <c r="A2250" s="1"/>
      <c r="B2250" s="1" t="s">
        <v>2036</v>
      </c>
      <c r="C2250" s="1" t="s">
        <v>317</v>
      </c>
      <c r="D2250" s="437">
        <v>800</v>
      </c>
      <c r="E2250" s="437"/>
      <c r="F2250" s="466"/>
      <c r="G2250" s="437">
        <v>800</v>
      </c>
      <c r="H2250" s="437">
        <v>0</v>
      </c>
      <c r="I2250" s="440">
        <v>0</v>
      </c>
      <c r="J2250" s="440">
        <v>0</v>
      </c>
    </row>
    <row r="2251" spans="1:10" ht="13.5" customHeight="1" x14ac:dyDescent="0.25">
      <c r="A2251" s="1"/>
      <c r="B2251" s="1" t="s">
        <v>2037</v>
      </c>
      <c r="C2251" s="1" t="s">
        <v>497</v>
      </c>
      <c r="D2251" s="437">
        <v>0</v>
      </c>
      <c r="E2251" s="437"/>
      <c r="F2251" s="466"/>
      <c r="G2251" s="437">
        <v>0</v>
      </c>
      <c r="H2251" s="437">
        <v>0</v>
      </c>
      <c r="I2251" s="440" t="s">
        <v>12</v>
      </c>
      <c r="J2251" s="440" t="s">
        <v>12</v>
      </c>
    </row>
    <row r="2252" spans="1:10" ht="13.5" customHeight="1" x14ac:dyDescent="0.25">
      <c r="A2252" s="1"/>
      <c r="B2252" s="1" t="s">
        <v>2038</v>
      </c>
      <c r="C2252" s="1" t="s">
        <v>329</v>
      </c>
      <c r="D2252" s="437">
        <v>1000</v>
      </c>
      <c r="E2252" s="437">
        <v>224.72</v>
      </c>
      <c r="F2252" s="466"/>
      <c r="G2252" s="437">
        <v>1000</v>
      </c>
      <c r="H2252" s="437">
        <v>552.98</v>
      </c>
      <c r="I2252" s="437">
        <v>798.03</v>
      </c>
      <c r="J2252" s="437">
        <v>1060.3800000000001</v>
      </c>
    </row>
    <row r="2253" spans="1:10" ht="13.5" customHeight="1" x14ac:dyDescent="0.25">
      <c r="A2253" s="1"/>
      <c r="B2253" s="1" t="s">
        <v>2039</v>
      </c>
      <c r="C2253" s="1" t="s">
        <v>426</v>
      </c>
      <c r="D2253" s="437">
        <v>1000</v>
      </c>
      <c r="E2253" s="437">
        <v>1224.1400000000001</v>
      </c>
      <c r="F2253" s="466"/>
      <c r="G2253" s="437">
        <v>1400</v>
      </c>
      <c r="H2253" s="437">
        <v>35</v>
      </c>
      <c r="I2253" s="437">
        <v>1410.06</v>
      </c>
      <c r="J2253" s="437">
        <v>2460</v>
      </c>
    </row>
    <row r="2254" spans="1:10" ht="13.5" customHeight="1" x14ac:dyDescent="0.25">
      <c r="A2254" s="1"/>
      <c r="B2254" s="1" t="s">
        <v>2040</v>
      </c>
      <c r="C2254" s="1" t="s">
        <v>1175</v>
      </c>
      <c r="D2254" s="437">
        <v>6200</v>
      </c>
      <c r="E2254" s="437">
        <v>1654.29</v>
      </c>
      <c r="F2254" s="466"/>
      <c r="G2254" s="437">
        <v>3200</v>
      </c>
      <c r="H2254" s="437">
        <v>2921.84</v>
      </c>
      <c r="I2254" s="437">
        <v>3301.08</v>
      </c>
      <c r="J2254" s="437">
        <v>3101.17</v>
      </c>
    </row>
    <row r="2255" spans="1:10" ht="13.5" customHeight="1" x14ac:dyDescent="0.25">
      <c r="A2255" s="1"/>
      <c r="B2255" s="1" t="s">
        <v>2041</v>
      </c>
      <c r="C2255" s="1" t="s">
        <v>1177</v>
      </c>
      <c r="D2255" s="437">
        <v>1000</v>
      </c>
      <c r="E2255" s="437">
        <v>408.32</v>
      </c>
      <c r="F2255" s="466"/>
      <c r="G2255" s="437">
        <v>1000</v>
      </c>
      <c r="H2255" s="437">
        <v>647.88</v>
      </c>
      <c r="I2255" s="437">
        <v>768.39</v>
      </c>
      <c r="J2255" s="437">
        <v>807.3</v>
      </c>
    </row>
    <row r="2256" spans="1:10" ht="13.5" customHeight="1" x14ac:dyDescent="0.25">
      <c r="A2256" s="1"/>
      <c r="B2256" s="1" t="s">
        <v>2042</v>
      </c>
      <c r="C2256" s="1" t="s">
        <v>1179</v>
      </c>
      <c r="D2256" s="437">
        <v>450</v>
      </c>
      <c r="E2256" s="437">
        <v>172.68</v>
      </c>
      <c r="F2256" s="466"/>
      <c r="G2256" s="437">
        <v>450</v>
      </c>
      <c r="H2256" s="437">
        <v>558.87</v>
      </c>
      <c r="I2256" s="437">
        <v>443.68</v>
      </c>
      <c r="J2256" s="437">
        <v>580.63</v>
      </c>
    </row>
    <row r="2257" spans="1:10" ht="13.5" customHeight="1" x14ac:dyDescent="0.25">
      <c r="A2257" s="1"/>
      <c r="B2257" s="1" t="s">
        <v>2043</v>
      </c>
      <c r="C2257" s="1" t="s">
        <v>1893</v>
      </c>
      <c r="D2257" s="437">
        <v>3000</v>
      </c>
      <c r="E2257" s="437">
        <v>380.44</v>
      </c>
      <c r="F2257" s="466"/>
      <c r="G2257" s="437">
        <v>1500</v>
      </c>
      <c r="H2257" s="437">
        <v>2896.57</v>
      </c>
      <c r="I2257" s="437">
        <v>3162</v>
      </c>
      <c r="J2257" s="437">
        <v>1671</v>
      </c>
    </row>
    <row r="2258" spans="1:10" ht="13.5" customHeight="1" x14ac:dyDescent="0.25">
      <c r="A2258" s="1"/>
      <c r="B2258" s="1" t="s">
        <v>2044</v>
      </c>
      <c r="C2258" s="1" t="s">
        <v>1895</v>
      </c>
      <c r="D2258" s="437">
        <v>2500</v>
      </c>
      <c r="E2258" s="437">
        <v>3655.02</v>
      </c>
      <c r="F2258" s="466"/>
      <c r="G2258" s="437">
        <v>2500</v>
      </c>
      <c r="H2258" s="437">
        <v>7293.9</v>
      </c>
      <c r="I2258" s="437">
        <v>3544.02</v>
      </c>
      <c r="J2258" s="437">
        <v>2212.62</v>
      </c>
    </row>
    <row r="2259" spans="1:10" ht="13.5" customHeight="1" x14ac:dyDescent="0.25">
      <c r="A2259" s="1"/>
      <c r="B2259" s="1" t="s">
        <v>2045</v>
      </c>
      <c r="C2259" s="1" t="s">
        <v>1897</v>
      </c>
      <c r="D2259" s="437">
        <v>25000</v>
      </c>
      <c r="E2259" s="437">
        <v>12457.42</v>
      </c>
      <c r="F2259" s="466"/>
      <c r="G2259" s="437">
        <v>25000</v>
      </c>
      <c r="H2259" s="437">
        <v>21216.34</v>
      </c>
      <c r="I2259" s="437">
        <v>21006.33</v>
      </c>
      <c r="J2259" s="437">
        <v>20564.990000000002</v>
      </c>
    </row>
    <row r="2260" spans="1:10" ht="13.5" customHeight="1" x14ac:dyDescent="0.25">
      <c r="A2260" s="1"/>
      <c r="B2260" s="1" t="s">
        <v>2046</v>
      </c>
      <c r="C2260" s="1" t="s">
        <v>1161</v>
      </c>
      <c r="D2260" s="437">
        <v>2500</v>
      </c>
      <c r="E2260" s="437">
        <v>375.89</v>
      </c>
      <c r="F2260" s="466"/>
      <c r="G2260" s="437">
        <v>2500</v>
      </c>
      <c r="H2260" s="437">
        <v>1054.5999999999999</v>
      </c>
      <c r="I2260" s="437">
        <v>2327.6999999999998</v>
      </c>
      <c r="J2260" s="437">
        <v>96.72</v>
      </c>
    </row>
    <row r="2261" spans="1:10" ht="13.5" customHeight="1" x14ac:dyDescent="0.25">
      <c r="A2261" s="1"/>
      <c r="B2261" s="1" t="s">
        <v>2047</v>
      </c>
      <c r="C2261" s="1" t="s">
        <v>509</v>
      </c>
      <c r="D2261" s="437">
        <v>25000</v>
      </c>
      <c r="E2261" s="437">
        <v>10981.85</v>
      </c>
      <c r="F2261" s="466"/>
      <c r="G2261" s="437">
        <v>25000</v>
      </c>
      <c r="H2261" s="437">
        <v>22171.45</v>
      </c>
      <c r="I2261" s="437">
        <v>17356.39</v>
      </c>
      <c r="J2261" s="437">
        <v>15411.67</v>
      </c>
    </row>
    <row r="2262" spans="1:10" ht="13.5" customHeight="1" x14ac:dyDescent="0.25">
      <c r="A2262" s="1"/>
      <c r="B2262" s="1" t="s">
        <v>2048</v>
      </c>
      <c r="C2262" s="1" t="s">
        <v>1182</v>
      </c>
      <c r="D2262" s="437">
        <v>500</v>
      </c>
      <c r="E2262" s="437"/>
      <c r="F2262" s="466"/>
      <c r="G2262" s="437">
        <v>500</v>
      </c>
      <c r="H2262" s="437">
        <v>249.25</v>
      </c>
      <c r="I2262" s="439">
        <v>67.2</v>
      </c>
      <c r="J2262" s="440">
        <v>0</v>
      </c>
    </row>
    <row r="2263" spans="1:10" ht="13.5" customHeight="1" x14ac:dyDescent="0.25">
      <c r="A2263" s="1"/>
      <c r="B2263" s="1" t="s">
        <v>2049</v>
      </c>
      <c r="C2263" s="1" t="s">
        <v>1901</v>
      </c>
      <c r="D2263" s="437">
        <v>850</v>
      </c>
      <c r="E2263" s="439">
        <v>870.02</v>
      </c>
      <c r="F2263" s="468"/>
      <c r="G2263" s="440">
        <v>850</v>
      </c>
      <c r="H2263" s="439">
        <v>772.5</v>
      </c>
      <c r="I2263" s="439">
        <v>750</v>
      </c>
      <c r="J2263" s="437">
        <v>5539.05</v>
      </c>
    </row>
    <row r="2264" spans="1:10" ht="13.5" customHeight="1" x14ac:dyDescent="0.25">
      <c r="A2264" s="1"/>
      <c r="B2264" s="1" t="s">
        <v>2050</v>
      </c>
      <c r="C2264" s="1" t="s">
        <v>840</v>
      </c>
      <c r="D2264" s="437">
        <v>2600</v>
      </c>
      <c r="E2264" s="437">
        <v>842.22</v>
      </c>
      <c r="F2264" s="466"/>
      <c r="G2264" s="437">
        <v>420</v>
      </c>
      <c r="H2264" s="437">
        <v>1884.5</v>
      </c>
      <c r="I2264" s="437">
        <v>176.1</v>
      </c>
      <c r="J2264" s="440">
        <v>0</v>
      </c>
    </row>
    <row r="2265" spans="1:10" ht="13.5" customHeight="1" x14ac:dyDescent="0.25">
      <c r="A2265" s="1"/>
      <c r="B2265" s="1" t="s">
        <v>2051</v>
      </c>
      <c r="C2265" s="1" t="s">
        <v>1470</v>
      </c>
      <c r="D2265" s="437">
        <v>1200</v>
      </c>
      <c r="E2265" s="437"/>
      <c r="F2265" s="466"/>
      <c r="G2265" s="437">
        <v>1200</v>
      </c>
      <c r="H2265" s="437">
        <v>137.61000000000001</v>
      </c>
      <c r="I2265" s="439">
        <v>35.159999999999997</v>
      </c>
      <c r="J2265" s="437">
        <v>206.91</v>
      </c>
    </row>
    <row r="2266" spans="1:10" ht="13.5" customHeight="1" x14ac:dyDescent="0.25">
      <c r="A2266" s="1"/>
      <c r="B2266" s="1" t="s">
        <v>2052</v>
      </c>
      <c r="C2266" s="1" t="s">
        <v>565</v>
      </c>
      <c r="D2266" s="437">
        <v>200</v>
      </c>
      <c r="E2266" s="437"/>
      <c r="F2266" s="466"/>
      <c r="G2266" s="437">
        <v>0</v>
      </c>
      <c r="H2266" s="437">
        <v>185</v>
      </c>
      <c r="I2266" s="437">
        <v>177.5</v>
      </c>
      <c r="J2266" s="440" t="s">
        <v>12</v>
      </c>
    </row>
    <row r="2267" spans="1:10" ht="13.5" customHeight="1" x14ac:dyDescent="0.25">
      <c r="A2267" s="1"/>
      <c r="B2267" s="1"/>
      <c r="C2267" s="1"/>
      <c r="D2267" s="441">
        <v>73800</v>
      </c>
      <c r="E2267" s="441">
        <f t="shared" ref="E2267" si="864">SUM(E2250:E2266)</f>
        <v>33247.009999999995</v>
      </c>
      <c r="F2267" s="469"/>
      <c r="G2267" s="452">
        <v>67320</v>
      </c>
      <c r="H2267" s="441">
        <f>SUM(H2250:H2266)</f>
        <v>62578.289999999994</v>
      </c>
      <c r="I2267" s="441">
        <f>SUM(I2250:I2266)</f>
        <v>55323.64</v>
      </c>
      <c r="J2267" s="441">
        <f t="shared" ref="J2267" si="865">SUM(J2250:J2266)</f>
        <v>53712.44000000001</v>
      </c>
    </row>
    <row r="2268" spans="1:10" ht="13.5" customHeight="1" x14ac:dyDescent="0.25">
      <c r="A2268" s="1"/>
      <c r="B2268" s="1"/>
      <c r="C2268" s="1"/>
      <c r="D2268" s="440"/>
      <c r="E2268" s="437"/>
      <c r="F2268" s="466"/>
      <c r="G2268" s="437"/>
      <c r="H2268" s="437"/>
      <c r="I2268" s="437"/>
      <c r="J2268" s="440"/>
    </row>
    <row r="2269" spans="1:10" ht="13.5" customHeight="1" x14ac:dyDescent="0.25">
      <c r="A2269" s="1"/>
      <c r="B2269" s="1" t="s">
        <v>2053</v>
      </c>
      <c r="C2269" s="1" t="s">
        <v>1186</v>
      </c>
      <c r="D2269" s="437">
        <v>7500</v>
      </c>
      <c r="E2269" s="439">
        <v>20674.86</v>
      </c>
      <c r="F2269" s="468"/>
      <c r="G2269" s="440">
        <v>7500</v>
      </c>
      <c r="H2269" s="439">
        <v>225</v>
      </c>
      <c r="I2269" s="440">
        <v>0</v>
      </c>
      <c r="J2269" s="440">
        <v>0</v>
      </c>
    </row>
    <row r="2270" spans="1:10" ht="13.5" customHeight="1" x14ac:dyDescent="0.25">
      <c r="A2270" s="1"/>
      <c r="B2270" s="1" t="s">
        <v>2054</v>
      </c>
      <c r="C2270" s="1" t="s">
        <v>1315</v>
      </c>
      <c r="D2270" s="437">
        <v>50000</v>
      </c>
      <c r="E2270" s="440"/>
      <c r="F2270" s="468"/>
      <c r="G2270" s="440">
        <v>50000</v>
      </c>
      <c r="H2270" s="439">
        <v>243126</v>
      </c>
      <c r="I2270" s="440">
        <v>0</v>
      </c>
      <c r="J2270" s="437">
        <v>60644</v>
      </c>
    </row>
    <row r="2271" spans="1:10" ht="13.5" customHeight="1" x14ac:dyDescent="0.25">
      <c r="A2271" s="1"/>
      <c r="B2271" s="1" t="s">
        <v>2055</v>
      </c>
      <c r="C2271" s="1" t="s">
        <v>1908</v>
      </c>
      <c r="D2271" s="437">
        <v>107532.36</v>
      </c>
      <c r="E2271" s="437">
        <v>107532.36</v>
      </c>
      <c r="F2271" s="466"/>
      <c r="G2271" s="437">
        <v>142532.35999999999</v>
      </c>
      <c r="H2271" s="437">
        <v>154950</v>
      </c>
      <c r="I2271" s="437">
        <v>459652.36</v>
      </c>
      <c r="J2271" s="437">
        <v>123214.63</v>
      </c>
    </row>
    <row r="2272" spans="1:10" ht="13.5" customHeight="1" x14ac:dyDescent="0.25">
      <c r="A2272" s="1"/>
      <c r="B2272" s="22" t="s">
        <v>2056</v>
      </c>
      <c r="C2272" s="22" t="s">
        <v>352</v>
      </c>
      <c r="D2272" s="437">
        <v>0</v>
      </c>
      <c r="E2272" s="437">
        <v>31500</v>
      </c>
      <c r="F2272" s="466"/>
      <c r="G2272" s="437">
        <v>0</v>
      </c>
      <c r="H2272" s="437">
        <v>0</v>
      </c>
      <c r="I2272" s="440" t="s">
        <v>12</v>
      </c>
      <c r="J2272" s="440" t="s">
        <v>12</v>
      </c>
    </row>
    <row r="2273" spans="1:10" ht="13.5" customHeight="1" x14ac:dyDescent="0.25">
      <c r="A2273" s="1"/>
      <c r="B2273" s="1"/>
      <c r="C2273" s="1"/>
      <c r="D2273" s="438">
        <v>165032.35999999999</v>
      </c>
      <c r="E2273" s="438">
        <f t="shared" ref="E2273" si="866">SUM(E2269:E2272)</f>
        <v>159707.22</v>
      </c>
      <c r="F2273" s="467"/>
      <c r="G2273" s="438">
        <v>200032.36</v>
      </c>
      <c r="H2273" s="438">
        <f>SUM(H2269:H2272)</f>
        <v>398301</v>
      </c>
      <c r="I2273" s="438">
        <f>SUM(I2269:I2272)</f>
        <v>459652.36</v>
      </c>
      <c r="J2273" s="438">
        <f t="shared" ref="J2273" si="867">SUM(J2269:J2272)</f>
        <v>183858.63</v>
      </c>
    </row>
    <row r="2274" spans="1:10" ht="13.5" customHeight="1" thickBot="1" x14ac:dyDescent="0.3">
      <c r="A2274" s="1"/>
      <c r="B2274" s="1"/>
      <c r="C2274" s="39" t="s">
        <v>2057</v>
      </c>
      <c r="D2274" s="451">
        <v>1871989.5721999998</v>
      </c>
      <c r="E2274" s="451">
        <f t="shared" ref="E2274" si="868">SUM(E2223+E2233+E2248+E2267+E2273)</f>
        <v>633112.94000000006</v>
      </c>
      <c r="F2274" s="478"/>
      <c r="G2274" s="451">
        <v>1763362.61</v>
      </c>
      <c r="H2274" s="451">
        <f>SUM(H2223+H2233+H2248+H2267+H2273)</f>
        <v>1736334.43</v>
      </c>
      <c r="I2274" s="451">
        <f>SUM(I2223+I2233+I2248+I2267+I2273)</f>
        <v>1759053.87</v>
      </c>
      <c r="J2274" s="451">
        <f t="shared" ref="J2274" si="869">SUM(J2223+J2233+J2248+J2267+J2273)</f>
        <v>1592776.48</v>
      </c>
    </row>
    <row r="2275" spans="1:10" ht="13.5" customHeight="1" thickTop="1" x14ac:dyDescent="0.25">
      <c r="A2275" s="1"/>
      <c r="B2275" s="1"/>
      <c r="C2275" s="1"/>
      <c r="D2275" s="437"/>
      <c r="E2275" s="440"/>
      <c r="F2275" s="468"/>
      <c r="G2275" s="440"/>
      <c r="H2275" s="440"/>
      <c r="I2275" s="440"/>
      <c r="J2275" s="440"/>
    </row>
    <row r="2276" spans="1:10" ht="13.5" customHeight="1" x14ac:dyDescent="0.25">
      <c r="A2276" s="1"/>
      <c r="B2276" s="1"/>
      <c r="C2276" s="14" t="s">
        <v>2058</v>
      </c>
      <c r="D2276" s="437"/>
      <c r="E2276" s="439">
        <v>0</v>
      </c>
      <c r="F2276" s="468"/>
      <c r="G2276" s="440"/>
      <c r="H2276" s="440"/>
      <c r="I2276" s="440"/>
      <c r="J2276" s="440"/>
    </row>
    <row r="2277" spans="1:10" ht="13.5" customHeight="1" thickBot="1" x14ac:dyDescent="0.3">
      <c r="A2277" s="1"/>
      <c r="B2277" s="1" t="s">
        <v>2059</v>
      </c>
      <c r="C2277" s="1" t="s">
        <v>1875</v>
      </c>
      <c r="D2277" s="437">
        <v>13000</v>
      </c>
      <c r="E2277" s="451">
        <f>SUM(E2276)</f>
        <v>0</v>
      </c>
      <c r="F2277" s="478"/>
      <c r="G2277" s="451">
        <v>13000</v>
      </c>
      <c r="H2277" s="451">
        <v>0</v>
      </c>
      <c r="I2277" s="453">
        <v>0</v>
      </c>
      <c r="J2277" s="453">
        <v>0</v>
      </c>
    </row>
    <row r="2278" spans="1:10" ht="13.5" customHeight="1" thickTop="1" x14ac:dyDescent="0.25">
      <c r="A2278" s="1"/>
      <c r="B2278" s="1"/>
      <c r="C2278" s="1"/>
      <c r="D2278" s="437"/>
      <c r="E2278" s="440"/>
      <c r="F2278" s="468"/>
      <c r="G2278" s="440"/>
      <c r="H2278" s="440"/>
      <c r="I2278" s="440"/>
      <c r="J2278" s="440"/>
    </row>
    <row r="2279" spans="1:10" ht="13.5" customHeight="1" x14ac:dyDescent="0.25">
      <c r="A2279" s="1"/>
      <c r="B2279" s="1"/>
      <c r="C2279" s="14" t="s">
        <v>2060</v>
      </c>
      <c r="D2279" s="437"/>
      <c r="E2279" s="439">
        <v>0</v>
      </c>
      <c r="F2279" s="468"/>
      <c r="G2279" s="440"/>
      <c r="H2279" s="440"/>
      <c r="I2279" s="440"/>
      <c r="J2279" s="440"/>
    </row>
    <row r="2280" spans="1:10" ht="13.5" customHeight="1" thickBot="1" x14ac:dyDescent="0.3">
      <c r="A2280" s="1"/>
      <c r="B2280" s="1" t="s">
        <v>2061</v>
      </c>
      <c r="C2280" s="1" t="s">
        <v>1875</v>
      </c>
      <c r="D2280" s="437">
        <v>13000</v>
      </c>
      <c r="E2280" s="451">
        <f>SUM(E2279)</f>
        <v>0</v>
      </c>
      <c r="F2280" s="478"/>
      <c r="G2280" s="451">
        <v>13000</v>
      </c>
      <c r="H2280" s="451">
        <v>0</v>
      </c>
      <c r="I2280" s="453">
        <v>0</v>
      </c>
      <c r="J2280" s="451">
        <v>59781.440000000002</v>
      </c>
    </row>
    <row r="2281" spans="1:10" ht="13.5" customHeight="1" thickTop="1" x14ac:dyDescent="0.25">
      <c r="A2281" s="1"/>
      <c r="B2281" s="1"/>
      <c r="C2281" s="1"/>
      <c r="D2281" s="437"/>
      <c r="E2281" s="440"/>
      <c r="F2281" s="468"/>
      <c r="G2281" s="440"/>
      <c r="H2281" s="440"/>
      <c r="I2281" s="440"/>
      <c r="J2281" s="437"/>
    </row>
    <row r="2282" spans="1:10" ht="13.5" customHeight="1" x14ac:dyDescent="0.25">
      <c r="A2282" s="1"/>
      <c r="B2282" s="1"/>
      <c r="C2282" s="14" t="s">
        <v>2062</v>
      </c>
      <c r="D2282" s="437"/>
      <c r="E2282" s="439">
        <v>0</v>
      </c>
      <c r="F2282" s="468"/>
      <c r="G2282" s="440"/>
      <c r="H2282" s="440"/>
      <c r="I2282" s="440"/>
      <c r="J2282" s="437"/>
    </row>
    <row r="2283" spans="1:10" ht="13.5" customHeight="1" thickBot="1" x14ac:dyDescent="0.3">
      <c r="A2283" s="1"/>
      <c r="B2283" s="1" t="s">
        <v>2063</v>
      </c>
      <c r="C2283" s="1" t="s">
        <v>1875</v>
      </c>
      <c r="D2283" s="437">
        <v>13000</v>
      </c>
      <c r="E2283" s="451">
        <f>SUM(E2282)</f>
        <v>0</v>
      </c>
      <c r="F2283" s="478"/>
      <c r="G2283" s="451">
        <v>13000</v>
      </c>
      <c r="H2283" s="451">
        <v>0</v>
      </c>
      <c r="I2283" s="455">
        <v>20357.75</v>
      </c>
      <c r="J2283" s="453">
        <v>0</v>
      </c>
    </row>
    <row r="2284" spans="1:10" ht="13.5" customHeight="1" thickTop="1" x14ac:dyDescent="0.25">
      <c r="A2284" s="1"/>
      <c r="B2284" s="1"/>
      <c r="C2284" s="1"/>
      <c r="D2284" s="437"/>
      <c r="E2284" s="440"/>
      <c r="F2284" s="468"/>
      <c r="G2284" s="440"/>
      <c r="H2284" s="440"/>
      <c r="I2284" s="440"/>
      <c r="J2284" s="440"/>
    </row>
    <row r="2285" spans="1:10" ht="13.5" customHeight="1" x14ac:dyDescent="0.25">
      <c r="A2285" s="1"/>
      <c r="B2285" s="1"/>
      <c r="C2285" s="14" t="s">
        <v>2064</v>
      </c>
      <c r="D2285" s="437"/>
      <c r="E2285" s="439">
        <v>0</v>
      </c>
      <c r="F2285" s="468"/>
      <c r="G2285" s="440"/>
      <c r="H2285" s="440"/>
      <c r="I2285" s="440"/>
      <c r="J2285" s="440"/>
    </row>
    <row r="2286" spans="1:10" ht="13.5" customHeight="1" thickBot="1" x14ac:dyDescent="0.3">
      <c r="A2286" s="1"/>
      <c r="B2286" s="1" t="s">
        <v>2065</v>
      </c>
      <c r="C2286" s="1" t="s">
        <v>1875</v>
      </c>
      <c r="D2286" s="437">
        <v>13000</v>
      </c>
      <c r="E2286" s="451">
        <f>SUM(E2285)</f>
        <v>0</v>
      </c>
      <c r="F2286" s="478"/>
      <c r="G2286" s="451">
        <v>13000</v>
      </c>
      <c r="H2286" s="451">
        <v>0</v>
      </c>
      <c r="I2286" s="453">
        <v>0</v>
      </c>
      <c r="J2286" s="453">
        <v>0</v>
      </c>
    </row>
    <row r="2287" spans="1:10" ht="13.5" customHeight="1" thickTop="1" x14ac:dyDescent="0.25">
      <c r="A2287" s="1"/>
      <c r="B2287" s="1"/>
      <c r="C2287" s="1"/>
      <c r="D2287" s="437"/>
      <c r="E2287" s="440"/>
      <c r="F2287" s="468"/>
      <c r="G2287" s="440"/>
      <c r="H2287" s="440"/>
      <c r="I2287" s="440"/>
      <c r="J2287" s="440"/>
    </row>
    <row r="2288" spans="1:10" ht="13.5" customHeight="1" x14ac:dyDescent="0.25">
      <c r="A2288" s="1"/>
      <c r="B2288" s="1"/>
      <c r="C2288" s="1"/>
      <c r="D2288" s="437"/>
      <c r="E2288" s="440"/>
      <c r="F2288" s="468"/>
      <c r="G2288" s="440"/>
      <c r="H2288" s="440"/>
      <c r="I2288" s="440"/>
      <c r="J2288" s="440"/>
    </row>
    <row r="2289" spans="1:10" ht="13.5" customHeight="1" x14ac:dyDescent="0.25">
      <c r="A2289" s="1"/>
      <c r="B2289" s="1"/>
      <c r="C2289" s="1"/>
      <c r="D2289" s="437"/>
      <c r="E2289" s="440"/>
      <c r="F2289" s="468"/>
      <c r="G2289" s="440"/>
      <c r="H2289" s="440"/>
      <c r="I2289" s="440"/>
      <c r="J2289" s="440"/>
    </row>
    <row r="2290" spans="1:10" ht="13.5" customHeight="1" x14ac:dyDescent="0.25">
      <c r="A2290" s="1"/>
      <c r="B2290" s="1"/>
      <c r="C2290" s="14" t="s">
        <v>2066</v>
      </c>
      <c r="D2290" s="437"/>
      <c r="E2290" s="440"/>
      <c r="F2290" s="468"/>
      <c r="G2290" s="440"/>
      <c r="H2290" s="440"/>
      <c r="I2290" s="440"/>
      <c r="J2290" s="440"/>
    </row>
    <row r="2291" spans="1:10" ht="13.5" customHeight="1" x14ac:dyDescent="0.25">
      <c r="A2291" s="1"/>
      <c r="B2291" s="1" t="s">
        <v>2067</v>
      </c>
      <c r="C2291" s="1" t="s">
        <v>441</v>
      </c>
      <c r="D2291" s="437">
        <v>82620</v>
      </c>
      <c r="E2291" s="437">
        <v>43605.43</v>
      </c>
      <c r="F2291" s="466"/>
      <c r="G2291" s="437">
        <v>81120</v>
      </c>
      <c r="H2291" s="437">
        <v>73134.259999999995</v>
      </c>
      <c r="I2291" s="437">
        <v>69511.899999999994</v>
      </c>
      <c r="J2291" s="437">
        <v>63748.42</v>
      </c>
    </row>
    <row r="2292" spans="1:10" ht="13.5" customHeight="1" x14ac:dyDescent="0.25">
      <c r="A2292" s="1"/>
      <c r="B2292" s="1"/>
      <c r="C2292" s="1"/>
      <c r="D2292" s="438">
        <v>82620</v>
      </c>
      <c r="E2292" s="438">
        <f t="shared" ref="E2292" si="870">SUM(E2291)</f>
        <v>43605.43</v>
      </c>
      <c r="F2292" s="467"/>
      <c r="G2292" s="438">
        <v>81120</v>
      </c>
      <c r="H2292" s="438">
        <f>SUM(H2291)</f>
        <v>73134.259999999995</v>
      </c>
      <c r="I2292" s="438">
        <f>SUM(I2291)</f>
        <v>69511.899999999994</v>
      </c>
      <c r="J2292" s="438">
        <f t="shared" ref="J2292" si="871">SUM(J2291)</f>
        <v>63748.42</v>
      </c>
    </row>
    <row r="2293" spans="1:10" ht="13.5" customHeight="1" x14ac:dyDescent="0.25">
      <c r="A2293" s="1"/>
      <c r="B2293" s="1"/>
      <c r="C2293" s="1"/>
      <c r="D2293" s="437"/>
      <c r="E2293" s="437"/>
      <c r="F2293" s="466"/>
      <c r="G2293" s="437"/>
      <c r="H2293" s="437"/>
      <c r="I2293" s="437"/>
      <c r="J2293" s="437"/>
    </row>
    <row r="2294" spans="1:10" ht="13.5" customHeight="1" x14ac:dyDescent="0.25">
      <c r="A2294" s="1"/>
      <c r="B2294" s="1" t="s">
        <v>2068</v>
      </c>
      <c r="C2294" s="1" t="s">
        <v>257</v>
      </c>
      <c r="D2294" s="437">
        <v>6320.4299999999994</v>
      </c>
      <c r="E2294" s="437">
        <v>3334.4</v>
      </c>
      <c r="F2294" s="466"/>
      <c r="G2294" s="437">
        <v>6205.68</v>
      </c>
      <c r="H2294" s="437">
        <v>5594.78</v>
      </c>
      <c r="I2294" s="437">
        <v>5317.65</v>
      </c>
      <c r="J2294" s="437">
        <v>4876.74</v>
      </c>
    </row>
    <row r="2295" spans="1:10" ht="13.5" customHeight="1" x14ac:dyDescent="0.25">
      <c r="A2295" s="1"/>
      <c r="B2295" s="1" t="s">
        <v>2069</v>
      </c>
      <c r="C2295" s="1" t="s">
        <v>261</v>
      </c>
      <c r="D2295" s="437">
        <v>12409.523999999999</v>
      </c>
      <c r="E2295" s="437">
        <v>6467.94</v>
      </c>
      <c r="F2295" s="466"/>
      <c r="G2295" s="437">
        <v>12184.22</v>
      </c>
      <c r="H2295" s="437">
        <v>10932.27</v>
      </c>
      <c r="I2295" s="437">
        <v>10007.25</v>
      </c>
      <c r="J2295" s="437">
        <v>9138.27</v>
      </c>
    </row>
    <row r="2296" spans="1:10" ht="13.5" customHeight="1" x14ac:dyDescent="0.25">
      <c r="A2296" s="1"/>
      <c r="B2296" s="1" t="s">
        <v>2070</v>
      </c>
      <c r="C2296" s="1" t="s">
        <v>1865</v>
      </c>
      <c r="D2296" s="437">
        <v>1850</v>
      </c>
      <c r="E2296" s="437">
        <v>756</v>
      </c>
      <c r="F2296" s="466"/>
      <c r="G2296" s="437">
        <v>1850</v>
      </c>
      <c r="H2296" s="437">
        <v>908</v>
      </c>
      <c r="I2296" s="437">
        <v>985.16</v>
      </c>
      <c r="J2296" s="437">
        <v>1100.8</v>
      </c>
    </row>
    <row r="2297" spans="1:10" ht="13.5" customHeight="1" x14ac:dyDescent="0.25">
      <c r="A2297" s="1"/>
      <c r="B2297" s="1" t="s">
        <v>2071</v>
      </c>
      <c r="C2297" s="1" t="s">
        <v>263</v>
      </c>
      <c r="D2297" s="437">
        <v>132.19200000000001</v>
      </c>
      <c r="E2297" s="437">
        <v>68.900000000000006</v>
      </c>
      <c r="F2297" s="466"/>
      <c r="G2297" s="437">
        <v>129.79</v>
      </c>
      <c r="H2297" s="437">
        <v>116.48</v>
      </c>
      <c r="I2297" s="437">
        <v>110.14</v>
      </c>
      <c r="J2297" s="437">
        <v>115.43</v>
      </c>
    </row>
    <row r="2298" spans="1:10" ht="13.5" customHeight="1" x14ac:dyDescent="0.25">
      <c r="A2298" s="1"/>
      <c r="B2298" s="1" t="s">
        <v>2072</v>
      </c>
      <c r="C2298" s="1" t="s">
        <v>295</v>
      </c>
      <c r="D2298" s="437">
        <v>49.571999999999996</v>
      </c>
      <c r="E2298" s="437">
        <v>10.27</v>
      </c>
      <c r="F2298" s="466"/>
      <c r="G2298" s="437">
        <v>48.67</v>
      </c>
      <c r="H2298" s="437">
        <v>50.8</v>
      </c>
      <c r="I2298" s="437">
        <v>57.8</v>
      </c>
      <c r="J2298" s="437">
        <v>71.87</v>
      </c>
    </row>
    <row r="2299" spans="1:10" ht="13.5" customHeight="1" x14ac:dyDescent="0.25">
      <c r="A2299" s="1"/>
      <c r="B2299" s="1"/>
      <c r="C2299" s="1"/>
      <c r="D2299" s="438">
        <v>20761.717999999997</v>
      </c>
      <c r="E2299" s="438">
        <f t="shared" ref="E2299" si="872">SUM(E2294:E2298)</f>
        <v>10637.51</v>
      </c>
      <c r="F2299" s="467"/>
      <c r="G2299" s="438">
        <v>20418.37</v>
      </c>
      <c r="H2299" s="438">
        <f>SUM(H2294:H2298)</f>
        <v>17602.329999999998</v>
      </c>
      <c r="I2299" s="438">
        <f>SUM(I2294:I2298)</f>
        <v>16478</v>
      </c>
      <c r="J2299" s="438">
        <f t="shared" ref="J2299" si="873">SUM(J2294:J2298)</f>
        <v>15303.11</v>
      </c>
    </row>
    <row r="2300" spans="1:10" ht="13.5" customHeight="1" x14ac:dyDescent="0.25">
      <c r="A2300" s="1"/>
      <c r="B2300" s="1"/>
      <c r="C2300" s="1"/>
      <c r="D2300" s="437"/>
      <c r="E2300" s="437"/>
      <c r="F2300" s="466"/>
      <c r="G2300" s="437"/>
      <c r="H2300" s="437"/>
      <c r="I2300" s="437"/>
      <c r="J2300" s="437"/>
    </row>
    <row r="2301" spans="1:10" ht="13.5" customHeight="1" x14ac:dyDescent="0.25">
      <c r="A2301" s="1"/>
      <c r="B2301" s="1" t="s">
        <v>2073</v>
      </c>
      <c r="C2301" s="1" t="s">
        <v>267</v>
      </c>
      <c r="D2301" s="437">
        <v>1739</v>
      </c>
      <c r="E2301" s="437">
        <v>2524.42</v>
      </c>
      <c r="F2301" s="466"/>
      <c r="G2301" s="437">
        <v>1739</v>
      </c>
      <c r="H2301" s="437">
        <v>4095</v>
      </c>
      <c r="I2301" s="437">
        <v>2222</v>
      </c>
      <c r="J2301" s="437">
        <v>2614</v>
      </c>
    </row>
    <row r="2302" spans="1:10" ht="13.5" customHeight="1" x14ac:dyDescent="0.25">
      <c r="A2302" s="1"/>
      <c r="B2302" s="1"/>
      <c r="C2302" s="1"/>
      <c r="D2302" s="438">
        <v>1739</v>
      </c>
      <c r="E2302" s="438">
        <f t="shared" ref="E2302" si="874">SUM(E2301)</f>
        <v>2524.42</v>
      </c>
      <c r="F2302" s="467"/>
      <c r="G2302" s="438">
        <v>1739</v>
      </c>
      <c r="H2302" s="438">
        <f>SUM(H2301)</f>
        <v>4095</v>
      </c>
      <c r="I2302" s="438">
        <f>SUM(I2301)</f>
        <v>2222</v>
      </c>
      <c r="J2302" s="438">
        <f t="shared" ref="J2302" si="875">SUM(J2301)</f>
        <v>2614</v>
      </c>
    </row>
    <row r="2303" spans="1:10" ht="13.5" customHeight="1" x14ac:dyDescent="0.25">
      <c r="A2303" s="1"/>
      <c r="B2303" s="1"/>
      <c r="C2303" s="1"/>
      <c r="D2303" s="437"/>
      <c r="E2303" s="437"/>
      <c r="F2303" s="466"/>
      <c r="G2303" s="437"/>
      <c r="H2303" s="437"/>
      <c r="I2303" s="437"/>
      <c r="J2303" s="437"/>
    </row>
    <row r="2304" spans="1:10" ht="13.5" customHeight="1" x14ac:dyDescent="0.25">
      <c r="A2304" s="1"/>
      <c r="B2304" s="1" t="s">
        <v>2074</v>
      </c>
      <c r="C2304" s="1" t="s">
        <v>497</v>
      </c>
      <c r="D2304" s="437">
        <v>0</v>
      </c>
      <c r="E2304" s="437">
        <v>472.5</v>
      </c>
      <c r="F2304" s="466"/>
      <c r="G2304" s="437">
        <v>0</v>
      </c>
      <c r="H2304" s="437">
        <v>897.75</v>
      </c>
      <c r="I2304" s="437">
        <v>1071</v>
      </c>
      <c r="J2304" s="437">
        <v>849.81</v>
      </c>
    </row>
    <row r="2305" spans="1:10" ht="13.5" customHeight="1" x14ac:dyDescent="0.25">
      <c r="A2305" s="1"/>
      <c r="B2305" s="1" t="s">
        <v>2075</v>
      </c>
      <c r="C2305" s="1" t="s">
        <v>329</v>
      </c>
      <c r="D2305" s="437">
        <v>523</v>
      </c>
      <c r="E2305" s="437">
        <v>373.49</v>
      </c>
      <c r="F2305" s="466"/>
      <c r="G2305" s="437">
        <v>523</v>
      </c>
      <c r="H2305" s="437">
        <v>284.14</v>
      </c>
      <c r="I2305" s="437">
        <v>292.43</v>
      </c>
      <c r="J2305" s="437">
        <v>443.48</v>
      </c>
    </row>
    <row r="2306" spans="1:10" ht="13.5" customHeight="1" x14ac:dyDescent="0.25">
      <c r="A2306" s="1"/>
      <c r="B2306" s="1" t="s">
        <v>2076</v>
      </c>
      <c r="C2306" s="1" t="s">
        <v>1175</v>
      </c>
      <c r="D2306" s="437">
        <v>1421</v>
      </c>
      <c r="E2306" s="437">
        <v>550.34</v>
      </c>
      <c r="F2306" s="466"/>
      <c r="G2306" s="437">
        <v>1421</v>
      </c>
      <c r="H2306" s="437">
        <v>1018.62</v>
      </c>
      <c r="I2306" s="437">
        <v>968.29</v>
      </c>
      <c r="J2306" s="437">
        <v>1195.23</v>
      </c>
    </row>
    <row r="2307" spans="1:10" ht="13.5" customHeight="1" x14ac:dyDescent="0.25">
      <c r="A2307" s="1"/>
      <c r="B2307" s="22" t="s">
        <v>2077</v>
      </c>
      <c r="C2307" s="22" t="s">
        <v>2078</v>
      </c>
      <c r="D2307" s="437">
        <v>0</v>
      </c>
      <c r="E2307" s="437">
        <v>58.34</v>
      </c>
      <c r="F2307" s="466"/>
      <c r="G2307" s="437">
        <v>0</v>
      </c>
      <c r="H2307" s="437">
        <v>319.95</v>
      </c>
      <c r="I2307" s="437">
        <v>0</v>
      </c>
      <c r="J2307" s="437">
        <v>0</v>
      </c>
    </row>
    <row r="2308" spans="1:10" ht="13.5" customHeight="1" x14ac:dyDescent="0.25">
      <c r="A2308" s="1"/>
      <c r="B2308" s="1" t="s">
        <v>2079</v>
      </c>
      <c r="C2308" s="1" t="s">
        <v>1238</v>
      </c>
      <c r="D2308" s="437">
        <v>346300</v>
      </c>
      <c r="E2308" s="437">
        <v>180675.84</v>
      </c>
      <c r="F2308" s="466"/>
      <c r="G2308" s="437">
        <v>246300</v>
      </c>
      <c r="H2308" s="437">
        <v>335224.55</v>
      </c>
      <c r="I2308" s="437">
        <v>277121.83</v>
      </c>
      <c r="J2308" s="437">
        <v>260679.51</v>
      </c>
    </row>
    <row r="2309" spans="1:10" ht="13.5" customHeight="1" x14ac:dyDescent="0.25">
      <c r="A2309" s="1"/>
      <c r="B2309" s="1" t="s">
        <v>2080</v>
      </c>
      <c r="C2309" s="1" t="s">
        <v>287</v>
      </c>
      <c r="D2309" s="437">
        <v>90</v>
      </c>
      <c r="E2309" s="437"/>
      <c r="F2309" s="466"/>
      <c r="G2309" s="437">
        <v>90</v>
      </c>
      <c r="H2309" s="437">
        <v>86.47</v>
      </c>
      <c r="I2309" s="439">
        <v>86.47</v>
      </c>
      <c r="J2309" s="437">
        <v>86.47</v>
      </c>
    </row>
    <row r="2310" spans="1:10" ht="13.5" customHeight="1" x14ac:dyDescent="0.25">
      <c r="A2310" s="1"/>
      <c r="B2310" s="1"/>
      <c r="C2310" s="1"/>
      <c r="D2310" s="438">
        <v>348334</v>
      </c>
      <c r="E2310" s="438">
        <f t="shared" ref="E2310" si="876">SUM(E2304:E2309)</f>
        <v>182130.51</v>
      </c>
      <c r="F2310" s="467"/>
      <c r="G2310" s="438">
        <v>248334</v>
      </c>
      <c r="H2310" s="438">
        <f>SUM(H2304:H2309)</f>
        <v>337831.48</v>
      </c>
      <c r="I2310" s="438">
        <f>SUM(I2304:I2309)</f>
        <v>279540.01999999996</v>
      </c>
      <c r="J2310" s="438">
        <f t="shared" ref="J2310" si="877">SUM(J2304:J2309)</f>
        <v>263254.5</v>
      </c>
    </row>
    <row r="2311" spans="1:10" ht="13.5" customHeight="1" thickBot="1" x14ac:dyDescent="0.3">
      <c r="A2311" s="1"/>
      <c r="B2311" s="1"/>
      <c r="C2311" s="39" t="s">
        <v>2081</v>
      </c>
      <c r="D2311" s="451">
        <v>453454.71799999999</v>
      </c>
      <c r="E2311" s="451">
        <f t="shared" ref="E2311" si="878">SUM(E2292+E2299+E2302+E2310)</f>
        <v>238897.87</v>
      </c>
      <c r="F2311" s="478"/>
      <c r="G2311" s="451">
        <v>351611.37</v>
      </c>
      <c r="H2311" s="451">
        <f>SUM(H2292+H2299+H2302+H2310)</f>
        <v>432663.06999999995</v>
      </c>
      <c r="I2311" s="451">
        <f>SUM(I2292+I2299+I2302+I2310)</f>
        <v>367751.91999999993</v>
      </c>
      <c r="J2311" s="451">
        <f t="shared" ref="J2311" si="879">SUM(J2292+J2299+J2302+J2310)</f>
        <v>344920.03</v>
      </c>
    </row>
    <row r="2312" spans="1:10" ht="13.5" customHeight="1" thickTop="1" x14ac:dyDescent="0.25">
      <c r="A2312" s="1"/>
      <c r="B2312" s="1"/>
      <c r="C2312" s="1"/>
      <c r="D2312" s="437"/>
      <c r="E2312" s="437"/>
      <c r="F2312" s="466"/>
      <c r="G2312" s="437"/>
      <c r="H2312" s="437"/>
      <c r="I2312" s="440"/>
      <c r="J2312" s="437"/>
    </row>
    <row r="2313" spans="1:10" ht="13.5" customHeight="1" thickBot="1" x14ac:dyDescent="0.3">
      <c r="A2313" s="1"/>
      <c r="B2313" s="28"/>
      <c r="C2313" s="49" t="s">
        <v>2082</v>
      </c>
      <c r="D2313" s="461">
        <v>8028781.9989764383</v>
      </c>
      <c r="E2313" s="461">
        <f t="shared" ref="E2313" si="880">+E2311+E2286+E2283+E2280+E2277+E2274+E2213+E2155+E2097+E2039</f>
        <v>3078009.24</v>
      </c>
      <c r="F2313" s="485"/>
      <c r="G2313" s="461">
        <v>7505786.7999999998</v>
      </c>
      <c r="H2313" s="461">
        <f>+H2311+H2286+H2283+H2280+H2277+H2274+H2213+H2155+H2097+H2039</f>
        <v>7617484.3699999992</v>
      </c>
      <c r="I2313" s="461">
        <f>+I2311+I2286+I2283+I2280+I2277+I2274+I2213+I2155+I2097+I2039</f>
        <v>7312980.4700000007</v>
      </c>
      <c r="J2313" s="461">
        <f t="shared" ref="J2313" si="881">+J2311+J2286+J2283+J2280+J2277+J2274+J2213+J2155+J2097+J2039</f>
        <v>6790414.7799999993</v>
      </c>
    </row>
    <row r="2314" spans="1:10" ht="17.25" customHeight="1" thickTop="1" x14ac:dyDescent="0.25">
      <c r="A2314" s="1"/>
      <c r="B2314" s="1"/>
      <c r="C2314" s="1"/>
      <c r="D2314" s="437"/>
      <c r="E2314" s="440"/>
      <c r="F2314" s="468"/>
      <c r="G2314" s="440"/>
      <c r="H2314" s="440"/>
      <c r="I2314" s="440"/>
      <c r="J2314" s="437"/>
    </row>
    <row r="2315" spans="1:10" ht="22.5" customHeight="1" x14ac:dyDescent="0.25">
      <c r="A2315" s="1"/>
      <c r="B2315" s="50" t="s">
        <v>2083</v>
      </c>
      <c r="C2315" s="50" t="s">
        <v>2084</v>
      </c>
      <c r="D2315" s="437"/>
      <c r="E2315" s="440"/>
      <c r="F2315" s="468"/>
      <c r="G2315" s="440"/>
      <c r="H2315" s="440"/>
      <c r="I2315" s="440"/>
      <c r="J2315" s="437"/>
    </row>
    <row r="2316" spans="1:10" ht="13.5" customHeight="1" x14ac:dyDescent="0.25">
      <c r="A2316" s="1"/>
      <c r="B2316" s="1"/>
      <c r="C2316" s="1"/>
      <c r="D2316" s="437"/>
      <c r="E2316" s="440"/>
      <c r="F2316" s="468"/>
      <c r="G2316" s="440"/>
      <c r="H2316" s="440"/>
      <c r="I2316" s="440"/>
      <c r="J2316" s="437"/>
    </row>
    <row r="2317" spans="1:10" ht="13.5" customHeight="1" x14ac:dyDescent="0.25">
      <c r="A2317" s="14" t="s">
        <v>13</v>
      </c>
      <c r="B2317" s="1"/>
      <c r="C2317" s="1"/>
      <c r="D2317" s="437"/>
      <c r="E2317" s="437"/>
      <c r="F2317" s="466"/>
      <c r="G2317" s="437"/>
      <c r="H2317" s="437"/>
      <c r="I2317" s="437"/>
      <c r="J2317" s="437"/>
    </row>
    <row r="2318" spans="1:10" ht="13.5" customHeight="1" x14ac:dyDescent="0.25">
      <c r="A2318" s="1"/>
      <c r="B2318" s="1" t="s">
        <v>2085</v>
      </c>
      <c r="C2318" s="1" t="s">
        <v>2086</v>
      </c>
      <c r="D2318" s="437">
        <v>-9000</v>
      </c>
      <c r="E2318" s="437">
        <v>-4259.79</v>
      </c>
      <c r="F2318" s="466"/>
      <c r="G2318" s="437">
        <v>-14100</v>
      </c>
      <c r="H2318" s="437">
        <v>-6339.11</v>
      </c>
      <c r="I2318" s="437">
        <v>-13521.53</v>
      </c>
      <c r="J2318" s="437">
        <v>-11352.57</v>
      </c>
    </row>
    <row r="2319" spans="1:10" ht="13.5" customHeight="1" x14ac:dyDescent="0.25">
      <c r="A2319" s="1"/>
      <c r="B2319" s="22" t="s">
        <v>2087</v>
      </c>
      <c r="C2319" s="22" t="s">
        <v>2088</v>
      </c>
      <c r="D2319" s="437">
        <v>0</v>
      </c>
      <c r="E2319" s="437"/>
      <c r="F2319" s="466"/>
      <c r="G2319" s="437">
        <v>0</v>
      </c>
      <c r="H2319" s="437">
        <v>-297</v>
      </c>
      <c r="I2319" s="437">
        <v>0</v>
      </c>
      <c r="J2319" s="437">
        <v>0</v>
      </c>
    </row>
    <row r="2320" spans="1:10" ht="13.5" customHeight="1" x14ac:dyDescent="0.25">
      <c r="A2320" s="1"/>
      <c r="B2320" s="1" t="s">
        <v>2089</v>
      </c>
      <c r="C2320" s="1" t="s">
        <v>2090</v>
      </c>
      <c r="D2320" s="437">
        <v>-16500</v>
      </c>
      <c r="E2320" s="437">
        <v>-743.39</v>
      </c>
      <c r="F2320" s="466"/>
      <c r="G2320" s="437">
        <v>-15000</v>
      </c>
      <c r="H2320" s="437">
        <v>-19644.009999999998</v>
      </c>
      <c r="I2320" s="437">
        <v>-17456.759999999998</v>
      </c>
      <c r="J2320" s="437">
        <v>-18886.04</v>
      </c>
    </row>
    <row r="2321" spans="1:10" ht="13.5" customHeight="1" x14ac:dyDescent="0.25">
      <c r="A2321" s="1"/>
      <c r="B2321" s="1" t="s">
        <v>2091</v>
      </c>
      <c r="C2321" s="1" t="s">
        <v>225</v>
      </c>
      <c r="D2321" s="437">
        <v>0</v>
      </c>
      <c r="E2321" s="437"/>
      <c r="F2321" s="466"/>
      <c r="G2321" s="437">
        <v>0</v>
      </c>
      <c r="H2321" s="437">
        <v>0</v>
      </c>
      <c r="I2321" s="439">
        <v>0</v>
      </c>
      <c r="J2321" s="439">
        <v>0</v>
      </c>
    </row>
    <row r="2322" spans="1:10" ht="13.5" customHeight="1" x14ac:dyDescent="0.25">
      <c r="A2322" s="1"/>
      <c r="B2322" s="1" t="s">
        <v>2092</v>
      </c>
      <c r="C2322" s="1" t="s">
        <v>1838</v>
      </c>
      <c r="D2322" s="437">
        <v>0</v>
      </c>
      <c r="E2322" s="437"/>
      <c r="F2322" s="466"/>
      <c r="G2322" s="437">
        <v>-12000</v>
      </c>
      <c r="H2322" s="437">
        <v>0</v>
      </c>
      <c r="I2322" s="440">
        <v>0</v>
      </c>
      <c r="J2322" s="440">
        <v>0</v>
      </c>
    </row>
    <row r="2323" spans="1:10" ht="18" customHeight="1" thickBot="1" x14ac:dyDescent="0.3">
      <c r="A2323" s="1"/>
      <c r="B2323" s="1"/>
      <c r="C2323" s="39" t="s">
        <v>2093</v>
      </c>
      <c r="D2323" s="447">
        <v>-25500</v>
      </c>
      <c r="E2323" s="447">
        <f t="shared" ref="E2323" si="882">SUM(E2318:E2322)</f>
        <v>-5003.18</v>
      </c>
      <c r="F2323" s="473"/>
      <c r="G2323" s="447">
        <v>-41100</v>
      </c>
      <c r="H2323" s="447">
        <f>SUM(H2318:H2322)</f>
        <v>-26280.12</v>
      </c>
      <c r="I2323" s="447">
        <f>SUM(I2318:I2322)</f>
        <v>-30978.29</v>
      </c>
      <c r="J2323" s="447">
        <f t="shared" ref="J2323" si="883">SUM(J2318:J2322)</f>
        <v>-30238.61</v>
      </c>
    </row>
    <row r="2324" spans="1:10" ht="13.5" customHeight="1" thickTop="1" x14ac:dyDescent="0.25">
      <c r="A2324" s="1"/>
      <c r="B2324" s="1"/>
      <c r="C2324" s="1"/>
      <c r="D2324" s="437"/>
      <c r="E2324" s="440"/>
      <c r="F2324" s="468"/>
      <c r="G2324" s="440"/>
      <c r="H2324" s="440"/>
      <c r="I2324" s="440"/>
      <c r="J2324" s="440"/>
    </row>
    <row r="2325" spans="1:10" ht="13.5" customHeight="1" x14ac:dyDescent="0.25">
      <c r="A2325" s="39" t="s">
        <v>1773</v>
      </c>
      <c r="B2325" s="1"/>
      <c r="C2325" s="1"/>
      <c r="D2325" s="437"/>
      <c r="E2325" s="440"/>
      <c r="F2325" s="468"/>
      <c r="G2325" s="440"/>
      <c r="H2325" s="440"/>
      <c r="I2325" s="440"/>
      <c r="J2325" s="440"/>
    </row>
    <row r="2326" spans="1:10" ht="13.5" customHeight="1" x14ac:dyDescent="0.25">
      <c r="A2326" s="1"/>
      <c r="B2326" s="1" t="s">
        <v>2094</v>
      </c>
      <c r="C2326" s="1" t="s">
        <v>267</v>
      </c>
      <c r="D2326" s="437">
        <v>3000</v>
      </c>
      <c r="E2326" s="437">
        <v>273.77</v>
      </c>
      <c r="F2326" s="466"/>
      <c r="G2326" s="437">
        <v>3000</v>
      </c>
      <c r="H2326" s="437">
        <v>2617.61</v>
      </c>
      <c r="I2326" s="437">
        <v>2538.61</v>
      </c>
      <c r="J2326" s="437">
        <v>3295.73</v>
      </c>
    </row>
    <row r="2327" spans="1:10" ht="13.5" customHeight="1" x14ac:dyDescent="0.25">
      <c r="A2327" s="1"/>
      <c r="B2327" s="1" t="s">
        <v>2095</v>
      </c>
      <c r="C2327" s="1" t="s">
        <v>2096</v>
      </c>
      <c r="D2327" s="437">
        <v>2000</v>
      </c>
      <c r="E2327" s="437">
        <v>1295.96</v>
      </c>
      <c r="F2327" s="466"/>
      <c r="G2327" s="437">
        <v>3000</v>
      </c>
      <c r="H2327" s="437">
        <v>3656.17</v>
      </c>
      <c r="I2327" s="437">
        <v>2956.69</v>
      </c>
      <c r="J2327" s="437">
        <v>3051.83</v>
      </c>
    </row>
    <row r="2328" spans="1:10" ht="13.5" customHeight="1" x14ac:dyDescent="0.25">
      <c r="A2328" s="1"/>
      <c r="B2328" s="1" t="s">
        <v>2097</v>
      </c>
      <c r="C2328" s="1" t="s">
        <v>1554</v>
      </c>
      <c r="D2328" s="437">
        <v>750</v>
      </c>
      <c r="E2328" s="437">
        <v>1154.3599999999999</v>
      </c>
      <c r="F2328" s="466"/>
      <c r="G2328" s="437">
        <v>750</v>
      </c>
      <c r="H2328" s="437">
        <v>468.65</v>
      </c>
      <c r="I2328" s="439">
        <v>444</v>
      </c>
      <c r="J2328" s="440">
        <v>0</v>
      </c>
    </row>
    <row r="2329" spans="1:10" ht="13.5" customHeight="1" x14ac:dyDescent="0.25">
      <c r="A2329" s="1"/>
      <c r="B2329" s="1" t="s">
        <v>2098</v>
      </c>
      <c r="C2329" s="1" t="s">
        <v>492</v>
      </c>
      <c r="D2329" s="437">
        <v>15000</v>
      </c>
      <c r="E2329" s="437">
        <v>11180.93</v>
      </c>
      <c r="F2329" s="466"/>
      <c r="G2329" s="437">
        <v>25360</v>
      </c>
      <c r="H2329" s="437">
        <v>24529.5</v>
      </c>
      <c r="I2329" s="437">
        <v>24912.69</v>
      </c>
      <c r="J2329" s="437">
        <v>24007.07</v>
      </c>
    </row>
    <row r="2330" spans="1:10" ht="13.5" customHeight="1" x14ac:dyDescent="0.25">
      <c r="A2330" s="1"/>
      <c r="B2330" s="22" t="s">
        <v>2099</v>
      </c>
      <c r="C2330" s="22" t="s">
        <v>2100</v>
      </c>
      <c r="D2330" s="437">
        <v>0</v>
      </c>
      <c r="E2330" s="437"/>
      <c r="F2330" s="466"/>
      <c r="G2330" s="437">
        <v>0</v>
      </c>
      <c r="H2330" s="437">
        <v>0</v>
      </c>
      <c r="I2330" s="439">
        <v>866.04</v>
      </c>
      <c r="J2330" s="439">
        <v>0</v>
      </c>
    </row>
    <row r="2331" spans="1:10" ht="13.5" customHeight="1" x14ac:dyDescent="0.25">
      <c r="A2331" s="1"/>
      <c r="B2331" s="1" t="s">
        <v>2101</v>
      </c>
      <c r="C2331" s="1" t="s">
        <v>561</v>
      </c>
      <c r="D2331" s="437">
        <v>0</v>
      </c>
      <c r="E2331" s="439">
        <v>893.46</v>
      </c>
      <c r="F2331" s="468"/>
      <c r="G2331" s="440">
        <v>6000</v>
      </c>
      <c r="H2331" s="439">
        <v>645.16</v>
      </c>
      <c r="I2331" s="439">
        <v>0</v>
      </c>
      <c r="J2331" s="440">
        <v>0</v>
      </c>
    </row>
    <row r="2332" spans="1:10" ht="12.75" customHeight="1" x14ac:dyDescent="0.25">
      <c r="A2332" s="1"/>
      <c r="B2332" s="1" t="s">
        <v>2102</v>
      </c>
      <c r="C2332" s="1" t="s">
        <v>275</v>
      </c>
      <c r="D2332" s="437">
        <v>750</v>
      </c>
      <c r="E2332" s="437">
        <v>247.96</v>
      </c>
      <c r="F2332" s="466"/>
      <c r="G2332" s="437">
        <v>500</v>
      </c>
      <c r="H2332" s="437">
        <v>1001.5</v>
      </c>
      <c r="I2332" s="437">
        <v>341.51</v>
      </c>
      <c r="J2332" s="440">
        <v>0</v>
      </c>
    </row>
    <row r="2333" spans="1:10" ht="17.25" customHeight="1" x14ac:dyDescent="0.25">
      <c r="A2333" s="1"/>
      <c r="B2333" s="1"/>
      <c r="C2333" s="1"/>
      <c r="D2333" s="438">
        <v>21500</v>
      </c>
      <c r="E2333" s="438">
        <f t="shared" ref="E2333" si="884">SUM(E2326:E2332)</f>
        <v>15046.439999999999</v>
      </c>
      <c r="F2333" s="467"/>
      <c r="G2333" s="438">
        <v>38610</v>
      </c>
      <c r="H2333" s="438">
        <f>SUM(H2326:H2332)</f>
        <v>32918.589999999997</v>
      </c>
      <c r="I2333" s="438">
        <f>SUM(I2326:I2332)</f>
        <v>32059.539999999997</v>
      </c>
      <c r="J2333" s="438">
        <f t="shared" ref="J2333" si="885">SUM(J2326:J2332)</f>
        <v>30354.629999999997</v>
      </c>
    </row>
    <row r="2334" spans="1:10" ht="13.5" customHeight="1" x14ac:dyDescent="0.25">
      <c r="A2334" s="1"/>
      <c r="B2334" s="1"/>
      <c r="C2334" s="1"/>
      <c r="D2334" s="437"/>
      <c r="E2334" s="437"/>
      <c r="F2334" s="466"/>
      <c r="G2334" s="437"/>
      <c r="H2334" s="437"/>
      <c r="I2334" s="437"/>
      <c r="J2334" s="440"/>
    </row>
    <row r="2335" spans="1:10" ht="13.5" customHeight="1" x14ac:dyDescent="0.25">
      <c r="A2335" s="1"/>
      <c r="B2335" s="1" t="s">
        <v>2103</v>
      </c>
      <c r="C2335" s="1" t="s">
        <v>426</v>
      </c>
      <c r="D2335" s="437">
        <v>0</v>
      </c>
      <c r="E2335" s="437"/>
      <c r="F2335" s="466"/>
      <c r="G2335" s="437">
        <v>0</v>
      </c>
      <c r="H2335" s="437">
        <v>0</v>
      </c>
      <c r="I2335" s="437">
        <v>481.86</v>
      </c>
      <c r="J2335" s="440">
        <v>0</v>
      </c>
    </row>
    <row r="2336" spans="1:10" ht="13.5" customHeight="1" x14ac:dyDescent="0.25">
      <c r="A2336" s="1"/>
      <c r="B2336" s="1" t="s">
        <v>2104</v>
      </c>
      <c r="C2336" s="1" t="s">
        <v>285</v>
      </c>
      <c r="D2336" s="437">
        <v>1290.6500000000001</v>
      </c>
      <c r="E2336" s="437">
        <v>2286.8200000000002</v>
      </c>
      <c r="F2336" s="466"/>
      <c r="G2336" s="437">
        <v>150</v>
      </c>
      <c r="H2336" s="437">
        <v>479</v>
      </c>
      <c r="I2336" s="440">
        <v>0</v>
      </c>
      <c r="J2336" s="437">
        <v>98</v>
      </c>
    </row>
    <row r="2337" spans="1:10" ht="13.5" customHeight="1" x14ac:dyDescent="0.25">
      <c r="A2337" s="1"/>
      <c r="B2337" s="1" t="s">
        <v>2105</v>
      </c>
      <c r="C2337" s="1" t="s">
        <v>1236</v>
      </c>
      <c r="D2337" s="437">
        <v>305.39999999999998</v>
      </c>
      <c r="E2337" s="437">
        <v>154.12</v>
      </c>
      <c r="F2337" s="466"/>
      <c r="G2337" s="437">
        <v>0</v>
      </c>
      <c r="H2337" s="437">
        <v>158.33000000000001</v>
      </c>
      <c r="I2337" s="437">
        <v>240.21</v>
      </c>
      <c r="J2337" s="437">
        <v>525.52</v>
      </c>
    </row>
    <row r="2338" spans="1:10" ht="13.5" customHeight="1" x14ac:dyDescent="0.25">
      <c r="A2338" s="1"/>
      <c r="B2338" s="1" t="s">
        <v>2106</v>
      </c>
      <c r="C2338" s="1" t="s">
        <v>289</v>
      </c>
      <c r="D2338" s="437">
        <v>1802.3400000000001</v>
      </c>
      <c r="E2338" s="437">
        <v>781.56</v>
      </c>
      <c r="F2338" s="466"/>
      <c r="G2338" s="437">
        <v>2340</v>
      </c>
      <c r="H2338" s="437">
        <v>1802.34</v>
      </c>
      <c r="I2338" s="437">
        <v>2351.88</v>
      </c>
      <c r="J2338" s="437">
        <v>1878.95</v>
      </c>
    </row>
    <row r="2339" spans="1:10" ht="13.5" customHeight="1" x14ac:dyDescent="0.25">
      <c r="A2339" s="1"/>
      <c r="B2339" s="1"/>
      <c r="C2339" s="1"/>
      <c r="D2339" s="438">
        <v>3398.3900000000003</v>
      </c>
      <c r="E2339" s="438">
        <f t="shared" ref="E2339" si="886">SUM(E2335:E2338)</f>
        <v>3222.5</v>
      </c>
      <c r="F2339" s="467"/>
      <c r="G2339" s="438">
        <v>2490</v>
      </c>
      <c r="H2339" s="438">
        <f>SUM(H2335:H2338)</f>
        <v>2439.67</v>
      </c>
      <c r="I2339" s="438">
        <f>SUM(I2335:I2338)</f>
        <v>3073.9500000000003</v>
      </c>
      <c r="J2339" s="438">
        <f t="shared" ref="J2339" si="887">SUM(J2335:J2338)</f>
        <v>2502.4700000000003</v>
      </c>
    </row>
    <row r="2340" spans="1:10" ht="17.25" customHeight="1" thickBot="1" x14ac:dyDescent="0.3">
      <c r="A2340" s="1"/>
      <c r="B2340" s="28"/>
      <c r="C2340" s="30" t="s">
        <v>2107</v>
      </c>
      <c r="D2340" s="447">
        <v>24898.39</v>
      </c>
      <c r="E2340" s="447">
        <f t="shared" ref="E2340" si="888">SUM(E2333+E2339)</f>
        <v>18268.939999999999</v>
      </c>
      <c r="F2340" s="473"/>
      <c r="G2340" s="447">
        <v>41100</v>
      </c>
      <c r="H2340" s="447">
        <f>SUM(H2333+H2339)</f>
        <v>35358.259999999995</v>
      </c>
      <c r="I2340" s="447">
        <f>SUM(I2333+I2339)</f>
        <v>35133.49</v>
      </c>
      <c r="J2340" s="447">
        <f t="shared" ref="J2340" si="889">SUM(J2333+J2339)</f>
        <v>32857.1</v>
      </c>
    </row>
    <row r="2341" spans="1:10" ht="11.25" customHeight="1" thickTop="1" x14ac:dyDescent="0.25">
      <c r="A2341" s="1"/>
      <c r="B2341" s="1"/>
      <c r="C2341" s="39"/>
      <c r="D2341" s="444"/>
      <c r="E2341" s="444"/>
      <c r="F2341" s="474"/>
      <c r="G2341" s="444"/>
      <c r="H2341" s="444"/>
      <c r="I2341" s="444"/>
      <c r="J2341" s="444"/>
    </row>
    <row r="2342" spans="1:10" ht="13.5" customHeight="1" x14ac:dyDescent="0.25">
      <c r="A2342" s="1"/>
      <c r="B2342" s="1"/>
      <c r="C2342" s="39"/>
      <c r="D2342" s="444"/>
      <c r="E2342" s="444"/>
      <c r="F2342" s="474"/>
      <c r="G2342" s="444"/>
      <c r="H2342" s="444"/>
      <c r="I2342" s="444"/>
      <c r="J2342" s="444"/>
    </row>
    <row r="2343" spans="1:10" ht="23.25" customHeight="1" x14ac:dyDescent="0.25">
      <c r="A2343" s="1"/>
      <c r="B2343" s="50" t="s">
        <v>2108</v>
      </c>
      <c r="C2343" s="50" t="s">
        <v>2109</v>
      </c>
      <c r="D2343" s="444"/>
      <c r="E2343" s="444"/>
      <c r="F2343" s="474"/>
      <c r="G2343" s="444"/>
      <c r="H2343" s="444"/>
      <c r="I2343" s="444"/>
      <c r="J2343" s="444"/>
    </row>
    <row r="2344" spans="1:10" ht="13.5" customHeight="1" x14ac:dyDescent="0.25">
      <c r="A2344" s="1"/>
      <c r="B2344" s="1"/>
      <c r="C2344" s="39"/>
      <c r="D2344" s="444"/>
      <c r="E2344" s="444"/>
      <c r="F2344" s="474"/>
      <c r="G2344" s="444"/>
      <c r="H2344" s="444"/>
      <c r="I2344" s="444"/>
      <c r="J2344" s="444"/>
    </row>
    <row r="2345" spans="1:10" ht="13.5" customHeight="1" x14ac:dyDescent="0.25">
      <c r="A2345" s="14" t="s">
        <v>13</v>
      </c>
      <c r="B2345" s="1"/>
      <c r="C2345" s="1"/>
      <c r="D2345" s="437"/>
      <c r="E2345" s="437"/>
      <c r="F2345" s="466"/>
      <c r="G2345" s="437"/>
      <c r="H2345" s="437"/>
      <c r="I2345" s="437"/>
      <c r="J2345" s="437"/>
    </row>
    <row r="2346" spans="1:10" ht="13.5" customHeight="1" x14ac:dyDescent="0.25">
      <c r="A2346" s="1"/>
      <c r="B2346" s="1" t="s">
        <v>2110</v>
      </c>
      <c r="C2346" s="1" t="s">
        <v>103</v>
      </c>
      <c r="D2346" s="437">
        <v>-15000</v>
      </c>
      <c r="E2346" s="437">
        <v>-914.34</v>
      </c>
      <c r="F2346" s="466"/>
      <c r="G2346" s="437">
        <v>-15000</v>
      </c>
      <c r="H2346" s="437">
        <v>-4899.99</v>
      </c>
      <c r="I2346" s="437">
        <v>-4720.67</v>
      </c>
      <c r="J2346" s="437">
        <v>-4690.3900000000003</v>
      </c>
    </row>
    <row r="2347" spans="1:10" ht="13.5" customHeight="1" x14ac:dyDescent="0.25">
      <c r="A2347" s="1"/>
      <c r="B2347" s="1" t="s">
        <v>2111</v>
      </c>
      <c r="C2347" s="1" t="s">
        <v>225</v>
      </c>
      <c r="D2347" s="437">
        <v>-1260</v>
      </c>
      <c r="E2347" s="437">
        <v>-828.09</v>
      </c>
      <c r="F2347" s="466"/>
      <c r="G2347" s="437">
        <v>-1260</v>
      </c>
      <c r="H2347" s="437">
        <v>-1956.8</v>
      </c>
      <c r="I2347" s="437">
        <v>-1879.58</v>
      </c>
      <c r="J2347" s="437">
        <v>-2120.87</v>
      </c>
    </row>
    <row r="2348" spans="1:10" ht="13.5" customHeight="1" x14ac:dyDescent="0.25">
      <c r="A2348" s="1"/>
      <c r="B2348" s="1" t="s">
        <v>2112</v>
      </c>
      <c r="C2348" s="1" t="s">
        <v>2113</v>
      </c>
      <c r="D2348" s="437">
        <v>-7736</v>
      </c>
      <c r="E2348" s="437"/>
      <c r="F2348" s="466"/>
      <c r="G2348" s="437">
        <v>-7736</v>
      </c>
      <c r="H2348" s="437">
        <v>0</v>
      </c>
      <c r="I2348" s="440">
        <v>0</v>
      </c>
      <c r="J2348" s="440">
        <v>0</v>
      </c>
    </row>
    <row r="2349" spans="1:10" ht="20.25" customHeight="1" thickBot="1" x14ac:dyDescent="0.3">
      <c r="A2349" s="1"/>
      <c r="B2349" s="1"/>
      <c r="C2349" s="39" t="s">
        <v>2114</v>
      </c>
      <c r="D2349" s="451">
        <v>-23996</v>
      </c>
      <c r="E2349" s="451">
        <f t="shared" ref="E2349" si="890">SUM(E2346:E2348)</f>
        <v>-1742.43</v>
      </c>
      <c r="F2349" s="478"/>
      <c r="G2349" s="451">
        <v>-23996</v>
      </c>
      <c r="H2349" s="451">
        <f>SUM(H2346:H2348)</f>
        <v>-6856.79</v>
      </c>
      <c r="I2349" s="451">
        <f>SUM(I2346:I2348)</f>
        <v>-6600.25</v>
      </c>
      <c r="J2349" s="451">
        <f t="shared" ref="J2349" si="891">SUM(J2346:J2348)</f>
        <v>-6811.26</v>
      </c>
    </row>
    <row r="2350" spans="1:10" ht="13.5" customHeight="1" thickTop="1" x14ac:dyDescent="0.25">
      <c r="A2350" s="1"/>
      <c r="B2350" s="1"/>
      <c r="C2350" s="1"/>
      <c r="D2350" s="437"/>
      <c r="E2350" s="440"/>
      <c r="F2350" s="468"/>
      <c r="G2350" s="440"/>
      <c r="H2350" s="440"/>
      <c r="I2350" s="440"/>
      <c r="J2350" s="440"/>
    </row>
    <row r="2351" spans="1:10" ht="13.5" customHeight="1" x14ac:dyDescent="0.25">
      <c r="A2351" s="39" t="s">
        <v>1773</v>
      </c>
      <c r="B2351" s="1"/>
      <c r="C2351" s="1"/>
      <c r="D2351" s="437"/>
      <c r="E2351" s="440"/>
      <c r="F2351" s="468"/>
      <c r="G2351" s="440"/>
      <c r="H2351" s="440"/>
      <c r="I2351" s="440"/>
      <c r="J2351" s="440"/>
    </row>
    <row r="2352" spans="1:10" ht="13.5" customHeight="1" x14ac:dyDescent="0.25">
      <c r="A2352" s="1"/>
      <c r="B2352" s="1" t="s">
        <v>2115</v>
      </c>
      <c r="C2352" s="1" t="s">
        <v>439</v>
      </c>
      <c r="D2352" s="437">
        <v>16900</v>
      </c>
      <c r="E2352" s="437">
        <v>1921.08</v>
      </c>
      <c r="F2352" s="466"/>
      <c r="G2352" s="437">
        <v>16900</v>
      </c>
      <c r="H2352" s="437">
        <v>4534.43</v>
      </c>
      <c r="I2352" s="437">
        <v>4559.16</v>
      </c>
      <c r="J2352" s="437">
        <v>8398.01</v>
      </c>
    </row>
    <row r="2353" spans="1:10" ht="13.5" customHeight="1" x14ac:dyDescent="0.25">
      <c r="A2353" s="1"/>
      <c r="B2353" s="1" t="s">
        <v>2116</v>
      </c>
      <c r="C2353" s="1" t="s">
        <v>257</v>
      </c>
      <c r="D2353" s="437">
        <v>650</v>
      </c>
      <c r="E2353" s="437">
        <v>134.74</v>
      </c>
      <c r="F2353" s="466"/>
      <c r="G2353" s="437">
        <v>650.25</v>
      </c>
      <c r="H2353" s="437">
        <v>315.23</v>
      </c>
      <c r="I2353" s="437">
        <v>314.98</v>
      </c>
      <c r="J2353" s="437">
        <v>550.84</v>
      </c>
    </row>
    <row r="2354" spans="1:10" ht="13.5" customHeight="1" x14ac:dyDescent="0.25">
      <c r="A2354" s="1"/>
      <c r="B2354" s="1" t="s">
        <v>2117</v>
      </c>
      <c r="C2354" s="1" t="s">
        <v>261</v>
      </c>
      <c r="D2354" s="437">
        <v>1276.6999999999998</v>
      </c>
      <c r="E2354" s="437">
        <v>288.49</v>
      </c>
      <c r="F2354" s="466"/>
      <c r="G2354" s="437">
        <v>1276.2</v>
      </c>
      <c r="H2354" s="437">
        <v>680.94</v>
      </c>
      <c r="I2354" s="437">
        <v>662.6</v>
      </c>
      <c r="J2354" s="437">
        <v>1215.9000000000001</v>
      </c>
    </row>
    <row r="2355" spans="1:10" ht="13.5" customHeight="1" x14ac:dyDescent="0.25">
      <c r="A2355" s="1"/>
      <c r="B2355" s="1" t="s">
        <v>2118</v>
      </c>
      <c r="C2355" s="1" t="s">
        <v>263</v>
      </c>
      <c r="D2355" s="437">
        <v>13.600000000000001</v>
      </c>
      <c r="E2355" s="437">
        <v>3</v>
      </c>
      <c r="F2355" s="466"/>
      <c r="G2355" s="437">
        <v>13.600000000000001</v>
      </c>
      <c r="H2355" s="437">
        <v>7.07</v>
      </c>
      <c r="I2355" s="437">
        <v>7.12</v>
      </c>
      <c r="J2355" s="437">
        <v>15.22</v>
      </c>
    </row>
    <row r="2356" spans="1:10" ht="13.5" customHeight="1" x14ac:dyDescent="0.25">
      <c r="A2356" s="1"/>
      <c r="B2356" s="1" t="s">
        <v>2119</v>
      </c>
      <c r="C2356" s="1" t="s">
        <v>295</v>
      </c>
      <c r="D2356" s="437">
        <v>5.6999999999999993</v>
      </c>
      <c r="E2356" s="437"/>
      <c r="F2356" s="466"/>
      <c r="G2356" s="437">
        <v>5.95</v>
      </c>
      <c r="H2356" s="437">
        <v>0</v>
      </c>
      <c r="I2356" s="440">
        <v>0</v>
      </c>
      <c r="J2356" s="440">
        <v>0</v>
      </c>
    </row>
    <row r="2357" spans="1:10" ht="13.5" customHeight="1" x14ac:dyDescent="0.25">
      <c r="A2357" s="1"/>
      <c r="B2357" s="1" t="s">
        <v>2120</v>
      </c>
      <c r="C2357" s="1" t="s">
        <v>267</v>
      </c>
      <c r="D2357" s="437">
        <v>3000</v>
      </c>
      <c r="E2357" s="437">
        <v>684.58</v>
      </c>
      <c r="F2357" s="466"/>
      <c r="G2357" s="437">
        <v>3000</v>
      </c>
      <c r="H2357" s="437">
        <v>1414.33</v>
      </c>
      <c r="I2357" s="437">
        <v>1742.59</v>
      </c>
      <c r="J2357" s="437">
        <v>1475.03</v>
      </c>
    </row>
    <row r="2358" spans="1:10" ht="13.5" customHeight="1" x14ac:dyDescent="0.25">
      <c r="A2358" s="1"/>
      <c r="B2358" s="1" t="s">
        <v>2121</v>
      </c>
      <c r="C2358" s="1" t="s">
        <v>275</v>
      </c>
      <c r="D2358" s="437">
        <v>400</v>
      </c>
      <c r="E2358" s="437"/>
      <c r="F2358" s="466"/>
      <c r="G2358" s="437">
        <v>400</v>
      </c>
      <c r="H2358" s="437">
        <v>0</v>
      </c>
      <c r="I2358" s="440">
        <v>0</v>
      </c>
      <c r="J2358" s="440">
        <v>0</v>
      </c>
    </row>
    <row r="2359" spans="1:10" ht="13.5" customHeight="1" x14ac:dyDescent="0.25">
      <c r="A2359" s="1"/>
      <c r="B2359" s="1" t="s">
        <v>2122</v>
      </c>
      <c r="C2359" s="1" t="s">
        <v>279</v>
      </c>
      <c r="D2359" s="437">
        <v>100</v>
      </c>
      <c r="E2359" s="437"/>
      <c r="F2359" s="466"/>
      <c r="G2359" s="437">
        <v>100</v>
      </c>
      <c r="H2359" s="437">
        <v>350</v>
      </c>
      <c r="I2359" s="439">
        <v>624</v>
      </c>
      <c r="J2359" s="437">
        <v>396.55</v>
      </c>
    </row>
    <row r="2360" spans="1:10" ht="13.5" customHeight="1" x14ac:dyDescent="0.25">
      <c r="A2360" s="1"/>
      <c r="B2360" s="1" t="s">
        <v>2123</v>
      </c>
      <c r="C2360" s="1" t="s">
        <v>426</v>
      </c>
      <c r="D2360" s="437">
        <v>1000</v>
      </c>
      <c r="E2360" s="437"/>
      <c r="F2360" s="466"/>
      <c r="G2360" s="437">
        <v>1000</v>
      </c>
      <c r="H2360" s="437">
        <v>0</v>
      </c>
      <c r="I2360" s="440">
        <v>0</v>
      </c>
      <c r="J2360" s="437">
        <v>512</v>
      </c>
    </row>
    <row r="2361" spans="1:10" ht="13.5" customHeight="1" x14ac:dyDescent="0.25">
      <c r="A2361" s="1"/>
      <c r="B2361" s="1" t="s">
        <v>2124</v>
      </c>
      <c r="C2361" s="1" t="s">
        <v>502</v>
      </c>
      <c r="D2361" s="437">
        <v>150</v>
      </c>
      <c r="E2361" s="437"/>
      <c r="F2361" s="466"/>
      <c r="G2361" s="437">
        <v>150</v>
      </c>
      <c r="H2361" s="437">
        <v>214.88</v>
      </c>
      <c r="I2361" s="437">
        <v>243.88</v>
      </c>
      <c r="J2361" s="437">
        <v>258.88</v>
      </c>
    </row>
    <row r="2362" spans="1:10" ht="13.5" customHeight="1" x14ac:dyDescent="0.25">
      <c r="A2362" s="1"/>
      <c r="B2362" s="1" t="s">
        <v>2125</v>
      </c>
      <c r="C2362" s="1" t="s">
        <v>1481</v>
      </c>
      <c r="D2362" s="437">
        <v>500</v>
      </c>
      <c r="E2362" s="437"/>
      <c r="F2362" s="466"/>
      <c r="G2362" s="437">
        <v>500</v>
      </c>
      <c r="H2362" s="437">
        <v>0</v>
      </c>
      <c r="I2362" s="440">
        <v>0</v>
      </c>
      <c r="J2362" s="437">
        <v>137</v>
      </c>
    </row>
    <row r="2363" spans="1:10" ht="16.5" customHeight="1" thickBot="1" x14ac:dyDescent="0.3">
      <c r="A2363" s="1"/>
      <c r="B2363" s="28"/>
      <c r="C2363" s="30" t="s">
        <v>2126</v>
      </c>
      <c r="D2363" s="451">
        <v>23996</v>
      </c>
      <c r="E2363" s="451">
        <f t="shared" ref="E2363" si="892">SUM(E2352:E2362)</f>
        <v>3031.8899999999994</v>
      </c>
      <c r="F2363" s="478"/>
      <c r="G2363" s="451">
        <v>23915.25</v>
      </c>
      <c r="H2363" s="451">
        <f>SUM(H2352:H2362)</f>
        <v>7516.88</v>
      </c>
      <c r="I2363" s="451">
        <f>SUM(I2352:I2362)</f>
        <v>8154.33</v>
      </c>
      <c r="J2363" s="451">
        <f t="shared" ref="J2363" si="893">SUM(J2352:J2362)</f>
        <v>12959.429999999998</v>
      </c>
    </row>
    <row r="2364" spans="1:10" ht="15" customHeight="1" thickTop="1" x14ac:dyDescent="0.25">
      <c r="A2364" s="1"/>
      <c r="B2364" s="1"/>
      <c r="C2364" s="1"/>
      <c r="D2364" s="437"/>
      <c r="E2364" s="440"/>
      <c r="F2364" s="468"/>
      <c r="G2364" s="440"/>
      <c r="H2364" s="440"/>
      <c r="I2364" s="440"/>
      <c r="J2364" s="437"/>
    </row>
    <row r="2365" spans="1:10" ht="13.5" customHeight="1" x14ac:dyDescent="0.25">
      <c r="A2365" s="1"/>
      <c r="B2365" s="1"/>
      <c r="C2365" s="1"/>
      <c r="D2365" s="437"/>
      <c r="E2365" s="440"/>
      <c r="F2365" s="468"/>
      <c r="G2365" s="440"/>
      <c r="H2365" s="440"/>
      <c r="I2365" s="440"/>
      <c r="J2365" s="437"/>
    </row>
    <row r="2366" spans="1:10" ht="21.75" customHeight="1" x14ac:dyDescent="0.25">
      <c r="A2366" s="1"/>
      <c r="B2366" s="50" t="s">
        <v>2127</v>
      </c>
      <c r="C2366" s="50" t="s">
        <v>2128</v>
      </c>
      <c r="D2366" s="437"/>
      <c r="E2366" s="440"/>
      <c r="F2366" s="468"/>
      <c r="G2366" s="440"/>
      <c r="H2366" s="440"/>
      <c r="I2366" s="440"/>
      <c r="J2366" s="437"/>
    </row>
    <row r="2367" spans="1:10" ht="13.5" customHeight="1" x14ac:dyDescent="0.25">
      <c r="A2367" s="1"/>
      <c r="B2367" s="1"/>
      <c r="C2367" s="1"/>
      <c r="D2367" s="437"/>
      <c r="E2367" s="440"/>
      <c r="F2367" s="468"/>
      <c r="G2367" s="440"/>
      <c r="H2367" s="440"/>
      <c r="I2367" s="440"/>
      <c r="J2367" s="437"/>
    </row>
    <row r="2368" spans="1:10" ht="13.5" customHeight="1" x14ac:dyDescent="0.25">
      <c r="A2368" s="14" t="s">
        <v>13</v>
      </c>
      <c r="B2368" s="1"/>
      <c r="C2368" s="1"/>
      <c r="D2368" s="437"/>
      <c r="E2368" s="440"/>
      <c r="F2368" s="468"/>
      <c r="G2368" s="440"/>
      <c r="H2368" s="440"/>
      <c r="I2368" s="440"/>
      <c r="J2368" s="437"/>
    </row>
    <row r="2369" spans="1:10" ht="13.5" customHeight="1" x14ac:dyDescent="0.25">
      <c r="A2369" s="1"/>
      <c r="B2369" s="1" t="s">
        <v>2129</v>
      </c>
      <c r="C2369" s="1" t="s">
        <v>2130</v>
      </c>
      <c r="D2369" s="437">
        <v>-17924.5</v>
      </c>
      <c r="E2369" s="437">
        <v>-12243.29</v>
      </c>
      <c r="F2369" s="466"/>
      <c r="G2369" s="437">
        <v>-17924.5</v>
      </c>
      <c r="H2369" s="437">
        <v>-38696.699999999997</v>
      </c>
      <c r="I2369" s="437">
        <v>-48513.98</v>
      </c>
      <c r="J2369" s="437">
        <v>-20551.02</v>
      </c>
    </row>
    <row r="2370" spans="1:10" ht="13.5" customHeight="1" x14ac:dyDescent="0.25">
      <c r="A2370" s="1"/>
      <c r="B2370" s="1" t="s">
        <v>2131</v>
      </c>
      <c r="C2370" s="22" t="s">
        <v>1838</v>
      </c>
      <c r="D2370" s="437">
        <v>-4150</v>
      </c>
      <c r="E2370" s="437"/>
      <c r="F2370" s="466"/>
      <c r="G2370" s="437">
        <v>-4150</v>
      </c>
      <c r="H2370" s="437">
        <v>0</v>
      </c>
      <c r="I2370" s="440">
        <v>0</v>
      </c>
      <c r="J2370" s="440">
        <v>0</v>
      </c>
    </row>
    <row r="2371" spans="1:10" ht="15.95" customHeight="1" thickBot="1" x14ac:dyDescent="0.3">
      <c r="A2371" s="1"/>
      <c r="B2371" s="1"/>
      <c r="C2371" s="39" t="s">
        <v>2132</v>
      </c>
      <c r="D2371" s="451">
        <v>-22074.5</v>
      </c>
      <c r="E2371" s="451">
        <f t="shared" ref="E2371" si="894">SUM(E2369:E2370)</f>
        <v>-12243.29</v>
      </c>
      <c r="F2371" s="478"/>
      <c r="G2371" s="451">
        <v>-22074.5</v>
      </c>
      <c r="H2371" s="451">
        <f>SUM(H2369:H2370)</f>
        <v>-38696.699999999997</v>
      </c>
      <c r="I2371" s="451">
        <f>SUM(I2369:I2370)</f>
        <v>-48513.98</v>
      </c>
      <c r="J2371" s="451">
        <f t="shared" ref="J2371" si="895">SUM(J2369:J2370)</f>
        <v>-20551.02</v>
      </c>
    </row>
    <row r="2372" spans="1:10" ht="13.5" customHeight="1" thickTop="1" x14ac:dyDescent="0.25">
      <c r="A2372" s="1"/>
      <c r="B2372" s="1"/>
      <c r="C2372" s="1"/>
      <c r="D2372" s="437"/>
      <c r="E2372" s="440"/>
      <c r="F2372" s="468"/>
      <c r="G2372" s="440"/>
      <c r="H2372" s="440"/>
      <c r="I2372" s="440"/>
      <c r="J2372" s="440"/>
    </row>
    <row r="2373" spans="1:10" ht="13.5" customHeight="1" x14ac:dyDescent="0.25">
      <c r="A2373" s="39" t="s">
        <v>1773</v>
      </c>
      <c r="B2373" s="1"/>
      <c r="C2373" s="1"/>
      <c r="D2373" s="437"/>
      <c r="E2373" s="440"/>
      <c r="F2373" s="468"/>
      <c r="G2373" s="440"/>
      <c r="H2373" s="440"/>
      <c r="I2373" s="440"/>
      <c r="J2373" s="440"/>
    </row>
    <row r="2374" spans="1:10" ht="13.5" customHeight="1" x14ac:dyDescent="0.25">
      <c r="A2374" s="1"/>
      <c r="B2374" s="1" t="s">
        <v>2133</v>
      </c>
      <c r="C2374" s="1" t="s">
        <v>1497</v>
      </c>
      <c r="D2374" s="437">
        <v>15000</v>
      </c>
      <c r="E2374" s="437">
        <v>3415.25</v>
      </c>
      <c r="F2374" s="466"/>
      <c r="G2374" s="437">
        <v>15000</v>
      </c>
      <c r="H2374" s="437">
        <v>8136.21</v>
      </c>
      <c r="I2374" s="437">
        <v>9534.2800000000007</v>
      </c>
      <c r="J2374" s="437">
        <v>93.81</v>
      </c>
    </row>
    <row r="2375" spans="1:10" ht="13.5" customHeight="1" x14ac:dyDescent="0.25">
      <c r="A2375" s="1"/>
      <c r="B2375" s="1" t="s">
        <v>2134</v>
      </c>
      <c r="C2375" s="1" t="s">
        <v>257</v>
      </c>
      <c r="D2375" s="437">
        <v>1147.5</v>
      </c>
      <c r="E2375" s="437">
        <v>237.86</v>
      </c>
      <c r="F2375" s="466"/>
      <c r="G2375" s="437">
        <v>1147.5</v>
      </c>
      <c r="H2375" s="437">
        <v>568.6</v>
      </c>
      <c r="I2375" s="437">
        <v>659.7</v>
      </c>
      <c r="J2375" s="437">
        <v>6.41</v>
      </c>
    </row>
    <row r="2376" spans="1:10" ht="13.5" customHeight="1" x14ac:dyDescent="0.25">
      <c r="A2376" s="1"/>
      <c r="B2376" s="1" t="s">
        <v>2135</v>
      </c>
      <c r="C2376" s="1" t="s">
        <v>261</v>
      </c>
      <c r="D2376" s="437">
        <v>2253</v>
      </c>
      <c r="E2376" s="437">
        <v>513</v>
      </c>
      <c r="F2376" s="466"/>
      <c r="G2376" s="437">
        <v>2253</v>
      </c>
      <c r="H2376" s="437">
        <v>1222.1600000000001</v>
      </c>
      <c r="I2376" s="437">
        <v>1385.85</v>
      </c>
      <c r="J2376" s="437">
        <v>13.63</v>
      </c>
    </row>
    <row r="2377" spans="1:10" ht="13.5" customHeight="1" x14ac:dyDescent="0.25">
      <c r="A2377" s="1"/>
      <c r="B2377" s="1" t="s">
        <v>2136</v>
      </c>
      <c r="C2377" s="1" t="s">
        <v>263</v>
      </c>
      <c r="D2377" s="437">
        <v>24</v>
      </c>
      <c r="E2377" s="437">
        <v>5.44</v>
      </c>
      <c r="F2377" s="466"/>
      <c r="G2377" s="437">
        <v>24</v>
      </c>
      <c r="H2377" s="437">
        <v>12.95</v>
      </c>
      <c r="I2377" s="437">
        <v>15.15</v>
      </c>
      <c r="J2377" s="437">
        <v>0.15</v>
      </c>
    </row>
    <row r="2378" spans="1:10" ht="13.5" customHeight="1" x14ac:dyDescent="0.25">
      <c r="A2378" s="1"/>
      <c r="B2378" s="1" t="s">
        <v>2137</v>
      </c>
      <c r="C2378" s="1" t="s">
        <v>267</v>
      </c>
      <c r="D2378" s="437">
        <v>1000</v>
      </c>
      <c r="E2378" s="437"/>
      <c r="F2378" s="466"/>
      <c r="G2378" s="437">
        <v>1000</v>
      </c>
      <c r="H2378" s="437">
        <v>0</v>
      </c>
      <c r="I2378" s="440">
        <v>0</v>
      </c>
      <c r="J2378" s="440">
        <v>0</v>
      </c>
    </row>
    <row r="2379" spans="1:10" ht="13.5" customHeight="1" x14ac:dyDescent="0.25">
      <c r="A2379" s="1"/>
      <c r="B2379" s="22" t="s">
        <v>2138</v>
      </c>
      <c r="C2379" s="22" t="s">
        <v>275</v>
      </c>
      <c r="D2379" s="437">
        <v>0</v>
      </c>
      <c r="E2379" s="437"/>
      <c r="F2379" s="466"/>
      <c r="G2379" s="437">
        <v>0</v>
      </c>
      <c r="H2379" s="437">
        <v>0</v>
      </c>
      <c r="I2379" s="439">
        <v>615.95000000000005</v>
      </c>
      <c r="J2379" s="440">
        <v>0</v>
      </c>
    </row>
    <row r="2380" spans="1:10" ht="13.5" customHeight="1" x14ac:dyDescent="0.25">
      <c r="A2380" s="1"/>
      <c r="B2380" s="1" t="s">
        <v>2139</v>
      </c>
      <c r="C2380" s="1" t="s">
        <v>283</v>
      </c>
      <c r="D2380" s="437">
        <v>2500</v>
      </c>
      <c r="E2380" s="437"/>
      <c r="F2380" s="466"/>
      <c r="G2380" s="437">
        <v>2500</v>
      </c>
      <c r="H2380" s="437">
        <v>0</v>
      </c>
      <c r="I2380" s="440">
        <v>0</v>
      </c>
      <c r="J2380" s="440">
        <v>0</v>
      </c>
    </row>
    <row r="2381" spans="1:10" ht="13.5" customHeight="1" x14ac:dyDescent="0.25">
      <c r="A2381" s="1"/>
      <c r="B2381" s="1" t="s">
        <v>2140</v>
      </c>
      <c r="C2381" s="1" t="s">
        <v>285</v>
      </c>
      <c r="D2381" s="437">
        <v>150</v>
      </c>
      <c r="E2381" s="437"/>
      <c r="F2381" s="466"/>
      <c r="G2381" s="437">
        <v>150</v>
      </c>
      <c r="H2381" s="437">
        <v>0</v>
      </c>
      <c r="I2381" s="440">
        <v>0</v>
      </c>
      <c r="J2381" s="440">
        <v>0</v>
      </c>
    </row>
    <row r="2382" spans="1:10" ht="16.5" customHeight="1" thickBot="1" x14ac:dyDescent="0.3">
      <c r="A2382" s="1"/>
      <c r="B2382" s="28"/>
      <c r="C2382" s="30" t="s">
        <v>2141</v>
      </c>
      <c r="D2382" s="451">
        <v>22074.5</v>
      </c>
      <c r="E2382" s="451">
        <f t="shared" ref="E2382" si="896">SUM(E2374:E2381)</f>
        <v>4171.55</v>
      </c>
      <c r="F2382" s="478"/>
      <c r="G2382" s="451">
        <v>22074.5</v>
      </c>
      <c r="H2382" s="451">
        <f>SUM(H2374:H2381)</f>
        <v>9939.92</v>
      </c>
      <c r="I2382" s="451">
        <f>SUM(I2374:I2381)</f>
        <v>12210.930000000002</v>
      </c>
      <c r="J2382" s="451">
        <f t="shared" ref="J2382" si="897">SUM(J2374:J2381)</f>
        <v>114</v>
      </c>
    </row>
    <row r="2383" spans="1:10" ht="17.45" customHeight="1" thickTop="1" x14ac:dyDescent="0.25">
      <c r="A2383" s="1"/>
      <c r="B2383" s="1"/>
      <c r="C2383" s="1"/>
      <c r="D2383" s="437"/>
      <c r="E2383" s="440"/>
      <c r="F2383" s="468"/>
      <c r="G2383" s="440"/>
      <c r="H2383" s="440"/>
      <c r="I2383" s="440"/>
      <c r="J2383" s="440"/>
    </row>
    <row r="2384" spans="1:10" ht="20.25" customHeight="1" x14ac:dyDescent="0.25">
      <c r="A2384" s="1"/>
      <c r="B2384" s="50" t="s">
        <v>2142</v>
      </c>
      <c r="C2384" s="50" t="s">
        <v>2143</v>
      </c>
      <c r="D2384" s="437"/>
      <c r="E2384" s="440"/>
      <c r="F2384" s="468"/>
      <c r="G2384" s="440"/>
      <c r="H2384" s="440"/>
      <c r="I2384" s="440"/>
      <c r="J2384" s="440"/>
    </row>
    <row r="2385" spans="1:10" ht="13.5" customHeight="1" x14ac:dyDescent="0.25">
      <c r="A2385" s="1"/>
      <c r="B2385" s="50"/>
      <c r="C2385" s="50"/>
      <c r="D2385" s="437"/>
      <c r="E2385" s="440"/>
      <c r="F2385" s="468"/>
      <c r="G2385" s="440"/>
      <c r="H2385" s="440"/>
      <c r="I2385" s="440"/>
      <c r="J2385" s="440"/>
    </row>
    <row r="2386" spans="1:10" ht="13.5" customHeight="1" x14ac:dyDescent="0.25">
      <c r="A2386" s="14" t="s">
        <v>13</v>
      </c>
      <c r="B2386" s="1"/>
      <c r="C2386" s="1"/>
      <c r="D2386" s="440"/>
      <c r="E2386" s="440"/>
      <c r="F2386" s="468"/>
      <c r="G2386" s="440"/>
      <c r="H2386" s="440"/>
      <c r="I2386" s="440"/>
      <c r="J2386" s="440"/>
    </row>
    <row r="2387" spans="1:10" ht="13.5" customHeight="1" x14ac:dyDescent="0.25">
      <c r="A2387" s="1"/>
      <c r="B2387" s="1" t="s">
        <v>2144</v>
      </c>
      <c r="C2387" s="1" t="s">
        <v>2145</v>
      </c>
      <c r="D2387" s="437">
        <v>-23000</v>
      </c>
      <c r="E2387" s="437">
        <v>-748</v>
      </c>
      <c r="F2387" s="466"/>
      <c r="G2387" s="437">
        <v>-23000</v>
      </c>
      <c r="H2387" s="437">
        <v>-22916</v>
      </c>
      <c r="I2387" s="437">
        <v>-26054</v>
      </c>
      <c r="J2387" s="437">
        <v>-33704</v>
      </c>
    </row>
    <row r="2388" spans="1:10" ht="13.5" customHeight="1" x14ac:dyDescent="0.25">
      <c r="A2388" s="1"/>
      <c r="B2388" s="1" t="s">
        <v>2146</v>
      </c>
      <c r="C2388" s="1" t="s">
        <v>197</v>
      </c>
      <c r="D2388" s="437">
        <v>-100</v>
      </c>
      <c r="E2388" s="437"/>
      <c r="F2388" s="466"/>
      <c r="G2388" s="437">
        <v>-100</v>
      </c>
      <c r="H2388" s="437">
        <v>-47.45</v>
      </c>
      <c r="I2388" s="437">
        <v>-401.22</v>
      </c>
      <c r="J2388" s="437">
        <v>-308.45999999999998</v>
      </c>
    </row>
    <row r="2389" spans="1:10" ht="13.5" customHeight="1" x14ac:dyDescent="0.25">
      <c r="A2389" s="1"/>
      <c r="B2389" s="1" t="s">
        <v>2147</v>
      </c>
      <c r="C2389" s="1" t="s">
        <v>225</v>
      </c>
      <c r="D2389" s="437">
        <v>0</v>
      </c>
      <c r="E2389" s="437"/>
      <c r="F2389" s="466"/>
      <c r="G2389" s="437">
        <v>0</v>
      </c>
      <c r="H2389" s="437">
        <v>0</v>
      </c>
      <c r="I2389" s="437">
        <v>-10</v>
      </c>
      <c r="J2389" s="437">
        <v>-4190</v>
      </c>
    </row>
    <row r="2390" spans="1:10" ht="13.5" customHeight="1" x14ac:dyDescent="0.25">
      <c r="A2390" s="1"/>
      <c r="B2390" s="1" t="s">
        <v>2148</v>
      </c>
      <c r="C2390" s="1" t="s">
        <v>1838</v>
      </c>
      <c r="D2390" s="437">
        <v>-69400</v>
      </c>
      <c r="E2390" s="437"/>
      <c r="F2390" s="466"/>
      <c r="G2390" s="437">
        <v>-69400</v>
      </c>
      <c r="H2390" s="437">
        <v>-10000</v>
      </c>
      <c r="I2390" s="437">
        <v>-50000</v>
      </c>
      <c r="J2390" s="437">
        <v>-55000</v>
      </c>
    </row>
    <row r="2391" spans="1:10" ht="11.25" customHeight="1" thickBot="1" x14ac:dyDescent="0.3">
      <c r="A2391" s="1"/>
      <c r="B2391" s="1"/>
      <c r="C2391" s="39" t="s">
        <v>2149</v>
      </c>
      <c r="D2391" s="451">
        <v>-92500</v>
      </c>
      <c r="E2391" s="451">
        <f t="shared" ref="E2391" si="898">SUM(E2387:E2390)</f>
        <v>-748</v>
      </c>
      <c r="F2391" s="478"/>
      <c r="G2391" s="451">
        <v>-92500</v>
      </c>
      <c r="H2391" s="451">
        <f>SUM(H2387:H2390)</f>
        <v>-32963.449999999997</v>
      </c>
      <c r="I2391" s="451">
        <f>SUM(I2387:I2390)</f>
        <v>-76465.22</v>
      </c>
      <c r="J2391" s="451">
        <f t="shared" ref="J2391" si="899">SUM(J2387:J2390)</f>
        <v>-93202.459999999992</v>
      </c>
    </row>
    <row r="2392" spans="1:10" ht="13.5" customHeight="1" thickTop="1" x14ac:dyDescent="0.25">
      <c r="A2392" s="1"/>
      <c r="B2392" s="1"/>
      <c r="C2392" s="1"/>
      <c r="D2392" s="437"/>
      <c r="E2392" s="437"/>
      <c r="F2392" s="466"/>
      <c r="G2392" s="437"/>
      <c r="H2392" s="437"/>
      <c r="I2392" s="437"/>
      <c r="J2392" s="437"/>
    </row>
    <row r="2393" spans="1:10" ht="13.5" customHeight="1" x14ac:dyDescent="0.25">
      <c r="A2393" s="39" t="s">
        <v>1773</v>
      </c>
      <c r="B2393" s="1"/>
      <c r="C2393" s="1"/>
      <c r="D2393" s="437"/>
      <c r="E2393" s="437"/>
      <c r="F2393" s="466"/>
      <c r="G2393" s="437"/>
      <c r="H2393" s="437"/>
      <c r="I2393" s="437"/>
      <c r="J2393" s="437"/>
    </row>
    <row r="2394" spans="1:10" ht="13.5" customHeight="1" x14ac:dyDescent="0.25">
      <c r="A2394" s="1"/>
      <c r="B2394" s="1" t="s">
        <v>2150</v>
      </c>
      <c r="C2394" s="1" t="s">
        <v>2151</v>
      </c>
      <c r="D2394" s="437">
        <v>20000</v>
      </c>
      <c r="E2394" s="437">
        <v>730</v>
      </c>
      <c r="F2394" s="466"/>
      <c r="G2394" s="437">
        <v>20000</v>
      </c>
      <c r="H2394" s="437">
        <v>360</v>
      </c>
      <c r="I2394" s="437">
        <v>7880</v>
      </c>
      <c r="J2394" s="437">
        <v>16520</v>
      </c>
    </row>
    <row r="2395" spans="1:10" ht="13.5" customHeight="1" x14ac:dyDescent="0.25">
      <c r="A2395" s="1"/>
      <c r="B2395" s="1" t="s">
        <v>2152</v>
      </c>
      <c r="C2395" s="1" t="s">
        <v>267</v>
      </c>
      <c r="D2395" s="437">
        <v>7500</v>
      </c>
      <c r="E2395" s="437">
        <v>4524</v>
      </c>
      <c r="F2395" s="466"/>
      <c r="G2395" s="437">
        <v>7500</v>
      </c>
      <c r="H2395" s="437">
        <v>0</v>
      </c>
      <c r="I2395" s="439">
        <v>4438.83</v>
      </c>
      <c r="J2395" s="437">
        <v>5447.35</v>
      </c>
    </row>
    <row r="2396" spans="1:10" ht="13.5" customHeight="1" x14ac:dyDescent="0.25">
      <c r="A2396" s="1"/>
      <c r="B2396" s="1" t="s">
        <v>2153</v>
      </c>
      <c r="C2396" s="1" t="s">
        <v>2151</v>
      </c>
      <c r="D2396" s="437">
        <v>60000</v>
      </c>
      <c r="E2396" s="437">
        <v>4620</v>
      </c>
      <c r="F2396" s="466"/>
      <c r="G2396" s="437">
        <v>60000</v>
      </c>
      <c r="H2396" s="437">
        <v>22930</v>
      </c>
      <c r="I2396" s="437">
        <v>53130</v>
      </c>
      <c r="J2396" s="437">
        <v>62230</v>
      </c>
    </row>
    <row r="2397" spans="1:10" ht="13.5" customHeight="1" x14ac:dyDescent="0.25">
      <c r="A2397" s="1"/>
      <c r="B2397" s="1" t="s">
        <v>2154</v>
      </c>
      <c r="C2397" s="1" t="s">
        <v>1012</v>
      </c>
      <c r="D2397" s="437">
        <v>5000</v>
      </c>
      <c r="E2397" s="437">
        <v>1291.29</v>
      </c>
      <c r="F2397" s="466"/>
      <c r="G2397" s="437">
        <v>5000</v>
      </c>
      <c r="H2397" s="437">
        <v>4606</v>
      </c>
      <c r="I2397" s="437">
        <v>6427.55</v>
      </c>
      <c r="J2397" s="437">
        <v>7445.25</v>
      </c>
    </row>
    <row r="2398" spans="1:10" ht="13.5" customHeight="1" thickBot="1" x14ac:dyDescent="0.3">
      <c r="A2398" s="1"/>
      <c r="B2398" s="28"/>
      <c r="C2398" s="30" t="s">
        <v>2155</v>
      </c>
      <c r="D2398" s="451">
        <v>92500</v>
      </c>
      <c r="E2398" s="451">
        <f t="shared" ref="E2398" si="900">SUM(E2394:E2397)</f>
        <v>11165.29</v>
      </c>
      <c r="F2398" s="478"/>
      <c r="G2398" s="451">
        <v>92500</v>
      </c>
      <c r="H2398" s="451">
        <f>SUM(H2394:H2397)</f>
        <v>27896</v>
      </c>
      <c r="I2398" s="451">
        <f>SUM(I2394:I2397)</f>
        <v>71876.38</v>
      </c>
      <c r="J2398" s="451">
        <f t="shared" ref="J2398" si="901">SUM(J2394:J2397)</f>
        <v>91642.6</v>
      </c>
    </row>
    <row r="2399" spans="1:10" ht="13.5" customHeight="1" thickTop="1" x14ac:dyDescent="0.25">
      <c r="A2399" s="1"/>
      <c r="B2399" s="1"/>
      <c r="C2399" s="1"/>
      <c r="D2399" s="437"/>
      <c r="E2399" s="437"/>
      <c r="F2399" s="466"/>
      <c r="G2399" s="437"/>
      <c r="H2399" s="437"/>
      <c r="I2399" s="437"/>
      <c r="J2399" s="437"/>
    </row>
    <row r="2400" spans="1:10" ht="16.5" customHeight="1" x14ac:dyDescent="0.25">
      <c r="A2400" s="1"/>
      <c r="B2400" s="1"/>
      <c r="C2400" s="1"/>
      <c r="D2400" s="437"/>
      <c r="E2400" s="437"/>
      <c r="F2400" s="466"/>
      <c r="G2400" s="437"/>
      <c r="H2400" s="437"/>
      <c r="I2400" s="437"/>
      <c r="J2400" s="437"/>
    </row>
    <row r="2401" spans="1:10" ht="18" customHeight="1" x14ac:dyDescent="0.25">
      <c r="A2401" s="1"/>
      <c r="B2401" s="50" t="s">
        <v>2156</v>
      </c>
      <c r="C2401" s="50" t="s">
        <v>2157</v>
      </c>
      <c r="D2401" s="437"/>
      <c r="E2401" s="437"/>
      <c r="F2401" s="466"/>
      <c r="G2401" s="437"/>
      <c r="H2401" s="437"/>
      <c r="I2401" s="437"/>
      <c r="J2401" s="437"/>
    </row>
    <row r="2402" spans="1:10" ht="13.5" customHeight="1" x14ac:dyDescent="0.25">
      <c r="A2402" s="1"/>
      <c r="B2402" s="1"/>
      <c r="C2402" s="1"/>
      <c r="D2402" s="437"/>
      <c r="E2402" s="437"/>
      <c r="F2402" s="466"/>
      <c r="G2402" s="437"/>
      <c r="H2402" s="437"/>
      <c r="I2402" s="437"/>
      <c r="J2402" s="437"/>
    </row>
    <row r="2403" spans="1:10" ht="13.5" customHeight="1" x14ac:dyDescent="0.25">
      <c r="A2403" s="14" t="s">
        <v>13</v>
      </c>
      <c r="B2403" s="1"/>
      <c r="C2403" s="1"/>
      <c r="D2403" s="437"/>
      <c r="E2403" s="437"/>
      <c r="F2403" s="466"/>
      <c r="G2403" s="437"/>
      <c r="H2403" s="437"/>
      <c r="I2403" s="437"/>
      <c r="J2403" s="437"/>
    </row>
    <row r="2404" spans="1:10" ht="13.5" customHeight="1" x14ac:dyDescent="0.25">
      <c r="A2404" s="1"/>
      <c r="B2404" s="1" t="s">
        <v>2158</v>
      </c>
      <c r="C2404" s="1" t="s">
        <v>2159</v>
      </c>
      <c r="D2404" s="437">
        <v>-62550</v>
      </c>
      <c r="E2404" s="437">
        <v>-21988.7</v>
      </c>
      <c r="F2404" s="466"/>
      <c r="G2404" s="437">
        <v>-62550</v>
      </c>
      <c r="H2404" s="437">
        <v>-41546.1</v>
      </c>
      <c r="I2404" s="437">
        <v>-14808.07</v>
      </c>
      <c r="J2404" s="437">
        <v>-123471.73</v>
      </c>
    </row>
    <row r="2405" spans="1:10" ht="13.5" customHeight="1" x14ac:dyDescent="0.25">
      <c r="A2405" s="1"/>
      <c r="B2405" s="1" t="s">
        <v>2160</v>
      </c>
      <c r="C2405" s="1" t="s">
        <v>197</v>
      </c>
      <c r="D2405" s="437">
        <v>0</v>
      </c>
      <c r="E2405" s="437"/>
      <c r="F2405" s="466"/>
      <c r="G2405" s="437">
        <v>0</v>
      </c>
      <c r="H2405" s="437">
        <v>-12.43</v>
      </c>
      <c r="I2405" s="437">
        <v>-0.51</v>
      </c>
      <c r="J2405" s="437">
        <v>-101.28</v>
      </c>
    </row>
    <row r="2406" spans="1:10" ht="13.5" customHeight="1" thickBot="1" x14ac:dyDescent="0.3">
      <c r="A2406" s="1"/>
      <c r="B2406" s="1"/>
      <c r="C2406" s="39" t="s">
        <v>2161</v>
      </c>
      <c r="D2406" s="453">
        <v>-62550</v>
      </c>
      <c r="E2406" s="453">
        <f t="shared" ref="E2406" si="902">SUM(E2404:E2405)</f>
        <v>-21988.7</v>
      </c>
      <c r="F2406" s="479"/>
      <c r="G2406" s="453">
        <v>-62550</v>
      </c>
      <c r="H2406" s="453">
        <f>SUM(H2404:H2405)</f>
        <v>-41558.53</v>
      </c>
      <c r="I2406" s="453">
        <f>SUM(I2404:I2405)</f>
        <v>-14808.58</v>
      </c>
      <c r="J2406" s="453">
        <f t="shared" ref="J2406" si="903">SUM(J2404:J2405)</f>
        <v>-123573.01</v>
      </c>
    </row>
    <row r="2407" spans="1:10" ht="13.5" customHeight="1" thickTop="1" x14ac:dyDescent="0.25">
      <c r="A2407" s="1"/>
      <c r="B2407" s="1"/>
      <c r="C2407" s="1"/>
      <c r="D2407" s="440"/>
      <c r="E2407" s="437"/>
      <c r="F2407" s="466"/>
      <c r="G2407" s="437"/>
      <c r="H2407" s="437"/>
      <c r="I2407" s="437"/>
      <c r="J2407" s="437"/>
    </row>
    <row r="2408" spans="1:10" ht="13.5" customHeight="1" x14ac:dyDescent="0.25">
      <c r="A2408" s="39" t="s">
        <v>1773</v>
      </c>
      <c r="B2408" s="1"/>
      <c r="C2408" s="1"/>
      <c r="D2408" s="440"/>
      <c r="E2408" s="437"/>
      <c r="F2408" s="466"/>
      <c r="G2408" s="437"/>
      <c r="H2408" s="437"/>
      <c r="I2408" s="437"/>
      <c r="J2408" s="437"/>
    </row>
    <row r="2409" spans="1:10" ht="13.5" customHeight="1" x14ac:dyDescent="0.25">
      <c r="A2409" s="1"/>
      <c r="B2409" s="1" t="s">
        <v>2162</v>
      </c>
      <c r="C2409" s="1" t="s">
        <v>439</v>
      </c>
      <c r="D2409" s="437">
        <v>26691</v>
      </c>
      <c r="E2409" s="437">
        <v>9559.36</v>
      </c>
      <c r="F2409" s="466"/>
      <c r="G2409" s="437">
        <v>19500</v>
      </c>
      <c r="H2409" s="437">
        <v>7359.53</v>
      </c>
      <c r="I2409" s="437">
        <v>7524.4</v>
      </c>
      <c r="J2409" s="437">
        <v>9834.49</v>
      </c>
    </row>
    <row r="2410" spans="1:10" ht="13.5" customHeight="1" x14ac:dyDescent="0.25">
      <c r="A2410" s="1"/>
      <c r="B2410" s="1" t="s">
        <v>2163</v>
      </c>
      <c r="C2410" s="1" t="s">
        <v>257</v>
      </c>
      <c r="D2410" s="437">
        <v>2041.8615</v>
      </c>
      <c r="E2410" s="437">
        <v>672.79</v>
      </c>
      <c r="F2410" s="466"/>
      <c r="G2410" s="437">
        <v>1491.75</v>
      </c>
      <c r="H2410" s="437">
        <v>434.7</v>
      </c>
      <c r="I2410" s="437">
        <v>507.33</v>
      </c>
      <c r="J2410" s="437">
        <v>675.93</v>
      </c>
    </row>
    <row r="2411" spans="1:10" ht="13.5" customHeight="1" x14ac:dyDescent="0.25">
      <c r="A2411" s="1"/>
      <c r="B2411" s="1" t="s">
        <v>2164</v>
      </c>
      <c r="C2411" s="1" t="s">
        <v>261</v>
      </c>
      <c r="D2411" s="437">
        <v>4008.9881999999998</v>
      </c>
      <c r="E2411" s="437">
        <v>1435.81</v>
      </c>
      <c r="F2411" s="466"/>
      <c r="G2411" s="437">
        <v>2928.9</v>
      </c>
      <c r="H2411" s="437">
        <v>965.64</v>
      </c>
      <c r="I2411" s="437">
        <v>1093.23</v>
      </c>
      <c r="J2411" s="437">
        <v>1424.14</v>
      </c>
    </row>
    <row r="2412" spans="1:10" ht="13.5" customHeight="1" x14ac:dyDescent="0.25">
      <c r="A2412" s="1"/>
      <c r="B2412" s="1" t="s">
        <v>2165</v>
      </c>
      <c r="C2412" s="1" t="s">
        <v>263</v>
      </c>
      <c r="D2412" s="437">
        <v>42.705599999999997</v>
      </c>
      <c r="E2412" s="437">
        <v>15.25</v>
      </c>
      <c r="F2412" s="466"/>
      <c r="G2412" s="437">
        <v>31.2</v>
      </c>
      <c r="H2412" s="437">
        <v>10.09</v>
      </c>
      <c r="I2412" s="437">
        <v>11.78</v>
      </c>
      <c r="J2412" s="437">
        <v>17.97</v>
      </c>
    </row>
    <row r="2413" spans="1:10" ht="13.5" customHeight="1" x14ac:dyDescent="0.25">
      <c r="A2413" s="1"/>
      <c r="B2413" s="1" t="s">
        <v>2166</v>
      </c>
      <c r="C2413" s="1" t="s">
        <v>295</v>
      </c>
      <c r="D2413" s="437">
        <v>16.014599999999998</v>
      </c>
      <c r="E2413" s="437"/>
      <c r="F2413" s="466"/>
      <c r="G2413" s="437">
        <v>11.7</v>
      </c>
      <c r="H2413" s="437">
        <v>0</v>
      </c>
      <c r="I2413" s="440">
        <v>0</v>
      </c>
      <c r="J2413" s="440">
        <v>0</v>
      </c>
    </row>
    <row r="2414" spans="1:10" ht="13.5" customHeight="1" x14ac:dyDescent="0.25">
      <c r="A2414" s="1"/>
      <c r="B2414" s="1" t="s">
        <v>2167</v>
      </c>
      <c r="C2414" s="1" t="s">
        <v>267</v>
      </c>
      <c r="D2414" s="437">
        <v>750</v>
      </c>
      <c r="E2414" s="437">
        <v>598</v>
      </c>
      <c r="F2414" s="466"/>
      <c r="G2414" s="437">
        <v>750</v>
      </c>
      <c r="H2414" s="437">
        <v>0</v>
      </c>
      <c r="I2414" s="439">
        <v>73.97</v>
      </c>
      <c r="J2414" s="440">
        <v>0</v>
      </c>
    </row>
    <row r="2415" spans="1:10" ht="13.5" customHeight="1" x14ac:dyDescent="0.25">
      <c r="A2415" s="1"/>
      <c r="B2415" s="1" t="s">
        <v>2168</v>
      </c>
      <c r="C2415" s="1" t="s">
        <v>269</v>
      </c>
      <c r="D2415" s="437">
        <v>0</v>
      </c>
      <c r="E2415" s="437"/>
      <c r="F2415" s="466"/>
      <c r="G2415" s="437">
        <v>0</v>
      </c>
      <c r="H2415" s="437">
        <v>0</v>
      </c>
      <c r="I2415" s="439">
        <v>20.34</v>
      </c>
      <c r="J2415" s="440">
        <v>0</v>
      </c>
    </row>
    <row r="2416" spans="1:10" ht="13.5" customHeight="1" x14ac:dyDescent="0.25">
      <c r="A2416" s="1"/>
      <c r="B2416" s="1" t="s">
        <v>2169</v>
      </c>
      <c r="C2416" s="1" t="s">
        <v>1151</v>
      </c>
      <c r="D2416" s="437">
        <v>0</v>
      </c>
      <c r="E2416" s="437"/>
      <c r="F2416" s="466"/>
      <c r="G2416" s="437">
        <v>0</v>
      </c>
      <c r="H2416" s="437">
        <v>457</v>
      </c>
      <c r="I2416" s="437">
        <v>858.91</v>
      </c>
      <c r="J2416" s="437">
        <v>235</v>
      </c>
    </row>
    <row r="2417" spans="1:10" ht="13.5" customHeight="1" x14ac:dyDescent="0.25">
      <c r="A2417" s="1"/>
      <c r="B2417" s="1" t="s">
        <v>2170</v>
      </c>
      <c r="C2417" s="1" t="s">
        <v>939</v>
      </c>
      <c r="D2417" s="437">
        <v>100</v>
      </c>
      <c r="E2417" s="437"/>
      <c r="F2417" s="466"/>
      <c r="G2417" s="437">
        <v>100</v>
      </c>
      <c r="H2417" s="437">
        <v>0</v>
      </c>
      <c r="I2417" s="440">
        <v>0</v>
      </c>
      <c r="J2417" s="440">
        <v>0</v>
      </c>
    </row>
    <row r="2418" spans="1:10" ht="13.5" customHeight="1" x14ac:dyDescent="0.25">
      <c r="A2418" s="1"/>
      <c r="B2418" s="1" t="s">
        <v>2171</v>
      </c>
      <c r="C2418" s="1" t="s">
        <v>716</v>
      </c>
      <c r="D2418" s="437">
        <v>5000</v>
      </c>
      <c r="E2418" s="437"/>
      <c r="F2418" s="466"/>
      <c r="G2418" s="437">
        <v>5000</v>
      </c>
      <c r="H2418" s="437">
        <v>0</v>
      </c>
      <c r="I2418" s="437">
        <v>5496.81</v>
      </c>
      <c r="J2418" s="440">
        <v>0</v>
      </c>
    </row>
    <row r="2419" spans="1:10" ht="13.5" customHeight="1" x14ac:dyDescent="0.25">
      <c r="A2419" s="1"/>
      <c r="B2419" s="22" t="s">
        <v>2172</v>
      </c>
      <c r="C2419" s="22" t="s">
        <v>455</v>
      </c>
      <c r="D2419" s="437">
        <v>0</v>
      </c>
      <c r="E2419" s="437"/>
      <c r="F2419" s="466"/>
      <c r="G2419" s="437">
        <v>0</v>
      </c>
      <c r="H2419" s="437">
        <v>0</v>
      </c>
      <c r="I2419" s="437">
        <v>221.94</v>
      </c>
      <c r="J2419" s="440">
        <v>0</v>
      </c>
    </row>
    <row r="2420" spans="1:10" ht="13.5" customHeight="1" x14ac:dyDescent="0.25">
      <c r="A2420" s="1"/>
      <c r="B2420" s="1" t="s">
        <v>2173</v>
      </c>
      <c r="C2420" s="1" t="s">
        <v>275</v>
      </c>
      <c r="D2420" s="437">
        <v>0</v>
      </c>
      <c r="E2420" s="437">
        <v>1069.8399999999999</v>
      </c>
      <c r="F2420" s="466"/>
      <c r="G2420" s="437">
        <v>0</v>
      </c>
      <c r="H2420" s="437">
        <v>0</v>
      </c>
      <c r="I2420" s="437">
        <v>7754.16</v>
      </c>
      <c r="J2420" s="437">
        <v>4431.9399999999996</v>
      </c>
    </row>
    <row r="2421" spans="1:10" ht="13.5" customHeight="1" x14ac:dyDescent="0.25">
      <c r="A2421" s="1"/>
      <c r="B2421" s="1" t="s">
        <v>2174</v>
      </c>
      <c r="C2421" s="1" t="s">
        <v>917</v>
      </c>
      <c r="D2421" s="437">
        <v>1000</v>
      </c>
      <c r="E2421" s="437"/>
      <c r="F2421" s="466"/>
      <c r="G2421" s="437">
        <v>1000</v>
      </c>
      <c r="H2421" s="437">
        <v>110</v>
      </c>
      <c r="I2421" s="437">
        <v>847.45</v>
      </c>
      <c r="J2421" s="437">
        <v>1705</v>
      </c>
    </row>
    <row r="2422" spans="1:10" ht="13.5" customHeight="1" x14ac:dyDescent="0.25">
      <c r="A2422" s="1"/>
      <c r="B2422" s="1" t="s">
        <v>2175</v>
      </c>
      <c r="C2422" s="1" t="s">
        <v>497</v>
      </c>
      <c r="D2422" s="437">
        <v>0</v>
      </c>
      <c r="E2422" s="437"/>
      <c r="F2422" s="466"/>
      <c r="G2422" s="437">
        <v>0</v>
      </c>
      <c r="H2422" s="437">
        <v>0</v>
      </c>
      <c r="I2422" s="440">
        <v>0</v>
      </c>
      <c r="J2422" s="440">
        <v>0</v>
      </c>
    </row>
    <row r="2423" spans="1:10" ht="13.5" customHeight="1" x14ac:dyDescent="0.25">
      <c r="A2423" s="1"/>
      <c r="B2423" s="1" t="s">
        <v>2176</v>
      </c>
      <c r="C2423" s="1" t="s">
        <v>279</v>
      </c>
      <c r="D2423" s="437">
        <v>0</v>
      </c>
      <c r="E2423" s="437"/>
      <c r="F2423" s="466"/>
      <c r="G2423" s="437">
        <v>0</v>
      </c>
      <c r="H2423" s="437">
        <v>0</v>
      </c>
      <c r="I2423" s="437">
        <v>9327.5</v>
      </c>
      <c r="J2423" s="440">
        <v>0</v>
      </c>
    </row>
    <row r="2424" spans="1:10" ht="13.5" customHeight="1" x14ac:dyDescent="0.25">
      <c r="A2424" s="1"/>
      <c r="B2424" s="1" t="s">
        <v>2177</v>
      </c>
      <c r="C2424" s="1" t="s">
        <v>2178</v>
      </c>
      <c r="D2424" s="437">
        <v>0</v>
      </c>
      <c r="E2424" s="437"/>
      <c r="F2424" s="466"/>
      <c r="G2424" s="437">
        <v>0</v>
      </c>
      <c r="H2424" s="437">
        <v>0</v>
      </c>
      <c r="I2424" s="440">
        <v>0</v>
      </c>
      <c r="J2424" s="440">
        <v>0</v>
      </c>
    </row>
    <row r="2425" spans="1:10" ht="13.5" customHeight="1" x14ac:dyDescent="0.25">
      <c r="A2425" s="1"/>
      <c r="B2425" s="1" t="s">
        <v>2179</v>
      </c>
      <c r="C2425" s="1" t="s">
        <v>283</v>
      </c>
      <c r="D2425" s="437">
        <v>0</v>
      </c>
      <c r="E2425" s="437"/>
      <c r="F2425" s="466"/>
      <c r="G2425" s="437">
        <v>0</v>
      </c>
      <c r="H2425" s="437">
        <v>0</v>
      </c>
      <c r="I2425" s="440">
        <v>0</v>
      </c>
      <c r="J2425" s="440">
        <v>0</v>
      </c>
    </row>
    <row r="2426" spans="1:10" ht="13.5" customHeight="1" x14ac:dyDescent="0.25">
      <c r="A2426" s="1"/>
      <c r="B2426" s="1" t="s">
        <v>2180</v>
      </c>
      <c r="C2426" s="1" t="s">
        <v>502</v>
      </c>
      <c r="D2426" s="437">
        <v>0</v>
      </c>
      <c r="E2426" s="437"/>
      <c r="F2426" s="466"/>
      <c r="G2426" s="437">
        <v>0</v>
      </c>
      <c r="H2426" s="437">
        <v>0</v>
      </c>
      <c r="I2426" s="440">
        <v>0</v>
      </c>
      <c r="J2426" s="437">
        <v>70</v>
      </c>
    </row>
    <row r="2427" spans="1:10" ht="13.5" customHeight="1" x14ac:dyDescent="0.25">
      <c r="A2427" s="1"/>
      <c r="B2427" s="1" t="s">
        <v>2181</v>
      </c>
      <c r="C2427" s="1" t="s">
        <v>1464</v>
      </c>
      <c r="D2427" s="437">
        <v>680</v>
      </c>
      <c r="E2427" s="437">
        <v>600.34</v>
      </c>
      <c r="F2427" s="466"/>
      <c r="G2427" s="437">
        <v>680</v>
      </c>
      <c r="H2427" s="437">
        <v>1204.6300000000001</v>
      </c>
      <c r="I2427" s="437">
        <v>1023.9</v>
      </c>
      <c r="J2427" s="437">
        <v>959.66</v>
      </c>
    </row>
    <row r="2428" spans="1:10" ht="13.5" customHeight="1" x14ac:dyDescent="0.25">
      <c r="A2428" s="1"/>
      <c r="B2428" s="1" t="s">
        <v>2182</v>
      </c>
      <c r="C2428" s="1" t="s">
        <v>509</v>
      </c>
      <c r="D2428" s="437">
        <v>500</v>
      </c>
      <c r="E2428" s="437"/>
      <c r="F2428" s="466"/>
      <c r="G2428" s="437">
        <v>500</v>
      </c>
      <c r="H2428" s="437">
        <v>0</v>
      </c>
      <c r="I2428" s="437">
        <v>77.5</v>
      </c>
      <c r="J2428" s="440">
        <v>0</v>
      </c>
    </row>
    <row r="2429" spans="1:10" ht="13.5" customHeight="1" x14ac:dyDescent="0.25">
      <c r="A2429" s="1"/>
      <c r="B2429" s="1" t="s">
        <v>2183</v>
      </c>
      <c r="C2429" s="1" t="s">
        <v>840</v>
      </c>
      <c r="D2429" s="437">
        <v>900</v>
      </c>
      <c r="E2429" s="437">
        <v>509.7</v>
      </c>
      <c r="F2429" s="466"/>
      <c r="G2429" s="437">
        <v>900</v>
      </c>
      <c r="H2429" s="437">
        <v>1104.3499999999999</v>
      </c>
      <c r="I2429" s="437">
        <v>989.4</v>
      </c>
      <c r="J2429" s="437">
        <v>959.4</v>
      </c>
    </row>
    <row r="2430" spans="1:10" ht="13.5" customHeight="1" thickBot="1" x14ac:dyDescent="0.3">
      <c r="A2430" s="1"/>
      <c r="B2430" s="28"/>
      <c r="C2430" s="30" t="s">
        <v>2184</v>
      </c>
      <c r="D2430" s="453">
        <v>41730.569900000002</v>
      </c>
      <c r="E2430" s="453">
        <f t="shared" ref="E2430" si="904">SUM(E2409:E2429)</f>
        <v>14461.090000000002</v>
      </c>
      <c r="F2430" s="479"/>
      <c r="G2430" s="455">
        <v>32893.550000000003</v>
      </c>
      <c r="H2430" s="453">
        <f>SUM(H2409:H2429)</f>
        <v>11645.94</v>
      </c>
      <c r="I2430" s="453">
        <f>SUM(I2409:I2429)</f>
        <v>35828.62000000001</v>
      </c>
      <c r="J2430" s="453">
        <f t="shared" ref="J2430" si="905">SUM(J2409:J2429)</f>
        <v>20313.53</v>
      </c>
    </row>
    <row r="2431" spans="1:10" ht="13.5" customHeight="1" thickTop="1" x14ac:dyDescent="0.25">
      <c r="A2431" s="1"/>
      <c r="B2431" s="1"/>
      <c r="C2431" s="1"/>
      <c r="D2431" s="440"/>
      <c r="E2431" s="440"/>
      <c r="F2431" s="468"/>
      <c r="G2431" s="440"/>
      <c r="H2431" s="440"/>
      <c r="I2431" s="440"/>
      <c r="J2431" s="440"/>
    </row>
    <row r="2432" spans="1:10" ht="13.5" customHeight="1" x14ac:dyDescent="0.25">
      <c r="A2432" s="1"/>
      <c r="B2432" s="1"/>
      <c r="C2432" s="1"/>
      <c r="D2432" s="440"/>
      <c r="E2432" s="440"/>
      <c r="F2432" s="468"/>
      <c r="G2432" s="440"/>
      <c r="H2432" s="440"/>
      <c r="I2432" s="440"/>
      <c r="J2432" s="440"/>
    </row>
    <row r="2433" spans="1:10" ht="17.45" customHeight="1" x14ac:dyDescent="0.25">
      <c r="A2433" s="1"/>
      <c r="B2433" s="50" t="s">
        <v>2185</v>
      </c>
      <c r="C2433" s="50" t="s">
        <v>2186</v>
      </c>
      <c r="D2433" s="440"/>
      <c r="E2433" s="440"/>
      <c r="F2433" s="468"/>
      <c r="G2433" s="440"/>
      <c r="H2433" s="440"/>
      <c r="I2433" s="440"/>
      <c r="J2433" s="440"/>
    </row>
    <row r="2434" spans="1:10" ht="13.5" customHeight="1" x14ac:dyDescent="0.25">
      <c r="A2434" s="1"/>
      <c r="B2434" s="50"/>
      <c r="C2434" s="50"/>
      <c r="D2434" s="440"/>
      <c r="E2434" s="440"/>
      <c r="F2434" s="468"/>
      <c r="G2434" s="440"/>
      <c r="H2434" s="440"/>
      <c r="I2434" s="440"/>
      <c r="J2434" s="440"/>
    </row>
    <row r="2435" spans="1:10" ht="13.5" customHeight="1" x14ac:dyDescent="0.25">
      <c r="A2435" s="14" t="s">
        <v>13</v>
      </c>
      <c r="B2435" s="1"/>
      <c r="C2435" s="1"/>
      <c r="D2435" s="440"/>
      <c r="E2435" s="440"/>
      <c r="F2435" s="468"/>
      <c r="G2435" s="440"/>
      <c r="H2435" s="440"/>
      <c r="I2435" s="440"/>
      <c r="J2435" s="440"/>
    </row>
    <row r="2436" spans="1:10" ht="13.5" customHeight="1" x14ac:dyDescent="0.25">
      <c r="A2436" s="1"/>
      <c r="B2436" s="1" t="s">
        <v>2187</v>
      </c>
      <c r="C2436" s="1" t="s">
        <v>2159</v>
      </c>
      <c r="D2436" s="437">
        <v>-47300</v>
      </c>
      <c r="E2436" s="439">
        <v>-5814.5</v>
      </c>
      <c r="F2436" s="468"/>
      <c r="G2436" s="440">
        <v>-47300</v>
      </c>
      <c r="H2436" s="439">
        <v>-53719.58</v>
      </c>
      <c r="I2436" s="439">
        <v>-24793.87</v>
      </c>
      <c r="J2436" s="437">
        <v>-144323.04</v>
      </c>
    </row>
    <row r="2437" spans="1:10" ht="13.5" customHeight="1" x14ac:dyDescent="0.25">
      <c r="A2437" s="1"/>
      <c r="B2437" s="1" t="s">
        <v>2188</v>
      </c>
      <c r="C2437" s="1" t="s">
        <v>197</v>
      </c>
      <c r="D2437" s="437">
        <v>-100</v>
      </c>
      <c r="E2437" s="437"/>
      <c r="F2437" s="466"/>
      <c r="G2437" s="437">
        <v>-100</v>
      </c>
      <c r="H2437" s="437">
        <v>-27.11</v>
      </c>
      <c r="I2437" s="440">
        <v>0</v>
      </c>
      <c r="J2437" s="437">
        <v>-115.87</v>
      </c>
    </row>
    <row r="2438" spans="1:10" ht="13.5" customHeight="1" x14ac:dyDescent="0.25">
      <c r="A2438" s="1"/>
      <c r="B2438" s="1" t="s">
        <v>2189</v>
      </c>
      <c r="C2438" s="1" t="s">
        <v>1838</v>
      </c>
      <c r="D2438" s="437">
        <v>0</v>
      </c>
      <c r="E2438" s="437"/>
      <c r="F2438" s="466"/>
      <c r="G2438" s="437">
        <v>0</v>
      </c>
      <c r="H2438" s="437">
        <v>0</v>
      </c>
      <c r="I2438" s="440">
        <v>0</v>
      </c>
      <c r="J2438" s="437">
        <v>0</v>
      </c>
    </row>
    <row r="2439" spans="1:10" ht="13.5" customHeight="1" thickBot="1" x14ac:dyDescent="0.3">
      <c r="A2439" s="1"/>
      <c r="B2439" s="1"/>
      <c r="C2439" s="39" t="s">
        <v>2190</v>
      </c>
      <c r="D2439" s="451">
        <v>-47400</v>
      </c>
      <c r="E2439" s="451">
        <f t="shared" ref="E2439" si="906">SUM(E2436:E2438)</f>
        <v>-5814.5</v>
      </c>
      <c r="F2439" s="478"/>
      <c r="G2439" s="451">
        <v>-47400</v>
      </c>
      <c r="H2439" s="451">
        <f>SUM(H2436:H2438)</f>
        <v>-53746.69</v>
      </c>
      <c r="I2439" s="451">
        <f>SUM(I2436:I2438)</f>
        <v>-24793.87</v>
      </c>
      <c r="J2439" s="451">
        <f t="shared" ref="J2439" si="907">SUM(J2436:J2438)</f>
        <v>-144438.91</v>
      </c>
    </row>
    <row r="2440" spans="1:10" ht="13.5" customHeight="1" thickTop="1" x14ac:dyDescent="0.25">
      <c r="A2440" s="1"/>
      <c r="B2440" s="1"/>
      <c r="C2440" s="1"/>
      <c r="D2440" s="437"/>
      <c r="E2440" s="440"/>
      <c r="F2440" s="468"/>
      <c r="G2440" s="440"/>
      <c r="H2440" s="440"/>
      <c r="I2440" s="440"/>
      <c r="J2440" s="437"/>
    </row>
    <row r="2441" spans="1:10" ht="13.5" customHeight="1" x14ac:dyDescent="0.25">
      <c r="A2441" s="39" t="s">
        <v>1773</v>
      </c>
      <c r="B2441" s="1"/>
      <c r="C2441" s="1"/>
      <c r="D2441" s="437"/>
      <c r="E2441" s="440"/>
      <c r="F2441" s="468"/>
      <c r="G2441" s="440"/>
      <c r="H2441" s="440"/>
      <c r="I2441" s="440"/>
      <c r="J2441" s="437"/>
    </row>
    <row r="2442" spans="1:10" ht="13.5" customHeight="1" x14ac:dyDescent="0.25">
      <c r="A2442" s="1"/>
      <c r="B2442" s="1" t="s">
        <v>2191</v>
      </c>
      <c r="C2442" s="1" t="s">
        <v>267</v>
      </c>
      <c r="D2442" s="437">
        <v>0</v>
      </c>
      <c r="E2442" s="437"/>
      <c r="F2442" s="466"/>
      <c r="G2442" s="437">
        <v>0</v>
      </c>
      <c r="H2442" s="437">
        <v>3594</v>
      </c>
      <c r="I2442" s="440">
        <v>0</v>
      </c>
      <c r="J2442" s="437">
        <v>520.22</v>
      </c>
    </row>
    <row r="2443" spans="1:10" ht="13.5" customHeight="1" x14ac:dyDescent="0.25">
      <c r="A2443" s="1"/>
      <c r="B2443" s="1" t="s">
        <v>2192</v>
      </c>
      <c r="C2443" s="1" t="s">
        <v>1085</v>
      </c>
      <c r="D2443" s="437">
        <v>0</v>
      </c>
      <c r="E2443" s="437">
        <v>1539.98</v>
      </c>
      <c r="F2443" s="466"/>
      <c r="G2443" s="437">
        <v>0</v>
      </c>
      <c r="H2443" s="437">
        <v>0</v>
      </c>
      <c r="I2443" s="440">
        <v>0</v>
      </c>
      <c r="J2443" s="437">
        <v>6468.67</v>
      </c>
    </row>
    <row r="2444" spans="1:10" ht="13.5" customHeight="1" x14ac:dyDescent="0.25">
      <c r="A2444" s="1"/>
      <c r="B2444" s="1" t="s">
        <v>2193</v>
      </c>
      <c r="C2444" s="1" t="s">
        <v>561</v>
      </c>
      <c r="D2444" s="437">
        <v>2000</v>
      </c>
      <c r="E2444" s="437"/>
      <c r="F2444" s="466"/>
      <c r="G2444" s="437">
        <v>2000</v>
      </c>
      <c r="H2444" s="437">
        <v>0</v>
      </c>
      <c r="I2444" s="440">
        <v>0</v>
      </c>
      <c r="J2444" s="440">
        <v>0</v>
      </c>
    </row>
    <row r="2445" spans="1:10" ht="13.5" customHeight="1" x14ac:dyDescent="0.25">
      <c r="A2445" s="1"/>
      <c r="B2445" s="1" t="s">
        <v>2194</v>
      </c>
      <c r="C2445" s="1" t="s">
        <v>275</v>
      </c>
      <c r="D2445" s="437">
        <v>5000</v>
      </c>
      <c r="E2445" s="437">
        <v>321.94</v>
      </c>
      <c r="F2445" s="466"/>
      <c r="G2445" s="437">
        <v>5000</v>
      </c>
      <c r="H2445" s="437">
        <v>6487.85</v>
      </c>
      <c r="I2445" s="437">
        <v>2055.4299999999998</v>
      </c>
      <c r="J2445" s="437">
        <v>6243.36</v>
      </c>
    </row>
    <row r="2446" spans="1:10" ht="13.5" customHeight="1" x14ac:dyDescent="0.25">
      <c r="A2446" s="1"/>
      <c r="B2446" s="1" t="s">
        <v>2195</v>
      </c>
      <c r="C2446" s="1" t="s">
        <v>497</v>
      </c>
      <c r="D2446" s="437">
        <v>100</v>
      </c>
      <c r="E2446" s="437"/>
      <c r="F2446" s="466"/>
      <c r="G2446" s="437">
        <v>100</v>
      </c>
      <c r="H2446" s="437">
        <v>0</v>
      </c>
      <c r="I2446" s="440">
        <v>0</v>
      </c>
      <c r="J2446" s="440">
        <v>0</v>
      </c>
    </row>
    <row r="2447" spans="1:10" ht="13.5" customHeight="1" x14ac:dyDescent="0.25">
      <c r="A2447" s="1"/>
      <c r="B2447" s="1" t="s">
        <v>2196</v>
      </c>
      <c r="C2447" s="1" t="s">
        <v>279</v>
      </c>
      <c r="D2447" s="437">
        <v>0</v>
      </c>
      <c r="E2447" s="437"/>
      <c r="F2447" s="466"/>
      <c r="G2447" s="437">
        <v>0</v>
      </c>
      <c r="H2447" s="437">
        <v>3690.75</v>
      </c>
      <c r="I2447" s="437">
        <v>9417.5</v>
      </c>
      <c r="J2447" s="437">
        <v>1500</v>
      </c>
    </row>
    <row r="2448" spans="1:10" ht="13.5" customHeight="1" x14ac:dyDescent="0.25">
      <c r="A2448" s="1"/>
      <c r="B2448" s="1" t="s">
        <v>2197</v>
      </c>
      <c r="C2448" s="1" t="s">
        <v>329</v>
      </c>
      <c r="D2448" s="437">
        <v>500</v>
      </c>
      <c r="E2448" s="437"/>
      <c r="F2448" s="466"/>
      <c r="G2448" s="437">
        <v>500</v>
      </c>
      <c r="H2448" s="437">
        <v>0</v>
      </c>
      <c r="I2448" s="440">
        <v>0</v>
      </c>
      <c r="J2448" s="440">
        <v>0</v>
      </c>
    </row>
    <row r="2449" spans="1:10" ht="13.5" customHeight="1" x14ac:dyDescent="0.25">
      <c r="A2449" s="1"/>
      <c r="B2449" s="1" t="s">
        <v>2198</v>
      </c>
      <c r="C2449" s="1" t="s">
        <v>283</v>
      </c>
      <c r="D2449" s="437">
        <v>5000</v>
      </c>
      <c r="E2449" s="437"/>
      <c r="F2449" s="466"/>
      <c r="G2449" s="437">
        <v>5000</v>
      </c>
      <c r="H2449" s="437">
        <v>421.91</v>
      </c>
      <c r="I2449" s="440">
        <v>0</v>
      </c>
      <c r="J2449" s="437">
        <v>1380.37</v>
      </c>
    </row>
    <row r="2450" spans="1:10" ht="13.5" customHeight="1" x14ac:dyDescent="0.25">
      <c r="A2450" s="1"/>
      <c r="B2450" s="1" t="s">
        <v>2199</v>
      </c>
      <c r="C2450" s="1" t="s">
        <v>285</v>
      </c>
      <c r="D2450" s="437">
        <v>0</v>
      </c>
      <c r="E2450" s="437"/>
      <c r="F2450" s="466"/>
      <c r="G2450" s="437">
        <v>0</v>
      </c>
      <c r="H2450" s="437">
        <v>0</v>
      </c>
      <c r="I2450" s="440">
        <v>0</v>
      </c>
      <c r="J2450" s="440">
        <v>0</v>
      </c>
    </row>
    <row r="2451" spans="1:10" ht="13.5" customHeight="1" x14ac:dyDescent="0.25">
      <c r="A2451" s="1"/>
      <c r="B2451" s="1" t="s">
        <v>2200</v>
      </c>
      <c r="C2451" s="1" t="s">
        <v>509</v>
      </c>
      <c r="D2451" s="437">
        <v>2500</v>
      </c>
      <c r="E2451" s="437"/>
      <c r="F2451" s="466"/>
      <c r="G2451" s="437">
        <v>2500</v>
      </c>
      <c r="H2451" s="437">
        <v>0</v>
      </c>
      <c r="I2451" s="437">
        <v>545.15</v>
      </c>
      <c r="J2451" s="437">
        <v>775</v>
      </c>
    </row>
    <row r="2452" spans="1:10" ht="13.5" customHeight="1" x14ac:dyDescent="0.25">
      <c r="A2452" s="1"/>
      <c r="B2452" s="1" t="s">
        <v>2201</v>
      </c>
      <c r="C2452" s="1" t="s">
        <v>619</v>
      </c>
      <c r="D2452" s="437">
        <v>0</v>
      </c>
      <c r="E2452" s="437"/>
      <c r="F2452" s="466"/>
      <c r="G2452" s="437">
        <v>0</v>
      </c>
      <c r="H2452" s="437">
        <v>0</v>
      </c>
      <c r="I2452" s="437">
        <v>7100</v>
      </c>
      <c r="J2452" s="437">
        <v>3400</v>
      </c>
    </row>
    <row r="2453" spans="1:10" ht="13.5" customHeight="1" x14ac:dyDescent="0.25">
      <c r="A2453" s="1"/>
      <c r="B2453" s="1" t="s">
        <v>2202</v>
      </c>
      <c r="C2453" s="1" t="s">
        <v>840</v>
      </c>
      <c r="D2453" s="437">
        <v>300</v>
      </c>
      <c r="E2453" s="437"/>
      <c r="F2453" s="466"/>
      <c r="G2453" s="437">
        <v>300</v>
      </c>
      <c r="H2453" s="437">
        <v>0</v>
      </c>
      <c r="I2453" s="440">
        <v>0</v>
      </c>
      <c r="J2453" s="440">
        <v>0</v>
      </c>
    </row>
    <row r="2454" spans="1:10" ht="13.5" customHeight="1" x14ac:dyDescent="0.25">
      <c r="A2454" s="1"/>
      <c r="B2454" s="1" t="s">
        <v>2203</v>
      </c>
      <c r="C2454" s="1" t="s">
        <v>2204</v>
      </c>
      <c r="D2454" s="437">
        <v>15000</v>
      </c>
      <c r="E2454" s="437">
        <v>3000</v>
      </c>
      <c r="F2454" s="466"/>
      <c r="G2454" s="437">
        <v>15000</v>
      </c>
      <c r="H2454" s="437">
        <v>6000</v>
      </c>
      <c r="I2454" s="437">
        <v>18000</v>
      </c>
      <c r="J2454" s="437">
        <v>15000</v>
      </c>
    </row>
    <row r="2455" spans="1:10" ht="13.5" customHeight="1" x14ac:dyDescent="0.25">
      <c r="A2455" s="1"/>
      <c r="B2455" s="1" t="s">
        <v>2205</v>
      </c>
      <c r="C2455" s="1" t="s">
        <v>1470</v>
      </c>
      <c r="D2455" s="437">
        <v>2000</v>
      </c>
      <c r="E2455" s="437"/>
      <c r="F2455" s="466"/>
      <c r="G2455" s="437">
        <v>2000</v>
      </c>
      <c r="H2455" s="437">
        <v>0</v>
      </c>
      <c r="I2455" s="440">
        <v>0</v>
      </c>
      <c r="J2455" s="440">
        <v>0</v>
      </c>
    </row>
    <row r="2456" spans="1:10" ht="13.5" customHeight="1" x14ac:dyDescent="0.25">
      <c r="A2456" s="1"/>
      <c r="B2456" s="22" t="s">
        <v>2206</v>
      </c>
      <c r="C2456" s="22" t="s">
        <v>2207</v>
      </c>
      <c r="D2456" s="437">
        <v>0</v>
      </c>
      <c r="E2456" s="437"/>
      <c r="F2456" s="466"/>
      <c r="G2456" s="437">
        <v>0</v>
      </c>
      <c r="H2456" s="437">
        <v>62985.55</v>
      </c>
      <c r="I2456" s="437"/>
      <c r="J2456" s="440"/>
    </row>
    <row r="2457" spans="1:10" ht="13.5" customHeight="1" x14ac:dyDescent="0.25">
      <c r="A2457" s="1"/>
      <c r="B2457" s="1" t="s">
        <v>2208</v>
      </c>
      <c r="C2457" s="1" t="s">
        <v>352</v>
      </c>
      <c r="D2457" s="437">
        <v>15000</v>
      </c>
      <c r="E2457" s="437"/>
      <c r="F2457" s="466"/>
      <c r="G2457" s="437">
        <v>15000</v>
      </c>
      <c r="H2457" s="437">
        <v>6385</v>
      </c>
      <c r="I2457" s="437">
        <v>17883</v>
      </c>
      <c r="J2457" s="440">
        <v>0</v>
      </c>
    </row>
    <row r="2458" spans="1:10" ht="13.5" customHeight="1" thickBot="1" x14ac:dyDescent="0.3">
      <c r="A2458" s="1"/>
      <c r="B2458" s="28"/>
      <c r="C2458" s="30" t="s">
        <v>2209</v>
      </c>
      <c r="D2458" s="451">
        <v>47400</v>
      </c>
      <c r="E2458" s="451">
        <f t="shared" ref="E2458" si="908">SUM(E2442:E2457)</f>
        <v>4861.92</v>
      </c>
      <c r="F2458" s="478"/>
      <c r="G2458" s="451">
        <v>47400</v>
      </c>
      <c r="H2458" s="451">
        <f>SUM(H2442:H2457)</f>
        <v>89565.06</v>
      </c>
      <c r="I2458" s="451">
        <f>SUM(I2442:I2457)</f>
        <v>55001.08</v>
      </c>
      <c r="J2458" s="451">
        <f t="shared" ref="J2458" si="909">SUM(J2442:J2457)</f>
        <v>35287.619999999995</v>
      </c>
    </row>
    <row r="2459" spans="1:10" ht="13.5" customHeight="1" thickTop="1" x14ac:dyDescent="0.25">
      <c r="A2459" s="1"/>
      <c r="B2459" s="1"/>
      <c r="C2459" s="1"/>
      <c r="D2459" s="437"/>
      <c r="E2459" s="437"/>
      <c r="F2459" s="466"/>
      <c r="G2459" s="437"/>
      <c r="H2459" s="437"/>
      <c r="I2459" s="437"/>
      <c r="J2459" s="440"/>
    </row>
    <row r="2460" spans="1:10" ht="16.5" customHeight="1" x14ac:dyDescent="0.25">
      <c r="A2460" s="1"/>
      <c r="B2460" s="50" t="s">
        <v>2210</v>
      </c>
      <c r="C2460" s="50" t="s">
        <v>2211</v>
      </c>
      <c r="D2460" s="437"/>
      <c r="E2460" s="437"/>
      <c r="F2460" s="466"/>
      <c r="G2460" s="437"/>
      <c r="H2460" s="437"/>
      <c r="I2460" s="437"/>
      <c r="J2460" s="440"/>
    </row>
    <row r="2461" spans="1:10" ht="13.5" customHeight="1" x14ac:dyDescent="0.25">
      <c r="A2461" s="1"/>
      <c r="B2461" s="1"/>
      <c r="C2461" s="14"/>
      <c r="D2461" s="437"/>
      <c r="E2461" s="437"/>
      <c r="F2461" s="466"/>
      <c r="G2461" s="437"/>
      <c r="H2461" s="437"/>
      <c r="I2461" s="437"/>
      <c r="J2461" s="440"/>
    </row>
    <row r="2462" spans="1:10" ht="13.5" customHeight="1" x14ac:dyDescent="0.25">
      <c r="A2462" s="39" t="s">
        <v>13</v>
      </c>
      <c r="B2462" s="1"/>
      <c r="C2462" s="14"/>
      <c r="D2462" s="437"/>
      <c r="E2462" s="437"/>
      <c r="F2462" s="466"/>
      <c r="G2462" s="437"/>
      <c r="H2462" s="437"/>
      <c r="I2462" s="437"/>
      <c r="J2462" s="440"/>
    </row>
    <row r="2463" spans="1:10" ht="13.5" customHeight="1" x14ac:dyDescent="0.25">
      <c r="A2463" s="1"/>
      <c r="B2463" s="1" t="s">
        <v>2212</v>
      </c>
      <c r="C2463" s="1" t="s">
        <v>2159</v>
      </c>
      <c r="D2463" s="437">
        <v>-18500</v>
      </c>
      <c r="E2463" s="439">
        <v>-10150</v>
      </c>
      <c r="F2463" s="468"/>
      <c r="G2463" s="440">
        <v>-18500</v>
      </c>
      <c r="H2463" s="439">
        <v>-17596.18</v>
      </c>
      <c r="I2463" s="439">
        <v>-13260</v>
      </c>
      <c r="J2463" s="437">
        <v>-491902.49</v>
      </c>
    </row>
    <row r="2464" spans="1:10" ht="13.5" customHeight="1" x14ac:dyDescent="0.25">
      <c r="A2464" s="1"/>
      <c r="B2464" s="1"/>
      <c r="C2464" s="39" t="s">
        <v>2213</v>
      </c>
      <c r="D2464" s="441">
        <v>-18500</v>
      </c>
      <c r="E2464" s="441">
        <f t="shared" ref="E2464" si="910">SUM(E2463)</f>
        <v>-10150</v>
      </c>
      <c r="F2464" s="469"/>
      <c r="G2464" s="441">
        <v>-18500</v>
      </c>
      <c r="H2464" s="441">
        <f>SUM(H2463)</f>
        <v>-17596.18</v>
      </c>
      <c r="I2464" s="441">
        <f>SUM(I2463)</f>
        <v>-13260</v>
      </c>
      <c r="J2464" s="441">
        <f t="shared" ref="J2464" si="911">SUM(J2463)</f>
        <v>-491902.49</v>
      </c>
    </row>
    <row r="2465" spans="1:10" ht="13.5" customHeight="1" x14ac:dyDescent="0.25">
      <c r="A2465" s="1"/>
      <c r="B2465" s="1"/>
      <c r="C2465" s="1"/>
      <c r="D2465" s="440"/>
      <c r="E2465" s="440"/>
      <c r="F2465" s="468"/>
      <c r="G2465" s="440"/>
      <c r="H2465" s="440"/>
      <c r="I2465" s="440"/>
      <c r="J2465" s="437"/>
    </row>
    <row r="2466" spans="1:10" ht="13.5" customHeight="1" x14ac:dyDescent="0.25">
      <c r="A2466" s="39" t="s">
        <v>1773</v>
      </c>
      <c r="B2466" s="1"/>
      <c r="C2466" s="1"/>
      <c r="D2466" s="440"/>
      <c r="E2466" s="440"/>
      <c r="F2466" s="468"/>
      <c r="G2466" s="440"/>
      <c r="H2466" s="440"/>
      <c r="I2466" s="440"/>
      <c r="J2466" s="437"/>
    </row>
    <row r="2467" spans="1:10" ht="13.5" customHeight="1" x14ac:dyDescent="0.25">
      <c r="A2467" s="1"/>
      <c r="B2467" s="1"/>
      <c r="C2467" s="14" t="s">
        <v>2214</v>
      </c>
      <c r="D2467" s="440"/>
      <c r="E2467" s="440"/>
      <c r="F2467" s="468"/>
      <c r="G2467" s="440"/>
      <c r="H2467" s="440"/>
      <c r="I2467" s="440"/>
      <c r="J2467" s="437"/>
    </row>
    <row r="2468" spans="1:10" ht="13.5" customHeight="1" x14ac:dyDescent="0.25">
      <c r="A2468" s="1"/>
      <c r="B2468" s="1" t="s">
        <v>2215</v>
      </c>
      <c r="C2468" s="1" t="s">
        <v>2216</v>
      </c>
      <c r="D2468" s="437">
        <v>175</v>
      </c>
      <c r="E2468" s="437">
        <v>0</v>
      </c>
      <c r="F2468" s="466"/>
      <c r="G2468" s="437">
        <v>175</v>
      </c>
      <c r="H2468" s="437">
        <v>0</v>
      </c>
      <c r="I2468" s="440">
        <v>0</v>
      </c>
      <c r="J2468" s="440">
        <v>0</v>
      </c>
    </row>
    <row r="2469" spans="1:10" ht="13.5" customHeight="1" x14ac:dyDescent="0.25">
      <c r="A2469" s="1"/>
      <c r="B2469" s="1"/>
      <c r="C2469" s="1"/>
      <c r="D2469" s="438">
        <v>175</v>
      </c>
      <c r="E2469" s="438">
        <f t="shared" ref="E2469" si="912">SUM(E2468)</f>
        <v>0</v>
      </c>
      <c r="F2469" s="467"/>
      <c r="G2469" s="438">
        <v>175</v>
      </c>
      <c r="H2469" s="438">
        <f>SUM(H2468)</f>
        <v>0</v>
      </c>
      <c r="I2469" s="438">
        <f>SUM(I2468)</f>
        <v>0</v>
      </c>
      <c r="J2469" s="438">
        <f t="shared" ref="J2469" si="913">SUM(J2468)</f>
        <v>0</v>
      </c>
    </row>
    <row r="2470" spans="1:10" ht="13.5" customHeight="1" x14ac:dyDescent="0.25">
      <c r="A2470" s="1"/>
      <c r="B2470" s="1"/>
      <c r="C2470" s="1"/>
      <c r="D2470" s="437"/>
      <c r="E2470" s="440"/>
      <c r="F2470" s="468"/>
      <c r="G2470" s="440"/>
      <c r="H2470" s="440"/>
      <c r="I2470" s="440"/>
      <c r="J2470" s="440"/>
    </row>
    <row r="2471" spans="1:10" ht="13.5" customHeight="1" x14ac:dyDescent="0.25">
      <c r="A2471" s="1"/>
      <c r="B2471" s="1"/>
      <c r="C2471" s="14" t="s">
        <v>2217</v>
      </c>
      <c r="D2471" s="437"/>
      <c r="E2471" s="440"/>
      <c r="F2471" s="468"/>
      <c r="G2471" s="440"/>
      <c r="H2471" s="440"/>
      <c r="I2471" s="440"/>
      <c r="J2471" s="440"/>
    </row>
    <row r="2472" spans="1:10" ht="13.5" customHeight="1" x14ac:dyDescent="0.25">
      <c r="A2472" s="1"/>
      <c r="B2472" s="22" t="s">
        <v>2218</v>
      </c>
      <c r="C2472" s="22" t="s">
        <v>1554</v>
      </c>
      <c r="D2472" s="437">
        <v>0</v>
      </c>
      <c r="E2472" s="437"/>
      <c r="F2472" s="466"/>
      <c r="G2472" s="437">
        <v>0</v>
      </c>
      <c r="H2472" s="437">
        <v>0</v>
      </c>
      <c r="I2472" s="437">
        <v>1000</v>
      </c>
      <c r="J2472" s="440">
        <v>0</v>
      </c>
    </row>
    <row r="2473" spans="1:10" ht="13.5" customHeight="1" x14ac:dyDescent="0.25">
      <c r="A2473" s="1"/>
      <c r="B2473" s="1" t="s">
        <v>2219</v>
      </c>
      <c r="C2473" s="1" t="s">
        <v>2220</v>
      </c>
      <c r="D2473" s="437">
        <v>0</v>
      </c>
      <c r="E2473" s="437">
        <v>794.17</v>
      </c>
      <c r="F2473" s="466"/>
      <c r="G2473" s="437">
        <v>0</v>
      </c>
      <c r="H2473" s="437">
        <v>1183.32</v>
      </c>
      <c r="I2473" s="437">
        <v>890.03</v>
      </c>
      <c r="J2473" s="440">
        <v>0</v>
      </c>
    </row>
    <row r="2474" spans="1:10" ht="13.5" customHeight="1" x14ac:dyDescent="0.25">
      <c r="A2474" s="1"/>
      <c r="B2474" s="1" t="s">
        <v>2221</v>
      </c>
      <c r="C2474" s="1" t="s">
        <v>273</v>
      </c>
      <c r="D2474" s="437">
        <v>10000</v>
      </c>
      <c r="E2474" s="437"/>
      <c r="F2474" s="466"/>
      <c r="G2474" s="437">
        <v>10000</v>
      </c>
      <c r="H2474" s="437">
        <v>0</v>
      </c>
      <c r="I2474" s="440">
        <v>2344</v>
      </c>
      <c r="J2474" s="437">
        <v>11914.03</v>
      </c>
    </row>
    <row r="2475" spans="1:10" ht="13.5" customHeight="1" x14ac:dyDescent="0.25">
      <c r="A2475" s="1"/>
      <c r="B2475" s="1" t="s">
        <v>2222</v>
      </c>
      <c r="C2475" s="1" t="s">
        <v>275</v>
      </c>
      <c r="D2475" s="437">
        <v>8500</v>
      </c>
      <c r="E2475" s="437">
        <v>977.72</v>
      </c>
      <c r="F2475" s="466"/>
      <c r="G2475" s="437">
        <v>8500</v>
      </c>
      <c r="H2475" s="437">
        <v>69.989999999999995</v>
      </c>
      <c r="I2475" s="437">
        <v>703</v>
      </c>
      <c r="J2475" s="437">
        <v>5113.04</v>
      </c>
    </row>
    <row r="2476" spans="1:10" ht="13.5" customHeight="1" x14ac:dyDescent="0.25">
      <c r="A2476" s="1"/>
      <c r="B2476" s="22" t="s">
        <v>2223</v>
      </c>
      <c r="C2476" s="22" t="s">
        <v>283</v>
      </c>
      <c r="D2476" s="437">
        <v>0</v>
      </c>
      <c r="E2476" s="437"/>
      <c r="F2476" s="466"/>
      <c r="G2476" s="437">
        <v>0</v>
      </c>
      <c r="H2476" s="437">
        <v>305.60000000000002</v>
      </c>
      <c r="I2476" s="439">
        <v>1448.34</v>
      </c>
      <c r="J2476" s="440">
        <v>0</v>
      </c>
    </row>
    <row r="2477" spans="1:10" ht="13.5" customHeight="1" x14ac:dyDescent="0.25">
      <c r="A2477" s="1"/>
      <c r="B2477" s="1" t="s">
        <v>2224</v>
      </c>
      <c r="C2477" s="1" t="s">
        <v>502</v>
      </c>
      <c r="D2477" s="437">
        <v>0</v>
      </c>
      <c r="E2477" s="437"/>
      <c r="F2477" s="466"/>
      <c r="G2477" s="437">
        <v>0</v>
      </c>
      <c r="H2477" s="437">
        <v>0</v>
      </c>
      <c r="I2477" s="439">
        <v>0</v>
      </c>
      <c r="J2477" s="440">
        <v>0</v>
      </c>
    </row>
    <row r="2478" spans="1:10" ht="13.5" customHeight="1" x14ac:dyDescent="0.25">
      <c r="A2478" s="1"/>
      <c r="B2478" s="1" t="s">
        <v>2225</v>
      </c>
      <c r="C2478" s="1" t="s">
        <v>1848</v>
      </c>
      <c r="D2478" s="437">
        <v>0</v>
      </c>
      <c r="E2478" s="437"/>
      <c r="F2478" s="466"/>
      <c r="G2478" s="437">
        <v>0</v>
      </c>
      <c r="H2478" s="437">
        <v>1799.8</v>
      </c>
      <c r="I2478" s="440">
        <v>0</v>
      </c>
      <c r="J2478" s="437">
        <v>3471.4</v>
      </c>
    </row>
    <row r="2479" spans="1:10" ht="13.5" customHeight="1" x14ac:dyDescent="0.25">
      <c r="A2479" s="1"/>
      <c r="B2479" s="1" t="s">
        <v>2226</v>
      </c>
      <c r="C2479" s="1" t="s">
        <v>509</v>
      </c>
      <c r="D2479" s="437">
        <v>0</v>
      </c>
      <c r="E2479" s="437"/>
      <c r="F2479" s="466"/>
      <c r="G2479" s="437">
        <v>0</v>
      </c>
      <c r="H2479" s="437">
        <v>0</v>
      </c>
      <c r="I2479" s="437">
        <v>52.49</v>
      </c>
      <c r="J2479" s="440">
        <v>0</v>
      </c>
    </row>
    <row r="2480" spans="1:10" ht="13.5" customHeight="1" x14ac:dyDescent="0.25">
      <c r="A2480" s="1"/>
      <c r="B2480" s="22" t="s">
        <v>2227</v>
      </c>
      <c r="C2480" s="22" t="s">
        <v>1475</v>
      </c>
      <c r="D2480" s="437">
        <v>0</v>
      </c>
      <c r="E2480" s="437">
        <v>457.33</v>
      </c>
      <c r="F2480" s="466"/>
      <c r="G2480" s="437"/>
      <c r="H2480" s="437"/>
      <c r="I2480" s="437"/>
      <c r="J2480" s="437"/>
    </row>
    <row r="2481" spans="1:10" ht="13.5" customHeight="1" x14ac:dyDescent="0.25">
      <c r="A2481" s="1"/>
      <c r="B2481" s="1" t="s">
        <v>2228</v>
      </c>
      <c r="C2481" s="1" t="s">
        <v>951</v>
      </c>
      <c r="D2481" s="437">
        <v>0</v>
      </c>
      <c r="E2481" s="437"/>
      <c r="F2481" s="466"/>
      <c r="G2481" s="437">
        <v>0</v>
      </c>
      <c r="H2481" s="437">
        <v>0</v>
      </c>
      <c r="I2481" s="437">
        <v>27000</v>
      </c>
      <c r="J2481" s="437">
        <v>115999</v>
      </c>
    </row>
    <row r="2482" spans="1:10" ht="13.5" customHeight="1" x14ac:dyDescent="0.25">
      <c r="A2482" s="1"/>
      <c r="B2482" s="1" t="s">
        <v>2229</v>
      </c>
      <c r="C2482" s="1" t="s">
        <v>2230</v>
      </c>
      <c r="D2482" s="437">
        <v>0</v>
      </c>
      <c r="E2482" s="437"/>
      <c r="F2482" s="466"/>
      <c r="G2482" s="437">
        <v>0</v>
      </c>
      <c r="H2482" s="437">
        <v>0</v>
      </c>
      <c r="I2482" s="440">
        <v>0</v>
      </c>
      <c r="J2482" s="437">
        <v>14020.27</v>
      </c>
    </row>
    <row r="2483" spans="1:10" ht="13.5" customHeight="1" x14ac:dyDescent="0.25">
      <c r="A2483" s="1"/>
      <c r="B2483" s="1" t="s">
        <v>2231</v>
      </c>
      <c r="C2483" s="1" t="s">
        <v>2232</v>
      </c>
      <c r="D2483" s="437">
        <v>0</v>
      </c>
      <c r="E2483" s="437">
        <v>12500</v>
      </c>
      <c r="F2483" s="466"/>
      <c r="G2483" s="437">
        <v>0</v>
      </c>
      <c r="H2483" s="437">
        <v>0</v>
      </c>
      <c r="I2483" s="440">
        <v>0</v>
      </c>
      <c r="J2483" s="437">
        <v>32944.730000000003</v>
      </c>
    </row>
    <row r="2484" spans="1:10" ht="13.5" customHeight="1" x14ac:dyDescent="0.25">
      <c r="A2484" s="1"/>
      <c r="B2484" s="1" t="s">
        <v>2233</v>
      </c>
      <c r="C2484" s="1" t="s">
        <v>2234</v>
      </c>
      <c r="D2484" s="437">
        <v>0</v>
      </c>
      <c r="E2484" s="439">
        <v>5552.18</v>
      </c>
      <c r="F2484" s="468"/>
      <c r="G2484" s="440">
        <v>0</v>
      </c>
      <c r="H2484" s="439">
        <v>1510.27</v>
      </c>
      <c r="I2484" s="439">
        <v>2088.4499999999998</v>
      </c>
      <c r="J2484" s="437">
        <v>0</v>
      </c>
    </row>
    <row r="2485" spans="1:10" ht="13.5" customHeight="1" x14ac:dyDescent="0.25">
      <c r="A2485" s="1"/>
      <c r="B2485" s="1"/>
      <c r="C2485" s="1"/>
      <c r="D2485" s="441">
        <v>18500</v>
      </c>
      <c r="E2485" s="441">
        <f t="shared" ref="E2485" si="914">SUM(E2472:E2484)</f>
        <v>20281.400000000001</v>
      </c>
      <c r="F2485" s="469"/>
      <c r="G2485" s="441">
        <v>18500</v>
      </c>
      <c r="H2485" s="441">
        <f>SUM(H2472:H2484)</f>
        <v>4868.9799999999996</v>
      </c>
      <c r="I2485" s="441">
        <f>SUM(I2472:I2484)</f>
        <v>35526.31</v>
      </c>
      <c r="J2485" s="441">
        <f t="shared" ref="J2485" si="915">SUM(J2472:J2484)</f>
        <v>183462.47</v>
      </c>
    </row>
    <row r="2486" spans="1:10" ht="13.5" customHeight="1" x14ac:dyDescent="0.25">
      <c r="A2486" s="1"/>
      <c r="B2486" s="1"/>
      <c r="C2486" s="1"/>
      <c r="D2486" s="440"/>
      <c r="E2486" s="440"/>
      <c r="F2486" s="468"/>
      <c r="G2486" s="440"/>
      <c r="H2486" s="440"/>
      <c r="I2486" s="440"/>
      <c r="J2486" s="437"/>
    </row>
    <row r="2487" spans="1:10" ht="13.5" customHeight="1" thickBot="1" x14ac:dyDescent="0.3">
      <c r="A2487" s="1"/>
      <c r="B2487" s="28"/>
      <c r="C2487" s="30" t="s">
        <v>2235</v>
      </c>
      <c r="D2487" s="453">
        <v>18675</v>
      </c>
      <c r="E2487" s="453">
        <f t="shared" ref="E2487" si="916">SUM(E2469+E2485)</f>
        <v>20281.400000000001</v>
      </c>
      <c r="F2487" s="479"/>
      <c r="G2487" s="453">
        <v>18675</v>
      </c>
      <c r="H2487" s="453">
        <f>SUM(H2469+H2485)</f>
        <v>4868.9799999999996</v>
      </c>
      <c r="I2487" s="453">
        <f>SUM(I2469+I2485)</f>
        <v>35526.31</v>
      </c>
      <c r="J2487" s="453">
        <f t="shared" ref="J2487" si="917">SUM(J2469+J2485)</f>
        <v>183462.47</v>
      </c>
    </row>
    <row r="2488" spans="1:10" ht="13.5" customHeight="1" thickTop="1" x14ac:dyDescent="0.25">
      <c r="A2488" s="1"/>
      <c r="B2488" s="1"/>
      <c r="C2488" s="1"/>
      <c r="D2488" s="440"/>
      <c r="E2488" s="440"/>
      <c r="F2488" s="468"/>
      <c r="G2488" s="440"/>
      <c r="H2488" s="440"/>
      <c r="I2488" s="440"/>
      <c r="J2488" s="437"/>
    </row>
    <row r="2489" spans="1:10" ht="16.5" customHeight="1" x14ac:dyDescent="0.25">
      <c r="A2489" s="1"/>
      <c r="B2489" s="50"/>
      <c r="C2489" s="50"/>
      <c r="D2489" s="440"/>
      <c r="E2489" s="440"/>
      <c r="F2489" s="468"/>
      <c r="G2489" s="440"/>
      <c r="H2489" s="440"/>
      <c r="I2489" s="440"/>
      <c r="J2489" s="437"/>
    </row>
    <row r="2490" spans="1:10" ht="18.600000000000001" customHeight="1" x14ac:dyDescent="0.25">
      <c r="A2490" s="1"/>
      <c r="B2490" s="52" t="s">
        <v>2236</v>
      </c>
      <c r="C2490" s="52" t="s">
        <v>2237</v>
      </c>
      <c r="D2490" s="437"/>
      <c r="E2490" s="437"/>
      <c r="F2490" s="466"/>
      <c r="G2490" s="437"/>
      <c r="H2490" s="437"/>
      <c r="I2490" s="437"/>
      <c r="J2490" s="437"/>
    </row>
    <row r="2491" spans="1:10" ht="13.5" customHeight="1" x14ac:dyDescent="0.25">
      <c r="A2491" s="1"/>
      <c r="B2491" s="1"/>
      <c r="C2491" s="1"/>
      <c r="D2491" s="437"/>
      <c r="E2491" s="437"/>
      <c r="F2491" s="466"/>
      <c r="G2491" s="437"/>
      <c r="H2491" s="437"/>
      <c r="I2491" s="437"/>
      <c r="J2491" s="437"/>
    </row>
    <row r="2492" spans="1:10" ht="13.5" customHeight="1" x14ac:dyDescent="0.25">
      <c r="A2492" s="14" t="s">
        <v>13</v>
      </c>
      <c r="B2492" s="1"/>
      <c r="C2492" s="1"/>
      <c r="D2492" s="437"/>
      <c r="E2492" s="437"/>
      <c r="F2492" s="466"/>
      <c r="G2492" s="437"/>
      <c r="H2492" s="437"/>
      <c r="I2492" s="437"/>
      <c r="J2492" s="437"/>
    </row>
    <row r="2493" spans="1:10" ht="13.5" customHeight="1" x14ac:dyDescent="0.25">
      <c r="A2493" s="1"/>
      <c r="B2493" s="22" t="s">
        <v>2238</v>
      </c>
      <c r="C2493" s="22" t="s">
        <v>39</v>
      </c>
      <c r="D2493" s="437">
        <v>-19652.8</v>
      </c>
      <c r="E2493" s="437">
        <v>-2751.92</v>
      </c>
      <c r="F2493" s="466"/>
      <c r="G2493" s="437"/>
      <c r="H2493" s="437"/>
      <c r="I2493" s="437"/>
      <c r="J2493" s="437"/>
    </row>
    <row r="2494" spans="1:10" ht="13.5" customHeight="1" x14ac:dyDescent="0.25">
      <c r="A2494" s="1"/>
      <c r="B2494" s="22" t="s">
        <v>2239</v>
      </c>
      <c r="C2494" s="1" t="s">
        <v>197</v>
      </c>
      <c r="D2494" s="437">
        <v>0</v>
      </c>
      <c r="E2494" s="437"/>
      <c r="F2494" s="466"/>
      <c r="G2494" s="437"/>
      <c r="H2494" s="437"/>
      <c r="I2494" s="437"/>
      <c r="J2494" s="437"/>
    </row>
    <row r="2495" spans="1:10" ht="13.5" customHeight="1" thickBot="1" x14ac:dyDescent="0.3">
      <c r="A2495" s="1"/>
      <c r="B2495" s="1"/>
      <c r="C2495" s="48" t="s">
        <v>2240</v>
      </c>
      <c r="D2495" s="453">
        <v>-19652.8</v>
      </c>
      <c r="E2495" s="453">
        <f t="shared" ref="E2495" si="918">SUM(E2493:E2494)</f>
        <v>-2751.92</v>
      </c>
      <c r="F2495" s="479"/>
      <c r="G2495" s="453"/>
      <c r="H2495" s="453">
        <f>SUM(H2493:H2494)</f>
        <v>0</v>
      </c>
      <c r="I2495" s="453">
        <f>SUM(I2493:I2494)</f>
        <v>0</v>
      </c>
      <c r="J2495" s="453">
        <f t="shared" ref="J2495" si="919">SUM(J2493:J2494)</f>
        <v>0</v>
      </c>
    </row>
    <row r="2496" spans="1:10" ht="13.5" customHeight="1" thickTop="1" x14ac:dyDescent="0.25">
      <c r="A2496" s="1"/>
      <c r="B2496" s="1"/>
      <c r="C2496" s="1"/>
      <c r="D2496" s="440"/>
      <c r="E2496" s="437"/>
      <c r="F2496" s="466"/>
      <c r="G2496" s="437"/>
      <c r="H2496" s="437"/>
      <c r="I2496" s="437"/>
      <c r="J2496" s="437"/>
    </row>
    <row r="2497" spans="1:10" ht="13.5" customHeight="1" x14ac:dyDescent="0.25">
      <c r="A2497" s="39" t="s">
        <v>1773</v>
      </c>
      <c r="B2497" s="1"/>
      <c r="C2497" s="1"/>
      <c r="D2497" s="440"/>
      <c r="E2497" s="437"/>
      <c r="F2497" s="466"/>
      <c r="G2497" s="437"/>
      <c r="H2497" s="437"/>
      <c r="I2497" s="437"/>
      <c r="J2497" s="437"/>
    </row>
    <row r="2498" spans="1:10" ht="13.5" customHeight="1" x14ac:dyDescent="0.25">
      <c r="A2498" s="1"/>
      <c r="B2498" s="22" t="s">
        <v>2241</v>
      </c>
      <c r="C2498" s="1" t="s">
        <v>439</v>
      </c>
      <c r="D2498" s="437">
        <v>16000</v>
      </c>
      <c r="E2498" s="437">
        <v>9010.06</v>
      </c>
      <c r="F2498" s="466"/>
      <c r="G2498" s="437"/>
      <c r="H2498" s="437"/>
      <c r="I2498" s="437"/>
      <c r="J2498" s="437"/>
    </row>
    <row r="2499" spans="1:10" ht="13.5" customHeight="1" x14ac:dyDescent="0.25">
      <c r="A2499" s="1"/>
      <c r="B2499" s="22" t="s">
        <v>2242</v>
      </c>
      <c r="C2499" s="1" t="s">
        <v>257</v>
      </c>
      <c r="D2499" s="437">
        <v>1224</v>
      </c>
      <c r="E2499" s="437">
        <v>648.20000000000005</v>
      </c>
      <c r="F2499" s="466"/>
      <c r="G2499" s="437"/>
      <c r="H2499" s="437"/>
      <c r="I2499" s="437"/>
      <c r="J2499" s="437"/>
    </row>
    <row r="2500" spans="1:10" ht="13.5" customHeight="1" x14ac:dyDescent="0.25">
      <c r="A2500" s="1"/>
      <c r="B2500" s="22" t="s">
        <v>2243</v>
      </c>
      <c r="C2500" s="1" t="s">
        <v>261</v>
      </c>
      <c r="D2500" s="437">
        <v>2403.1999999999998</v>
      </c>
      <c r="E2500" s="437">
        <v>1353.29</v>
      </c>
      <c r="F2500" s="466"/>
      <c r="G2500" s="437"/>
      <c r="H2500" s="437"/>
      <c r="I2500" s="437"/>
      <c r="J2500" s="437"/>
    </row>
    <row r="2501" spans="1:10" ht="13.5" customHeight="1" x14ac:dyDescent="0.25">
      <c r="A2501" s="1"/>
      <c r="B2501" s="22" t="s">
        <v>2244</v>
      </c>
      <c r="C2501" s="1" t="s">
        <v>263</v>
      </c>
      <c r="D2501" s="437">
        <v>25.6</v>
      </c>
      <c r="E2501" s="437">
        <v>14.47</v>
      </c>
      <c r="F2501" s="466"/>
      <c r="G2501" s="437"/>
      <c r="H2501" s="437"/>
      <c r="I2501" s="437"/>
      <c r="J2501" s="437"/>
    </row>
    <row r="2502" spans="1:10" ht="13.5" customHeight="1" x14ac:dyDescent="0.25">
      <c r="A2502" s="1"/>
      <c r="B2502" s="22" t="s">
        <v>2245</v>
      </c>
      <c r="C2502" s="1" t="s">
        <v>295</v>
      </c>
      <c r="D2502" s="437">
        <v>0</v>
      </c>
      <c r="E2502" s="437"/>
      <c r="F2502" s="466"/>
      <c r="G2502" s="437"/>
      <c r="H2502" s="437"/>
      <c r="I2502" s="440"/>
      <c r="J2502" s="440"/>
    </row>
    <row r="2503" spans="1:10" ht="13.5" customHeight="1" x14ac:dyDescent="0.25">
      <c r="A2503" s="1"/>
      <c r="B2503" s="50"/>
      <c r="C2503" s="50"/>
      <c r="D2503" s="440"/>
      <c r="E2503" s="440"/>
      <c r="F2503" s="468"/>
      <c r="G2503" s="440"/>
      <c r="H2503" s="440"/>
      <c r="I2503" s="440"/>
      <c r="J2503" s="437"/>
    </row>
    <row r="2504" spans="1:10" ht="13.5" customHeight="1" thickBot="1" x14ac:dyDescent="0.3">
      <c r="A2504" s="1"/>
      <c r="B2504" s="28"/>
      <c r="C2504" s="53" t="s">
        <v>2246</v>
      </c>
      <c r="D2504" s="453">
        <v>19652.8</v>
      </c>
      <c r="E2504" s="453">
        <f t="shared" ref="E2504" si="920">SUM(E2498:E2503)</f>
        <v>11026.019999999999</v>
      </c>
      <c r="F2504" s="479"/>
      <c r="G2504" s="455"/>
      <c r="H2504" s="453"/>
      <c r="I2504" s="453"/>
      <c r="J2504" s="453"/>
    </row>
    <row r="2505" spans="1:10" ht="13.5" customHeight="1" thickTop="1" x14ac:dyDescent="0.25">
      <c r="A2505" s="1"/>
      <c r="B2505" s="50"/>
      <c r="C2505" s="50"/>
      <c r="D2505" s="440"/>
      <c r="E2505" s="440"/>
      <c r="F2505" s="468"/>
      <c r="G2505" s="440"/>
      <c r="H2505" s="440"/>
      <c r="I2505" s="440"/>
      <c r="J2505" s="437"/>
    </row>
    <row r="2506" spans="1:10" ht="13.5" customHeight="1" x14ac:dyDescent="0.25">
      <c r="A2506" s="1"/>
      <c r="B2506" s="50"/>
      <c r="C2506" s="50"/>
      <c r="D2506" s="440"/>
      <c r="E2506" s="440"/>
      <c r="F2506" s="468"/>
      <c r="G2506" s="440"/>
      <c r="H2506" s="440"/>
      <c r="I2506" s="440"/>
      <c r="J2506" s="437"/>
    </row>
    <row r="2507" spans="1:10" ht="15.6" customHeight="1" x14ac:dyDescent="0.25">
      <c r="A2507" s="1"/>
      <c r="B2507" s="50" t="s">
        <v>2247</v>
      </c>
      <c r="C2507" s="50" t="s">
        <v>2248</v>
      </c>
      <c r="D2507" s="440"/>
      <c r="E2507" s="440"/>
      <c r="F2507" s="468"/>
      <c r="G2507" s="440"/>
      <c r="H2507" s="440"/>
      <c r="I2507" s="440"/>
      <c r="J2507" s="437"/>
    </row>
    <row r="2508" spans="1:10" ht="13.5" customHeight="1" x14ac:dyDescent="0.25">
      <c r="A2508" s="1"/>
      <c r="B2508" s="1"/>
      <c r="C2508" s="1"/>
      <c r="D2508" s="440"/>
      <c r="E2508" s="440"/>
      <c r="F2508" s="468"/>
      <c r="G2508" s="440"/>
      <c r="H2508" s="440"/>
      <c r="I2508" s="440"/>
      <c r="J2508" s="437"/>
    </row>
    <row r="2509" spans="1:10" ht="13.5" customHeight="1" x14ac:dyDescent="0.25">
      <c r="A2509" s="39" t="s">
        <v>13</v>
      </c>
      <c r="B2509" s="1"/>
      <c r="C2509" s="1"/>
      <c r="D2509" s="440"/>
      <c r="E2509" s="440"/>
      <c r="F2509" s="468"/>
      <c r="G2509" s="440"/>
      <c r="H2509" s="440"/>
      <c r="I2509" s="440"/>
      <c r="J2509" s="437"/>
    </row>
    <row r="2510" spans="1:10" ht="13.5" customHeight="1" x14ac:dyDescent="0.25">
      <c r="A2510" s="1"/>
      <c r="B2510" s="1" t="s">
        <v>2249</v>
      </c>
      <c r="C2510" s="1" t="s">
        <v>2250</v>
      </c>
      <c r="D2510" s="437">
        <v>-2000</v>
      </c>
      <c r="E2510" s="437">
        <v>-1075</v>
      </c>
      <c r="F2510" s="466"/>
      <c r="G2510" s="437">
        <v>-2000</v>
      </c>
      <c r="H2510" s="437">
        <v>-650</v>
      </c>
      <c r="I2510" s="437">
        <v>-6575</v>
      </c>
      <c r="J2510" s="437">
        <v>-725</v>
      </c>
    </row>
    <row r="2511" spans="1:10" ht="13.5" customHeight="1" thickBot="1" x14ac:dyDescent="0.3">
      <c r="A2511" s="1"/>
      <c r="B2511" s="1"/>
      <c r="C2511" s="39" t="s">
        <v>2251</v>
      </c>
      <c r="D2511" s="451">
        <v>-2000</v>
      </c>
      <c r="E2511" s="451">
        <f t="shared" ref="E2511" si="921">SUM(E2510)</f>
        <v>-1075</v>
      </c>
      <c r="F2511" s="478"/>
      <c r="G2511" s="451">
        <v>-2000</v>
      </c>
      <c r="H2511" s="451">
        <f>SUM(H2510)</f>
        <v>-650</v>
      </c>
      <c r="I2511" s="451">
        <f>SUM(I2510)</f>
        <v>-6575</v>
      </c>
      <c r="J2511" s="451">
        <f t="shared" ref="J2511" si="922">SUM(J2510)</f>
        <v>-725</v>
      </c>
    </row>
    <row r="2512" spans="1:10" ht="13.5" customHeight="1" thickTop="1" x14ac:dyDescent="0.25">
      <c r="A2512" s="39" t="s">
        <v>1773</v>
      </c>
      <c r="B2512" s="1"/>
      <c r="C2512" s="1"/>
      <c r="D2512" s="437"/>
      <c r="E2512" s="437"/>
      <c r="F2512" s="466"/>
      <c r="G2512" s="437"/>
      <c r="H2512" s="437"/>
      <c r="I2512" s="437"/>
      <c r="J2512" s="437"/>
    </row>
    <row r="2513" spans="1:10" ht="13.5" customHeight="1" x14ac:dyDescent="0.25">
      <c r="A2513" s="1"/>
      <c r="B2513" s="1" t="s">
        <v>2252</v>
      </c>
      <c r="C2513" s="1" t="s">
        <v>267</v>
      </c>
      <c r="D2513" s="437">
        <v>500</v>
      </c>
      <c r="E2513" s="437"/>
      <c r="F2513" s="466"/>
      <c r="G2513" s="437">
        <v>500</v>
      </c>
      <c r="H2513" s="437">
        <v>0</v>
      </c>
      <c r="I2513" s="440">
        <v>192.04</v>
      </c>
      <c r="J2513" s="437">
        <v>225.87</v>
      </c>
    </row>
    <row r="2514" spans="1:10" ht="13.5" customHeight="1" x14ac:dyDescent="0.25">
      <c r="A2514" s="1"/>
      <c r="B2514" s="1" t="s">
        <v>2253</v>
      </c>
      <c r="C2514" s="1" t="s">
        <v>693</v>
      </c>
      <c r="D2514" s="437">
        <v>0</v>
      </c>
      <c r="E2514" s="437"/>
      <c r="F2514" s="466"/>
      <c r="G2514" s="437">
        <v>0</v>
      </c>
      <c r="H2514" s="437">
        <v>0</v>
      </c>
      <c r="I2514" s="440">
        <v>0</v>
      </c>
      <c r="J2514" s="440" t="s">
        <v>12</v>
      </c>
    </row>
    <row r="2515" spans="1:10" ht="13.5" customHeight="1" x14ac:dyDescent="0.25">
      <c r="A2515" s="1"/>
      <c r="B2515" s="1" t="s">
        <v>2254</v>
      </c>
      <c r="C2515" s="1" t="s">
        <v>279</v>
      </c>
      <c r="D2515" s="437">
        <v>1500</v>
      </c>
      <c r="E2515" s="437"/>
      <c r="F2515" s="466"/>
      <c r="G2515" s="437">
        <v>1500</v>
      </c>
      <c r="H2515" s="437">
        <v>0</v>
      </c>
      <c r="I2515" s="440">
        <v>0</v>
      </c>
      <c r="J2515" s="440">
        <v>0</v>
      </c>
    </row>
    <row r="2516" spans="1:10" ht="13.5" customHeight="1" x14ac:dyDescent="0.25">
      <c r="A2516" s="1"/>
      <c r="B2516" s="1" t="s">
        <v>2255</v>
      </c>
      <c r="C2516" s="1" t="s">
        <v>283</v>
      </c>
      <c r="D2516" s="437">
        <v>0</v>
      </c>
      <c r="E2516" s="437"/>
      <c r="F2516" s="466"/>
      <c r="G2516" s="437">
        <v>0</v>
      </c>
      <c r="H2516" s="437">
        <v>0</v>
      </c>
      <c r="I2516" s="437">
        <v>286.8</v>
      </c>
      <c r="J2516" s="440">
        <v>0</v>
      </c>
    </row>
    <row r="2517" spans="1:10" ht="13.5" customHeight="1" thickBot="1" x14ac:dyDescent="0.3">
      <c r="A2517" s="1"/>
      <c r="B2517" s="28"/>
      <c r="C2517" s="30" t="s">
        <v>2256</v>
      </c>
      <c r="D2517" s="453">
        <v>2000</v>
      </c>
      <c r="E2517" s="453">
        <f t="shared" ref="E2517" si="923">SUM(E2513:E2516)</f>
        <v>0</v>
      </c>
      <c r="F2517" s="479"/>
      <c r="G2517" s="453">
        <v>2000</v>
      </c>
      <c r="H2517" s="453">
        <f>SUM(H2513:H2516)</f>
        <v>0</v>
      </c>
      <c r="I2517" s="453">
        <f>SUM(I2513:I2516)</f>
        <v>478.84000000000003</v>
      </c>
      <c r="J2517" s="453">
        <f t="shared" ref="J2517" si="924">SUM(J2513:J2516)</f>
        <v>225.87</v>
      </c>
    </row>
    <row r="2518" spans="1:10" ht="13.5" customHeight="1" thickTop="1" x14ac:dyDescent="0.25">
      <c r="A2518" s="1"/>
      <c r="B2518" s="1"/>
      <c r="C2518" s="1"/>
      <c r="D2518" s="440"/>
      <c r="E2518" s="437"/>
      <c r="F2518" s="466"/>
      <c r="G2518" s="437"/>
      <c r="H2518" s="437"/>
      <c r="I2518" s="437"/>
      <c r="J2518" s="440"/>
    </row>
    <row r="2519" spans="1:10" ht="15.95" customHeight="1" x14ac:dyDescent="0.25">
      <c r="A2519" s="1"/>
      <c r="B2519" s="50" t="s">
        <v>2257</v>
      </c>
      <c r="C2519" s="50" t="s">
        <v>2258</v>
      </c>
      <c r="D2519" s="440"/>
      <c r="E2519" s="437"/>
      <c r="F2519" s="466"/>
      <c r="G2519" s="437"/>
      <c r="H2519" s="437"/>
      <c r="I2519" s="437"/>
      <c r="J2519" s="440"/>
    </row>
    <row r="2520" spans="1:10" ht="13.5" customHeight="1" x14ac:dyDescent="0.25">
      <c r="A2520" s="1"/>
      <c r="B2520" s="1"/>
      <c r="C2520" s="1"/>
      <c r="D2520" s="440"/>
      <c r="E2520" s="437"/>
      <c r="F2520" s="466"/>
      <c r="G2520" s="437"/>
      <c r="H2520" s="437"/>
      <c r="I2520" s="437"/>
      <c r="J2520" s="440"/>
    </row>
    <row r="2521" spans="1:10" ht="13.5" customHeight="1" x14ac:dyDescent="0.25">
      <c r="A2521" s="39" t="s">
        <v>13</v>
      </c>
      <c r="B2521" s="1"/>
      <c r="C2521" s="1"/>
      <c r="D2521" s="440"/>
      <c r="E2521" s="437"/>
      <c r="F2521" s="466"/>
      <c r="G2521" s="437"/>
      <c r="H2521" s="437"/>
      <c r="I2521" s="437"/>
      <c r="J2521" s="440"/>
    </row>
    <row r="2522" spans="1:10" ht="13.5" customHeight="1" x14ac:dyDescent="0.25">
      <c r="A2522" s="1"/>
      <c r="B2522" s="1" t="s">
        <v>2259</v>
      </c>
      <c r="C2522" s="1" t="s">
        <v>2260</v>
      </c>
      <c r="D2522" s="437">
        <v>-26000</v>
      </c>
      <c r="E2522" s="437">
        <v>-12438.35</v>
      </c>
      <c r="F2522" s="466"/>
      <c r="G2522" s="437">
        <v>-26000</v>
      </c>
      <c r="H2522" s="437">
        <v>-25690.9</v>
      </c>
      <c r="I2522" s="437">
        <v>-27027.33</v>
      </c>
      <c r="J2522" s="437">
        <v>-27123.61</v>
      </c>
    </row>
    <row r="2523" spans="1:10" ht="13.5" customHeight="1" thickBot="1" x14ac:dyDescent="0.3">
      <c r="A2523" s="1"/>
      <c r="B2523" s="1"/>
      <c r="C2523" s="39" t="s">
        <v>2261</v>
      </c>
      <c r="D2523" s="451">
        <v>-26000</v>
      </c>
      <c r="E2523" s="451">
        <f t="shared" ref="E2523" si="925">SUM(E2522)</f>
        <v>-12438.35</v>
      </c>
      <c r="F2523" s="478"/>
      <c r="G2523" s="451">
        <v>-26000</v>
      </c>
      <c r="H2523" s="451">
        <f>SUM(H2522)</f>
        <v>-25690.9</v>
      </c>
      <c r="I2523" s="451">
        <f>SUM(I2522)</f>
        <v>-27027.33</v>
      </c>
      <c r="J2523" s="451">
        <f t="shared" ref="J2523" si="926">SUM(J2522)</f>
        <v>-27123.61</v>
      </c>
    </row>
    <row r="2524" spans="1:10" ht="13.5" customHeight="1" thickTop="1" x14ac:dyDescent="0.25">
      <c r="A2524" s="39" t="s">
        <v>1773</v>
      </c>
      <c r="B2524" s="1"/>
      <c r="C2524" s="1"/>
      <c r="D2524" s="437"/>
      <c r="E2524" s="437"/>
      <c r="F2524" s="466"/>
      <c r="G2524" s="437"/>
      <c r="H2524" s="437"/>
      <c r="I2524" s="437"/>
      <c r="J2524" s="437"/>
    </row>
    <row r="2525" spans="1:10" ht="13.5" customHeight="1" x14ac:dyDescent="0.25">
      <c r="A2525" s="1"/>
      <c r="B2525" s="1" t="s">
        <v>2262</v>
      </c>
      <c r="C2525" s="1" t="s">
        <v>492</v>
      </c>
      <c r="D2525" s="437">
        <v>26000</v>
      </c>
      <c r="E2525" s="437">
        <v>11180.2</v>
      </c>
      <c r="F2525" s="466"/>
      <c r="G2525" s="437">
        <v>26000</v>
      </c>
      <c r="H2525" s="437">
        <v>27050.5</v>
      </c>
      <c r="I2525" s="437">
        <v>34733.47</v>
      </c>
      <c r="J2525" s="437">
        <v>32246.65</v>
      </c>
    </row>
    <row r="2526" spans="1:10" ht="13.5" customHeight="1" thickBot="1" x14ac:dyDescent="0.3">
      <c r="A2526" s="1"/>
      <c r="B2526" s="28"/>
      <c r="C2526" s="30" t="s">
        <v>2263</v>
      </c>
      <c r="D2526" s="451">
        <v>26000</v>
      </c>
      <c r="E2526" s="451">
        <f t="shared" ref="E2526" si="927">SUM(E2525)</f>
        <v>11180.2</v>
      </c>
      <c r="F2526" s="478"/>
      <c r="G2526" s="451">
        <v>26000</v>
      </c>
      <c r="H2526" s="451">
        <f>SUM(H2525)</f>
        <v>27050.5</v>
      </c>
      <c r="I2526" s="451">
        <f>SUM(I2525)</f>
        <v>34733.47</v>
      </c>
      <c r="J2526" s="451">
        <f t="shared" ref="J2526" si="928">SUM(J2525)</f>
        <v>32246.65</v>
      </c>
    </row>
    <row r="2527" spans="1:10" ht="13.5" customHeight="1" thickTop="1" x14ac:dyDescent="0.25">
      <c r="A2527" s="1"/>
      <c r="B2527" s="1"/>
      <c r="C2527" s="39"/>
      <c r="D2527" s="437"/>
      <c r="E2527" s="437"/>
      <c r="F2527" s="466"/>
      <c r="G2527" s="437"/>
      <c r="H2527" s="437"/>
      <c r="I2527" s="437"/>
      <c r="J2527" s="437"/>
    </row>
    <row r="2528" spans="1:10" ht="13.5" customHeight="1" x14ac:dyDescent="0.25">
      <c r="A2528" s="1"/>
      <c r="B2528" s="1"/>
      <c r="C2528" s="39"/>
      <c r="D2528" s="440"/>
      <c r="E2528" s="440"/>
      <c r="F2528" s="468"/>
      <c r="G2528" s="440"/>
      <c r="H2528" s="440"/>
      <c r="I2528" s="440"/>
      <c r="J2528" s="440"/>
    </row>
    <row r="2529" spans="1:10" ht="15.6" customHeight="1" x14ac:dyDescent="0.25">
      <c r="A2529" s="1"/>
      <c r="B2529" s="52" t="s">
        <v>2264</v>
      </c>
      <c r="C2529" s="52" t="s">
        <v>2265</v>
      </c>
      <c r="D2529" s="440"/>
      <c r="E2529" s="437"/>
      <c r="F2529" s="466"/>
      <c r="G2529" s="437"/>
      <c r="H2529" s="437"/>
      <c r="I2529" s="437"/>
      <c r="J2529" s="440"/>
    </row>
    <row r="2530" spans="1:10" ht="13.5" customHeight="1" x14ac:dyDescent="0.25">
      <c r="A2530" s="1"/>
      <c r="B2530" s="1"/>
      <c r="C2530" s="1"/>
      <c r="D2530" s="440"/>
      <c r="E2530" s="437"/>
      <c r="F2530" s="466"/>
      <c r="G2530" s="437"/>
      <c r="H2530" s="437"/>
      <c r="I2530" s="437"/>
      <c r="J2530" s="440"/>
    </row>
    <row r="2531" spans="1:10" ht="13.5" customHeight="1" x14ac:dyDescent="0.25">
      <c r="A2531" s="39" t="s">
        <v>13</v>
      </c>
      <c r="B2531" s="1"/>
      <c r="C2531" s="1"/>
      <c r="D2531" s="440"/>
      <c r="E2531" s="437"/>
      <c r="F2531" s="466"/>
      <c r="G2531" s="437"/>
      <c r="H2531" s="437"/>
      <c r="I2531" s="437"/>
      <c r="J2531" s="440"/>
    </row>
    <row r="2532" spans="1:10" ht="13.5" customHeight="1" x14ac:dyDescent="0.25">
      <c r="A2532" s="1"/>
      <c r="B2532" s="22" t="s">
        <v>2266</v>
      </c>
      <c r="C2532" s="22" t="s">
        <v>2267</v>
      </c>
      <c r="D2532" s="437">
        <v>-26000</v>
      </c>
      <c r="E2532" s="437">
        <v>-8035346</v>
      </c>
      <c r="F2532" s="466"/>
      <c r="G2532" s="437">
        <v>0</v>
      </c>
      <c r="H2532" s="437">
        <v>0</v>
      </c>
      <c r="I2532" s="437">
        <v>0</v>
      </c>
      <c r="J2532" s="437">
        <v>0</v>
      </c>
    </row>
    <row r="2533" spans="1:10" ht="13.5" customHeight="1" thickBot="1" x14ac:dyDescent="0.3">
      <c r="A2533" s="1"/>
      <c r="B2533" s="1"/>
      <c r="C2533" s="48" t="s">
        <v>2268</v>
      </c>
      <c r="D2533" s="451">
        <v>-26000</v>
      </c>
      <c r="E2533" s="451">
        <f t="shared" ref="E2533" si="929">SUM(E2532)</f>
        <v>-8035346</v>
      </c>
      <c r="F2533" s="478"/>
      <c r="G2533" s="451">
        <f>SUM(G2532)</f>
        <v>0</v>
      </c>
      <c r="H2533" s="451">
        <f>SUM(H2532)</f>
        <v>0</v>
      </c>
      <c r="I2533" s="451">
        <f>SUM(I2532)</f>
        <v>0</v>
      </c>
      <c r="J2533" s="451">
        <f t="shared" ref="J2533" si="930">SUM(J2532)</f>
        <v>0</v>
      </c>
    </row>
    <row r="2534" spans="1:10" ht="13.5" customHeight="1" thickTop="1" x14ac:dyDescent="0.25">
      <c r="A2534" s="39" t="s">
        <v>1773</v>
      </c>
      <c r="B2534" s="1"/>
      <c r="C2534" s="1"/>
      <c r="D2534" s="437"/>
      <c r="E2534" s="437"/>
      <c r="F2534" s="466"/>
      <c r="G2534" s="437"/>
      <c r="H2534" s="437"/>
      <c r="I2534" s="437"/>
      <c r="J2534" s="437"/>
    </row>
    <row r="2535" spans="1:10" ht="13.5" customHeight="1" x14ac:dyDescent="0.25">
      <c r="A2535" s="1"/>
      <c r="B2535" s="22" t="s">
        <v>2269</v>
      </c>
      <c r="C2535" s="22" t="s">
        <v>279</v>
      </c>
      <c r="D2535" s="437">
        <v>26000</v>
      </c>
      <c r="E2535" s="437">
        <v>0</v>
      </c>
      <c r="F2535" s="466">
        <v>0</v>
      </c>
      <c r="G2535" s="437">
        <v>0</v>
      </c>
      <c r="H2535" s="437">
        <v>0</v>
      </c>
      <c r="I2535" s="437">
        <v>0</v>
      </c>
      <c r="J2535" s="437">
        <v>0</v>
      </c>
    </row>
    <row r="2536" spans="1:10" ht="13.5" customHeight="1" thickBot="1" x14ac:dyDescent="0.3">
      <c r="A2536" s="1"/>
      <c r="B2536" s="28"/>
      <c r="C2536" s="53" t="s">
        <v>2270</v>
      </c>
      <c r="D2536" s="451">
        <v>26000</v>
      </c>
      <c r="E2536" s="451">
        <f t="shared" ref="E2536" si="931">SUM(E2535)</f>
        <v>0</v>
      </c>
      <c r="F2536" s="478"/>
      <c r="G2536" s="451">
        <f>SUM(G2535)</f>
        <v>0</v>
      </c>
      <c r="H2536" s="451">
        <f>SUM(H2535)</f>
        <v>0</v>
      </c>
      <c r="I2536" s="451">
        <f>SUM(I2535)</f>
        <v>0</v>
      </c>
      <c r="J2536" s="451">
        <f t="shared" ref="J2536" si="932">SUM(J2535)</f>
        <v>0</v>
      </c>
    </row>
    <row r="2537" spans="1:10" ht="13.5" customHeight="1" thickTop="1" x14ac:dyDescent="0.25">
      <c r="A2537" s="1"/>
      <c r="B2537" s="1"/>
      <c r="C2537" s="39"/>
      <c r="D2537" s="437"/>
      <c r="E2537" s="437"/>
      <c r="F2537" s="466"/>
      <c r="G2537" s="437"/>
      <c r="H2537" s="437"/>
      <c r="I2537" s="437"/>
      <c r="J2537" s="437"/>
    </row>
    <row r="2538" spans="1:10" ht="13.5" customHeight="1" x14ac:dyDescent="0.25">
      <c r="A2538" s="1"/>
      <c r="B2538" s="1"/>
      <c r="C2538" s="39"/>
      <c r="D2538" s="440"/>
      <c r="E2538" s="440"/>
      <c r="F2538" s="468"/>
      <c r="G2538" s="440"/>
      <c r="H2538" s="440"/>
      <c r="I2538" s="440"/>
      <c r="J2538" s="440"/>
    </row>
    <row r="2539" spans="1:10" ht="19.5" customHeight="1" x14ac:dyDescent="0.25">
      <c r="A2539" s="1"/>
      <c r="B2539" s="50" t="s">
        <v>2271</v>
      </c>
      <c r="C2539" s="50" t="s">
        <v>2272</v>
      </c>
      <c r="D2539" s="440"/>
      <c r="E2539" s="440"/>
      <c r="F2539" s="468"/>
      <c r="G2539" s="440"/>
      <c r="H2539" s="440"/>
      <c r="I2539" s="440"/>
      <c r="J2539" s="440"/>
    </row>
    <row r="2540" spans="1:10" ht="13.5" customHeight="1" x14ac:dyDescent="0.25">
      <c r="A2540" s="1"/>
      <c r="B2540" s="1"/>
      <c r="C2540" s="1"/>
      <c r="D2540" s="440"/>
      <c r="E2540" s="440"/>
      <c r="F2540" s="468"/>
      <c r="G2540" s="440"/>
      <c r="H2540" s="440"/>
      <c r="I2540" s="440"/>
      <c r="J2540" s="440"/>
    </row>
    <row r="2541" spans="1:10" ht="13.5" customHeight="1" x14ac:dyDescent="0.25">
      <c r="A2541" s="14" t="s">
        <v>13</v>
      </c>
      <c r="B2541" s="1"/>
      <c r="C2541" s="1"/>
      <c r="D2541" s="440"/>
      <c r="E2541" s="440"/>
      <c r="F2541" s="468"/>
      <c r="G2541" s="440"/>
      <c r="H2541" s="440"/>
      <c r="I2541" s="440"/>
      <c r="J2541" s="440"/>
    </row>
    <row r="2542" spans="1:10" ht="13.5" customHeight="1" x14ac:dyDescent="0.25">
      <c r="A2542" s="1"/>
      <c r="B2542" s="1" t="s">
        <v>2273</v>
      </c>
      <c r="C2542" s="1" t="s">
        <v>1881</v>
      </c>
      <c r="D2542" s="437">
        <v>-10000</v>
      </c>
      <c r="E2542" s="437"/>
      <c r="F2542" s="466"/>
      <c r="G2542" s="437">
        <v>-10000</v>
      </c>
      <c r="H2542" s="437">
        <v>-8000</v>
      </c>
      <c r="I2542" s="437">
        <v>-13500</v>
      </c>
      <c r="J2542" s="437">
        <v>-23500</v>
      </c>
    </row>
    <row r="2543" spans="1:10" ht="13.5" customHeight="1" x14ac:dyDescent="0.25">
      <c r="A2543" s="1"/>
      <c r="B2543" s="1" t="s">
        <v>2274</v>
      </c>
      <c r="C2543" s="1" t="s">
        <v>2275</v>
      </c>
      <c r="D2543" s="437">
        <v>-50000</v>
      </c>
      <c r="E2543" s="437">
        <v>-13300</v>
      </c>
      <c r="F2543" s="466"/>
      <c r="G2543" s="437">
        <v>-50000</v>
      </c>
      <c r="H2543" s="437">
        <v>-26100</v>
      </c>
      <c r="I2543" s="437">
        <v>-52749</v>
      </c>
      <c r="J2543" s="437">
        <v>-51475</v>
      </c>
    </row>
    <row r="2544" spans="1:10" ht="13.5" customHeight="1" x14ac:dyDescent="0.25">
      <c r="A2544" s="1"/>
      <c r="B2544" s="1" t="s">
        <v>2276</v>
      </c>
      <c r="C2544" s="1" t="s">
        <v>2277</v>
      </c>
      <c r="D2544" s="437">
        <v>-9000</v>
      </c>
      <c r="E2544" s="437">
        <v>-2950</v>
      </c>
      <c r="F2544" s="466"/>
      <c r="G2544" s="437">
        <v>-9000</v>
      </c>
      <c r="H2544" s="437">
        <v>-3750</v>
      </c>
      <c r="I2544" s="437">
        <v>-4157</v>
      </c>
      <c r="J2544" s="437">
        <v>-5420</v>
      </c>
    </row>
    <row r="2545" spans="1:10" ht="13.5" customHeight="1" x14ac:dyDescent="0.25">
      <c r="A2545" s="1"/>
      <c r="B2545" s="1" t="s">
        <v>2278</v>
      </c>
      <c r="C2545" s="1" t="s">
        <v>2279</v>
      </c>
      <c r="D2545" s="437">
        <v>0</v>
      </c>
      <c r="E2545" s="437"/>
      <c r="F2545" s="466"/>
      <c r="G2545" s="437">
        <v>0</v>
      </c>
      <c r="H2545" s="437">
        <v>0</v>
      </c>
      <c r="I2545" s="440">
        <v>0</v>
      </c>
      <c r="J2545" s="437">
        <v>-650</v>
      </c>
    </row>
    <row r="2546" spans="1:10" ht="13.5" customHeight="1" x14ac:dyDescent="0.25">
      <c r="A2546" s="1"/>
      <c r="B2546" s="1" t="s">
        <v>2280</v>
      </c>
      <c r="C2546" s="1" t="s">
        <v>2281</v>
      </c>
      <c r="D2546" s="437">
        <v>-28000</v>
      </c>
      <c r="E2546" s="437">
        <v>-13513</v>
      </c>
      <c r="F2546" s="466"/>
      <c r="G2546" s="437">
        <v>-28500</v>
      </c>
      <c r="H2546" s="437">
        <v>-29706</v>
      </c>
      <c r="I2546" s="437">
        <v>-30569</v>
      </c>
      <c r="J2546" s="437">
        <v>-29068</v>
      </c>
    </row>
    <row r="2547" spans="1:10" ht="13.5" customHeight="1" x14ac:dyDescent="0.25">
      <c r="A2547" s="1"/>
      <c r="B2547" s="1" t="s">
        <v>2282</v>
      </c>
      <c r="C2547" s="1" t="s">
        <v>2283</v>
      </c>
      <c r="D2547" s="437">
        <v>-85000</v>
      </c>
      <c r="E2547" s="437">
        <v>-32965</v>
      </c>
      <c r="F2547" s="466"/>
      <c r="G2547" s="437">
        <v>-85000</v>
      </c>
      <c r="H2547" s="437">
        <v>-102297</v>
      </c>
      <c r="I2547" s="437">
        <v>-93343</v>
      </c>
      <c r="J2547" s="437">
        <v>-88408</v>
      </c>
    </row>
    <row r="2548" spans="1:10" ht="13.5" customHeight="1" x14ac:dyDescent="0.25">
      <c r="A2548" s="1"/>
      <c r="B2548" s="1" t="s">
        <v>2284</v>
      </c>
      <c r="C2548" s="1" t="s">
        <v>2285</v>
      </c>
      <c r="D2548" s="437">
        <v>0</v>
      </c>
      <c r="E2548" s="437">
        <v>0</v>
      </c>
      <c r="F2548" s="466"/>
      <c r="G2548" s="437">
        <v>0</v>
      </c>
      <c r="H2548" s="437">
        <v>0</v>
      </c>
      <c r="I2548" s="440">
        <v>0</v>
      </c>
      <c r="J2548" s="440">
        <v>0</v>
      </c>
    </row>
    <row r="2549" spans="1:10" ht="13.5" customHeight="1" x14ac:dyDescent="0.25">
      <c r="A2549" s="1"/>
      <c r="B2549" s="1" t="s">
        <v>2286</v>
      </c>
      <c r="C2549" s="1" t="s">
        <v>2287</v>
      </c>
      <c r="D2549" s="437">
        <v>-1500</v>
      </c>
      <c r="E2549" s="437">
        <v>-1500</v>
      </c>
      <c r="F2549" s="466"/>
      <c r="G2549" s="437">
        <v>-1500</v>
      </c>
      <c r="H2549" s="437">
        <v>-250</v>
      </c>
      <c r="I2549" s="439">
        <v>-1000</v>
      </c>
      <c r="J2549" s="437">
        <v>-1000</v>
      </c>
    </row>
    <row r="2550" spans="1:10" ht="13.5" customHeight="1" x14ac:dyDescent="0.25">
      <c r="A2550" s="1"/>
      <c r="B2550" s="1" t="s">
        <v>2288</v>
      </c>
      <c r="C2550" s="1" t="s">
        <v>2289</v>
      </c>
      <c r="D2550" s="437">
        <v>-4000</v>
      </c>
      <c r="E2550" s="437">
        <v>0</v>
      </c>
      <c r="F2550" s="466"/>
      <c r="G2550" s="437">
        <v>-4000</v>
      </c>
      <c r="H2550" s="437">
        <v>-1575</v>
      </c>
      <c r="I2550" s="437">
        <v>-4950</v>
      </c>
      <c r="J2550" s="437">
        <v>-2565</v>
      </c>
    </row>
    <row r="2551" spans="1:10" ht="13.5" customHeight="1" x14ac:dyDescent="0.25">
      <c r="A2551" s="1"/>
      <c r="B2551" s="1" t="s">
        <v>2290</v>
      </c>
      <c r="C2551" s="1" t="s">
        <v>2291</v>
      </c>
      <c r="D2551" s="437">
        <v>-50000</v>
      </c>
      <c r="E2551" s="437">
        <v>-22557.78</v>
      </c>
      <c r="F2551" s="466"/>
      <c r="G2551" s="437">
        <v>-50000</v>
      </c>
      <c r="H2551" s="437">
        <v>-44105</v>
      </c>
      <c r="I2551" s="437">
        <v>-51455</v>
      </c>
      <c r="J2551" s="437">
        <v>-50136.5</v>
      </c>
    </row>
    <row r="2552" spans="1:10" ht="13.5" customHeight="1" x14ac:dyDescent="0.25">
      <c r="A2552" s="1"/>
      <c r="B2552" s="1" t="s">
        <v>2292</v>
      </c>
      <c r="C2552" s="1" t="s">
        <v>225</v>
      </c>
      <c r="D2552" s="437">
        <v>-2000</v>
      </c>
      <c r="E2552" s="437">
        <v>-4450</v>
      </c>
      <c r="F2552" s="466"/>
      <c r="G2552" s="437">
        <v>-2000</v>
      </c>
      <c r="H2552" s="437">
        <v>-280</v>
      </c>
      <c r="I2552" s="440">
        <v>0</v>
      </c>
      <c r="J2552" s="437">
        <v>-20</v>
      </c>
    </row>
    <row r="2553" spans="1:10" ht="13.5" customHeight="1" x14ac:dyDescent="0.25">
      <c r="A2553" s="1"/>
      <c r="B2553" s="1" t="s">
        <v>2293</v>
      </c>
      <c r="C2553" s="1" t="s">
        <v>1838</v>
      </c>
      <c r="D2553" s="437">
        <v>-177940</v>
      </c>
      <c r="E2553" s="437">
        <v>-75000</v>
      </c>
      <c r="F2553" s="466"/>
      <c r="G2553" s="437">
        <v>-116268.04</v>
      </c>
      <c r="H2553" s="437">
        <v>-106056.35</v>
      </c>
      <c r="I2553" s="437">
        <v>-67958.149999999994</v>
      </c>
      <c r="J2553" s="437">
        <v>-39633.39</v>
      </c>
    </row>
    <row r="2554" spans="1:10" ht="13.5" customHeight="1" thickBot="1" x14ac:dyDescent="0.3">
      <c r="A2554" s="1"/>
      <c r="B2554" s="1"/>
      <c r="C2554" s="39" t="s">
        <v>2294</v>
      </c>
      <c r="D2554" s="451">
        <v>-417440</v>
      </c>
      <c r="E2554" s="451">
        <f t="shared" ref="E2554" si="933">SUM(E2542:E2553)</f>
        <v>-166235.78</v>
      </c>
      <c r="F2554" s="478"/>
      <c r="G2554" s="451">
        <v>-354137.5</v>
      </c>
      <c r="H2554" s="451">
        <f>SUM(H2542:H2553)</f>
        <v>-322119.34999999998</v>
      </c>
      <c r="I2554" s="451">
        <f>SUM(I2542:I2553)</f>
        <v>-319681.15000000002</v>
      </c>
      <c r="J2554" s="451">
        <f t="shared" ref="J2554" si="934">SUM(J2542:J2553)</f>
        <v>-291875.89</v>
      </c>
    </row>
    <row r="2555" spans="1:10" ht="13.5" customHeight="1" thickTop="1" x14ac:dyDescent="0.25">
      <c r="A2555" s="1"/>
      <c r="B2555" s="1"/>
      <c r="C2555" s="1"/>
      <c r="D2555" s="437"/>
      <c r="E2555" s="437"/>
      <c r="F2555" s="466"/>
      <c r="G2555" s="437"/>
      <c r="H2555" s="437"/>
      <c r="I2555" s="437"/>
      <c r="J2555" s="437"/>
    </row>
    <row r="2556" spans="1:10" ht="13.5" customHeight="1" x14ac:dyDescent="0.25">
      <c r="A2556" s="39" t="s">
        <v>1773</v>
      </c>
      <c r="B2556" s="1"/>
      <c r="C2556" s="1"/>
      <c r="D2556" s="437"/>
      <c r="E2556" s="437"/>
      <c r="F2556" s="466"/>
      <c r="G2556" s="437"/>
      <c r="H2556" s="437"/>
      <c r="I2556" s="437"/>
      <c r="J2556" s="437"/>
    </row>
    <row r="2557" spans="1:10" ht="13.5" customHeight="1" x14ac:dyDescent="0.25">
      <c r="A2557" s="1"/>
      <c r="B2557" s="1" t="s">
        <v>2295</v>
      </c>
      <c r="C2557" s="1" t="s">
        <v>439</v>
      </c>
      <c r="D2557" s="437">
        <v>175363</v>
      </c>
      <c r="E2557" s="437">
        <v>51610.559999999998</v>
      </c>
      <c r="F2557" s="466"/>
      <c r="G2557" s="437">
        <v>135856.07999999999</v>
      </c>
      <c r="H2557" s="437">
        <v>137332.49</v>
      </c>
      <c r="I2557" s="437">
        <v>112114.03</v>
      </c>
      <c r="J2557" s="437">
        <v>90711.48</v>
      </c>
    </row>
    <row r="2558" spans="1:10" ht="13.5" customHeight="1" x14ac:dyDescent="0.25">
      <c r="A2558" s="1"/>
      <c r="B2558" s="1" t="s">
        <v>2296</v>
      </c>
      <c r="C2558" s="1" t="s">
        <v>441</v>
      </c>
      <c r="D2558" s="437">
        <v>21000</v>
      </c>
      <c r="E2558" s="437">
        <v>19294.560000000001</v>
      </c>
      <c r="F2558" s="466"/>
      <c r="G2558" s="437">
        <v>21000</v>
      </c>
      <c r="H2558" s="437">
        <v>16275.8</v>
      </c>
      <c r="I2558" s="437">
        <v>19554.45</v>
      </c>
      <c r="J2558" s="437">
        <v>24564.5</v>
      </c>
    </row>
    <row r="2559" spans="1:10" ht="13.5" customHeight="1" x14ac:dyDescent="0.25">
      <c r="A2559" s="1"/>
      <c r="B2559" s="1" t="s">
        <v>2297</v>
      </c>
      <c r="C2559" s="1" t="s">
        <v>443</v>
      </c>
      <c r="D2559" s="437">
        <v>0</v>
      </c>
      <c r="E2559" s="437"/>
      <c r="F2559" s="466"/>
      <c r="G2559" s="437">
        <v>0</v>
      </c>
      <c r="H2559" s="437">
        <v>0</v>
      </c>
      <c r="I2559" s="437">
        <v>5897.97</v>
      </c>
      <c r="J2559" s="437">
        <v>5555.84</v>
      </c>
    </row>
    <row r="2560" spans="1:10" ht="13.5" customHeight="1" x14ac:dyDescent="0.25">
      <c r="A2560" s="1"/>
      <c r="B2560" s="1" t="s">
        <v>2298</v>
      </c>
      <c r="C2560" s="1" t="s">
        <v>2299</v>
      </c>
      <c r="D2560" s="437">
        <v>0</v>
      </c>
      <c r="E2560" s="437"/>
      <c r="F2560" s="466"/>
      <c r="G2560" s="437">
        <v>0</v>
      </c>
      <c r="H2560" s="437">
        <v>0</v>
      </c>
      <c r="I2560" s="440" t="s">
        <v>12</v>
      </c>
      <c r="J2560" s="437"/>
    </row>
    <row r="2561" spans="1:10" ht="13.5" customHeight="1" x14ac:dyDescent="0.25">
      <c r="A2561" s="1"/>
      <c r="B2561" s="1" t="s">
        <v>2300</v>
      </c>
      <c r="C2561" s="1" t="s">
        <v>251</v>
      </c>
      <c r="D2561" s="437">
        <v>3692</v>
      </c>
      <c r="E2561" s="437">
        <v>23496.38</v>
      </c>
      <c r="F2561" s="466"/>
      <c r="G2561" s="437">
        <v>2000</v>
      </c>
      <c r="H2561" s="437">
        <f>321.43+8591.08</f>
        <v>8912.51</v>
      </c>
      <c r="I2561" s="437">
        <v>1921.51</v>
      </c>
      <c r="J2561" s="437">
        <f>1959.72+178.2</f>
        <v>2137.92</v>
      </c>
    </row>
    <row r="2562" spans="1:10" ht="13.5" customHeight="1" x14ac:dyDescent="0.25">
      <c r="A2562" s="1"/>
      <c r="B2562" s="1"/>
      <c r="C2562" s="1"/>
      <c r="D2562" s="438">
        <v>200055</v>
      </c>
      <c r="E2562" s="438">
        <f t="shared" ref="E2562" si="935">SUM(E2557:E2561)</f>
        <v>94401.5</v>
      </c>
      <c r="F2562" s="467"/>
      <c r="G2562" s="438">
        <v>158856.07999999999</v>
      </c>
      <c r="H2562" s="438">
        <f>SUM(H2557:H2561)</f>
        <v>162520.79999999999</v>
      </c>
      <c r="I2562" s="438">
        <f>SUM(I2557:I2561)</f>
        <v>139487.96000000002</v>
      </c>
      <c r="J2562" s="438">
        <f t="shared" ref="J2562" si="936">SUM(J2557:J2561)</f>
        <v>122969.73999999999</v>
      </c>
    </row>
    <row r="2563" spans="1:10" ht="13.5" customHeight="1" x14ac:dyDescent="0.25">
      <c r="A2563" s="1"/>
      <c r="B2563" s="1"/>
      <c r="C2563" s="1"/>
      <c r="D2563" s="437"/>
      <c r="E2563" s="437"/>
      <c r="F2563" s="466"/>
      <c r="G2563" s="437"/>
      <c r="H2563" s="437"/>
      <c r="I2563" s="437"/>
      <c r="J2563" s="437"/>
    </row>
    <row r="2564" spans="1:10" ht="13.5" customHeight="1" x14ac:dyDescent="0.25">
      <c r="A2564" s="1"/>
      <c r="B2564" s="1" t="s">
        <v>2301</v>
      </c>
      <c r="C2564" s="1" t="s">
        <v>257</v>
      </c>
      <c r="D2564" s="437">
        <v>15875</v>
      </c>
      <c r="E2564" s="437">
        <v>7088.26</v>
      </c>
      <c r="F2564" s="466"/>
      <c r="G2564" s="437">
        <v>12852</v>
      </c>
      <c r="H2564" s="437">
        <v>12301.3</v>
      </c>
      <c r="I2564" s="437">
        <v>10490.05</v>
      </c>
      <c r="J2564" s="437">
        <v>9231.93</v>
      </c>
    </row>
    <row r="2565" spans="1:10" ht="13.5" customHeight="1" x14ac:dyDescent="0.25">
      <c r="A2565" s="1"/>
      <c r="B2565" s="1" t="s">
        <v>2302</v>
      </c>
      <c r="C2565" s="1" t="s">
        <v>259</v>
      </c>
      <c r="D2565" s="437">
        <v>41844</v>
      </c>
      <c r="E2565" s="437">
        <v>9638.5400000000009</v>
      </c>
      <c r="F2565" s="466"/>
      <c r="G2565" s="437">
        <v>31390.3</v>
      </c>
      <c r="H2565" s="437">
        <v>29543.18</v>
      </c>
      <c r="I2565" s="437">
        <v>23780.05</v>
      </c>
      <c r="J2565" s="437">
        <v>20280</v>
      </c>
    </row>
    <row r="2566" spans="1:10" ht="13.5" customHeight="1" x14ac:dyDescent="0.25">
      <c r="A2566" s="1"/>
      <c r="B2566" s="1" t="s">
        <v>2303</v>
      </c>
      <c r="C2566" s="1" t="s">
        <v>261</v>
      </c>
      <c r="D2566" s="437">
        <v>31167.501200000002</v>
      </c>
      <c r="E2566" s="437">
        <v>14180.27</v>
      </c>
      <c r="F2566" s="466"/>
      <c r="G2566" s="437">
        <v>25233.599999999999</v>
      </c>
      <c r="H2566" s="437">
        <v>25781.32</v>
      </c>
      <c r="I2566" s="437">
        <v>21657.67</v>
      </c>
      <c r="J2566" s="437">
        <v>18516.099999999999</v>
      </c>
    </row>
    <row r="2567" spans="1:10" ht="13.5" customHeight="1" x14ac:dyDescent="0.25">
      <c r="A2567" s="1"/>
      <c r="B2567" s="1" t="s">
        <v>2304</v>
      </c>
      <c r="C2567" s="1" t="s">
        <v>293</v>
      </c>
      <c r="D2567" s="437">
        <v>2282</v>
      </c>
      <c r="E2567" s="437">
        <v>1188</v>
      </c>
      <c r="F2567" s="466"/>
      <c r="G2567" s="437">
        <v>2282</v>
      </c>
      <c r="H2567" s="437">
        <v>2152</v>
      </c>
      <c r="I2567" s="437">
        <v>2073.92</v>
      </c>
      <c r="J2567" s="437">
        <v>1837.8</v>
      </c>
    </row>
    <row r="2568" spans="1:10" ht="13.5" customHeight="1" x14ac:dyDescent="0.25">
      <c r="A2568" s="1"/>
      <c r="B2568" s="1" t="s">
        <v>2305</v>
      </c>
      <c r="C2568" s="1" t="s">
        <v>263</v>
      </c>
      <c r="D2568" s="437">
        <v>332</v>
      </c>
      <c r="E2568" s="437">
        <v>151.06</v>
      </c>
      <c r="F2568" s="466"/>
      <c r="G2568" s="437">
        <v>268.8</v>
      </c>
      <c r="H2568" s="437">
        <v>274.64</v>
      </c>
      <c r="I2568" s="437">
        <v>238.4</v>
      </c>
      <c r="J2568" s="437">
        <v>233.85</v>
      </c>
    </row>
    <row r="2569" spans="1:10" ht="13.5" customHeight="1" x14ac:dyDescent="0.25">
      <c r="A2569" s="1"/>
      <c r="B2569" s="1" t="s">
        <v>2306</v>
      </c>
      <c r="C2569" s="1" t="s">
        <v>295</v>
      </c>
      <c r="D2569" s="437">
        <v>124.50359999999999</v>
      </c>
      <c r="E2569" s="437">
        <v>23.62</v>
      </c>
      <c r="F2569" s="466"/>
      <c r="G2569" s="437">
        <v>100.8</v>
      </c>
      <c r="H2569" s="437">
        <v>119.42</v>
      </c>
      <c r="I2569" s="437">
        <v>133.07</v>
      </c>
      <c r="J2569" s="437">
        <v>144.85</v>
      </c>
    </row>
    <row r="2570" spans="1:10" ht="13.5" customHeight="1" x14ac:dyDescent="0.25">
      <c r="A2570" s="1"/>
      <c r="B2570" s="1" t="s">
        <v>2307</v>
      </c>
      <c r="C2570" s="1" t="s">
        <v>265</v>
      </c>
      <c r="D2570" s="437">
        <v>1500</v>
      </c>
      <c r="E2570" s="437">
        <v>321.86</v>
      </c>
      <c r="F2570" s="466"/>
      <c r="G2570" s="437">
        <v>1053.3599999999999</v>
      </c>
      <c r="H2570" s="437">
        <v>953.44</v>
      </c>
      <c r="I2570" s="437">
        <v>757.32</v>
      </c>
      <c r="J2570" s="437">
        <v>626.48</v>
      </c>
    </row>
    <row r="2571" spans="1:10" ht="13.5" customHeight="1" x14ac:dyDescent="0.25">
      <c r="A2571" s="1"/>
      <c r="B2571" s="1" t="s">
        <v>2308</v>
      </c>
      <c r="C2571" s="22" t="s">
        <v>1431</v>
      </c>
      <c r="D2571" s="437">
        <v>9500</v>
      </c>
      <c r="E2571" s="437">
        <v>4226.9399999999996</v>
      </c>
      <c r="F2571" s="466"/>
      <c r="G2571" s="437">
        <v>9500</v>
      </c>
      <c r="H2571" s="437">
        <v>9499.8799999999992</v>
      </c>
      <c r="I2571" s="437">
        <v>9499.8799999999992</v>
      </c>
      <c r="J2571" s="437">
        <v>9499.8799999999992</v>
      </c>
    </row>
    <row r="2572" spans="1:10" ht="13.5" customHeight="1" x14ac:dyDescent="0.25">
      <c r="A2572" s="1"/>
      <c r="B2572" s="1"/>
      <c r="C2572" s="1"/>
      <c r="D2572" s="438">
        <v>102625.0048</v>
      </c>
      <c r="E2572" s="438">
        <f t="shared" ref="E2572" si="937">SUM(E2564:E2571)</f>
        <v>36818.550000000003</v>
      </c>
      <c r="F2572" s="467"/>
      <c r="G2572" s="438">
        <v>81052.820800000016</v>
      </c>
      <c r="H2572" s="438">
        <f>SUM(H2564:H2571)</f>
        <v>80625.179999999993</v>
      </c>
      <c r="I2572" s="438">
        <f>SUM(I2564:I2571)</f>
        <v>68630.36</v>
      </c>
      <c r="J2572" s="438">
        <f t="shared" ref="J2572" si="938">SUM(J2564:J2571)</f>
        <v>60370.89</v>
      </c>
    </row>
    <row r="2573" spans="1:10" ht="13.5" customHeight="1" x14ac:dyDescent="0.25">
      <c r="A2573" s="1"/>
      <c r="B2573" s="1"/>
      <c r="C2573" s="1"/>
      <c r="D2573" s="437"/>
      <c r="E2573" s="437"/>
      <c r="F2573" s="466"/>
      <c r="G2573" s="437"/>
      <c r="H2573" s="437"/>
      <c r="I2573" s="437"/>
      <c r="J2573" s="437"/>
    </row>
    <row r="2574" spans="1:10" ht="13.5" customHeight="1" x14ac:dyDescent="0.25">
      <c r="A2574" s="1"/>
      <c r="B2574" s="1" t="s">
        <v>2309</v>
      </c>
      <c r="C2574" s="1" t="s">
        <v>267</v>
      </c>
      <c r="D2574" s="437">
        <v>600</v>
      </c>
      <c r="E2574" s="437">
        <v>28.99</v>
      </c>
      <c r="F2574" s="466"/>
      <c r="G2574" s="437">
        <v>600</v>
      </c>
      <c r="H2574" s="437">
        <v>16.809999999999999</v>
      </c>
      <c r="I2574" s="437">
        <v>210.34</v>
      </c>
      <c r="J2574" s="437">
        <v>96.34</v>
      </c>
    </row>
    <row r="2575" spans="1:10" ht="13.5" customHeight="1" x14ac:dyDescent="0.25">
      <c r="A2575" s="1"/>
      <c r="B2575" s="1" t="s">
        <v>2310</v>
      </c>
      <c r="C2575" s="1" t="s">
        <v>269</v>
      </c>
      <c r="D2575" s="437">
        <v>200</v>
      </c>
      <c r="E2575" s="437"/>
      <c r="F2575" s="466"/>
      <c r="G2575" s="437">
        <v>200</v>
      </c>
      <c r="H2575" s="437">
        <v>112</v>
      </c>
      <c r="I2575" s="437">
        <v>112</v>
      </c>
      <c r="J2575" s="437">
        <v>110</v>
      </c>
    </row>
    <row r="2576" spans="1:10" ht="13.5" customHeight="1" x14ac:dyDescent="0.25">
      <c r="A2576" s="1"/>
      <c r="B2576" s="1" t="s">
        <v>2311</v>
      </c>
      <c r="C2576" s="1" t="s">
        <v>488</v>
      </c>
      <c r="D2576" s="437">
        <v>4500</v>
      </c>
      <c r="E2576" s="437">
        <v>2026.56</v>
      </c>
      <c r="F2576" s="466"/>
      <c r="G2576" s="437">
        <v>4500</v>
      </c>
      <c r="H2576" s="437">
        <v>2029.6</v>
      </c>
      <c r="I2576" s="437">
        <v>4797.13</v>
      </c>
      <c r="J2576" s="437">
        <v>4678.22</v>
      </c>
    </row>
    <row r="2577" spans="1:10" ht="13.5" customHeight="1" x14ac:dyDescent="0.25">
      <c r="A2577" s="1"/>
      <c r="B2577" s="1" t="s">
        <v>2312</v>
      </c>
      <c r="C2577" s="1" t="s">
        <v>1170</v>
      </c>
      <c r="D2577" s="437">
        <v>100</v>
      </c>
      <c r="E2577" s="437"/>
      <c r="F2577" s="466"/>
      <c r="G2577" s="437">
        <v>100</v>
      </c>
      <c r="H2577" s="437">
        <v>29.6</v>
      </c>
      <c r="I2577" s="440">
        <v>0</v>
      </c>
      <c r="J2577" s="437">
        <v>37.94</v>
      </c>
    </row>
    <row r="2578" spans="1:10" ht="13.5" customHeight="1" x14ac:dyDescent="0.25">
      <c r="A2578" s="1"/>
      <c r="B2578" s="1" t="s">
        <v>2313</v>
      </c>
      <c r="C2578" s="1" t="s">
        <v>490</v>
      </c>
      <c r="D2578" s="437">
        <v>0</v>
      </c>
      <c r="E2578" s="437"/>
      <c r="F2578" s="466"/>
      <c r="G2578" s="437">
        <v>0</v>
      </c>
      <c r="H2578" s="437">
        <v>0</v>
      </c>
      <c r="I2578" s="440">
        <v>312</v>
      </c>
      <c r="J2578" s="440">
        <v>0</v>
      </c>
    </row>
    <row r="2579" spans="1:10" ht="13.5" customHeight="1" x14ac:dyDescent="0.25">
      <c r="A2579" s="1"/>
      <c r="B2579" s="1" t="s">
        <v>2314</v>
      </c>
      <c r="C2579" s="1" t="s">
        <v>1154</v>
      </c>
      <c r="D2579" s="437">
        <v>0</v>
      </c>
      <c r="E2579" s="437">
        <v>741.52</v>
      </c>
      <c r="F2579" s="466"/>
      <c r="G2579" s="437">
        <v>0</v>
      </c>
      <c r="H2579" s="437">
        <v>2004.73</v>
      </c>
      <c r="I2579" s="437">
        <v>539.17999999999995</v>
      </c>
      <c r="J2579" s="440">
        <v>0</v>
      </c>
    </row>
    <row r="2580" spans="1:10" ht="13.5" customHeight="1" x14ac:dyDescent="0.25">
      <c r="A2580" s="1"/>
      <c r="B2580" s="1" t="s">
        <v>2315</v>
      </c>
      <c r="C2580" s="1" t="s">
        <v>273</v>
      </c>
      <c r="D2580" s="437">
        <v>2400</v>
      </c>
      <c r="E2580" s="437"/>
      <c r="F2580" s="466"/>
      <c r="G2580" s="437">
        <v>2400</v>
      </c>
      <c r="H2580" s="437">
        <v>0</v>
      </c>
      <c r="I2580" s="439">
        <v>929</v>
      </c>
      <c r="J2580" s="440">
        <v>0</v>
      </c>
    </row>
    <row r="2581" spans="1:10" ht="13.5" customHeight="1" x14ac:dyDescent="0.25">
      <c r="A2581" s="1"/>
      <c r="B2581" s="1" t="s">
        <v>2316</v>
      </c>
      <c r="C2581" s="1" t="s">
        <v>275</v>
      </c>
      <c r="D2581" s="437">
        <v>1500</v>
      </c>
      <c r="E2581" s="437">
        <v>1239.33</v>
      </c>
      <c r="F2581" s="466"/>
      <c r="G2581" s="437">
        <v>1500</v>
      </c>
      <c r="H2581" s="437">
        <v>2067.62</v>
      </c>
      <c r="I2581" s="437">
        <v>487.45</v>
      </c>
      <c r="J2581" s="437">
        <v>976.45</v>
      </c>
    </row>
    <row r="2582" spans="1:10" ht="13.5" customHeight="1" x14ac:dyDescent="0.25">
      <c r="A2582" s="1"/>
      <c r="B2582" s="1" t="s">
        <v>2317</v>
      </c>
      <c r="C2582" s="1" t="s">
        <v>2291</v>
      </c>
      <c r="D2582" s="437">
        <v>35000</v>
      </c>
      <c r="E2582" s="437">
        <v>18544.8</v>
      </c>
      <c r="F2582" s="466"/>
      <c r="G2582" s="437">
        <v>35000</v>
      </c>
      <c r="H2582" s="437">
        <v>32441.200000000001</v>
      </c>
      <c r="I2582" s="437">
        <v>37306.9</v>
      </c>
      <c r="J2582" s="437">
        <v>32609.05</v>
      </c>
    </row>
    <row r="2583" spans="1:10" ht="13.5" customHeight="1" x14ac:dyDescent="0.25">
      <c r="A2583" s="1"/>
      <c r="B2583" s="1" t="s">
        <v>2318</v>
      </c>
      <c r="C2583" s="1" t="s">
        <v>2319</v>
      </c>
      <c r="D2583" s="437">
        <v>1500</v>
      </c>
      <c r="E2583" s="437"/>
      <c r="F2583" s="466"/>
      <c r="G2583" s="437">
        <v>1500</v>
      </c>
      <c r="H2583" s="437">
        <v>0</v>
      </c>
      <c r="I2583" s="437">
        <v>1480</v>
      </c>
      <c r="J2583" s="437">
        <v>1480</v>
      </c>
    </row>
    <row r="2584" spans="1:10" ht="13.5" customHeight="1" x14ac:dyDescent="0.25">
      <c r="A2584" s="1"/>
      <c r="B2584" s="1"/>
      <c r="C2584" s="1"/>
      <c r="D2584" s="438">
        <v>45800</v>
      </c>
      <c r="E2584" s="438">
        <f t="shared" ref="E2584" si="939">SUM(E2574:E2583)</f>
        <v>22581.199999999997</v>
      </c>
      <c r="F2584" s="467"/>
      <c r="G2584" s="438">
        <v>44800</v>
      </c>
      <c r="H2584" s="438">
        <f>SUM(H2574:H2583)</f>
        <v>38701.56</v>
      </c>
      <c r="I2584" s="438">
        <f>SUM(I2574:I2583)</f>
        <v>46174</v>
      </c>
      <c r="J2584" s="438">
        <f t="shared" ref="J2584" si="940">SUM(J2574:J2583)</f>
        <v>39988</v>
      </c>
    </row>
    <row r="2585" spans="1:10" ht="13.5" customHeight="1" x14ac:dyDescent="0.25">
      <c r="A2585" s="1"/>
      <c r="B2585" s="1"/>
      <c r="C2585" s="1"/>
      <c r="D2585" s="437"/>
      <c r="E2585" s="437"/>
      <c r="F2585" s="466"/>
      <c r="G2585" s="437"/>
      <c r="H2585" s="437"/>
      <c r="I2585" s="437"/>
      <c r="J2585" s="437"/>
    </row>
    <row r="2586" spans="1:10" ht="13.5" customHeight="1" x14ac:dyDescent="0.25">
      <c r="A2586" s="1"/>
      <c r="B2586" s="1" t="s">
        <v>2320</v>
      </c>
      <c r="C2586" s="1" t="s">
        <v>497</v>
      </c>
      <c r="D2586" s="437">
        <v>4000</v>
      </c>
      <c r="E2586" s="437"/>
      <c r="F2586" s="466"/>
      <c r="G2586" s="437">
        <v>4000</v>
      </c>
      <c r="H2586" s="437">
        <v>0</v>
      </c>
      <c r="I2586" s="440">
        <v>0</v>
      </c>
      <c r="J2586" s="440">
        <v>0</v>
      </c>
    </row>
    <row r="2587" spans="1:10" ht="13.5" customHeight="1" x14ac:dyDescent="0.25">
      <c r="A2587" s="1"/>
      <c r="B2587" s="1" t="s">
        <v>2321</v>
      </c>
      <c r="C2587" s="1" t="s">
        <v>279</v>
      </c>
      <c r="D2587" s="437">
        <v>500</v>
      </c>
      <c r="E2587" s="437"/>
      <c r="F2587" s="466"/>
      <c r="G2587" s="437">
        <v>500</v>
      </c>
      <c r="H2587" s="437">
        <v>500</v>
      </c>
      <c r="I2587" s="439">
        <v>500</v>
      </c>
      <c r="J2587" s="437">
        <v>500</v>
      </c>
    </row>
    <row r="2588" spans="1:10" ht="13.5" customHeight="1" x14ac:dyDescent="0.25">
      <c r="A2588" s="1"/>
      <c r="B2588" s="1" t="s">
        <v>2322</v>
      </c>
      <c r="C2588" s="1" t="s">
        <v>329</v>
      </c>
      <c r="D2588" s="437">
        <v>3800</v>
      </c>
      <c r="E2588" s="437">
        <v>419.04</v>
      </c>
      <c r="F2588" s="466"/>
      <c r="G2588" s="437">
        <v>3800</v>
      </c>
      <c r="H2588" s="437">
        <v>775.76</v>
      </c>
      <c r="I2588" s="437">
        <v>1051.06</v>
      </c>
      <c r="J2588" s="437">
        <v>2800.99</v>
      </c>
    </row>
    <row r="2589" spans="1:10" ht="13.5" customHeight="1" x14ac:dyDescent="0.25">
      <c r="A2589" s="1"/>
      <c r="B2589" s="1" t="s">
        <v>2323</v>
      </c>
      <c r="C2589" s="1" t="s">
        <v>281</v>
      </c>
      <c r="D2589" s="437">
        <v>500</v>
      </c>
      <c r="E2589" s="440"/>
      <c r="F2589" s="468"/>
      <c r="G2589" s="440">
        <v>500</v>
      </c>
      <c r="H2589" s="439">
        <v>20.88</v>
      </c>
      <c r="I2589" s="440">
        <v>0</v>
      </c>
      <c r="J2589" s="440">
        <v>0</v>
      </c>
    </row>
    <row r="2590" spans="1:10" ht="13.5" customHeight="1" x14ac:dyDescent="0.25">
      <c r="A2590" s="1"/>
      <c r="B2590" s="1" t="s">
        <v>2324</v>
      </c>
      <c r="C2590" s="1" t="s">
        <v>337</v>
      </c>
      <c r="D2590" s="437">
        <v>1500</v>
      </c>
      <c r="E2590" s="437"/>
      <c r="F2590" s="466"/>
      <c r="G2590" s="437">
        <v>1500</v>
      </c>
      <c r="H2590" s="437">
        <v>0</v>
      </c>
      <c r="I2590" s="440">
        <v>0</v>
      </c>
      <c r="J2590" s="440">
        <v>0</v>
      </c>
    </row>
    <row r="2591" spans="1:10" ht="13.5" customHeight="1" x14ac:dyDescent="0.25">
      <c r="A2591" s="1"/>
      <c r="B2591" s="1" t="s">
        <v>2325</v>
      </c>
      <c r="C2591" s="1" t="s">
        <v>1175</v>
      </c>
      <c r="D2591" s="437">
        <v>33000</v>
      </c>
      <c r="E2591" s="437">
        <v>13967.49</v>
      </c>
      <c r="F2591" s="466"/>
      <c r="G2591" s="437">
        <v>33000</v>
      </c>
      <c r="H2591" s="437">
        <v>34318.67</v>
      </c>
      <c r="I2591" s="437">
        <v>38895.43</v>
      </c>
      <c r="J2591" s="437">
        <v>39268.28</v>
      </c>
    </row>
    <row r="2592" spans="1:10" ht="13.5" customHeight="1" x14ac:dyDescent="0.25">
      <c r="A2592" s="1"/>
      <c r="B2592" s="1" t="s">
        <v>2326</v>
      </c>
      <c r="C2592" s="1" t="s">
        <v>1179</v>
      </c>
      <c r="D2592" s="437">
        <v>8000</v>
      </c>
      <c r="E2592" s="437">
        <v>5901.13</v>
      </c>
      <c r="F2592" s="466"/>
      <c r="G2592" s="437">
        <v>8000</v>
      </c>
      <c r="H2592" s="437">
        <v>6735.77</v>
      </c>
      <c r="I2592" s="437">
        <v>9199.32</v>
      </c>
      <c r="J2592" s="437">
        <v>8224.75</v>
      </c>
    </row>
    <row r="2593" spans="1:10" ht="13.5" customHeight="1" x14ac:dyDescent="0.25">
      <c r="A2593" s="1"/>
      <c r="B2593" s="1" t="s">
        <v>2327</v>
      </c>
      <c r="C2593" s="1" t="s">
        <v>1159</v>
      </c>
      <c r="D2593" s="437">
        <v>5000</v>
      </c>
      <c r="E2593" s="437">
        <v>795.97</v>
      </c>
      <c r="F2593" s="466"/>
      <c r="G2593" s="437">
        <v>5000</v>
      </c>
      <c r="H2593" s="437">
        <v>3127.01</v>
      </c>
      <c r="I2593" s="437">
        <v>4940.82</v>
      </c>
      <c r="J2593" s="437">
        <v>6777.47</v>
      </c>
    </row>
    <row r="2594" spans="1:10" ht="13.5" customHeight="1" x14ac:dyDescent="0.25">
      <c r="A2594" s="1"/>
      <c r="B2594" s="1" t="s">
        <v>2328</v>
      </c>
      <c r="C2594" s="1" t="s">
        <v>1897</v>
      </c>
      <c r="D2594" s="437">
        <v>3500</v>
      </c>
      <c r="E2594" s="437">
        <v>898.32</v>
      </c>
      <c r="F2594" s="466"/>
      <c r="G2594" s="437">
        <v>3500</v>
      </c>
      <c r="H2594" s="437">
        <v>2585.7399999999998</v>
      </c>
      <c r="I2594" s="437">
        <v>1827.55</v>
      </c>
      <c r="J2594" s="437">
        <v>2151.1999999999998</v>
      </c>
    </row>
    <row r="2595" spans="1:10" ht="13.5" customHeight="1" x14ac:dyDescent="0.25">
      <c r="A2595" s="1"/>
      <c r="B2595" s="1" t="s">
        <v>2329</v>
      </c>
      <c r="C2595" s="1" t="s">
        <v>1161</v>
      </c>
      <c r="D2595" s="437">
        <v>6500</v>
      </c>
      <c r="E2595" s="437">
        <v>162.74</v>
      </c>
      <c r="F2595" s="466"/>
      <c r="G2595" s="437">
        <v>6500</v>
      </c>
      <c r="H2595" s="437">
        <v>392.64</v>
      </c>
      <c r="I2595" s="437">
        <v>1048.8900000000001</v>
      </c>
      <c r="J2595" s="437">
        <v>2782.74</v>
      </c>
    </row>
    <row r="2596" spans="1:10" ht="13.5" customHeight="1" x14ac:dyDescent="0.25">
      <c r="A2596" s="1"/>
      <c r="B2596" s="1" t="s">
        <v>2330</v>
      </c>
      <c r="C2596" s="1" t="s">
        <v>509</v>
      </c>
      <c r="D2596" s="437">
        <v>0</v>
      </c>
      <c r="E2596" s="437">
        <v>14.5</v>
      </c>
      <c r="F2596" s="466"/>
      <c r="G2596" s="437">
        <v>0</v>
      </c>
      <c r="H2596" s="437">
        <v>111.46</v>
      </c>
      <c r="I2596" s="437">
        <v>141.65</v>
      </c>
      <c r="J2596" s="440">
        <v>0</v>
      </c>
    </row>
    <row r="2597" spans="1:10" ht="13.5" customHeight="1" x14ac:dyDescent="0.25">
      <c r="A2597" s="1"/>
      <c r="B2597" s="1" t="s">
        <v>2331</v>
      </c>
      <c r="C2597" s="1" t="s">
        <v>1238</v>
      </c>
      <c r="D2597" s="437">
        <v>2160</v>
      </c>
      <c r="E2597" s="437">
        <v>825</v>
      </c>
      <c r="F2597" s="466"/>
      <c r="G2597" s="437">
        <v>2160</v>
      </c>
      <c r="H2597" s="437">
        <v>1443.75</v>
      </c>
      <c r="I2597" s="437">
        <v>1856.25</v>
      </c>
      <c r="J2597" s="437">
        <v>1167.25</v>
      </c>
    </row>
    <row r="2598" spans="1:10" ht="13.5" customHeight="1" x14ac:dyDescent="0.25">
      <c r="A2598" s="1"/>
      <c r="B2598" s="1" t="s">
        <v>2332</v>
      </c>
      <c r="C2598" s="1" t="s">
        <v>287</v>
      </c>
      <c r="D2598" s="437">
        <v>400</v>
      </c>
      <c r="E2598" s="437">
        <v>277.5</v>
      </c>
      <c r="F2598" s="466"/>
      <c r="G2598" s="437">
        <v>400</v>
      </c>
      <c r="H2598" s="437">
        <v>370</v>
      </c>
      <c r="I2598" s="437">
        <v>462.5</v>
      </c>
      <c r="J2598" s="437">
        <v>277.5</v>
      </c>
    </row>
    <row r="2599" spans="1:10" ht="13.5" customHeight="1" x14ac:dyDescent="0.25">
      <c r="A2599" s="1"/>
      <c r="B2599" s="1" t="s">
        <v>2333</v>
      </c>
      <c r="C2599" s="1" t="s">
        <v>1475</v>
      </c>
      <c r="D2599" s="437">
        <v>100</v>
      </c>
      <c r="E2599" s="437"/>
      <c r="F2599" s="466"/>
      <c r="G2599" s="437">
        <v>100</v>
      </c>
      <c r="H2599" s="437">
        <v>0</v>
      </c>
      <c r="I2599" s="440">
        <v>0</v>
      </c>
      <c r="J2599" s="440">
        <v>0</v>
      </c>
    </row>
    <row r="2600" spans="1:10" ht="13.5" customHeight="1" x14ac:dyDescent="0.25">
      <c r="A2600" s="1"/>
      <c r="B2600" s="1"/>
      <c r="C2600" s="1"/>
      <c r="D2600" s="438">
        <v>68960</v>
      </c>
      <c r="E2600" s="438">
        <f t="shared" ref="E2600" si="941">SUM(E2586:E2599)</f>
        <v>23261.690000000002</v>
      </c>
      <c r="F2600" s="467"/>
      <c r="G2600" s="438">
        <v>68960</v>
      </c>
      <c r="H2600" s="438">
        <f>SUM(H2586:H2599)</f>
        <v>50381.68</v>
      </c>
      <c r="I2600" s="438">
        <f>SUM(I2586:I2599)</f>
        <v>59923.47</v>
      </c>
      <c r="J2600" s="438">
        <f t="shared" ref="J2600" si="942">SUM(J2586:J2599)</f>
        <v>63950.179999999993</v>
      </c>
    </row>
    <row r="2601" spans="1:10" ht="13.5" customHeight="1" thickBot="1" x14ac:dyDescent="0.3">
      <c r="A2601" s="1"/>
      <c r="B2601" s="28"/>
      <c r="C2601" s="30" t="s">
        <v>2334</v>
      </c>
      <c r="D2601" s="451">
        <v>417440.0048</v>
      </c>
      <c r="E2601" s="451">
        <f t="shared" ref="E2601" si="943">SUM(E2562+E2572+E2584+E2600)</f>
        <v>177062.94</v>
      </c>
      <c r="F2601" s="478"/>
      <c r="G2601" s="451">
        <v>356296.94</v>
      </c>
      <c r="H2601" s="451">
        <f>SUM(H2562+H2572+H2584+H2600)</f>
        <v>332229.21999999997</v>
      </c>
      <c r="I2601" s="451">
        <f>SUM(I2562+I2572+I2584+I2600)</f>
        <v>314215.79000000004</v>
      </c>
      <c r="J2601" s="451">
        <f t="shared" ref="J2601" si="944">SUM(J2562+J2572+J2584+J2600)</f>
        <v>287278.81</v>
      </c>
    </row>
    <row r="2602" spans="1:10" ht="13.5" customHeight="1" thickTop="1" x14ac:dyDescent="0.25">
      <c r="A2602" s="1"/>
      <c r="B2602" s="1"/>
      <c r="C2602" s="1"/>
      <c r="D2602" s="437"/>
      <c r="E2602" s="437"/>
      <c r="F2602" s="466"/>
      <c r="G2602" s="437"/>
      <c r="H2602" s="437"/>
      <c r="I2602" s="437"/>
      <c r="J2602" s="437"/>
    </row>
    <row r="2603" spans="1:10" ht="15.95" customHeight="1" x14ac:dyDescent="0.25">
      <c r="A2603" s="1"/>
      <c r="B2603" s="50" t="s">
        <v>2335</v>
      </c>
      <c r="C2603" s="50" t="s">
        <v>2336</v>
      </c>
      <c r="D2603" s="437"/>
      <c r="E2603" s="440"/>
      <c r="F2603" s="468"/>
      <c r="G2603" s="440"/>
      <c r="H2603" s="440"/>
      <c r="I2603" s="440"/>
      <c r="J2603" s="440"/>
    </row>
    <row r="2604" spans="1:10" ht="13.5" customHeight="1" x14ac:dyDescent="0.25">
      <c r="A2604" s="1"/>
      <c r="B2604" s="1"/>
      <c r="C2604" s="1"/>
      <c r="D2604" s="437"/>
      <c r="E2604" s="440"/>
      <c r="F2604" s="468"/>
      <c r="G2604" s="440"/>
      <c r="H2604" s="440"/>
      <c r="I2604" s="440"/>
      <c r="J2604" s="440"/>
    </row>
    <row r="2605" spans="1:10" ht="13.5" customHeight="1" x14ac:dyDescent="0.25">
      <c r="A2605" s="14" t="s">
        <v>13</v>
      </c>
      <c r="B2605" s="1"/>
      <c r="C2605" s="1"/>
      <c r="D2605" s="437"/>
      <c r="E2605" s="440"/>
      <c r="F2605" s="468"/>
      <c r="G2605" s="440"/>
      <c r="H2605" s="440"/>
      <c r="I2605" s="440"/>
      <c r="J2605" s="440"/>
    </row>
    <row r="2606" spans="1:10" ht="13.5" customHeight="1" x14ac:dyDescent="0.25">
      <c r="A2606" s="1"/>
      <c r="B2606" s="1" t="s">
        <v>2337</v>
      </c>
      <c r="C2606" s="1" t="s">
        <v>2338</v>
      </c>
      <c r="D2606" s="437">
        <v>-130000</v>
      </c>
      <c r="E2606" s="437">
        <v>-64260.14</v>
      </c>
      <c r="F2606" s="466"/>
      <c r="G2606" s="437">
        <v>-130000</v>
      </c>
      <c r="H2606" s="437">
        <v>-131909.32</v>
      </c>
      <c r="I2606" s="437">
        <v>-143224.6</v>
      </c>
      <c r="J2606" s="437">
        <v>-120898.63</v>
      </c>
    </row>
    <row r="2607" spans="1:10" ht="13.5" customHeight="1" x14ac:dyDescent="0.25">
      <c r="A2607" s="1"/>
      <c r="B2607" s="1" t="s">
        <v>2339</v>
      </c>
      <c r="C2607" s="1" t="s">
        <v>2090</v>
      </c>
      <c r="D2607" s="437">
        <v>-45000</v>
      </c>
      <c r="E2607" s="437">
        <v>-9000</v>
      </c>
      <c r="F2607" s="466"/>
      <c r="G2607" s="437">
        <v>-45000</v>
      </c>
      <c r="H2607" s="437">
        <v>-22812.5</v>
      </c>
      <c r="I2607" s="440">
        <v>-40060</v>
      </c>
      <c r="J2607" s="437">
        <v>-51892.19</v>
      </c>
    </row>
    <row r="2608" spans="1:10" ht="13.5" customHeight="1" x14ac:dyDescent="0.25">
      <c r="A2608" s="1"/>
      <c r="B2608" s="22" t="s">
        <v>2339</v>
      </c>
      <c r="C2608" s="22" t="s">
        <v>2340</v>
      </c>
      <c r="D2608" s="437"/>
      <c r="E2608" s="437"/>
      <c r="F2608" s="466"/>
      <c r="G2608" s="437"/>
      <c r="H2608" s="437"/>
      <c r="I2608" s="439"/>
      <c r="J2608" s="437"/>
    </row>
    <row r="2609" spans="1:10" ht="13.5" customHeight="1" x14ac:dyDescent="0.25">
      <c r="A2609" s="1"/>
      <c r="B2609" s="22" t="s">
        <v>2341</v>
      </c>
      <c r="C2609" s="22" t="s">
        <v>225</v>
      </c>
      <c r="D2609" s="437"/>
      <c r="E2609" s="437">
        <v>-18513.05</v>
      </c>
      <c r="F2609" s="466"/>
      <c r="G2609" s="437"/>
      <c r="H2609" s="437"/>
      <c r="I2609" s="439"/>
      <c r="J2609" s="437"/>
    </row>
    <row r="2610" spans="1:10" ht="13.5" customHeight="1" x14ac:dyDescent="0.25">
      <c r="A2610" s="1"/>
      <c r="B2610" s="1" t="s">
        <v>2342</v>
      </c>
      <c r="C2610" s="1" t="s">
        <v>1838</v>
      </c>
      <c r="D2610" s="437">
        <v>-230529</v>
      </c>
      <c r="E2610" s="437"/>
      <c r="F2610" s="466"/>
      <c r="G2610" s="437">
        <v>-235529</v>
      </c>
      <c r="H2610" s="437">
        <v>0</v>
      </c>
      <c r="I2610" s="439">
        <v>20698.5</v>
      </c>
      <c r="J2610" s="437">
        <v>1027.46</v>
      </c>
    </row>
    <row r="2611" spans="1:10" ht="13.5" customHeight="1" thickBot="1" x14ac:dyDescent="0.3">
      <c r="A2611" s="1"/>
      <c r="B2611" s="1"/>
      <c r="C2611" s="39" t="s">
        <v>2343</v>
      </c>
      <c r="D2611" s="451">
        <v>-405529</v>
      </c>
      <c r="E2611" s="451">
        <f t="shared" ref="E2611" si="945">SUM(E2606:E2610)</f>
        <v>-91773.19</v>
      </c>
      <c r="F2611" s="478"/>
      <c r="G2611" s="451">
        <v>-410529</v>
      </c>
      <c r="H2611" s="451">
        <f>SUM(H2606:H2610)</f>
        <v>-154721.82</v>
      </c>
      <c r="I2611" s="451">
        <f>SUM(I2606:I2610)</f>
        <v>-162586.1</v>
      </c>
      <c r="J2611" s="451">
        <f t="shared" ref="J2611" si="946">SUM(J2606:J2610)</f>
        <v>-171763.36000000002</v>
      </c>
    </row>
    <row r="2612" spans="1:10" ht="13.5" customHeight="1" thickTop="1" x14ac:dyDescent="0.25">
      <c r="A2612" s="1"/>
      <c r="B2612" s="1"/>
      <c r="C2612" s="1"/>
      <c r="D2612" s="437"/>
      <c r="E2612" s="440"/>
      <c r="F2612" s="468"/>
      <c r="G2612" s="440"/>
      <c r="H2612" s="440"/>
      <c r="I2612" s="440"/>
      <c r="J2612" s="437"/>
    </row>
    <row r="2613" spans="1:10" ht="13.5" customHeight="1" x14ac:dyDescent="0.25">
      <c r="A2613" s="1"/>
      <c r="B2613" s="1" t="s">
        <v>2344</v>
      </c>
      <c r="C2613" s="1" t="s">
        <v>273</v>
      </c>
      <c r="D2613" s="437">
        <v>0</v>
      </c>
      <c r="E2613" s="437"/>
      <c r="F2613" s="466"/>
      <c r="G2613" s="437">
        <v>0</v>
      </c>
      <c r="H2613" s="437">
        <v>0</v>
      </c>
      <c r="I2613" s="440">
        <v>0</v>
      </c>
      <c r="J2613" s="440">
        <v>0</v>
      </c>
    </row>
    <row r="2614" spans="1:10" ht="13.5" customHeight="1" x14ac:dyDescent="0.25">
      <c r="A2614" s="1"/>
      <c r="B2614" s="1" t="s">
        <v>2345</v>
      </c>
      <c r="C2614" s="1" t="s">
        <v>275</v>
      </c>
      <c r="D2614" s="437">
        <v>1000</v>
      </c>
      <c r="E2614" s="437"/>
      <c r="F2614" s="466"/>
      <c r="G2614" s="437">
        <v>1000</v>
      </c>
      <c r="H2614" s="437">
        <v>0</v>
      </c>
      <c r="I2614" s="440">
        <v>0</v>
      </c>
      <c r="J2614" s="437">
        <v>617.70000000000005</v>
      </c>
    </row>
    <row r="2615" spans="1:10" ht="13.5" customHeight="1" x14ac:dyDescent="0.25">
      <c r="A2615" s="1"/>
      <c r="B2615" s="1" t="s">
        <v>2346</v>
      </c>
      <c r="C2615" s="1" t="s">
        <v>2347</v>
      </c>
      <c r="D2615" s="440">
        <v>0</v>
      </c>
      <c r="E2615" s="437"/>
      <c r="F2615" s="466"/>
      <c r="G2615" s="437">
        <v>0</v>
      </c>
      <c r="H2615" s="437">
        <v>0</v>
      </c>
      <c r="I2615" s="440" t="s">
        <v>12</v>
      </c>
      <c r="J2615" s="440" t="s">
        <v>12</v>
      </c>
    </row>
    <row r="2616" spans="1:10" ht="13.5" customHeight="1" x14ac:dyDescent="0.25">
      <c r="A2616" s="1"/>
      <c r="B2616" s="1"/>
      <c r="C2616" s="1"/>
      <c r="D2616" s="441">
        <v>1000</v>
      </c>
      <c r="E2616" s="441">
        <f t="shared" ref="E2616" si="947">SUM(E2614:E2615)</f>
        <v>0</v>
      </c>
      <c r="F2616" s="469"/>
      <c r="G2616" s="441">
        <v>1000</v>
      </c>
      <c r="H2616" s="441">
        <f>SUM(H2614:H2615)</f>
        <v>0</v>
      </c>
      <c r="I2616" s="441">
        <f>SUM(I2614:I2615)</f>
        <v>0</v>
      </c>
      <c r="J2616" s="441">
        <f t="shared" ref="J2616" si="948">SUM(J2614:J2615)</f>
        <v>617.70000000000005</v>
      </c>
    </row>
    <row r="2617" spans="1:10" ht="13.5" customHeight="1" x14ac:dyDescent="0.25">
      <c r="A2617" s="1"/>
      <c r="B2617" s="1"/>
      <c r="C2617" s="1"/>
      <c r="D2617" s="440"/>
      <c r="E2617" s="440"/>
      <c r="F2617" s="468"/>
      <c r="G2617" s="440"/>
      <c r="H2617" s="440"/>
      <c r="I2617" s="440"/>
      <c r="J2617" s="440"/>
    </row>
    <row r="2618" spans="1:10" ht="13.5" customHeight="1" x14ac:dyDescent="0.25">
      <c r="A2618" s="1"/>
      <c r="B2618" s="1" t="s">
        <v>2348</v>
      </c>
      <c r="C2618" s="1" t="s">
        <v>337</v>
      </c>
      <c r="D2618" s="437">
        <v>4000</v>
      </c>
      <c r="E2618" s="437"/>
      <c r="F2618" s="466"/>
      <c r="G2618" s="437">
        <v>4000</v>
      </c>
      <c r="H2618" s="437">
        <v>0</v>
      </c>
      <c r="I2618" s="440">
        <v>0</v>
      </c>
      <c r="J2618" s="440">
        <v>0</v>
      </c>
    </row>
    <row r="2619" spans="1:10" ht="13.5" customHeight="1" x14ac:dyDescent="0.25">
      <c r="A2619" s="1"/>
      <c r="B2619" s="1" t="s">
        <v>2349</v>
      </c>
      <c r="C2619" s="1" t="s">
        <v>1159</v>
      </c>
      <c r="D2619" s="437">
        <v>5000</v>
      </c>
      <c r="E2619" s="437">
        <v>261.24</v>
      </c>
      <c r="F2619" s="466"/>
      <c r="G2619" s="437">
        <v>5000</v>
      </c>
      <c r="H2619" s="437">
        <v>687.27</v>
      </c>
      <c r="I2619" s="437">
        <v>1506.74</v>
      </c>
      <c r="J2619" s="437">
        <v>2541.35</v>
      </c>
    </row>
    <row r="2620" spans="1:10" ht="13.5" customHeight="1" x14ac:dyDescent="0.25">
      <c r="A2620" s="1"/>
      <c r="B2620" s="1" t="s">
        <v>2350</v>
      </c>
      <c r="C2620" s="1" t="s">
        <v>2351</v>
      </c>
      <c r="D2620" s="437">
        <v>0</v>
      </c>
      <c r="E2620" s="437"/>
      <c r="F2620" s="466"/>
      <c r="G2620" s="437">
        <v>0</v>
      </c>
      <c r="H2620" s="437">
        <v>298963.40999999997</v>
      </c>
      <c r="I2620" s="440">
        <v>0</v>
      </c>
      <c r="J2620" s="437">
        <v>104277</v>
      </c>
    </row>
    <row r="2621" spans="1:10" ht="13.5" customHeight="1" x14ac:dyDescent="0.25">
      <c r="A2621" s="1"/>
      <c r="B2621" s="1" t="s">
        <v>2352</v>
      </c>
      <c r="C2621" s="1" t="s">
        <v>1186</v>
      </c>
      <c r="D2621" s="437">
        <v>140000</v>
      </c>
      <c r="E2621" s="437"/>
      <c r="F2621" s="466"/>
      <c r="G2621" s="437">
        <v>140000</v>
      </c>
      <c r="H2621" s="437">
        <v>41774.15</v>
      </c>
      <c r="I2621" s="437">
        <v>101796.53</v>
      </c>
      <c r="J2621" s="437">
        <v>120552.61</v>
      </c>
    </row>
    <row r="2622" spans="1:10" ht="13.5" customHeight="1" x14ac:dyDescent="0.25">
      <c r="A2622" s="1"/>
      <c r="B2622" s="22" t="s">
        <v>2353</v>
      </c>
      <c r="C2622" s="22" t="s">
        <v>352</v>
      </c>
      <c r="D2622" s="437">
        <v>0</v>
      </c>
      <c r="E2622" s="437"/>
      <c r="F2622" s="466"/>
      <c r="G2622" s="437">
        <v>0</v>
      </c>
      <c r="H2622" s="437">
        <v>5200</v>
      </c>
      <c r="I2622" s="440">
        <v>0</v>
      </c>
      <c r="J2622" s="437">
        <v>34725</v>
      </c>
    </row>
    <row r="2623" spans="1:10" ht="13.5" customHeight="1" x14ac:dyDescent="0.25">
      <c r="A2623" s="1"/>
      <c r="B2623" s="1" t="s">
        <v>2354</v>
      </c>
      <c r="C2623" s="1" t="s">
        <v>561</v>
      </c>
      <c r="D2623" s="440">
        <v>0</v>
      </c>
      <c r="E2623" s="437"/>
      <c r="F2623" s="466"/>
      <c r="G2623" s="437">
        <v>0</v>
      </c>
      <c r="H2623" s="437">
        <v>0</v>
      </c>
      <c r="I2623" s="440" t="s">
        <v>12</v>
      </c>
      <c r="J2623" s="440" t="s">
        <v>12</v>
      </c>
    </row>
    <row r="2624" spans="1:10" ht="13.5" customHeight="1" x14ac:dyDescent="0.25">
      <c r="A2624" s="1"/>
      <c r="B2624" s="1"/>
      <c r="C2624" s="1"/>
      <c r="D2624" s="441">
        <v>149000</v>
      </c>
      <c r="E2624" s="441">
        <f t="shared" ref="E2624" si="949">SUM(E2618:E2623)</f>
        <v>261.24</v>
      </c>
      <c r="F2624" s="469"/>
      <c r="G2624" s="441">
        <v>149000</v>
      </c>
      <c r="H2624" s="441">
        <f>SUM(H2618:H2623)</f>
        <v>346624.83</v>
      </c>
      <c r="I2624" s="441">
        <f>SUM(I2618:I2623)</f>
        <v>103303.27</v>
      </c>
      <c r="J2624" s="441">
        <f t="shared" ref="J2624" si="950">SUM(J2618:J2623)</f>
        <v>262095.96000000002</v>
      </c>
    </row>
    <row r="2625" spans="1:10" ht="13.5" customHeight="1" x14ac:dyDescent="0.25">
      <c r="A2625" s="1"/>
      <c r="B2625" s="1"/>
      <c r="C2625" s="1"/>
      <c r="D2625" s="440"/>
      <c r="E2625" s="440"/>
      <c r="F2625" s="468"/>
      <c r="G2625" s="440"/>
      <c r="H2625" s="440"/>
      <c r="I2625" s="440"/>
      <c r="J2625" s="440"/>
    </row>
    <row r="2626" spans="1:10" ht="13.5" customHeight="1" x14ac:dyDescent="0.25">
      <c r="A2626" s="1"/>
      <c r="B2626" s="1" t="s">
        <v>2355</v>
      </c>
      <c r="C2626" s="1" t="s">
        <v>2356</v>
      </c>
      <c r="D2626" s="437">
        <v>0</v>
      </c>
      <c r="E2626" s="437">
        <v>0</v>
      </c>
      <c r="F2626" s="466"/>
      <c r="G2626" s="437">
        <v>0</v>
      </c>
      <c r="H2626" s="437">
        <v>0</v>
      </c>
      <c r="I2626" s="440">
        <v>0</v>
      </c>
      <c r="J2626" s="440">
        <v>0</v>
      </c>
    </row>
    <row r="2627" spans="1:10" ht="13.5" customHeight="1" x14ac:dyDescent="0.25">
      <c r="A2627" s="1"/>
      <c r="B2627" s="1" t="s">
        <v>2357</v>
      </c>
      <c r="C2627" s="1" t="s">
        <v>2358</v>
      </c>
      <c r="D2627" s="437">
        <v>0</v>
      </c>
      <c r="E2627" s="437"/>
      <c r="F2627" s="466"/>
      <c r="G2627" s="437">
        <v>0</v>
      </c>
      <c r="H2627" s="437">
        <v>0</v>
      </c>
      <c r="I2627" s="440" t="s">
        <v>12</v>
      </c>
      <c r="J2627" s="440" t="s">
        <v>12</v>
      </c>
    </row>
    <row r="2628" spans="1:10" ht="13.5" customHeight="1" x14ac:dyDescent="0.25">
      <c r="A2628" s="1"/>
      <c r="B2628" s="1" t="s">
        <v>2359</v>
      </c>
      <c r="C2628" s="1" t="s">
        <v>412</v>
      </c>
      <c r="D2628" s="437">
        <v>255529</v>
      </c>
      <c r="E2628" s="437">
        <v>0</v>
      </c>
      <c r="F2628" s="466"/>
      <c r="G2628" s="437">
        <v>260000</v>
      </c>
      <c r="H2628" s="437">
        <v>0</v>
      </c>
      <c r="I2628" s="440">
        <v>0</v>
      </c>
      <c r="J2628" s="440">
        <v>0</v>
      </c>
    </row>
    <row r="2629" spans="1:10" ht="13.5" customHeight="1" x14ac:dyDescent="0.25">
      <c r="A2629" s="1"/>
      <c r="B2629" s="1"/>
      <c r="C2629" s="1"/>
      <c r="D2629" s="438">
        <v>255529</v>
      </c>
      <c r="E2629" s="438">
        <f t="shared" ref="E2629" si="951">SUM(E2626:E2628)</f>
        <v>0</v>
      </c>
      <c r="F2629" s="467"/>
      <c r="G2629" s="438">
        <v>260529</v>
      </c>
      <c r="H2629" s="438">
        <f>SUM(H2626:H2628)</f>
        <v>0</v>
      </c>
      <c r="I2629" s="438">
        <f>SUM(I2626:I2628)</f>
        <v>0</v>
      </c>
      <c r="J2629" s="438">
        <f t="shared" ref="J2629" si="952">SUM(J2626:J2628)</f>
        <v>0</v>
      </c>
    </row>
    <row r="2630" spans="1:10" ht="13.5" customHeight="1" thickBot="1" x14ac:dyDescent="0.3">
      <c r="A2630" s="1"/>
      <c r="B2630" s="28"/>
      <c r="C2630" s="30" t="s">
        <v>2360</v>
      </c>
      <c r="D2630" s="451">
        <v>405529</v>
      </c>
      <c r="E2630" s="451">
        <f t="shared" ref="E2630" si="953">SUM(E2616+E2624+E2629)</f>
        <v>261.24</v>
      </c>
      <c r="F2630" s="478"/>
      <c r="G2630" s="451">
        <v>410529</v>
      </c>
      <c r="H2630" s="451">
        <f>SUM(H2616+H2624+H2629)</f>
        <v>346624.83</v>
      </c>
      <c r="I2630" s="451">
        <f>SUM(I2616+I2624+I2629)</f>
        <v>103303.27</v>
      </c>
      <c r="J2630" s="451">
        <f t="shared" ref="J2630" si="954">SUM(J2616+J2624+J2629)</f>
        <v>262713.66000000003</v>
      </c>
    </row>
    <row r="2631" spans="1:10" ht="13.5" customHeight="1" thickTop="1" x14ac:dyDescent="0.25">
      <c r="A2631" s="1"/>
      <c r="B2631" s="1"/>
      <c r="C2631" s="1"/>
      <c r="D2631" s="437"/>
      <c r="E2631" s="440"/>
      <c r="F2631" s="468"/>
      <c r="G2631" s="440"/>
      <c r="H2631" s="440"/>
      <c r="I2631" s="440"/>
      <c r="J2631" s="440"/>
    </row>
    <row r="2632" spans="1:10" ht="19.5" customHeight="1" x14ac:dyDescent="0.25">
      <c r="A2632" s="1"/>
      <c r="B2632" s="50" t="s">
        <v>2361</v>
      </c>
      <c r="C2632" s="50" t="s">
        <v>2362</v>
      </c>
      <c r="D2632" s="437"/>
      <c r="E2632" s="440"/>
      <c r="F2632" s="468"/>
      <c r="G2632" s="440"/>
      <c r="H2632" s="440"/>
      <c r="I2632" s="440"/>
      <c r="J2632" s="440"/>
    </row>
    <row r="2633" spans="1:10" ht="13.5" customHeight="1" x14ac:dyDescent="0.25">
      <c r="A2633" s="1"/>
      <c r="B2633" s="1"/>
      <c r="C2633" s="1"/>
      <c r="D2633" s="437"/>
      <c r="E2633" s="440"/>
      <c r="F2633" s="468"/>
      <c r="G2633" s="440"/>
      <c r="H2633" s="440"/>
      <c r="I2633" s="440"/>
      <c r="J2633" s="440"/>
    </row>
    <row r="2634" spans="1:10" ht="13.5" customHeight="1" x14ac:dyDescent="0.25">
      <c r="A2634" s="14" t="s">
        <v>13</v>
      </c>
      <c r="B2634" s="1"/>
      <c r="C2634" s="1"/>
      <c r="D2634" s="437"/>
      <c r="E2634" s="440"/>
      <c r="F2634" s="468"/>
      <c r="G2634" s="440"/>
      <c r="H2634" s="440"/>
      <c r="I2634" s="440"/>
      <c r="J2634" s="440"/>
    </row>
    <row r="2635" spans="1:10" ht="13.5" customHeight="1" x14ac:dyDescent="0.25">
      <c r="A2635" s="1"/>
      <c r="B2635" s="1" t="s">
        <v>2363</v>
      </c>
      <c r="C2635" s="1" t="s">
        <v>2364</v>
      </c>
      <c r="D2635" s="437">
        <v>-133663</v>
      </c>
      <c r="E2635" s="437">
        <v>-68451.429999999993</v>
      </c>
      <c r="F2635" s="466"/>
      <c r="G2635" s="437">
        <v>-125000</v>
      </c>
      <c r="H2635" s="437">
        <v>-105876.25</v>
      </c>
      <c r="I2635" s="437">
        <v>-133531.82</v>
      </c>
      <c r="J2635" s="437">
        <v>-119879</v>
      </c>
    </row>
    <row r="2636" spans="1:10" ht="13.5" customHeight="1" x14ac:dyDescent="0.25">
      <c r="A2636" s="1"/>
      <c r="B2636" s="1" t="s">
        <v>2365</v>
      </c>
      <c r="C2636" s="1" t="s">
        <v>1838</v>
      </c>
      <c r="D2636" s="437">
        <v>27940</v>
      </c>
      <c r="E2636" s="437"/>
      <c r="F2636" s="466"/>
      <c r="G2636" s="437">
        <v>19640</v>
      </c>
      <c r="H2636" s="437">
        <v>31056.35</v>
      </c>
      <c r="I2636" s="439">
        <v>22259.65</v>
      </c>
      <c r="J2636" s="437">
        <v>13605.93</v>
      </c>
    </row>
    <row r="2637" spans="1:10" ht="13.5" customHeight="1" thickBot="1" x14ac:dyDescent="0.3">
      <c r="A2637" s="1"/>
      <c r="B2637" s="1"/>
      <c r="C2637" s="39" t="s">
        <v>2366</v>
      </c>
      <c r="D2637" s="451">
        <v>-105723</v>
      </c>
      <c r="E2637" s="451">
        <f t="shared" ref="E2637" si="955">SUM(E2635:E2636)</f>
        <v>-68451.429999999993</v>
      </c>
      <c r="F2637" s="478"/>
      <c r="G2637" s="451">
        <v>-105362.5</v>
      </c>
      <c r="H2637" s="451">
        <f>SUM(H2635:H2636)</f>
        <v>-74819.899999999994</v>
      </c>
      <c r="I2637" s="451">
        <f>SUM(I2635:I2636)</f>
        <v>-111272.17000000001</v>
      </c>
      <c r="J2637" s="451">
        <f t="shared" ref="J2637" si="956">SUM(J2635:J2636)</f>
        <v>-106273.07</v>
      </c>
    </row>
    <row r="2638" spans="1:10" ht="13.5" customHeight="1" thickTop="1" x14ac:dyDescent="0.25">
      <c r="A2638" s="1"/>
      <c r="B2638" s="1"/>
      <c r="C2638" s="1"/>
      <c r="D2638" s="437"/>
      <c r="E2638" s="440"/>
      <c r="F2638" s="468"/>
      <c r="G2638" s="440"/>
      <c r="H2638" s="440"/>
      <c r="I2638" s="440"/>
      <c r="J2638" s="437"/>
    </row>
    <row r="2639" spans="1:10" ht="13.5" customHeight="1" x14ac:dyDescent="0.25">
      <c r="A2639" s="1"/>
      <c r="B2639" s="1" t="s">
        <v>2367</v>
      </c>
      <c r="C2639" s="1" t="s">
        <v>441</v>
      </c>
      <c r="D2639" s="437">
        <v>25000</v>
      </c>
      <c r="E2639" s="437">
        <v>14910</v>
      </c>
      <c r="F2639" s="466"/>
      <c r="G2639" s="437">
        <v>25000</v>
      </c>
      <c r="H2639" s="437">
        <v>25005</v>
      </c>
      <c r="I2639" s="437">
        <v>24209.97</v>
      </c>
      <c r="J2639" s="437">
        <v>23475.03</v>
      </c>
    </row>
    <row r="2640" spans="1:10" ht="13.5" customHeight="1" x14ac:dyDescent="0.25">
      <c r="A2640" s="1"/>
      <c r="B2640" s="1"/>
      <c r="C2640" s="1"/>
      <c r="D2640" s="438">
        <v>25000</v>
      </c>
      <c r="E2640" s="438">
        <f t="shared" ref="E2640" si="957">SUM(E2639)</f>
        <v>14910</v>
      </c>
      <c r="F2640" s="467"/>
      <c r="G2640" s="438">
        <v>25000</v>
      </c>
      <c r="H2640" s="438">
        <f>SUM(H2639)</f>
        <v>25005</v>
      </c>
      <c r="I2640" s="438">
        <f>SUM(I2639)</f>
        <v>24209.97</v>
      </c>
      <c r="J2640" s="438">
        <f t="shared" ref="J2640" si="958">SUM(J2639)</f>
        <v>23475.03</v>
      </c>
    </row>
    <row r="2641" spans="1:10" ht="13.5" customHeight="1" x14ac:dyDescent="0.25">
      <c r="A2641" s="1"/>
      <c r="B2641" s="1"/>
      <c r="C2641" s="1"/>
      <c r="D2641" s="437"/>
      <c r="E2641" s="437"/>
      <c r="F2641" s="466"/>
      <c r="G2641" s="437"/>
      <c r="H2641" s="437"/>
      <c r="I2641" s="437"/>
      <c r="J2641" s="437"/>
    </row>
    <row r="2642" spans="1:10" ht="13.5" customHeight="1" x14ac:dyDescent="0.25">
      <c r="A2642" s="1"/>
      <c r="B2642" s="1" t="s">
        <v>2368</v>
      </c>
      <c r="C2642" s="1" t="s">
        <v>257</v>
      </c>
      <c r="D2642" s="437">
        <v>1913</v>
      </c>
      <c r="E2642" s="437">
        <v>1140.6199999999999</v>
      </c>
      <c r="F2642" s="466"/>
      <c r="G2642" s="437">
        <v>1550</v>
      </c>
      <c r="H2642" s="437">
        <v>1912.91</v>
      </c>
      <c r="I2642" s="437">
        <v>1852.06</v>
      </c>
      <c r="J2642" s="437">
        <v>1795.87</v>
      </c>
    </row>
    <row r="2643" spans="1:10" ht="13.5" customHeight="1" x14ac:dyDescent="0.25">
      <c r="A2643" s="1"/>
      <c r="B2643" s="1" t="s">
        <v>2369</v>
      </c>
      <c r="C2643" s="1" t="s">
        <v>261</v>
      </c>
      <c r="D2643" s="437">
        <v>3755</v>
      </c>
      <c r="E2643" s="437">
        <v>2239.48</v>
      </c>
      <c r="F2643" s="466"/>
      <c r="G2643" s="437">
        <v>3755</v>
      </c>
      <c r="H2643" s="437">
        <v>3755.75</v>
      </c>
      <c r="I2643" s="437">
        <v>3518.97</v>
      </c>
      <c r="J2643" s="437">
        <v>3399.36</v>
      </c>
    </row>
    <row r="2644" spans="1:10" ht="13.5" customHeight="1" x14ac:dyDescent="0.25">
      <c r="A2644" s="1"/>
      <c r="B2644" s="1" t="s">
        <v>2370</v>
      </c>
      <c r="C2644" s="1" t="s">
        <v>263</v>
      </c>
      <c r="D2644" s="437">
        <v>40</v>
      </c>
      <c r="E2644" s="437">
        <v>23.86</v>
      </c>
      <c r="F2644" s="466"/>
      <c r="G2644" s="437">
        <v>40</v>
      </c>
      <c r="H2644" s="437">
        <v>40</v>
      </c>
      <c r="I2644" s="437">
        <v>38.74</v>
      </c>
      <c r="J2644" s="437">
        <v>42.99</v>
      </c>
    </row>
    <row r="2645" spans="1:10" ht="13.5" customHeight="1" x14ac:dyDescent="0.25">
      <c r="A2645" s="1"/>
      <c r="B2645" s="1" t="s">
        <v>2371</v>
      </c>
      <c r="C2645" s="1" t="s">
        <v>295</v>
      </c>
      <c r="D2645" s="437">
        <v>14.999999999999998</v>
      </c>
      <c r="E2645" s="437">
        <v>2.16</v>
      </c>
      <c r="F2645" s="466"/>
      <c r="G2645" s="437">
        <v>15</v>
      </c>
      <c r="H2645" s="437">
        <v>17.89</v>
      </c>
      <c r="I2645" s="437">
        <v>21.75</v>
      </c>
      <c r="J2645" s="437">
        <v>25.9</v>
      </c>
    </row>
    <row r="2646" spans="1:10" ht="13.5" customHeight="1" x14ac:dyDescent="0.25">
      <c r="A2646" s="1"/>
      <c r="B2646" s="1"/>
      <c r="C2646" s="1"/>
      <c r="D2646" s="438">
        <v>5723</v>
      </c>
      <c r="E2646" s="438">
        <f t="shared" ref="E2646" si="959">SUM(E2642:E2645)</f>
        <v>3406.12</v>
      </c>
      <c r="F2646" s="467"/>
      <c r="G2646" s="438">
        <v>5125</v>
      </c>
      <c r="H2646" s="438">
        <f>SUM(H2642:H2645)</f>
        <v>5726.55</v>
      </c>
      <c r="I2646" s="438">
        <f>SUM(I2642:I2645)</f>
        <v>5431.5199999999995</v>
      </c>
      <c r="J2646" s="438">
        <f t="shared" ref="J2646" si="960">SUM(J2642:J2645)</f>
        <v>5264.119999999999</v>
      </c>
    </row>
    <row r="2647" spans="1:10" ht="13.5" customHeight="1" x14ac:dyDescent="0.25">
      <c r="A2647" s="1"/>
      <c r="B2647" s="1"/>
      <c r="C2647" s="1"/>
      <c r="D2647" s="437"/>
      <c r="E2647" s="437"/>
      <c r="F2647" s="466"/>
      <c r="G2647" s="437"/>
      <c r="H2647" s="437"/>
      <c r="I2647" s="437"/>
      <c r="J2647" s="437"/>
    </row>
    <row r="2648" spans="1:10" ht="13.5" customHeight="1" x14ac:dyDescent="0.25">
      <c r="A2648" s="1"/>
      <c r="B2648" s="1" t="s">
        <v>2372</v>
      </c>
      <c r="C2648" s="1" t="s">
        <v>267</v>
      </c>
      <c r="D2648" s="437">
        <v>0</v>
      </c>
      <c r="E2648" s="437"/>
      <c r="F2648" s="466"/>
      <c r="G2648" s="437">
        <v>0</v>
      </c>
      <c r="H2648" s="437">
        <v>634.76</v>
      </c>
      <c r="I2648" s="439">
        <v>346.58</v>
      </c>
      <c r="J2648" s="437">
        <v>606.28</v>
      </c>
    </row>
    <row r="2649" spans="1:10" ht="13.5" customHeight="1" x14ac:dyDescent="0.25">
      <c r="A2649" s="1"/>
      <c r="B2649" s="1" t="s">
        <v>2373</v>
      </c>
      <c r="C2649" s="1" t="s">
        <v>1760</v>
      </c>
      <c r="D2649" s="437">
        <v>52000</v>
      </c>
      <c r="E2649" s="437">
        <v>24075.85</v>
      </c>
      <c r="F2649" s="466"/>
      <c r="G2649" s="437">
        <v>52000</v>
      </c>
      <c r="H2649" s="437">
        <v>39864.959999999999</v>
      </c>
      <c r="I2649" s="437">
        <v>52068.800000000003</v>
      </c>
      <c r="J2649" s="437">
        <v>52081.93</v>
      </c>
    </row>
    <row r="2650" spans="1:10" ht="13.5" customHeight="1" x14ac:dyDescent="0.25">
      <c r="A2650" s="1"/>
      <c r="B2650" s="1" t="s">
        <v>2374</v>
      </c>
      <c r="C2650" s="1" t="s">
        <v>273</v>
      </c>
      <c r="D2650" s="437">
        <v>0</v>
      </c>
      <c r="E2650" s="437"/>
      <c r="F2650" s="466"/>
      <c r="G2650" s="437">
        <v>0</v>
      </c>
      <c r="H2650" s="437">
        <v>0</v>
      </c>
      <c r="I2650" s="440">
        <v>0</v>
      </c>
      <c r="J2650" s="440" t="s">
        <v>12</v>
      </c>
    </row>
    <row r="2651" spans="1:10" ht="13.5" customHeight="1" x14ac:dyDescent="0.25">
      <c r="A2651" s="1"/>
      <c r="B2651" s="1" t="s">
        <v>2375</v>
      </c>
      <c r="C2651" s="1" t="s">
        <v>693</v>
      </c>
      <c r="D2651" s="437">
        <v>0</v>
      </c>
      <c r="E2651" s="437"/>
      <c r="F2651" s="466"/>
      <c r="G2651" s="437">
        <v>0</v>
      </c>
      <c r="H2651" s="437">
        <v>0</v>
      </c>
      <c r="I2651" s="440">
        <v>0</v>
      </c>
      <c r="J2651" s="437">
        <v>560.45000000000005</v>
      </c>
    </row>
    <row r="2652" spans="1:10" ht="13.5" customHeight="1" x14ac:dyDescent="0.25">
      <c r="A2652" s="1"/>
      <c r="B2652" s="1"/>
      <c r="C2652" s="1"/>
      <c r="D2652" s="441">
        <v>52000</v>
      </c>
      <c r="E2652" s="441">
        <f t="shared" ref="E2652" si="961">SUM(E2648:E2651)</f>
        <v>24075.85</v>
      </c>
      <c r="F2652" s="469"/>
      <c r="G2652" s="441">
        <v>52000</v>
      </c>
      <c r="H2652" s="441">
        <f>SUM(H2648:H2651)</f>
        <v>40499.72</v>
      </c>
      <c r="I2652" s="441">
        <f>SUM(I2648:I2651)</f>
        <v>52415.380000000005</v>
      </c>
      <c r="J2652" s="441">
        <f t="shared" ref="J2652" si="962">SUM(J2648:J2651)</f>
        <v>53248.659999999996</v>
      </c>
    </row>
    <row r="2653" spans="1:10" ht="13.5" customHeight="1" x14ac:dyDescent="0.25">
      <c r="A2653" s="1"/>
      <c r="B2653" s="1"/>
      <c r="C2653" s="1"/>
      <c r="D2653" s="440"/>
      <c r="E2653" s="440"/>
      <c r="F2653" s="468"/>
      <c r="G2653" s="440"/>
      <c r="H2653" s="440"/>
      <c r="I2653" s="440"/>
      <c r="J2653" s="437"/>
    </row>
    <row r="2654" spans="1:10" ht="13.5" customHeight="1" x14ac:dyDescent="0.25">
      <c r="A2654" s="1"/>
      <c r="B2654" s="1" t="s">
        <v>2376</v>
      </c>
      <c r="C2654" s="1" t="s">
        <v>497</v>
      </c>
      <c r="D2654" s="437">
        <v>14000</v>
      </c>
      <c r="E2654" s="437"/>
      <c r="F2654" s="466"/>
      <c r="G2654" s="437">
        <v>14000</v>
      </c>
      <c r="H2654" s="437">
        <v>3709.63</v>
      </c>
      <c r="I2654" s="437">
        <v>11869.98</v>
      </c>
      <c r="J2654" s="437">
        <v>9840.7999999999993</v>
      </c>
    </row>
    <row r="2655" spans="1:10" ht="13.5" customHeight="1" x14ac:dyDescent="0.25">
      <c r="A2655" s="1"/>
      <c r="B2655" s="1" t="s">
        <v>2377</v>
      </c>
      <c r="C2655" s="1" t="s">
        <v>2378</v>
      </c>
      <c r="D2655" s="437">
        <v>9000</v>
      </c>
      <c r="E2655" s="437">
        <v>4877.78</v>
      </c>
      <c r="F2655" s="466"/>
      <c r="G2655" s="437">
        <v>9000</v>
      </c>
      <c r="H2655" s="437">
        <v>8007.54</v>
      </c>
      <c r="I2655" s="437">
        <v>9448.09</v>
      </c>
      <c r="J2655" s="437">
        <v>9090.8799999999992</v>
      </c>
    </row>
    <row r="2656" spans="1:10" ht="13.5" customHeight="1" x14ac:dyDescent="0.25">
      <c r="A2656" s="1"/>
      <c r="B2656" s="1" t="s">
        <v>2379</v>
      </c>
      <c r="C2656" s="1" t="s">
        <v>352</v>
      </c>
      <c r="D2656" s="437">
        <v>0</v>
      </c>
      <c r="E2656" s="437"/>
      <c r="F2656" s="466"/>
      <c r="G2656" s="437">
        <v>0</v>
      </c>
      <c r="H2656" s="437">
        <v>0</v>
      </c>
      <c r="I2656" s="440">
        <v>0</v>
      </c>
      <c r="J2656" s="437">
        <v>5578.39</v>
      </c>
    </row>
    <row r="2657" spans="1:12" ht="13.5" customHeight="1" x14ac:dyDescent="0.25">
      <c r="A2657" s="1"/>
      <c r="B2657" s="1"/>
      <c r="C2657" s="1"/>
      <c r="D2657" s="441">
        <v>23000</v>
      </c>
      <c r="E2657" s="441">
        <f t="shared" ref="E2657" si="963">SUM(E2654:E2656)</f>
        <v>4877.78</v>
      </c>
      <c r="F2657" s="469"/>
      <c r="G2657" s="441">
        <v>23000</v>
      </c>
      <c r="H2657" s="441">
        <f>SUM(H2654:H2656)</f>
        <v>11717.17</v>
      </c>
      <c r="I2657" s="441">
        <f>SUM(I2654:I2656)</f>
        <v>21318.07</v>
      </c>
      <c r="J2657" s="441">
        <f t="shared" ref="J2657" si="964">SUM(J2654:J2656)</f>
        <v>24510.07</v>
      </c>
    </row>
    <row r="2658" spans="1:12" ht="13.5" customHeight="1" thickBot="1" x14ac:dyDescent="0.3">
      <c r="A2658" s="1"/>
      <c r="B2658" s="28"/>
      <c r="C2658" s="30" t="s">
        <v>2380</v>
      </c>
      <c r="D2658" s="453">
        <v>105723</v>
      </c>
      <c r="E2658" s="453">
        <f t="shared" ref="E2658" si="965">SUM(E2640+E2646+E2652+E2657)</f>
        <v>47269.75</v>
      </c>
      <c r="F2658" s="479"/>
      <c r="G2658" s="455">
        <v>105360</v>
      </c>
      <c r="H2658" s="453">
        <f>SUM(H2640+H2646+H2652+H2657)</f>
        <v>82948.44</v>
      </c>
      <c r="I2658" s="453">
        <f>SUM(I2640+I2646+I2652+I2657)</f>
        <v>103374.94</v>
      </c>
      <c r="J2658" s="453">
        <f t="shared" ref="J2658" si="966">SUM(J2640+J2646+J2652+J2657)</f>
        <v>106497.88</v>
      </c>
    </row>
    <row r="2659" spans="1:12" ht="13.5" customHeight="1" thickTop="1" x14ac:dyDescent="0.25">
      <c r="A2659" s="1"/>
      <c r="B2659" s="1"/>
      <c r="C2659" s="1"/>
      <c r="D2659" s="440"/>
      <c r="E2659" s="440"/>
      <c r="F2659" s="468"/>
      <c r="G2659" s="440"/>
      <c r="H2659" s="440"/>
      <c r="I2659" s="440"/>
      <c r="J2659" s="440"/>
    </row>
    <row r="2660" spans="1:12" ht="23.25" customHeight="1" x14ac:dyDescent="0.25">
      <c r="A2660" s="1"/>
      <c r="B2660" s="1"/>
      <c r="C2660" s="1"/>
      <c r="D2660" s="440"/>
      <c r="E2660" s="440"/>
      <c r="F2660" s="468"/>
      <c r="G2660" s="440"/>
      <c r="H2660" s="440"/>
      <c r="I2660" s="440"/>
      <c r="J2660" s="440"/>
    </row>
    <row r="2661" spans="1:12" ht="24" customHeight="1" x14ac:dyDescent="0.25">
      <c r="A2661" s="1"/>
      <c r="B2661" s="1"/>
      <c r="C2661" s="54" t="s">
        <v>2381</v>
      </c>
      <c r="D2661" s="462">
        <v>-46744174.5</v>
      </c>
      <c r="E2661" s="462">
        <f t="shared" ref="E2661" si="967">SUM(E135+E1958+E2020+E2323+E2349+E2371+E2391+E2406+E2439+E2464+E2511+E2523+E2554+E2611+E2637)</f>
        <v>-39654073.650000006</v>
      </c>
      <c r="F2661" s="486"/>
      <c r="G2661" s="463">
        <v>-44013034.450000003</v>
      </c>
      <c r="H2661" s="462">
        <f t="shared" ref="H2661" si="968">SUM(H135+H1958+H2020+H2323+H2349+H2371+H2391+H2406+H2439+H2464+H2511+H2523+H2554+H2611+H2637)</f>
        <v>-42664547.219999999</v>
      </c>
      <c r="I2661" s="462">
        <f>SUM(I135+I1958+I2020+I2323+I2349+I2371+I2391+I2406+I2439+I2464+I2511+I2523+I2554+I2611+I2637)</f>
        <v>-37480435.93999999</v>
      </c>
      <c r="J2661" s="462">
        <f t="shared" ref="J2661" si="969">SUM(J135+J1958+J2020+J2323+J2349+J2371+J2391+J2406+J2439+J2464+J2511+J2523+J2554+J2611+J2637)</f>
        <v>-36370425.93999999</v>
      </c>
    </row>
    <row r="2662" spans="1:12" ht="32.25" customHeight="1" x14ac:dyDescent="0.25">
      <c r="A2662" s="1"/>
      <c r="B2662" s="1"/>
      <c r="C2662" s="54" t="s">
        <v>2382</v>
      </c>
      <c r="D2662" s="462">
        <v>46722928.463342451</v>
      </c>
      <c r="E2662" s="462">
        <f t="shared" ref="E2662" si="970">SUM(E1949+E1989+E2313+E2340+E2363+E2382+E2398+E2430+E2458+E2487+E2517+E2526+E2601+E2630+E2658)</f>
        <v>20139736.98</v>
      </c>
      <c r="F2662" s="486"/>
      <c r="G2662" s="463">
        <v>43983581.909999996</v>
      </c>
      <c r="H2662" s="462">
        <f t="shared" ref="H2662" si="971">SUM(H1949+H1989+H2313+H2340+H2363+H2382+H2398+H2430+H2458+H2487+H2517+H2526+H2601+H2630+H2658)</f>
        <v>40580580.219999991</v>
      </c>
      <c r="I2662" s="462">
        <f>SUM(I1949+I1989+I2313+I2340+I2363+I2382+I2398+I2430+I2458+I2487+I2517+I2526++I2601+I2630+I2658)</f>
        <v>40096753.260000013</v>
      </c>
      <c r="J2662" s="462">
        <f t="shared" ref="J2662" si="972">SUM(J1949+J1989+J2313+J2340+J2363+J2382+J2398+J2430+J2458+J2487+J2517+J2526+J2601+J2630+J2658)</f>
        <v>35683066.729999997</v>
      </c>
    </row>
    <row r="2663" spans="1:12" ht="13.5" customHeight="1" x14ac:dyDescent="0.25">
      <c r="A2663" s="1"/>
      <c r="B2663" s="1"/>
      <c r="C2663" s="1"/>
      <c r="D2663" s="440"/>
      <c r="E2663" s="440"/>
      <c r="F2663" s="468"/>
      <c r="G2663" s="440"/>
      <c r="H2663" s="440"/>
      <c r="I2663" s="440"/>
      <c r="J2663" s="440"/>
    </row>
    <row r="2664" spans="1:12" ht="13.5" customHeight="1" x14ac:dyDescent="0.25">
      <c r="A2664" s="1"/>
      <c r="C2664" s="1"/>
      <c r="D2664" s="440"/>
      <c r="E2664" s="440"/>
      <c r="F2664" s="468"/>
      <c r="G2664" s="440"/>
      <c r="H2664" s="440"/>
      <c r="I2664" s="440"/>
      <c r="J2664" s="440"/>
    </row>
    <row r="2665" spans="1:12" ht="17.45" customHeight="1" x14ac:dyDescent="0.3">
      <c r="A2665" s="493" t="s">
        <v>4318</v>
      </c>
      <c r="B2665" s="494"/>
      <c r="C2665" s="495"/>
      <c r="D2665" s="496"/>
      <c r="E2665" s="496"/>
      <c r="F2665" s="496"/>
      <c r="G2665" s="496"/>
      <c r="H2665" s="496"/>
      <c r="I2665" s="496"/>
      <c r="J2665" s="496"/>
      <c r="K2665" s="497"/>
      <c r="L2665" s="497"/>
    </row>
    <row r="2666" spans="1:12" ht="15" customHeight="1" x14ac:dyDescent="0.25">
      <c r="A2666" s="247"/>
      <c r="B2666" s="247"/>
      <c r="C2666" s="247"/>
      <c r="D2666" s="397"/>
      <c r="E2666" s="147" t="s">
        <v>2387</v>
      </c>
      <c r="F2666" s="147" t="s">
        <v>2388</v>
      </c>
      <c r="G2666" s="147" t="s">
        <v>2389</v>
      </c>
      <c r="H2666" s="147" t="s">
        <v>2390</v>
      </c>
      <c r="I2666" s="247"/>
      <c r="J2666" s="147" t="s">
        <v>2391</v>
      </c>
      <c r="K2666" s="147" t="s">
        <v>2392</v>
      </c>
      <c r="L2666" s="147" t="s">
        <v>2393</v>
      </c>
    </row>
    <row r="2667" spans="1:12" ht="15" customHeight="1" x14ac:dyDescent="0.25">
      <c r="A2667" s="377" t="s">
        <v>2394</v>
      </c>
      <c r="B2667" s="377" t="s">
        <v>2395</v>
      </c>
      <c r="C2667" s="377" t="s">
        <v>2396</v>
      </c>
      <c r="D2667" s="147" t="s">
        <v>2402</v>
      </c>
      <c r="E2667" s="147" t="s">
        <v>2403</v>
      </c>
      <c r="F2667" s="147" t="s">
        <v>2404</v>
      </c>
      <c r="G2667" s="147" t="s">
        <v>2405</v>
      </c>
      <c r="H2667" s="147" t="s">
        <v>0</v>
      </c>
      <c r="I2667" s="147" t="s">
        <v>2406</v>
      </c>
      <c r="J2667" s="147" t="s">
        <v>2407</v>
      </c>
      <c r="K2667" s="147" t="s">
        <v>2408</v>
      </c>
      <c r="L2667" s="147" t="s">
        <v>2409</v>
      </c>
    </row>
    <row r="2668" spans="1:12" ht="15" customHeight="1" x14ac:dyDescent="0.25">
      <c r="A2668" s="247"/>
      <c r="B2668" s="247"/>
      <c r="C2668" s="247"/>
      <c r="D2668" s="488">
        <v>2022</v>
      </c>
      <c r="E2668" s="147">
        <v>2080</v>
      </c>
      <c r="F2668" s="147">
        <v>26</v>
      </c>
      <c r="G2668" s="147"/>
      <c r="H2668" s="247"/>
      <c r="I2668" s="247"/>
      <c r="J2668" s="247"/>
      <c r="K2668" s="247"/>
      <c r="L2668" s="491"/>
    </row>
    <row r="2669" spans="1:12" ht="15" customHeight="1" x14ac:dyDescent="0.25">
      <c r="A2669" s="395"/>
      <c r="B2669" s="395"/>
      <c r="C2669" s="395"/>
      <c r="D2669" s="395"/>
      <c r="E2669" s="395"/>
      <c r="F2669" s="395"/>
      <c r="G2669" s="395"/>
      <c r="H2669" s="395"/>
      <c r="I2669" s="395"/>
      <c r="J2669" s="395"/>
      <c r="K2669" s="395"/>
      <c r="L2669" s="395"/>
    </row>
    <row r="2670" spans="1:12" ht="15" customHeight="1" x14ac:dyDescent="0.25">
      <c r="A2670" s="167">
        <v>401</v>
      </c>
      <c r="B2670" s="167" t="s">
        <v>2417</v>
      </c>
      <c r="C2670" s="265" t="s">
        <v>241</v>
      </c>
      <c r="D2670" s="60">
        <v>87540</v>
      </c>
      <c r="E2670" s="125">
        <v>42.08653846153846</v>
      </c>
      <c r="F2670" s="197">
        <v>3366.9230769230771</v>
      </c>
      <c r="G2670" s="197">
        <v>0</v>
      </c>
      <c r="H2670" s="65">
        <v>87540</v>
      </c>
      <c r="I2670" s="65"/>
      <c r="J2670" s="65"/>
      <c r="K2670" s="65"/>
      <c r="L2670" s="197">
        <v>87540</v>
      </c>
    </row>
    <row r="2671" spans="1:12" ht="15" customHeight="1" x14ac:dyDescent="0.25">
      <c r="A2671" s="167">
        <v>401</v>
      </c>
      <c r="B2671" s="167" t="s">
        <v>2417</v>
      </c>
      <c r="C2671" s="265" t="s">
        <v>241</v>
      </c>
      <c r="D2671" s="60">
        <v>25200</v>
      </c>
      <c r="E2671" s="125">
        <v>12.115384615384615</v>
      </c>
      <c r="F2671" s="197">
        <v>969.23076923076928</v>
      </c>
      <c r="G2671" s="197">
        <v>0</v>
      </c>
      <c r="H2671" s="65">
        <v>25200</v>
      </c>
      <c r="I2671" s="65"/>
      <c r="J2671" s="65"/>
      <c r="K2671" s="65"/>
      <c r="L2671" s="197">
        <v>25200</v>
      </c>
    </row>
    <row r="2672" spans="1:12" ht="15" customHeight="1" x14ac:dyDescent="0.25">
      <c r="A2672" s="167">
        <v>401</v>
      </c>
      <c r="B2672" s="167" t="s">
        <v>2423</v>
      </c>
      <c r="C2672" s="265" t="s">
        <v>2424</v>
      </c>
      <c r="D2672" s="60">
        <v>49402</v>
      </c>
      <c r="E2672" s="125">
        <v>23.750961538461539</v>
      </c>
      <c r="F2672" s="197">
        <v>1900.0769230769231</v>
      </c>
      <c r="G2672" s="197">
        <v>0</v>
      </c>
      <c r="H2672" s="65">
        <v>49402</v>
      </c>
      <c r="I2672" s="65"/>
      <c r="J2672" s="65"/>
      <c r="K2672" s="65"/>
      <c r="L2672" s="197">
        <v>49402</v>
      </c>
    </row>
    <row r="2673" spans="1:12" ht="15" customHeight="1" x14ac:dyDescent="0.25">
      <c r="A2673" s="167">
        <v>401</v>
      </c>
      <c r="B2673" s="167" t="s">
        <v>2427</v>
      </c>
      <c r="C2673" s="265" t="s">
        <v>2428</v>
      </c>
      <c r="D2673" s="60">
        <v>41565</v>
      </c>
      <c r="E2673" s="125">
        <v>19.983173076923077</v>
      </c>
      <c r="F2673" s="197">
        <v>1598.6538461538462</v>
      </c>
      <c r="G2673" s="197">
        <v>0</v>
      </c>
      <c r="H2673" s="65">
        <v>41565</v>
      </c>
      <c r="I2673" s="65"/>
      <c r="J2673" s="65"/>
      <c r="K2673" s="65"/>
      <c r="L2673" s="197">
        <v>41565</v>
      </c>
    </row>
    <row r="2674" spans="1:12" ht="15" customHeight="1" x14ac:dyDescent="0.25">
      <c r="A2674" s="167">
        <v>401</v>
      </c>
      <c r="B2674" s="247"/>
      <c r="C2674" s="265" t="s">
        <v>2431</v>
      </c>
      <c r="D2674" s="60">
        <v>1000</v>
      </c>
      <c r="E2674" s="225" t="s">
        <v>2422</v>
      </c>
      <c r="F2674" s="69" t="s">
        <v>2422</v>
      </c>
      <c r="G2674" s="69">
        <v>0</v>
      </c>
      <c r="H2674" s="65">
        <v>1000</v>
      </c>
      <c r="I2674" s="65"/>
      <c r="J2674" s="65"/>
      <c r="K2674" s="65"/>
      <c r="L2674" s="197">
        <v>1000</v>
      </c>
    </row>
    <row r="2675" spans="1:12" ht="15" customHeight="1" x14ac:dyDescent="0.25">
      <c r="A2675" s="167">
        <v>401</v>
      </c>
      <c r="B2675" s="167">
        <v>440007</v>
      </c>
      <c r="C2675" s="265" t="s">
        <v>253</v>
      </c>
      <c r="D2675" s="60">
        <v>9000</v>
      </c>
      <c r="E2675" s="125">
        <v>4.3269230769230766</v>
      </c>
      <c r="F2675" s="197">
        <v>346.15384615384613</v>
      </c>
      <c r="G2675" s="197">
        <v>0</v>
      </c>
      <c r="H2675" s="65">
        <v>9000</v>
      </c>
      <c r="I2675" s="65"/>
      <c r="J2675" s="65"/>
      <c r="K2675" s="65"/>
      <c r="L2675" s="197">
        <v>9000</v>
      </c>
    </row>
    <row r="2676" spans="1:12" ht="15" customHeight="1" x14ac:dyDescent="0.25">
      <c r="A2676" s="167">
        <v>401</v>
      </c>
      <c r="B2676" s="247"/>
      <c r="C2676" s="247"/>
      <c r="D2676" s="85">
        <v>213707</v>
      </c>
      <c r="E2676" s="490"/>
      <c r="F2676" s="85">
        <v>8181.038461538461</v>
      </c>
      <c r="G2676" s="85">
        <v>0</v>
      </c>
      <c r="H2676" s="79">
        <v>213707</v>
      </c>
      <c r="I2676" s="85">
        <f t="shared" ref="I2676:K2676" si="973">SUM(I2670:I2675)</f>
        <v>0</v>
      </c>
      <c r="J2676" s="85">
        <f t="shared" si="973"/>
        <v>0</v>
      </c>
      <c r="K2676" s="85">
        <f t="shared" si="973"/>
        <v>0</v>
      </c>
      <c r="L2676" s="85">
        <v>213707</v>
      </c>
    </row>
    <row r="2677" spans="1:12" ht="15" customHeight="1" x14ac:dyDescent="0.25">
      <c r="A2677" s="247"/>
      <c r="B2677" s="247"/>
      <c r="C2677" s="247"/>
      <c r="D2677" s="60"/>
      <c r="E2677" s="125"/>
      <c r="F2677" s="65"/>
      <c r="G2677" s="65"/>
      <c r="H2677" s="65"/>
      <c r="I2677" s="65"/>
      <c r="J2677" s="65"/>
      <c r="K2677" s="65"/>
      <c r="L2677" s="69"/>
    </row>
    <row r="2678" spans="1:12" ht="15" customHeight="1" x14ac:dyDescent="0.25">
      <c r="A2678" s="247"/>
      <c r="B2678" s="247"/>
      <c r="C2678" s="247"/>
      <c r="D2678" s="60"/>
      <c r="E2678" s="65"/>
      <c r="F2678" s="65"/>
      <c r="G2678" s="65"/>
      <c r="H2678" s="65"/>
      <c r="I2678" s="65"/>
      <c r="J2678" s="65"/>
      <c r="K2678" s="65"/>
      <c r="L2678" s="69"/>
    </row>
    <row r="2679" spans="1:12" ht="15" customHeight="1" x14ac:dyDescent="0.25">
      <c r="A2679" s="167">
        <v>410</v>
      </c>
      <c r="B2679" s="167" t="s">
        <v>2432</v>
      </c>
      <c r="C2679" s="265" t="s">
        <v>435</v>
      </c>
      <c r="D2679" s="60">
        <v>61368</v>
      </c>
      <c r="E2679" s="65">
        <v>29.503846153846155</v>
      </c>
      <c r="F2679" s="197">
        <v>2360.3076923076924</v>
      </c>
      <c r="G2679" s="197">
        <v>0</v>
      </c>
      <c r="H2679" s="65">
        <v>61368</v>
      </c>
      <c r="I2679" s="65"/>
      <c r="J2679" s="65"/>
      <c r="K2679" s="65"/>
      <c r="L2679" s="197">
        <v>61368</v>
      </c>
    </row>
    <row r="2680" spans="1:12" ht="15" customHeight="1" x14ac:dyDescent="0.25">
      <c r="A2680" s="167">
        <v>410</v>
      </c>
      <c r="B2680" s="167" t="s">
        <v>2435</v>
      </c>
      <c r="C2680" s="265" t="s">
        <v>2436</v>
      </c>
      <c r="D2680" s="60">
        <v>43102</v>
      </c>
      <c r="E2680" s="65">
        <v>20.722115384615385</v>
      </c>
      <c r="F2680" s="197">
        <v>1657.7692307692307</v>
      </c>
      <c r="G2680" s="197">
        <v>0</v>
      </c>
      <c r="H2680" s="65">
        <v>43102</v>
      </c>
      <c r="I2680" s="65"/>
      <c r="J2680" s="65"/>
      <c r="K2680" s="65"/>
      <c r="L2680" s="197">
        <v>43102</v>
      </c>
    </row>
    <row r="2681" spans="1:12" ht="15" customHeight="1" x14ac:dyDescent="0.25">
      <c r="A2681" s="167">
        <v>410</v>
      </c>
      <c r="B2681" s="167" t="s">
        <v>2439</v>
      </c>
      <c r="C2681" s="265" t="s">
        <v>2440</v>
      </c>
      <c r="D2681" s="60">
        <v>34215</v>
      </c>
      <c r="E2681" s="65">
        <v>16.44951923076923</v>
      </c>
      <c r="F2681" s="197">
        <v>1315.9615384615386</v>
      </c>
      <c r="G2681" s="197">
        <v>0</v>
      </c>
      <c r="H2681" s="65">
        <v>34215</v>
      </c>
      <c r="I2681" s="65"/>
      <c r="J2681" s="65"/>
      <c r="K2681" s="65"/>
      <c r="L2681" s="197">
        <v>34215</v>
      </c>
    </row>
    <row r="2682" spans="1:12" ht="15" customHeight="1" x14ac:dyDescent="0.25">
      <c r="A2682" s="167">
        <v>410</v>
      </c>
      <c r="B2682" s="167" t="s">
        <v>2443</v>
      </c>
      <c r="C2682" s="265" t="s">
        <v>2440</v>
      </c>
      <c r="D2682" s="60">
        <v>35481</v>
      </c>
      <c r="E2682" s="65">
        <v>17.058173076923076</v>
      </c>
      <c r="F2682" s="197">
        <v>1364.6538461538462</v>
      </c>
      <c r="G2682" s="197">
        <v>0</v>
      </c>
      <c r="H2682" s="65">
        <v>35481</v>
      </c>
      <c r="I2682" s="65"/>
      <c r="J2682" s="65"/>
      <c r="K2682" s="65"/>
      <c r="L2682" s="197">
        <v>35481</v>
      </c>
    </row>
    <row r="2683" spans="1:12" ht="15" customHeight="1" x14ac:dyDescent="0.25">
      <c r="A2683" s="167">
        <v>410</v>
      </c>
      <c r="B2683" s="167" t="s">
        <v>2446</v>
      </c>
      <c r="C2683" s="265" t="s">
        <v>2440</v>
      </c>
      <c r="D2683" s="60">
        <v>34215</v>
      </c>
      <c r="E2683" s="65">
        <v>16.44951923076923</v>
      </c>
      <c r="F2683" s="197">
        <v>1315.9615384615386</v>
      </c>
      <c r="G2683" s="197">
        <v>0</v>
      </c>
      <c r="H2683" s="65">
        <v>34215</v>
      </c>
      <c r="I2683" s="65"/>
      <c r="J2683" s="65"/>
      <c r="K2683" s="65"/>
      <c r="L2683" s="197">
        <v>34215</v>
      </c>
    </row>
    <row r="2684" spans="1:12" ht="15" customHeight="1" x14ac:dyDescent="0.25">
      <c r="A2684" s="167">
        <v>410</v>
      </c>
      <c r="B2684" s="167" t="s">
        <v>2449</v>
      </c>
      <c r="C2684" s="265" t="s">
        <v>2440</v>
      </c>
      <c r="D2684" s="60">
        <v>33599</v>
      </c>
      <c r="E2684" s="65">
        <v>16.153365384615384</v>
      </c>
      <c r="F2684" s="197">
        <v>1292.2692307692307</v>
      </c>
      <c r="G2684" s="197">
        <v>0</v>
      </c>
      <c r="H2684" s="65">
        <v>33599</v>
      </c>
      <c r="I2684" s="65"/>
      <c r="J2684" s="65"/>
      <c r="K2684" s="65"/>
      <c r="L2684" s="197">
        <v>33599</v>
      </c>
    </row>
    <row r="2685" spans="1:12" ht="15" customHeight="1" x14ac:dyDescent="0.25">
      <c r="A2685" s="167">
        <v>410</v>
      </c>
      <c r="B2685" s="167" t="s">
        <v>2451</v>
      </c>
      <c r="C2685" s="265" t="s">
        <v>2440</v>
      </c>
      <c r="D2685" s="60">
        <v>39566</v>
      </c>
      <c r="E2685" s="65">
        <v>19.022115384615386</v>
      </c>
      <c r="F2685" s="197">
        <v>1521.7692307692307</v>
      </c>
      <c r="G2685" s="197">
        <v>0</v>
      </c>
      <c r="H2685" s="65">
        <v>39566</v>
      </c>
      <c r="I2685" s="65"/>
      <c r="J2685" s="65"/>
      <c r="K2685" s="65"/>
      <c r="L2685" s="197">
        <v>39566</v>
      </c>
    </row>
    <row r="2686" spans="1:12" ht="15" customHeight="1" x14ac:dyDescent="0.25">
      <c r="A2686" s="167">
        <v>410</v>
      </c>
      <c r="B2686" s="167" t="s">
        <v>2454</v>
      </c>
      <c r="C2686" s="265" t="s">
        <v>2455</v>
      </c>
      <c r="D2686" s="60">
        <v>35482</v>
      </c>
      <c r="E2686" s="65">
        <v>17.058653846153845</v>
      </c>
      <c r="F2686" s="197">
        <v>1364.6923076923076</v>
      </c>
      <c r="G2686" s="197">
        <v>0</v>
      </c>
      <c r="H2686" s="65">
        <v>35482</v>
      </c>
      <c r="I2686" s="65"/>
      <c r="J2686" s="65"/>
      <c r="K2686" s="65"/>
      <c r="L2686" s="197">
        <v>35482</v>
      </c>
    </row>
    <row r="2687" spans="1:12" ht="15" customHeight="1" x14ac:dyDescent="0.25">
      <c r="A2687" s="167">
        <v>410</v>
      </c>
      <c r="B2687" s="167" t="s">
        <v>2457</v>
      </c>
      <c r="C2687" s="265" t="s">
        <v>2455</v>
      </c>
      <c r="D2687" s="60">
        <v>35482</v>
      </c>
      <c r="E2687" s="65">
        <v>17.058653846153845</v>
      </c>
      <c r="F2687" s="197">
        <v>1364.6923076923076</v>
      </c>
      <c r="G2687" s="197">
        <v>0</v>
      </c>
      <c r="H2687" s="65">
        <v>35482</v>
      </c>
      <c r="I2687" s="65"/>
      <c r="J2687" s="65"/>
      <c r="K2687" s="65"/>
      <c r="L2687" s="197">
        <v>35482</v>
      </c>
    </row>
    <row r="2688" spans="1:12" ht="15" customHeight="1" x14ac:dyDescent="0.25">
      <c r="A2688" s="167">
        <v>410</v>
      </c>
      <c r="B2688" s="167" t="s">
        <v>2460</v>
      </c>
      <c r="C2688" s="265" t="s">
        <v>2455</v>
      </c>
      <c r="D2688" s="60">
        <v>35482</v>
      </c>
      <c r="E2688" s="65">
        <v>17.058653846153845</v>
      </c>
      <c r="F2688" s="197">
        <v>1364.6923076923076</v>
      </c>
      <c r="G2688" s="197">
        <v>0</v>
      </c>
      <c r="H2688" s="65">
        <v>35482</v>
      </c>
      <c r="I2688" s="65"/>
      <c r="J2688" s="65"/>
      <c r="K2688" s="65"/>
      <c r="L2688" s="197">
        <v>35482</v>
      </c>
    </row>
    <row r="2689" spans="1:12" ht="15" customHeight="1" x14ac:dyDescent="0.25">
      <c r="A2689" s="167">
        <v>410</v>
      </c>
      <c r="B2689" s="167" t="s">
        <v>2463</v>
      </c>
      <c r="C2689" s="265" t="s">
        <v>2455</v>
      </c>
      <c r="D2689" s="60">
        <v>35482</v>
      </c>
      <c r="E2689" s="65">
        <v>17.058653846153845</v>
      </c>
      <c r="F2689" s="197">
        <v>1364.6923076923076</v>
      </c>
      <c r="G2689" s="197">
        <v>0</v>
      </c>
      <c r="H2689" s="65">
        <v>35482</v>
      </c>
      <c r="I2689" s="65"/>
      <c r="J2689" s="65"/>
      <c r="K2689" s="65"/>
      <c r="L2689" s="197">
        <v>35482</v>
      </c>
    </row>
    <row r="2690" spans="1:12" ht="15" customHeight="1" x14ac:dyDescent="0.25">
      <c r="A2690" s="167">
        <v>410</v>
      </c>
      <c r="B2690" s="167" t="s">
        <v>2464</v>
      </c>
      <c r="C2690" s="265" t="s">
        <v>2455</v>
      </c>
      <c r="D2690" s="60">
        <v>38156</v>
      </c>
      <c r="E2690" s="65">
        <v>18.344230769230769</v>
      </c>
      <c r="F2690" s="197">
        <v>1467.5384615384614</v>
      </c>
      <c r="G2690" s="197">
        <v>0</v>
      </c>
      <c r="H2690" s="65">
        <v>38156</v>
      </c>
      <c r="I2690" s="65"/>
      <c r="J2690" s="65"/>
      <c r="K2690" s="65"/>
      <c r="L2690" s="197">
        <v>38156</v>
      </c>
    </row>
    <row r="2691" spans="1:12" ht="15" customHeight="1" x14ac:dyDescent="0.25">
      <c r="A2691" s="167">
        <v>410</v>
      </c>
      <c r="B2691" s="167" t="s">
        <v>2467</v>
      </c>
      <c r="C2691" s="265" t="s">
        <v>2455</v>
      </c>
      <c r="D2691" s="60">
        <v>37469</v>
      </c>
      <c r="E2691" s="65">
        <v>18.013942307692307</v>
      </c>
      <c r="F2691" s="197">
        <v>1441.1153846153845</v>
      </c>
      <c r="G2691" s="197">
        <v>0</v>
      </c>
      <c r="H2691" s="65">
        <v>37469</v>
      </c>
      <c r="I2691" s="65"/>
      <c r="J2691" s="65"/>
      <c r="K2691" s="65"/>
      <c r="L2691" s="197">
        <v>37469</v>
      </c>
    </row>
    <row r="2692" spans="1:12" ht="15" customHeight="1" x14ac:dyDescent="0.25">
      <c r="A2692" s="167">
        <v>410</v>
      </c>
      <c r="B2692" s="167" t="s">
        <v>2470</v>
      </c>
      <c r="C2692" s="265" t="s">
        <v>2471</v>
      </c>
      <c r="D2692" s="60">
        <v>38971</v>
      </c>
      <c r="E2692" s="65">
        <v>18.736057692307693</v>
      </c>
      <c r="F2692" s="197">
        <v>1498.8846153846155</v>
      </c>
      <c r="G2692" s="197">
        <v>0</v>
      </c>
      <c r="H2692" s="65">
        <v>38971</v>
      </c>
      <c r="I2692" s="65"/>
      <c r="J2692" s="65"/>
      <c r="K2692" s="65"/>
      <c r="L2692" s="197">
        <v>38971</v>
      </c>
    </row>
    <row r="2693" spans="1:12" ht="15" customHeight="1" x14ac:dyDescent="0.25">
      <c r="A2693" s="167">
        <v>410</v>
      </c>
      <c r="B2693" s="247"/>
      <c r="C2693" s="265" t="s">
        <v>2474</v>
      </c>
      <c r="D2693" s="60">
        <v>6000</v>
      </c>
      <c r="E2693" s="65">
        <v>2.8846153846153846</v>
      </c>
      <c r="F2693" s="197">
        <v>230.76923076923077</v>
      </c>
      <c r="G2693" s="197">
        <v>0</v>
      </c>
      <c r="H2693" s="65">
        <v>6000</v>
      </c>
      <c r="I2693" s="65"/>
      <c r="J2693" s="65"/>
      <c r="K2693" s="65"/>
      <c r="L2693" s="197">
        <v>6000</v>
      </c>
    </row>
    <row r="2694" spans="1:12" ht="15" customHeight="1" x14ac:dyDescent="0.25">
      <c r="A2694" s="167">
        <v>410</v>
      </c>
      <c r="B2694" s="247"/>
      <c r="C2694" s="265" t="s">
        <v>2475</v>
      </c>
      <c r="D2694" s="60">
        <v>6000</v>
      </c>
      <c r="E2694" s="65">
        <v>2.8846153846153846</v>
      </c>
      <c r="F2694" s="197">
        <v>230.76923076923077</v>
      </c>
      <c r="G2694" s="197">
        <v>0</v>
      </c>
      <c r="H2694" s="65">
        <v>6000</v>
      </c>
      <c r="I2694" s="65"/>
      <c r="J2694" s="65"/>
      <c r="K2694" s="65"/>
      <c r="L2694" s="197">
        <v>6000</v>
      </c>
    </row>
    <row r="2695" spans="1:12" ht="15" customHeight="1" x14ac:dyDescent="0.25">
      <c r="A2695" s="247"/>
      <c r="B2695" s="247"/>
      <c r="C2695" s="247"/>
      <c r="D2695" s="85">
        <v>550070</v>
      </c>
      <c r="E2695" s="79"/>
      <c r="F2695" s="85">
        <v>21156.538461538461</v>
      </c>
      <c r="G2695" s="85">
        <v>0</v>
      </c>
      <c r="H2695" s="79">
        <v>550070</v>
      </c>
      <c r="I2695" s="85">
        <f t="shared" ref="I2695:K2695" si="974">SUM(I2678:I2694)</f>
        <v>0</v>
      </c>
      <c r="J2695" s="85">
        <f t="shared" si="974"/>
        <v>0</v>
      </c>
      <c r="K2695" s="85">
        <f t="shared" si="974"/>
        <v>0</v>
      </c>
      <c r="L2695" s="85">
        <v>550070</v>
      </c>
    </row>
    <row r="2696" spans="1:12" ht="15" customHeight="1" x14ac:dyDescent="0.25">
      <c r="A2696" s="247"/>
      <c r="B2696" s="247"/>
      <c r="C2696" s="247"/>
      <c r="D2696" s="60"/>
      <c r="E2696" s="65"/>
      <c r="F2696" s="65"/>
      <c r="G2696" s="65"/>
      <c r="H2696" s="65"/>
      <c r="I2696" s="65"/>
      <c r="J2696" s="65"/>
      <c r="K2696" s="65"/>
      <c r="L2696" s="65"/>
    </row>
    <row r="2697" spans="1:12" ht="15" customHeight="1" x14ac:dyDescent="0.25">
      <c r="A2697" s="247"/>
      <c r="B2697" s="247"/>
      <c r="C2697" s="247"/>
      <c r="D2697" s="60"/>
      <c r="E2697" s="65"/>
      <c r="F2697" s="65"/>
      <c r="G2697" s="65"/>
      <c r="H2697" s="65"/>
      <c r="I2697" s="65"/>
      <c r="J2697" s="65"/>
      <c r="K2697" s="65"/>
      <c r="L2697" s="65"/>
    </row>
    <row r="2698" spans="1:12" ht="15" customHeight="1" x14ac:dyDescent="0.25">
      <c r="A2698" s="167">
        <v>412</v>
      </c>
      <c r="B2698" s="167" t="s">
        <v>2476</v>
      </c>
      <c r="C2698" s="265" t="s">
        <v>2477</v>
      </c>
      <c r="D2698" s="60">
        <v>55252</v>
      </c>
      <c r="E2698" s="65">
        <v>26.563461538461539</v>
      </c>
      <c r="F2698" s="197">
        <v>2125.0769230769229</v>
      </c>
      <c r="G2698" s="197">
        <v>0</v>
      </c>
      <c r="H2698" s="65">
        <v>55252</v>
      </c>
      <c r="I2698" s="65"/>
      <c r="J2698" s="65"/>
      <c r="K2698" s="65"/>
      <c r="L2698" s="197">
        <v>55252</v>
      </c>
    </row>
    <row r="2699" spans="1:12" ht="15" customHeight="1" x14ac:dyDescent="0.25">
      <c r="A2699" s="167">
        <v>412</v>
      </c>
      <c r="B2699" s="167" t="s">
        <v>2480</v>
      </c>
      <c r="C2699" s="265" t="s">
        <v>2481</v>
      </c>
      <c r="D2699" s="60">
        <v>39030</v>
      </c>
      <c r="E2699" s="65">
        <v>18.764423076923077</v>
      </c>
      <c r="F2699" s="197">
        <v>1501.1538461538462</v>
      </c>
      <c r="G2699" s="197">
        <v>0</v>
      </c>
      <c r="H2699" s="65">
        <v>39030</v>
      </c>
      <c r="I2699" s="65"/>
      <c r="J2699" s="65"/>
      <c r="K2699" s="65"/>
      <c r="L2699" s="197">
        <v>39030</v>
      </c>
    </row>
    <row r="2700" spans="1:12" ht="15" customHeight="1" x14ac:dyDescent="0.25">
      <c r="A2700" s="167">
        <v>412</v>
      </c>
      <c r="B2700" s="167" t="s">
        <v>2484</v>
      </c>
      <c r="C2700" s="265" t="s">
        <v>2485</v>
      </c>
      <c r="D2700" s="60">
        <v>35229</v>
      </c>
      <c r="E2700" s="65">
        <v>16.937019230769231</v>
      </c>
      <c r="F2700" s="197">
        <v>1354.9615384615386</v>
      </c>
      <c r="G2700" s="197">
        <v>0</v>
      </c>
      <c r="H2700" s="65">
        <v>35229</v>
      </c>
      <c r="I2700" s="65"/>
      <c r="J2700" s="65"/>
      <c r="K2700" s="65"/>
      <c r="L2700" s="197">
        <v>35229</v>
      </c>
    </row>
    <row r="2701" spans="1:12" ht="15" customHeight="1" x14ac:dyDescent="0.25">
      <c r="A2701" s="167">
        <v>412</v>
      </c>
      <c r="B2701" s="167" t="s">
        <v>2487</v>
      </c>
      <c r="C2701" s="265" t="s">
        <v>2485</v>
      </c>
      <c r="D2701" s="60">
        <v>35229</v>
      </c>
      <c r="E2701" s="65">
        <v>16.937019230769231</v>
      </c>
      <c r="F2701" s="197">
        <v>1354.9615384615386</v>
      </c>
      <c r="G2701" s="197">
        <v>0</v>
      </c>
      <c r="H2701" s="65">
        <v>35229</v>
      </c>
      <c r="I2701" s="65"/>
      <c r="J2701" s="65"/>
      <c r="K2701" s="65"/>
      <c r="L2701" s="197">
        <v>35229</v>
      </c>
    </row>
    <row r="2702" spans="1:12" ht="15" customHeight="1" x14ac:dyDescent="0.25">
      <c r="A2702" s="189">
        <v>412</v>
      </c>
      <c r="B2702" s="167" t="s">
        <v>2490</v>
      </c>
      <c r="C2702" s="181" t="s">
        <v>2491</v>
      </c>
      <c r="D2702" s="60">
        <v>35229</v>
      </c>
      <c r="E2702" s="60">
        <v>16.937019230769231</v>
      </c>
      <c r="F2702" s="77">
        <v>1354.9615384615386</v>
      </c>
      <c r="G2702" s="89">
        <v>0</v>
      </c>
      <c r="H2702" s="65">
        <v>35229</v>
      </c>
      <c r="I2702" s="60"/>
      <c r="J2702" s="60"/>
      <c r="K2702" s="60"/>
      <c r="L2702" s="77">
        <v>35229</v>
      </c>
    </row>
    <row r="2703" spans="1:12" ht="15" customHeight="1" x14ac:dyDescent="0.25">
      <c r="A2703" s="167">
        <v>412</v>
      </c>
      <c r="B2703" s="167" t="s">
        <v>2493</v>
      </c>
      <c r="C2703" s="265" t="s">
        <v>2494</v>
      </c>
      <c r="D2703" s="60">
        <v>60000</v>
      </c>
      <c r="E2703" s="65" t="s">
        <v>0</v>
      </c>
      <c r="F2703" s="197" t="s">
        <v>0</v>
      </c>
      <c r="G2703" s="197">
        <v>0</v>
      </c>
      <c r="H2703" s="65">
        <v>60000</v>
      </c>
      <c r="I2703" s="65"/>
      <c r="J2703" s="65"/>
      <c r="K2703" s="65"/>
      <c r="L2703" s="197">
        <v>60000</v>
      </c>
    </row>
    <row r="2704" spans="1:12" ht="15" customHeight="1" x14ac:dyDescent="0.25">
      <c r="A2704" s="167">
        <v>412</v>
      </c>
      <c r="B2704" s="247"/>
      <c r="C2704" s="265" t="s">
        <v>2495</v>
      </c>
      <c r="D2704" s="60">
        <v>15000</v>
      </c>
      <c r="E2704" s="65" t="s">
        <v>0</v>
      </c>
      <c r="F2704" s="197" t="s">
        <v>0</v>
      </c>
      <c r="G2704" s="197">
        <v>0</v>
      </c>
      <c r="H2704" s="65">
        <v>15000</v>
      </c>
      <c r="I2704" s="65"/>
      <c r="J2704" s="65"/>
      <c r="K2704" s="65"/>
      <c r="L2704" s="197">
        <v>15000</v>
      </c>
    </row>
    <row r="2705" spans="1:12" ht="15" customHeight="1" x14ac:dyDescent="0.25">
      <c r="A2705" s="167">
        <v>412</v>
      </c>
      <c r="B2705" s="247"/>
      <c r="C2705" s="247"/>
      <c r="D2705" s="85">
        <v>274969</v>
      </c>
      <c r="E2705" s="79"/>
      <c r="F2705" s="85">
        <v>7691.1153846153848</v>
      </c>
      <c r="G2705" s="85">
        <v>0</v>
      </c>
      <c r="H2705" s="79">
        <v>274969</v>
      </c>
      <c r="I2705" s="85">
        <f t="shared" ref="I2705:K2705" si="975">SUM(I2697:I2704)</f>
        <v>0</v>
      </c>
      <c r="J2705" s="85">
        <f t="shared" si="975"/>
        <v>0</v>
      </c>
      <c r="K2705" s="85">
        <f t="shared" si="975"/>
        <v>0</v>
      </c>
      <c r="L2705" s="85">
        <v>274969</v>
      </c>
    </row>
    <row r="2706" spans="1:12" ht="15" customHeight="1" x14ac:dyDescent="0.25">
      <c r="A2706" s="247"/>
      <c r="B2706" s="247"/>
      <c r="C2706" s="247"/>
      <c r="D2706" s="60"/>
      <c r="E2706" s="65"/>
      <c r="F2706" s="65"/>
      <c r="G2706" s="65"/>
      <c r="H2706" s="65"/>
      <c r="I2706" s="65"/>
      <c r="J2706" s="65"/>
      <c r="K2706" s="65"/>
      <c r="L2706" s="65"/>
    </row>
    <row r="2707" spans="1:12" ht="15" customHeight="1" x14ac:dyDescent="0.25">
      <c r="A2707" s="247"/>
      <c r="B2707" s="247"/>
      <c r="C2707" s="247"/>
      <c r="D2707" s="60"/>
      <c r="E2707" s="65"/>
      <c r="F2707" s="65"/>
      <c r="G2707" s="65"/>
      <c r="H2707" s="65"/>
      <c r="I2707" s="65"/>
      <c r="J2707" s="65"/>
      <c r="K2707" s="65"/>
      <c r="L2707" s="65"/>
    </row>
    <row r="2708" spans="1:12" ht="15" customHeight="1" x14ac:dyDescent="0.25">
      <c r="A2708" s="167">
        <v>413</v>
      </c>
      <c r="B2708" s="167">
        <v>413001</v>
      </c>
      <c r="C2708" s="265" t="s">
        <v>2496</v>
      </c>
      <c r="D2708" s="79">
        <v>16500</v>
      </c>
      <c r="E2708" s="79"/>
      <c r="F2708" s="85">
        <v>1153.8499999999999</v>
      </c>
      <c r="G2708" s="85">
        <v>0</v>
      </c>
      <c r="H2708" s="79">
        <v>16500</v>
      </c>
      <c r="I2708" s="85">
        <v>0</v>
      </c>
      <c r="J2708" s="85">
        <v>0</v>
      </c>
      <c r="K2708" s="85">
        <v>0</v>
      </c>
      <c r="L2708" s="85">
        <v>16500</v>
      </c>
    </row>
    <row r="2709" spans="1:12" ht="15" customHeight="1" x14ac:dyDescent="0.25">
      <c r="A2709" s="247"/>
      <c r="B2709" s="247"/>
      <c r="C2709" s="247"/>
      <c r="D2709" s="60"/>
      <c r="E2709" s="65"/>
      <c r="F2709" s="65"/>
      <c r="G2709" s="65"/>
      <c r="H2709" s="65"/>
      <c r="I2709" s="65"/>
      <c r="J2709" s="65"/>
      <c r="K2709" s="65"/>
      <c r="L2709" s="65"/>
    </row>
    <row r="2710" spans="1:12" ht="15" customHeight="1" x14ac:dyDescent="0.25">
      <c r="A2710" s="247"/>
      <c r="B2710" s="247"/>
      <c r="C2710" s="247"/>
      <c r="D2710" s="60"/>
      <c r="E2710" s="65"/>
      <c r="F2710" s="65"/>
      <c r="G2710" s="65"/>
      <c r="H2710" s="65"/>
      <c r="I2710" s="65"/>
      <c r="J2710" s="65"/>
      <c r="K2710" s="65"/>
      <c r="L2710" s="65"/>
    </row>
    <row r="2711" spans="1:12" ht="15" customHeight="1" x14ac:dyDescent="0.25">
      <c r="A2711" s="167">
        <v>425</v>
      </c>
      <c r="B2711" s="167" t="s">
        <v>2499</v>
      </c>
      <c r="C2711" s="181" t="s">
        <v>541</v>
      </c>
      <c r="D2711" s="60">
        <v>94500</v>
      </c>
      <c r="E2711" s="65">
        <v>45.432692307692307</v>
      </c>
      <c r="F2711" s="197">
        <v>3634.6153846153848</v>
      </c>
      <c r="G2711" s="197">
        <v>0</v>
      </c>
      <c r="H2711" s="65">
        <v>94500</v>
      </c>
      <c r="I2711" s="65"/>
      <c r="J2711" s="65"/>
      <c r="K2711" s="65"/>
      <c r="L2711" s="197">
        <v>94500</v>
      </c>
    </row>
    <row r="2712" spans="1:12" ht="15" customHeight="1" x14ac:dyDescent="0.25">
      <c r="A2712" s="167">
        <v>425</v>
      </c>
      <c r="B2712" s="167" t="s">
        <v>2499</v>
      </c>
      <c r="C2712" s="265" t="s">
        <v>541</v>
      </c>
      <c r="D2712" s="60">
        <v>85500</v>
      </c>
      <c r="E2712" s="65">
        <v>41.105769230769234</v>
      </c>
      <c r="F2712" s="197">
        <v>3288.4615384615386</v>
      </c>
      <c r="G2712" s="197">
        <v>0</v>
      </c>
      <c r="H2712" s="65">
        <v>85500</v>
      </c>
      <c r="I2712" s="65"/>
      <c r="J2712" s="65"/>
      <c r="K2712" s="65"/>
      <c r="L2712" s="197">
        <v>85500</v>
      </c>
    </row>
    <row r="2713" spans="1:12" ht="15" customHeight="1" x14ac:dyDescent="0.25">
      <c r="A2713" s="167">
        <v>425</v>
      </c>
      <c r="B2713" s="167" t="s">
        <v>2503</v>
      </c>
      <c r="C2713" s="265" t="s">
        <v>2504</v>
      </c>
      <c r="D2713" s="60">
        <v>94595</v>
      </c>
      <c r="E2713" s="65">
        <v>45.478365384615387</v>
      </c>
      <c r="F2713" s="197">
        <v>3638.2692307692309</v>
      </c>
      <c r="G2713" s="197">
        <v>0</v>
      </c>
      <c r="H2713" s="65">
        <v>94595</v>
      </c>
      <c r="I2713" s="65"/>
      <c r="J2713" s="65"/>
      <c r="K2713" s="65"/>
      <c r="L2713" s="197">
        <v>94595</v>
      </c>
    </row>
    <row r="2714" spans="1:12" ht="15" customHeight="1" x14ac:dyDescent="0.25">
      <c r="A2714" s="167">
        <v>425</v>
      </c>
      <c r="B2714" s="167" t="s">
        <v>2507</v>
      </c>
      <c r="C2714" s="265" t="s">
        <v>2508</v>
      </c>
      <c r="D2714" s="60">
        <v>49402</v>
      </c>
      <c r="E2714" s="65">
        <v>23.750961538461539</v>
      </c>
      <c r="F2714" s="197">
        <v>1900.0769230769231</v>
      </c>
      <c r="G2714" s="197">
        <v>0</v>
      </c>
      <c r="H2714" s="65">
        <v>49402</v>
      </c>
      <c r="I2714" s="65"/>
      <c r="J2714" s="65"/>
      <c r="K2714" s="65"/>
      <c r="L2714" s="197">
        <v>49402</v>
      </c>
    </row>
    <row r="2715" spans="1:12" ht="15" customHeight="1" x14ac:dyDescent="0.25">
      <c r="A2715" s="167">
        <v>425</v>
      </c>
      <c r="B2715" s="167">
        <v>440004</v>
      </c>
      <c r="C2715" s="265" t="s">
        <v>253</v>
      </c>
      <c r="D2715" s="60">
        <v>9000</v>
      </c>
      <c r="E2715" s="65" t="s">
        <v>0</v>
      </c>
      <c r="F2715" s="197" t="s">
        <v>0</v>
      </c>
      <c r="G2715" s="197">
        <v>0</v>
      </c>
      <c r="H2715" s="65">
        <v>9000</v>
      </c>
      <c r="I2715" s="65"/>
      <c r="J2715" s="65"/>
      <c r="K2715" s="65"/>
      <c r="L2715" s="197">
        <v>9000</v>
      </c>
    </row>
    <row r="2716" spans="1:12" ht="15" customHeight="1" x14ac:dyDescent="0.25">
      <c r="A2716" s="167">
        <v>425</v>
      </c>
      <c r="B2716" s="247"/>
      <c r="C2716" s="247"/>
      <c r="D2716" s="85">
        <v>332997</v>
      </c>
      <c r="E2716" s="79"/>
      <c r="F2716" s="85">
        <v>12461.423076923078</v>
      </c>
      <c r="G2716" s="85">
        <v>0</v>
      </c>
      <c r="H2716" s="79">
        <v>332997</v>
      </c>
      <c r="I2716" s="85">
        <f t="shared" ref="I2716:K2716" si="976">SUM(I2711:I2715)</f>
        <v>0</v>
      </c>
      <c r="J2716" s="85">
        <f t="shared" si="976"/>
        <v>0</v>
      </c>
      <c r="K2716" s="85">
        <f t="shared" si="976"/>
        <v>0</v>
      </c>
      <c r="L2716" s="85">
        <v>332997</v>
      </c>
    </row>
    <row r="2717" spans="1:12" ht="15" customHeight="1" x14ac:dyDescent="0.25">
      <c r="A2717" s="247"/>
      <c r="B2717" s="247"/>
      <c r="C2717" s="247"/>
      <c r="D2717" s="60"/>
      <c r="E2717" s="65"/>
      <c r="F2717" s="65"/>
      <c r="G2717" s="65"/>
      <c r="H2717" s="65"/>
      <c r="I2717" s="65"/>
      <c r="J2717" s="65"/>
      <c r="K2717" s="65"/>
      <c r="L2717" s="65"/>
    </row>
    <row r="2718" spans="1:12" ht="15" customHeight="1" x14ac:dyDescent="0.25">
      <c r="A2718" s="247"/>
      <c r="B2718" s="247"/>
      <c r="C2718" s="247"/>
      <c r="D2718" s="60"/>
      <c r="E2718" s="65"/>
      <c r="F2718" s="65"/>
      <c r="G2718" s="65"/>
      <c r="H2718" s="65"/>
      <c r="I2718" s="65"/>
      <c r="J2718" s="65"/>
      <c r="K2718" s="65"/>
      <c r="L2718" s="65"/>
    </row>
    <row r="2719" spans="1:12" ht="15" customHeight="1" x14ac:dyDescent="0.25">
      <c r="A2719" s="167">
        <v>426</v>
      </c>
      <c r="B2719" s="167" t="s">
        <v>2511</v>
      </c>
      <c r="C2719" s="181" t="s">
        <v>2512</v>
      </c>
      <c r="D2719" s="60">
        <v>91900</v>
      </c>
      <c r="E2719" s="65">
        <v>44.182692307692307</v>
      </c>
      <c r="F2719" s="197">
        <v>3534.6153846153848</v>
      </c>
      <c r="G2719" s="197">
        <v>0</v>
      </c>
      <c r="H2719" s="65">
        <v>91900</v>
      </c>
      <c r="I2719" s="65"/>
      <c r="J2719" s="65"/>
      <c r="K2719" s="65"/>
      <c r="L2719" s="197">
        <v>91900</v>
      </c>
    </row>
    <row r="2720" spans="1:12" ht="15" customHeight="1" x14ac:dyDescent="0.25">
      <c r="A2720" s="167">
        <v>426</v>
      </c>
      <c r="B2720" s="167" t="s">
        <v>2511</v>
      </c>
      <c r="C2720" s="265" t="s">
        <v>2512</v>
      </c>
      <c r="D2720" s="60">
        <v>92500</v>
      </c>
      <c r="E2720" s="65">
        <v>44.471153846153847</v>
      </c>
      <c r="F2720" s="197">
        <v>3557.6923076923076</v>
      </c>
      <c r="G2720" s="197">
        <v>0</v>
      </c>
      <c r="H2720" s="65">
        <v>92500</v>
      </c>
      <c r="I2720" s="65"/>
      <c r="J2720" s="65"/>
      <c r="K2720" s="65"/>
      <c r="L2720" s="197">
        <v>92500</v>
      </c>
    </row>
    <row r="2721" spans="1:12" ht="15" customHeight="1" x14ac:dyDescent="0.25">
      <c r="A2721" s="167">
        <v>426</v>
      </c>
      <c r="B2721" s="167" t="s">
        <v>2516</v>
      </c>
      <c r="C2721" s="265" t="s">
        <v>2517</v>
      </c>
      <c r="D2721" s="60">
        <v>94595</v>
      </c>
      <c r="E2721" s="65">
        <v>45.478365384615387</v>
      </c>
      <c r="F2721" s="197">
        <v>3638.2692307692309</v>
      </c>
      <c r="G2721" s="197">
        <v>0</v>
      </c>
      <c r="H2721" s="65">
        <v>94595</v>
      </c>
      <c r="I2721" s="65"/>
      <c r="J2721" s="65"/>
      <c r="K2721" s="65"/>
      <c r="L2721" s="197">
        <v>94595</v>
      </c>
    </row>
    <row r="2722" spans="1:12" ht="15" customHeight="1" x14ac:dyDescent="0.25">
      <c r="A2722" s="167">
        <v>426</v>
      </c>
      <c r="B2722" s="167" t="s">
        <v>2520</v>
      </c>
      <c r="C2722" s="265" t="s">
        <v>2521</v>
      </c>
      <c r="D2722" s="60">
        <v>49402</v>
      </c>
      <c r="E2722" s="65">
        <v>23.750961538461539</v>
      </c>
      <c r="F2722" s="197">
        <v>1900.0769230769231</v>
      </c>
      <c r="G2722" s="197">
        <v>0</v>
      </c>
      <c r="H2722" s="65">
        <v>49402</v>
      </c>
      <c r="I2722" s="65"/>
      <c r="J2722" s="65"/>
      <c r="K2722" s="65"/>
      <c r="L2722" s="197">
        <v>49402</v>
      </c>
    </row>
    <row r="2723" spans="1:12" ht="15" customHeight="1" x14ac:dyDescent="0.25">
      <c r="A2723" s="167">
        <v>426</v>
      </c>
      <c r="B2723" s="167" t="s">
        <v>2524</v>
      </c>
      <c r="C2723" s="265" t="s">
        <v>2525</v>
      </c>
      <c r="D2723" s="60">
        <v>15600</v>
      </c>
      <c r="E2723" s="65">
        <v>15</v>
      </c>
      <c r="F2723" s="197">
        <v>600</v>
      </c>
      <c r="G2723" s="197">
        <v>0</v>
      </c>
      <c r="H2723" s="65">
        <v>15600</v>
      </c>
      <c r="I2723" s="65"/>
      <c r="J2723" s="197">
        <v>200</v>
      </c>
      <c r="K2723" s="65"/>
      <c r="L2723" s="197">
        <v>15800</v>
      </c>
    </row>
    <row r="2724" spans="1:12" ht="15" customHeight="1" x14ac:dyDescent="0.25">
      <c r="A2724" s="167">
        <v>426</v>
      </c>
      <c r="B2724" s="167">
        <v>440005</v>
      </c>
      <c r="C2724" s="265" t="s">
        <v>253</v>
      </c>
      <c r="D2724" s="60">
        <v>9000</v>
      </c>
      <c r="E2724" s="65">
        <v>4.33</v>
      </c>
      <c r="F2724" s="197">
        <v>346.15</v>
      </c>
      <c r="G2724" s="197">
        <v>0</v>
      </c>
      <c r="H2724" s="65">
        <v>9000</v>
      </c>
      <c r="I2724" s="65"/>
      <c r="J2724" s="65"/>
      <c r="K2724" s="65"/>
      <c r="L2724" s="197">
        <v>9000</v>
      </c>
    </row>
    <row r="2725" spans="1:12" ht="15" customHeight="1" x14ac:dyDescent="0.25">
      <c r="A2725" s="167">
        <v>426</v>
      </c>
      <c r="B2725" s="247"/>
      <c r="C2725" s="247"/>
      <c r="D2725" s="85">
        <v>352997</v>
      </c>
      <c r="E2725" s="79"/>
      <c r="F2725" s="85">
        <v>13576.803846153847</v>
      </c>
      <c r="G2725" s="85">
        <v>0</v>
      </c>
      <c r="H2725" s="79">
        <v>352997</v>
      </c>
      <c r="I2725" s="85">
        <f t="shared" ref="I2725:K2725" si="977">SUM(I2718:I2724)</f>
        <v>0</v>
      </c>
      <c r="J2725" s="85">
        <f t="shared" si="977"/>
        <v>200</v>
      </c>
      <c r="K2725" s="85">
        <f t="shared" si="977"/>
        <v>0</v>
      </c>
      <c r="L2725" s="85">
        <v>353197</v>
      </c>
    </row>
    <row r="2726" spans="1:12" ht="15" customHeight="1" x14ac:dyDescent="0.25">
      <c r="A2726" s="247"/>
      <c r="B2726" s="247"/>
      <c r="C2726" s="247"/>
      <c r="D2726" s="60"/>
      <c r="E2726" s="65"/>
      <c r="F2726" s="65"/>
      <c r="G2726" s="65"/>
      <c r="H2726" s="65"/>
      <c r="I2726" s="65"/>
      <c r="J2726" s="65"/>
      <c r="K2726" s="65"/>
      <c r="L2726" s="65"/>
    </row>
    <row r="2727" spans="1:12" ht="15" customHeight="1" x14ac:dyDescent="0.25">
      <c r="A2727" s="265"/>
      <c r="B2727" s="265"/>
      <c r="C2727" s="265"/>
      <c r="D2727" s="60"/>
      <c r="E2727" s="65"/>
      <c r="F2727" s="197"/>
      <c r="G2727" s="197"/>
      <c r="H2727" s="65"/>
      <c r="I2727" s="65"/>
      <c r="J2727" s="65"/>
      <c r="K2727" s="65"/>
      <c r="L2727" s="65"/>
    </row>
    <row r="2728" spans="1:12" ht="15" customHeight="1" x14ac:dyDescent="0.25">
      <c r="A2728" s="167">
        <v>431</v>
      </c>
      <c r="B2728" s="167" t="s">
        <v>2528</v>
      </c>
      <c r="C2728" s="265" t="s">
        <v>2529</v>
      </c>
      <c r="D2728" s="60">
        <v>43102</v>
      </c>
      <c r="E2728" s="65">
        <v>20.722115384615385</v>
      </c>
      <c r="F2728" s="197">
        <v>1657.7692307692307</v>
      </c>
      <c r="G2728" s="197">
        <v>0</v>
      </c>
      <c r="H2728" s="65">
        <v>43102</v>
      </c>
      <c r="I2728" s="65"/>
      <c r="J2728" s="65"/>
      <c r="K2728" s="65"/>
      <c r="L2728" s="197">
        <v>43102</v>
      </c>
    </row>
    <row r="2729" spans="1:12" ht="15" customHeight="1" x14ac:dyDescent="0.25">
      <c r="A2729" s="167">
        <v>431</v>
      </c>
      <c r="B2729" s="167" t="s">
        <v>2532</v>
      </c>
      <c r="C2729" s="265" t="s">
        <v>2529</v>
      </c>
      <c r="D2729" s="66">
        <v>0</v>
      </c>
      <c r="E2729" s="65">
        <v>0</v>
      </c>
      <c r="F2729" s="197">
        <v>0</v>
      </c>
      <c r="G2729" s="197">
        <v>0</v>
      </c>
      <c r="H2729" s="65">
        <v>0</v>
      </c>
      <c r="I2729" s="65"/>
      <c r="J2729" s="65"/>
      <c r="K2729" s="65"/>
      <c r="L2729" s="197">
        <v>0</v>
      </c>
    </row>
    <row r="2730" spans="1:12" ht="15" customHeight="1" x14ac:dyDescent="0.25">
      <c r="A2730" s="247"/>
      <c r="B2730" s="265" t="s">
        <v>0</v>
      </c>
      <c r="C2730" s="265" t="s">
        <v>0</v>
      </c>
      <c r="D2730" s="85">
        <v>43102</v>
      </c>
      <c r="E2730" s="79"/>
      <c r="F2730" s="85">
        <v>1657.7692307692307</v>
      </c>
      <c r="G2730" s="85">
        <v>0</v>
      </c>
      <c r="H2730" s="79">
        <v>43102</v>
      </c>
      <c r="I2730" s="85">
        <f t="shared" ref="I2730:K2730" si="978">SUM(I2726:I2729)</f>
        <v>0</v>
      </c>
      <c r="J2730" s="85">
        <f t="shared" si="978"/>
        <v>0</v>
      </c>
      <c r="K2730" s="85">
        <f t="shared" si="978"/>
        <v>0</v>
      </c>
      <c r="L2730" s="85">
        <v>43102</v>
      </c>
    </row>
    <row r="2731" spans="1:12" ht="15" customHeight="1" x14ac:dyDescent="0.25">
      <c r="A2731" s="247"/>
      <c r="B2731" s="247"/>
      <c r="C2731" s="247"/>
      <c r="D2731" s="60"/>
      <c r="E2731" s="65"/>
      <c r="F2731" s="65"/>
      <c r="G2731" s="65"/>
      <c r="H2731" s="65"/>
      <c r="I2731" s="65"/>
      <c r="J2731" s="65"/>
      <c r="K2731" s="65"/>
      <c r="L2731" s="65"/>
    </row>
    <row r="2732" spans="1:12" ht="15" customHeight="1" x14ac:dyDescent="0.25">
      <c r="A2732" s="247"/>
      <c r="B2732" s="247"/>
      <c r="C2732" s="247"/>
      <c r="D2732" s="60"/>
      <c r="E2732" s="65"/>
      <c r="F2732" s="65"/>
      <c r="G2732" s="65"/>
      <c r="H2732" s="65"/>
      <c r="I2732" s="65"/>
      <c r="J2732" s="65"/>
      <c r="K2732" s="65"/>
      <c r="L2732" s="65"/>
    </row>
    <row r="2733" spans="1:12" ht="15" customHeight="1" x14ac:dyDescent="0.25">
      <c r="A2733" s="247"/>
      <c r="B2733" s="247"/>
      <c r="C2733" s="247"/>
      <c r="D2733" s="60"/>
      <c r="E2733" s="65"/>
      <c r="F2733" s="65"/>
      <c r="G2733" s="65"/>
      <c r="H2733" s="65"/>
      <c r="I2733" s="65"/>
      <c r="J2733" s="65"/>
      <c r="K2733" s="65"/>
      <c r="L2733" s="65"/>
    </row>
    <row r="2734" spans="1:12" ht="15" customHeight="1" x14ac:dyDescent="0.25">
      <c r="A2734" s="247"/>
      <c r="B2734" s="247"/>
      <c r="C2734" s="247"/>
      <c r="D2734" s="60"/>
      <c r="E2734" s="65"/>
      <c r="F2734" s="65"/>
      <c r="G2734" s="65"/>
      <c r="H2734" s="65"/>
      <c r="I2734" s="65"/>
      <c r="J2734" s="65"/>
      <c r="K2734" s="65"/>
      <c r="L2734" s="65"/>
    </row>
    <row r="2735" spans="1:12" ht="15" customHeight="1" x14ac:dyDescent="0.25">
      <c r="A2735" s="167">
        <v>433</v>
      </c>
      <c r="B2735" s="167" t="s">
        <v>2534</v>
      </c>
      <c r="C2735" s="265" t="s">
        <v>2535</v>
      </c>
      <c r="D2735" s="60">
        <v>48203.75</v>
      </c>
      <c r="E2735" s="65">
        <v>23.174879807692307</v>
      </c>
      <c r="F2735" s="197">
        <v>1853.9903846153845</v>
      </c>
      <c r="G2735" s="197">
        <v>0</v>
      </c>
      <c r="H2735" s="65">
        <v>48203.75</v>
      </c>
      <c r="I2735" s="65"/>
      <c r="J2735" s="65"/>
      <c r="K2735" s="65"/>
      <c r="L2735" s="197">
        <v>48203.75</v>
      </c>
    </row>
    <row r="2736" spans="1:12" ht="15" customHeight="1" x14ac:dyDescent="0.25">
      <c r="A2736" s="167">
        <v>433</v>
      </c>
      <c r="B2736" s="167" t="s">
        <v>2538</v>
      </c>
      <c r="C2736" s="265" t="s">
        <v>2539</v>
      </c>
      <c r="D2736" s="60">
        <v>49402</v>
      </c>
      <c r="E2736" s="65">
        <v>23.750961538461539</v>
      </c>
      <c r="F2736" s="197">
        <v>1900.0769230769231</v>
      </c>
      <c r="G2736" s="197">
        <v>0</v>
      </c>
      <c r="H2736" s="65">
        <v>49402</v>
      </c>
      <c r="I2736" s="65"/>
      <c r="J2736" s="65"/>
      <c r="K2736" s="65"/>
      <c r="L2736" s="197">
        <v>49402</v>
      </c>
    </row>
    <row r="2737" spans="1:12" ht="15" customHeight="1" x14ac:dyDescent="0.25">
      <c r="A2737" s="167">
        <v>433</v>
      </c>
      <c r="B2737" s="167" t="s">
        <v>2542</v>
      </c>
      <c r="C2737" s="265" t="s">
        <v>2543</v>
      </c>
      <c r="D2737" s="60">
        <v>9000</v>
      </c>
      <c r="E2737" s="65">
        <v>4.33</v>
      </c>
      <c r="F2737" s="197">
        <v>346.15</v>
      </c>
      <c r="G2737" s="197">
        <v>0</v>
      </c>
      <c r="H2737" s="65">
        <v>9000</v>
      </c>
      <c r="I2737" s="65"/>
      <c r="J2737" s="65"/>
      <c r="K2737" s="65"/>
      <c r="L2737" s="197">
        <v>9000</v>
      </c>
    </row>
    <row r="2738" spans="1:12" ht="15" customHeight="1" x14ac:dyDescent="0.25">
      <c r="A2738" s="167">
        <v>433</v>
      </c>
      <c r="B2738" s="167" t="s">
        <v>2542</v>
      </c>
      <c r="C2738" s="181" t="s">
        <v>2545</v>
      </c>
      <c r="D2738" s="60">
        <v>1405.07</v>
      </c>
      <c r="E2738" s="65">
        <v>0.52</v>
      </c>
      <c r="F2738" s="197">
        <v>41.62</v>
      </c>
      <c r="G2738" s="197">
        <v>0</v>
      </c>
      <c r="H2738" s="65">
        <v>1405.07</v>
      </c>
      <c r="I2738" s="65"/>
      <c r="J2738" s="65"/>
      <c r="K2738" s="65"/>
      <c r="L2738" s="197">
        <v>1405.07</v>
      </c>
    </row>
    <row r="2739" spans="1:12" ht="15" customHeight="1" x14ac:dyDescent="0.25">
      <c r="A2739" s="167">
        <v>433</v>
      </c>
      <c r="B2739" s="167">
        <v>433003</v>
      </c>
      <c r="C2739" s="265" t="s">
        <v>2525</v>
      </c>
      <c r="D2739" s="60">
        <v>8320</v>
      </c>
      <c r="E2739" s="65"/>
      <c r="F2739" s="65"/>
      <c r="G2739" s="65">
        <v>0</v>
      </c>
      <c r="H2739" s="65">
        <v>8320</v>
      </c>
      <c r="I2739" s="65"/>
      <c r="J2739" s="65"/>
      <c r="K2739" s="65"/>
      <c r="L2739" s="197">
        <v>8320</v>
      </c>
    </row>
    <row r="2740" spans="1:12" ht="15" customHeight="1" x14ac:dyDescent="0.25">
      <c r="A2740" s="167">
        <v>433</v>
      </c>
      <c r="B2740" s="247"/>
      <c r="C2740" s="247"/>
      <c r="D2740" s="85">
        <v>116330.82</v>
      </c>
      <c r="E2740" s="79"/>
      <c r="F2740" s="85">
        <v>4141.8373076923071</v>
      </c>
      <c r="G2740" s="85">
        <v>0</v>
      </c>
      <c r="H2740" s="79">
        <v>116330.82</v>
      </c>
      <c r="I2740" s="85">
        <f t="shared" ref="I2740:K2740" si="979">SUM(I2734:I2739)</f>
        <v>0</v>
      </c>
      <c r="J2740" s="85">
        <f t="shared" si="979"/>
        <v>0</v>
      </c>
      <c r="K2740" s="85">
        <f t="shared" si="979"/>
        <v>0</v>
      </c>
      <c r="L2740" s="85">
        <v>116330.82</v>
      </c>
    </row>
    <row r="2741" spans="1:12" ht="15" customHeight="1" x14ac:dyDescent="0.25">
      <c r="A2741" s="247"/>
      <c r="B2741" s="247"/>
      <c r="C2741" s="247"/>
      <c r="D2741" s="60"/>
      <c r="E2741" s="65"/>
      <c r="F2741" s="65"/>
      <c r="G2741" s="65"/>
      <c r="H2741" s="65"/>
      <c r="I2741" s="65"/>
      <c r="J2741" s="65"/>
      <c r="K2741" s="65"/>
      <c r="L2741" s="65"/>
    </row>
    <row r="2742" spans="1:12" ht="15" customHeight="1" x14ac:dyDescent="0.25">
      <c r="A2742" s="247"/>
      <c r="B2742" s="247"/>
      <c r="C2742" s="247"/>
      <c r="D2742" s="60"/>
      <c r="E2742" s="65"/>
      <c r="F2742" s="65"/>
      <c r="G2742" s="65"/>
      <c r="H2742" s="65"/>
      <c r="I2742" s="65"/>
      <c r="J2742" s="65"/>
      <c r="K2742" s="65"/>
      <c r="L2742" s="65"/>
    </row>
    <row r="2743" spans="1:12" ht="15" customHeight="1" x14ac:dyDescent="0.25">
      <c r="A2743" s="167">
        <v>434</v>
      </c>
      <c r="B2743" s="167">
        <v>17301</v>
      </c>
      <c r="C2743" s="265" t="s">
        <v>2547</v>
      </c>
      <c r="D2743" s="60">
        <v>94595</v>
      </c>
      <c r="E2743" s="65">
        <v>45.478365384615387</v>
      </c>
      <c r="F2743" s="197">
        <v>3638.2692307692309</v>
      </c>
      <c r="G2743" s="197">
        <v>0</v>
      </c>
      <c r="H2743" s="65">
        <v>94595</v>
      </c>
      <c r="I2743" s="65"/>
      <c r="J2743" s="65"/>
      <c r="K2743" s="65"/>
      <c r="L2743" s="197">
        <v>94595</v>
      </c>
    </row>
    <row r="2744" spans="1:12" ht="15" customHeight="1" x14ac:dyDescent="0.25">
      <c r="A2744" s="167">
        <v>434</v>
      </c>
      <c r="B2744" s="167">
        <v>17302</v>
      </c>
      <c r="C2744" s="265" t="s">
        <v>2550</v>
      </c>
      <c r="D2744" s="60">
        <v>42120</v>
      </c>
      <c r="E2744" s="65">
        <v>20.25</v>
      </c>
      <c r="F2744" s="197">
        <v>1620</v>
      </c>
      <c r="G2744" s="197">
        <v>0</v>
      </c>
      <c r="H2744" s="65">
        <v>42120</v>
      </c>
      <c r="I2744" s="65"/>
      <c r="J2744" s="65"/>
      <c r="K2744" s="65"/>
      <c r="L2744" s="197">
        <v>42120</v>
      </c>
    </row>
    <row r="2745" spans="1:12" ht="15" customHeight="1" x14ac:dyDescent="0.25">
      <c r="A2745" s="167">
        <v>434</v>
      </c>
      <c r="B2745" s="167">
        <v>17303</v>
      </c>
      <c r="C2745" s="265" t="s">
        <v>2553</v>
      </c>
      <c r="D2745" s="60">
        <v>49402</v>
      </c>
      <c r="E2745" s="65">
        <v>23.750961538461539</v>
      </c>
      <c r="F2745" s="197">
        <v>1900.0769230769231</v>
      </c>
      <c r="G2745" s="197">
        <v>0</v>
      </c>
      <c r="H2745" s="65">
        <v>49402</v>
      </c>
      <c r="I2745" s="65"/>
      <c r="J2745" s="65"/>
      <c r="K2745" s="65"/>
      <c r="L2745" s="197">
        <v>49402</v>
      </c>
    </row>
    <row r="2746" spans="1:12" ht="15" customHeight="1" x14ac:dyDescent="0.25">
      <c r="A2746" s="167">
        <v>434</v>
      </c>
      <c r="B2746" s="167">
        <v>17304</v>
      </c>
      <c r="C2746" s="265" t="s">
        <v>2556</v>
      </c>
      <c r="D2746" s="60">
        <v>9000</v>
      </c>
      <c r="E2746" s="65">
        <v>4.33</v>
      </c>
      <c r="F2746" s="197">
        <v>346.15</v>
      </c>
      <c r="G2746" s="197">
        <v>0</v>
      </c>
      <c r="H2746" s="65">
        <v>9000</v>
      </c>
      <c r="I2746" s="65"/>
      <c r="J2746" s="65"/>
      <c r="K2746" s="65"/>
      <c r="L2746" s="197">
        <v>9000</v>
      </c>
    </row>
    <row r="2747" spans="1:12" ht="15" customHeight="1" x14ac:dyDescent="0.25">
      <c r="A2747" s="167">
        <v>434</v>
      </c>
      <c r="B2747" s="167">
        <v>440002</v>
      </c>
      <c r="C2747" s="181" t="s">
        <v>2559</v>
      </c>
      <c r="D2747" s="60">
        <v>9000</v>
      </c>
      <c r="E2747" s="65">
        <v>3.1</v>
      </c>
      <c r="F2747" s="197">
        <v>247.98</v>
      </c>
      <c r="G2747" s="197">
        <v>0</v>
      </c>
      <c r="H2747" s="65">
        <v>9000</v>
      </c>
      <c r="I2747" s="65"/>
      <c r="J2747" s="65"/>
      <c r="K2747" s="65"/>
      <c r="L2747" s="197">
        <v>9000</v>
      </c>
    </row>
    <row r="2748" spans="1:12" ht="15" customHeight="1" x14ac:dyDescent="0.25">
      <c r="A2748" s="167">
        <v>434</v>
      </c>
      <c r="B2748" s="247"/>
      <c r="C2748" s="247"/>
      <c r="D2748" s="85">
        <v>204117</v>
      </c>
      <c r="E2748" s="79"/>
      <c r="F2748" s="85">
        <v>7752.4761538461526</v>
      </c>
      <c r="G2748" s="85">
        <v>0</v>
      </c>
      <c r="H2748" s="79">
        <v>204117</v>
      </c>
      <c r="I2748" s="85">
        <f t="shared" ref="I2748:K2748" si="980">SUM(I2743:I2747)</f>
        <v>0</v>
      </c>
      <c r="J2748" s="85">
        <f t="shared" si="980"/>
        <v>0</v>
      </c>
      <c r="K2748" s="85">
        <f t="shared" si="980"/>
        <v>0</v>
      </c>
      <c r="L2748" s="85">
        <v>204117</v>
      </c>
    </row>
    <row r="2749" spans="1:12" ht="15" customHeight="1" x14ac:dyDescent="0.25">
      <c r="A2749" s="247"/>
      <c r="B2749" s="181"/>
      <c r="C2749" s="247"/>
      <c r="D2749" s="181"/>
      <c r="E2749" s="181"/>
      <c r="F2749" s="181"/>
      <c r="G2749" s="65"/>
      <c r="H2749" s="65"/>
      <c r="I2749" s="65"/>
      <c r="J2749" s="65"/>
      <c r="K2749" s="65"/>
      <c r="L2749" s="65"/>
    </row>
    <row r="2750" spans="1:12" ht="15" customHeight="1" x14ac:dyDescent="0.25">
      <c r="A2750" s="247"/>
      <c r="B2750" s="247"/>
      <c r="C2750" s="247"/>
      <c r="D2750" s="60"/>
      <c r="E2750" s="65"/>
      <c r="F2750" s="65"/>
      <c r="G2750" s="65"/>
      <c r="H2750" s="65"/>
      <c r="I2750" s="65"/>
      <c r="J2750" s="65"/>
      <c r="K2750" s="65"/>
      <c r="L2750" s="65"/>
    </row>
    <row r="2751" spans="1:12" ht="15" customHeight="1" x14ac:dyDescent="0.25">
      <c r="A2751" s="247"/>
      <c r="B2751" s="247"/>
      <c r="C2751" s="247"/>
      <c r="D2751" s="60"/>
      <c r="E2751" s="65"/>
      <c r="F2751" s="65"/>
      <c r="G2751" s="65"/>
      <c r="H2751" s="65"/>
      <c r="I2751" s="65"/>
      <c r="J2751" s="65"/>
      <c r="K2751" s="65"/>
      <c r="L2751" s="65"/>
    </row>
    <row r="2752" spans="1:12" ht="15" customHeight="1" x14ac:dyDescent="0.25">
      <c r="A2752" s="247"/>
      <c r="B2752" s="247"/>
      <c r="C2752" s="247"/>
      <c r="D2752" s="60"/>
      <c r="E2752" s="65"/>
      <c r="F2752" s="65"/>
      <c r="G2752" s="65"/>
      <c r="H2752" s="65"/>
      <c r="I2752" s="65"/>
      <c r="J2752" s="65"/>
      <c r="K2752" s="65"/>
      <c r="L2752" s="65"/>
    </row>
    <row r="2753" spans="1:12" ht="15" customHeight="1" x14ac:dyDescent="0.25">
      <c r="A2753" s="167">
        <v>435</v>
      </c>
      <c r="B2753" s="167">
        <v>39201</v>
      </c>
      <c r="C2753" s="265" t="s">
        <v>2561</v>
      </c>
      <c r="D2753" s="60">
        <v>99893</v>
      </c>
      <c r="E2753" s="65">
        <v>48.025480769230768</v>
      </c>
      <c r="F2753" s="197">
        <v>3842.0384615384614</v>
      </c>
      <c r="G2753" s="197">
        <v>0</v>
      </c>
      <c r="H2753" s="65">
        <v>99893</v>
      </c>
      <c r="I2753" s="65"/>
      <c r="J2753" s="65"/>
      <c r="K2753" s="65"/>
      <c r="L2753" s="197">
        <v>99893</v>
      </c>
    </row>
    <row r="2754" spans="1:12" ht="15" customHeight="1" x14ac:dyDescent="0.25">
      <c r="A2754" s="167">
        <v>435</v>
      </c>
      <c r="B2754" s="167">
        <v>39202</v>
      </c>
      <c r="C2754" s="265" t="s">
        <v>2564</v>
      </c>
      <c r="D2754" s="60">
        <v>45294</v>
      </c>
      <c r="E2754" s="65">
        <v>21.775961538461537</v>
      </c>
      <c r="F2754" s="197">
        <v>1742.0769230769231</v>
      </c>
      <c r="G2754" s="197">
        <v>0</v>
      </c>
      <c r="H2754" s="65">
        <v>45294</v>
      </c>
      <c r="I2754" s="65"/>
      <c r="J2754" s="65"/>
      <c r="K2754" s="197">
        <v>1000</v>
      </c>
      <c r="L2754" s="197">
        <v>46294</v>
      </c>
    </row>
    <row r="2755" spans="1:12" ht="15" customHeight="1" x14ac:dyDescent="0.25">
      <c r="A2755" s="167">
        <v>435</v>
      </c>
      <c r="B2755" s="167">
        <v>39203</v>
      </c>
      <c r="C2755" s="265" t="s">
        <v>2567</v>
      </c>
      <c r="D2755" s="60">
        <v>49402</v>
      </c>
      <c r="E2755" s="65">
        <v>23.750961538461539</v>
      </c>
      <c r="F2755" s="197">
        <v>1900.0769230769231</v>
      </c>
      <c r="G2755" s="197">
        <v>0</v>
      </c>
      <c r="H2755" s="65">
        <v>49402</v>
      </c>
      <c r="I2755" s="65"/>
      <c r="J2755" s="65"/>
      <c r="K2755" s="65"/>
      <c r="L2755" s="197">
        <v>49402</v>
      </c>
    </row>
    <row r="2756" spans="1:12" ht="15" customHeight="1" x14ac:dyDescent="0.25">
      <c r="A2756" s="167">
        <v>435</v>
      </c>
      <c r="B2756" s="167">
        <v>39204</v>
      </c>
      <c r="C2756" s="265" t="s">
        <v>2570</v>
      </c>
      <c r="D2756" s="60">
        <v>9000</v>
      </c>
      <c r="E2756" s="65">
        <v>4.33</v>
      </c>
      <c r="F2756" s="197">
        <v>346.15</v>
      </c>
      <c r="G2756" s="197">
        <v>0</v>
      </c>
      <c r="H2756" s="65">
        <v>9000</v>
      </c>
      <c r="I2756" s="65"/>
      <c r="J2756" s="65"/>
      <c r="K2756" s="65"/>
      <c r="L2756" s="197">
        <v>9000</v>
      </c>
    </row>
    <row r="2757" spans="1:12" ht="15" customHeight="1" x14ac:dyDescent="0.25">
      <c r="A2757" s="167">
        <v>435</v>
      </c>
      <c r="B2757" s="167">
        <v>440003</v>
      </c>
      <c r="C2757" s="181" t="s">
        <v>2573</v>
      </c>
      <c r="D2757" s="60">
        <v>9000</v>
      </c>
      <c r="E2757" s="65">
        <v>3.1</v>
      </c>
      <c r="F2757" s="197">
        <v>247.98</v>
      </c>
      <c r="G2757" s="197">
        <v>0</v>
      </c>
      <c r="H2757" s="65">
        <v>9000</v>
      </c>
      <c r="I2757" s="65"/>
      <c r="J2757" s="65"/>
      <c r="K2757" s="65"/>
      <c r="L2757" s="197">
        <v>9000</v>
      </c>
    </row>
    <row r="2758" spans="1:12" ht="15" customHeight="1" x14ac:dyDescent="0.25">
      <c r="A2758" s="167">
        <v>435</v>
      </c>
      <c r="B2758" s="247"/>
      <c r="C2758" s="247"/>
      <c r="D2758" s="85">
        <v>212589</v>
      </c>
      <c r="E2758" s="79"/>
      <c r="F2758" s="85">
        <v>8078.3223076923068</v>
      </c>
      <c r="G2758" s="85">
        <v>0</v>
      </c>
      <c r="H2758" s="79">
        <v>212589</v>
      </c>
      <c r="I2758" s="85">
        <f t="shared" ref="I2758:K2758" si="981">SUM(I2753:I2757)</f>
        <v>0</v>
      </c>
      <c r="J2758" s="85">
        <f t="shared" si="981"/>
        <v>0</v>
      </c>
      <c r="K2758" s="85">
        <f t="shared" si="981"/>
        <v>1000</v>
      </c>
      <c r="L2758" s="85">
        <v>213589</v>
      </c>
    </row>
    <row r="2759" spans="1:12" ht="15" customHeight="1" x14ac:dyDescent="0.25">
      <c r="A2759" s="247"/>
      <c r="B2759" s="247"/>
      <c r="C2759" s="247"/>
      <c r="D2759" s="60"/>
      <c r="E2759" s="65"/>
      <c r="F2759" s="65"/>
      <c r="G2759" s="65"/>
      <c r="H2759" s="65"/>
      <c r="I2759" s="65"/>
      <c r="J2759" s="65"/>
      <c r="K2759" s="65"/>
      <c r="L2759" s="65"/>
    </row>
    <row r="2760" spans="1:12" ht="15" customHeight="1" x14ac:dyDescent="0.25">
      <c r="A2760" s="247"/>
      <c r="B2760" s="247"/>
      <c r="C2760" s="247"/>
      <c r="D2760" s="60"/>
      <c r="E2760" s="65"/>
      <c r="F2760" s="65"/>
      <c r="G2760" s="65"/>
      <c r="H2760" s="65"/>
      <c r="I2760" s="65"/>
      <c r="J2760" s="65"/>
      <c r="K2760" s="65"/>
      <c r="L2760" s="65"/>
    </row>
    <row r="2761" spans="1:12" ht="15" customHeight="1" x14ac:dyDescent="0.25">
      <c r="A2761" s="167">
        <v>445</v>
      </c>
      <c r="B2761" s="167" t="s">
        <v>2575</v>
      </c>
      <c r="C2761" s="265" t="s">
        <v>697</v>
      </c>
      <c r="D2761" s="60">
        <v>64804</v>
      </c>
      <c r="E2761" s="65">
        <v>31.155769230769231</v>
      </c>
      <c r="F2761" s="197">
        <v>2492.4615384615386</v>
      </c>
      <c r="G2761" s="197">
        <v>0</v>
      </c>
      <c r="H2761" s="65">
        <v>64804</v>
      </c>
      <c r="I2761" s="65"/>
      <c r="J2761" s="65"/>
      <c r="K2761" s="65"/>
      <c r="L2761" s="197">
        <v>64804</v>
      </c>
    </row>
    <row r="2762" spans="1:12" ht="15" customHeight="1" x14ac:dyDescent="0.25">
      <c r="A2762" s="167">
        <v>445</v>
      </c>
      <c r="B2762" s="167" t="s">
        <v>2578</v>
      </c>
      <c r="C2762" s="265" t="s">
        <v>2579</v>
      </c>
      <c r="D2762" s="60">
        <v>43102</v>
      </c>
      <c r="E2762" s="65">
        <v>20.722115384615385</v>
      </c>
      <c r="F2762" s="197">
        <v>1657.7692307692307</v>
      </c>
      <c r="G2762" s="197">
        <v>0</v>
      </c>
      <c r="H2762" s="65">
        <v>43102</v>
      </c>
      <c r="I2762" s="65"/>
      <c r="J2762" s="65"/>
      <c r="K2762" s="65"/>
      <c r="L2762" s="197">
        <v>43102</v>
      </c>
    </row>
    <row r="2763" spans="1:12" ht="15" customHeight="1" x14ac:dyDescent="0.25">
      <c r="A2763" s="167">
        <v>445</v>
      </c>
      <c r="B2763" s="167" t="s">
        <v>2582</v>
      </c>
      <c r="C2763" s="265" t="s">
        <v>2583</v>
      </c>
      <c r="D2763" s="60">
        <v>38156</v>
      </c>
      <c r="E2763" s="65">
        <v>18.344230769230769</v>
      </c>
      <c r="F2763" s="197">
        <v>1467.5384615384614</v>
      </c>
      <c r="G2763" s="197">
        <v>0</v>
      </c>
      <c r="H2763" s="65">
        <v>38156</v>
      </c>
      <c r="I2763" s="65"/>
      <c r="J2763" s="65"/>
      <c r="K2763" s="65"/>
      <c r="L2763" s="197">
        <v>38156</v>
      </c>
    </row>
    <row r="2764" spans="1:12" ht="15" customHeight="1" x14ac:dyDescent="0.25">
      <c r="A2764" s="167">
        <v>445</v>
      </c>
      <c r="B2764" s="167" t="s">
        <v>2585</v>
      </c>
      <c r="C2764" s="265" t="s">
        <v>2440</v>
      </c>
      <c r="D2764" s="60">
        <v>33708</v>
      </c>
      <c r="E2764" s="65">
        <v>16.205769230769231</v>
      </c>
      <c r="F2764" s="197">
        <v>1296.4615384615386</v>
      </c>
      <c r="G2764" s="197">
        <v>0</v>
      </c>
      <c r="H2764" s="65">
        <v>33708</v>
      </c>
      <c r="I2764" s="65"/>
      <c r="J2764" s="65"/>
      <c r="K2764" s="65"/>
      <c r="L2764" s="197">
        <v>33708</v>
      </c>
    </row>
    <row r="2765" spans="1:12" ht="15" customHeight="1" x14ac:dyDescent="0.25">
      <c r="A2765" s="167">
        <v>445</v>
      </c>
      <c r="B2765" s="167" t="s">
        <v>2587</v>
      </c>
      <c r="C2765" s="265" t="s">
        <v>2455</v>
      </c>
      <c r="D2765" s="60">
        <v>34215</v>
      </c>
      <c r="E2765" s="65">
        <v>16.44951923076923</v>
      </c>
      <c r="F2765" s="197">
        <v>1315.9615384615386</v>
      </c>
      <c r="G2765" s="197">
        <v>0</v>
      </c>
      <c r="H2765" s="65">
        <v>34215</v>
      </c>
      <c r="I2765" s="65"/>
      <c r="J2765" s="65"/>
      <c r="K2765" s="65"/>
      <c r="L2765" s="197">
        <v>34215</v>
      </c>
    </row>
    <row r="2766" spans="1:12" ht="15" customHeight="1" x14ac:dyDescent="0.25">
      <c r="A2766" s="167">
        <v>445</v>
      </c>
      <c r="B2766" s="167" t="s">
        <v>2590</v>
      </c>
      <c r="C2766" s="265" t="s">
        <v>2455</v>
      </c>
      <c r="D2766" s="60">
        <v>34215</v>
      </c>
      <c r="E2766" s="65">
        <v>16.44951923076923</v>
      </c>
      <c r="F2766" s="197">
        <v>1315.9615384615386</v>
      </c>
      <c r="G2766" s="197">
        <v>0</v>
      </c>
      <c r="H2766" s="65">
        <v>34215</v>
      </c>
      <c r="I2766" s="65"/>
      <c r="J2766" s="65"/>
      <c r="K2766" s="65"/>
      <c r="L2766" s="197">
        <v>34215</v>
      </c>
    </row>
    <row r="2767" spans="1:12" ht="15" customHeight="1" x14ac:dyDescent="0.25">
      <c r="A2767" s="167">
        <v>445</v>
      </c>
      <c r="B2767" s="167" t="s">
        <v>2593</v>
      </c>
      <c r="C2767" s="265" t="s">
        <v>2455</v>
      </c>
      <c r="D2767" s="60">
        <v>35481</v>
      </c>
      <c r="E2767" s="65">
        <v>17.058173076923076</v>
      </c>
      <c r="F2767" s="197">
        <v>1364.6538461538462</v>
      </c>
      <c r="G2767" s="197">
        <v>0</v>
      </c>
      <c r="H2767" s="65">
        <v>35481</v>
      </c>
      <c r="I2767" s="65"/>
      <c r="J2767" s="65"/>
      <c r="K2767" s="65"/>
      <c r="L2767" s="197">
        <v>35481</v>
      </c>
    </row>
    <row r="2768" spans="1:12" ht="15" customHeight="1" x14ac:dyDescent="0.25">
      <c r="A2768" s="167">
        <v>445</v>
      </c>
      <c r="B2768" s="167" t="s">
        <v>2596</v>
      </c>
      <c r="C2768" s="265" t="s">
        <v>2455</v>
      </c>
      <c r="D2768" s="60">
        <v>38154</v>
      </c>
      <c r="E2768" s="65">
        <v>18.343269230769231</v>
      </c>
      <c r="F2768" s="197">
        <v>1467.4615384615386</v>
      </c>
      <c r="G2768" s="197">
        <v>0</v>
      </c>
      <c r="H2768" s="65">
        <v>38154</v>
      </c>
      <c r="I2768" s="65"/>
      <c r="J2768" s="65"/>
      <c r="K2768" s="65"/>
      <c r="L2768" s="197">
        <v>38154</v>
      </c>
    </row>
    <row r="2769" spans="1:12" ht="15" customHeight="1" x14ac:dyDescent="0.25">
      <c r="A2769" s="167">
        <v>445</v>
      </c>
      <c r="B2769" s="167" t="s">
        <v>2599</v>
      </c>
      <c r="C2769" s="265" t="s">
        <v>2471</v>
      </c>
      <c r="D2769" s="60">
        <v>35482</v>
      </c>
      <c r="E2769" s="65">
        <v>17.058653846153845</v>
      </c>
      <c r="F2769" s="197">
        <v>1364.6923076923076</v>
      </c>
      <c r="G2769" s="197">
        <v>0</v>
      </c>
      <c r="H2769" s="65">
        <v>35482</v>
      </c>
      <c r="I2769" s="65"/>
      <c r="J2769" s="65"/>
      <c r="K2769" s="65"/>
      <c r="L2769" s="197">
        <v>35482</v>
      </c>
    </row>
    <row r="2770" spans="1:12" ht="15" customHeight="1" x14ac:dyDescent="0.25">
      <c r="A2770" s="167">
        <v>445</v>
      </c>
      <c r="B2770" s="167" t="s">
        <v>2602</v>
      </c>
      <c r="C2770" s="265" t="s">
        <v>2471</v>
      </c>
      <c r="D2770" s="60">
        <v>35482</v>
      </c>
      <c r="E2770" s="65">
        <v>17.058653846153845</v>
      </c>
      <c r="F2770" s="197">
        <v>1364.6923076923076</v>
      </c>
      <c r="G2770" s="197">
        <v>0</v>
      </c>
      <c r="H2770" s="65">
        <v>35482</v>
      </c>
      <c r="I2770" s="65"/>
      <c r="J2770" s="65"/>
      <c r="K2770" s="65"/>
      <c r="L2770" s="197">
        <v>35482</v>
      </c>
    </row>
    <row r="2771" spans="1:12" ht="15" customHeight="1" x14ac:dyDescent="0.25">
      <c r="A2771" s="167">
        <v>445</v>
      </c>
      <c r="B2771" s="167" t="s">
        <v>2605</v>
      </c>
      <c r="C2771" s="265" t="s">
        <v>2471</v>
      </c>
      <c r="D2771" s="60">
        <v>35482</v>
      </c>
      <c r="E2771" s="65">
        <v>17.058653846153845</v>
      </c>
      <c r="F2771" s="197">
        <v>1364.6923076923076</v>
      </c>
      <c r="G2771" s="197">
        <v>0</v>
      </c>
      <c r="H2771" s="65">
        <v>35482</v>
      </c>
      <c r="I2771" s="65"/>
      <c r="J2771" s="65"/>
      <c r="K2771" s="65"/>
      <c r="L2771" s="197">
        <v>35482</v>
      </c>
    </row>
    <row r="2772" spans="1:12" ht="15" customHeight="1" x14ac:dyDescent="0.25">
      <c r="A2772" s="167">
        <v>445</v>
      </c>
      <c r="B2772" s="167" t="s">
        <v>2608</v>
      </c>
      <c r="C2772" s="265" t="s">
        <v>2471</v>
      </c>
      <c r="D2772" s="60">
        <v>41031</v>
      </c>
      <c r="E2772" s="65">
        <v>19.726442307692309</v>
      </c>
      <c r="F2772" s="197">
        <v>1578.1153846153845</v>
      </c>
      <c r="G2772" s="197">
        <v>0</v>
      </c>
      <c r="H2772" s="65">
        <v>41031</v>
      </c>
      <c r="I2772" s="65"/>
      <c r="J2772" s="65"/>
      <c r="K2772" s="65"/>
      <c r="L2772" s="197">
        <v>41031</v>
      </c>
    </row>
    <row r="2773" spans="1:12" ht="15" customHeight="1" x14ac:dyDescent="0.25">
      <c r="A2773" s="167">
        <v>445</v>
      </c>
      <c r="B2773" s="247"/>
      <c r="C2773" s="265" t="s">
        <v>2611</v>
      </c>
      <c r="D2773" s="60">
        <v>15600</v>
      </c>
      <c r="E2773" s="65"/>
      <c r="F2773" s="65"/>
      <c r="G2773" s="65">
        <v>0</v>
      </c>
      <c r="H2773" s="65">
        <v>15600</v>
      </c>
      <c r="I2773" s="65"/>
      <c r="J2773" s="65"/>
      <c r="K2773" s="65"/>
      <c r="L2773" s="197">
        <v>15600</v>
      </c>
    </row>
    <row r="2774" spans="1:12" ht="15" customHeight="1" x14ac:dyDescent="0.25">
      <c r="A2774" s="167">
        <v>445</v>
      </c>
      <c r="B2774" s="247"/>
      <c r="C2774" s="265" t="s">
        <v>2495</v>
      </c>
      <c r="D2774" s="60">
        <v>1500</v>
      </c>
      <c r="E2774" s="65"/>
      <c r="F2774" s="65"/>
      <c r="G2774" s="65">
        <v>0</v>
      </c>
      <c r="H2774" s="65">
        <v>1500</v>
      </c>
      <c r="I2774" s="65"/>
      <c r="J2774" s="65"/>
      <c r="K2774" s="65"/>
      <c r="L2774" s="197">
        <v>1500</v>
      </c>
    </row>
    <row r="2775" spans="1:12" ht="15" customHeight="1" x14ac:dyDescent="0.25">
      <c r="A2775" s="167">
        <v>445</v>
      </c>
      <c r="B2775" s="247"/>
      <c r="C2775" s="247"/>
      <c r="D2775" s="85">
        <v>486412</v>
      </c>
      <c r="E2775" s="79"/>
      <c r="F2775" s="85">
        <v>18050.461538461539</v>
      </c>
      <c r="G2775" s="85">
        <v>0</v>
      </c>
      <c r="H2775" s="79">
        <v>486412</v>
      </c>
      <c r="I2775" s="85">
        <f t="shared" ref="I2775:K2775" si="982">SUM(I2760:I2774)</f>
        <v>0</v>
      </c>
      <c r="J2775" s="85">
        <f t="shared" si="982"/>
        <v>0</v>
      </c>
      <c r="K2775" s="85">
        <f t="shared" si="982"/>
        <v>0</v>
      </c>
      <c r="L2775" s="85">
        <v>486412</v>
      </c>
    </row>
    <row r="2776" spans="1:12" ht="15" customHeight="1" x14ac:dyDescent="0.25">
      <c r="A2776" s="247"/>
      <c r="B2776" s="247"/>
      <c r="C2776" s="247"/>
      <c r="D2776" s="60"/>
      <c r="E2776" s="65"/>
      <c r="F2776" s="65"/>
      <c r="G2776" s="65"/>
      <c r="H2776" s="65"/>
      <c r="I2776" s="65"/>
      <c r="J2776" s="65"/>
      <c r="K2776" s="65"/>
      <c r="L2776" s="65"/>
    </row>
    <row r="2777" spans="1:12" ht="15" customHeight="1" x14ac:dyDescent="0.25">
      <c r="A2777" s="247"/>
      <c r="B2777" s="247"/>
      <c r="C2777" s="247"/>
      <c r="D2777" s="60"/>
      <c r="E2777" s="65"/>
      <c r="F2777" s="65"/>
      <c r="G2777" s="65"/>
      <c r="H2777" s="65"/>
      <c r="I2777" s="65"/>
      <c r="J2777" s="65"/>
      <c r="K2777" s="65"/>
      <c r="L2777" s="65"/>
    </row>
    <row r="2778" spans="1:12" ht="15" customHeight="1" x14ac:dyDescent="0.25">
      <c r="A2778" s="167">
        <v>451</v>
      </c>
      <c r="B2778" s="167" t="s">
        <v>2612</v>
      </c>
      <c r="C2778" s="265" t="s">
        <v>2613</v>
      </c>
      <c r="D2778" s="60">
        <v>63638</v>
      </c>
      <c r="E2778" s="65">
        <v>30.595192307692308</v>
      </c>
      <c r="F2778" s="197">
        <v>2447.6153846153848</v>
      </c>
      <c r="G2778" s="197">
        <v>0</v>
      </c>
      <c r="H2778" s="65">
        <v>63638</v>
      </c>
      <c r="I2778" s="65"/>
      <c r="J2778" s="65"/>
      <c r="K2778" s="65"/>
      <c r="L2778" s="197">
        <v>63638</v>
      </c>
    </row>
    <row r="2779" spans="1:12" ht="15" customHeight="1" x14ac:dyDescent="0.25">
      <c r="A2779" s="167">
        <v>451</v>
      </c>
      <c r="B2779" s="167" t="s">
        <v>2616</v>
      </c>
      <c r="C2779" s="265" t="s">
        <v>2617</v>
      </c>
      <c r="D2779" s="60">
        <v>35743</v>
      </c>
      <c r="E2779" s="65">
        <v>17.184134615384615</v>
      </c>
      <c r="F2779" s="197">
        <v>1374.7307692307693</v>
      </c>
      <c r="G2779" s="197">
        <v>0</v>
      </c>
      <c r="H2779" s="65">
        <v>35743</v>
      </c>
      <c r="I2779" s="65"/>
      <c r="J2779" s="65"/>
      <c r="K2779" s="65"/>
      <c r="L2779" s="197">
        <v>35743</v>
      </c>
    </row>
    <row r="2780" spans="1:12" ht="15" customHeight="1" x14ac:dyDescent="0.25">
      <c r="A2780" s="167">
        <v>451</v>
      </c>
      <c r="B2780" s="167" t="s">
        <v>2620</v>
      </c>
      <c r="C2780" s="265" t="s">
        <v>2621</v>
      </c>
      <c r="D2780" s="60">
        <v>35100</v>
      </c>
      <c r="E2780" s="65">
        <v>16.875</v>
      </c>
      <c r="F2780" s="197">
        <v>1350</v>
      </c>
      <c r="G2780" s="197">
        <v>0</v>
      </c>
      <c r="H2780" s="65">
        <v>35100</v>
      </c>
      <c r="I2780" s="65"/>
      <c r="J2780" s="65"/>
      <c r="K2780" s="65"/>
      <c r="L2780" s="197">
        <v>35100</v>
      </c>
    </row>
    <row r="2781" spans="1:12" ht="15" customHeight="1" x14ac:dyDescent="0.25">
      <c r="A2781" s="167">
        <v>451</v>
      </c>
      <c r="B2781" s="167"/>
      <c r="C2781" s="265" t="s">
        <v>2495</v>
      </c>
      <c r="D2781" s="60">
        <v>0</v>
      </c>
      <c r="E2781" s="65"/>
      <c r="F2781" s="65"/>
      <c r="G2781" s="65">
        <v>0</v>
      </c>
      <c r="H2781" s="65">
        <v>0</v>
      </c>
      <c r="I2781" s="65"/>
      <c r="J2781" s="65"/>
      <c r="K2781" s="65"/>
      <c r="L2781" s="197">
        <v>0</v>
      </c>
    </row>
    <row r="2782" spans="1:12" ht="15" customHeight="1" x14ac:dyDescent="0.25">
      <c r="A2782" s="167">
        <v>451</v>
      </c>
      <c r="B2782" s="247"/>
      <c r="C2782" s="247"/>
      <c r="D2782" s="85">
        <v>134481</v>
      </c>
      <c r="E2782" s="79"/>
      <c r="F2782" s="85">
        <v>5172.3461538461543</v>
      </c>
      <c r="G2782" s="85">
        <v>0</v>
      </c>
      <c r="H2782" s="79">
        <v>134481</v>
      </c>
      <c r="I2782" s="85">
        <f t="shared" ref="I2782:K2782" si="983">SUM(I2778:I2781)</f>
        <v>0</v>
      </c>
      <c r="J2782" s="85">
        <f t="shared" si="983"/>
        <v>0</v>
      </c>
      <c r="K2782" s="85">
        <f t="shared" si="983"/>
        <v>0</v>
      </c>
      <c r="L2782" s="85">
        <v>134481</v>
      </c>
    </row>
    <row r="2783" spans="1:12" ht="15" customHeight="1" x14ac:dyDescent="0.25">
      <c r="A2783" s="247"/>
      <c r="B2783" s="247"/>
      <c r="C2783" s="247"/>
      <c r="D2783" s="60"/>
      <c r="E2783" s="65"/>
      <c r="F2783" s="65"/>
      <c r="G2783" s="65"/>
      <c r="H2783" s="65"/>
      <c r="I2783" s="65"/>
      <c r="J2783" s="65"/>
      <c r="K2783" s="65"/>
      <c r="L2783" s="65"/>
    </row>
    <row r="2784" spans="1:12" ht="15" customHeight="1" x14ac:dyDescent="0.25">
      <c r="A2784" s="247"/>
      <c r="B2784" s="247"/>
      <c r="C2784" s="247"/>
      <c r="D2784" s="60"/>
      <c r="E2784" s="65"/>
      <c r="F2784" s="65"/>
      <c r="G2784" s="65"/>
      <c r="H2784" s="65"/>
      <c r="I2784" s="65"/>
      <c r="J2784" s="65"/>
      <c r="K2784" s="65"/>
      <c r="L2784" s="65"/>
    </row>
    <row r="2785" spans="1:12" ht="15" customHeight="1" x14ac:dyDescent="0.25">
      <c r="A2785" s="167">
        <v>452</v>
      </c>
      <c r="B2785" s="167" t="s">
        <v>2624</v>
      </c>
      <c r="C2785" s="265" t="s">
        <v>2625</v>
      </c>
      <c r="D2785" s="60">
        <v>61367</v>
      </c>
      <c r="E2785" s="65">
        <v>29.503365384615385</v>
      </c>
      <c r="F2785" s="197">
        <v>2360.2692307692309</v>
      </c>
      <c r="G2785" s="197">
        <v>0</v>
      </c>
      <c r="H2785" s="65">
        <v>61367</v>
      </c>
      <c r="I2785" s="65"/>
      <c r="J2785" s="65"/>
      <c r="K2785" s="65"/>
      <c r="L2785" s="197">
        <v>61367</v>
      </c>
    </row>
    <row r="2786" spans="1:12" ht="15" customHeight="1" x14ac:dyDescent="0.25">
      <c r="A2786" s="167">
        <v>452</v>
      </c>
      <c r="B2786" s="167" t="s">
        <v>2627</v>
      </c>
      <c r="C2786" s="265" t="s">
        <v>2617</v>
      </c>
      <c r="D2786" s="60">
        <v>39142</v>
      </c>
      <c r="E2786" s="65">
        <v>18.818269230769232</v>
      </c>
      <c r="F2786" s="197">
        <v>1505.4615384615386</v>
      </c>
      <c r="G2786" s="197">
        <v>0</v>
      </c>
      <c r="H2786" s="65">
        <v>39142</v>
      </c>
      <c r="I2786" s="65"/>
      <c r="J2786" s="65"/>
      <c r="K2786" s="65"/>
      <c r="L2786" s="197">
        <v>39142</v>
      </c>
    </row>
    <row r="2787" spans="1:12" ht="15" customHeight="1" x14ac:dyDescent="0.25">
      <c r="A2787" s="167">
        <v>452</v>
      </c>
      <c r="B2787" s="167" t="s">
        <v>2630</v>
      </c>
      <c r="C2787" s="265" t="s">
        <v>2621</v>
      </c>
      <c r="D2787" s="60">
        <v>37745</v>
      </c>
      <c r="E2787" s="65">
        <v>18.146634615384617</v>
      </c>
      <c r="F2787" s="197">
        <v>1451.7307692307693</v>
      </c>
      <c r="G2787" s="197">
        <v>0</v>
      </c>
      <c r="H2787" s="65">
        <v>37745</v>
      </c>
      <c r="I2787" s="65"/>
      <c r="J2787" s="65"/>
      <c r="K2787" s="65"/>
      <c r="L2787" s="197">
        <v>37745</v>
      </c>
    </row>
    <row r="2788" spans="1:12" ht="15" customHeight="1" x14ac:dyDescent="0.25">
      <c r="A2788" s="247"/>
      <c r="B2788" s="247"/>
      <c r="C2788" s="247"/>
      <c r="D2788" s="85">
        <v>138254</v>
      </c>
      <c r="E2788" s="79"/>
      <c r="F2788" s="85">
        <v>5317.461538461539</v>
      </c>
      <c r="G2788" s="85">
        <v>0</v>
      </c>
      <c r="H2788" s="79">
        <v>138254</v>
      </c>
      <c r="I2788" s="85">
        <f t="shared" ref="I2788:K2788" si="984">SUM(I2785:I2787)</f>
        <v>0</v>
      </c>
      <c r="J2788" s="85">
        <f t="shared" si="984"/>
        <v>0</v>
      </c>
      <c r="K2788" s="85">
        <f t="shared" si="984"/>
        <v>0</v>
      </c>
      <c r="L2788" s="85">
        <v>138254</v>
      </c>
    </row>
    <row r="2789" spans="1:12" ht="15" customHeight="1" x14ac:dyDescent="0.25">
      <c r="A2789" s="247"/>
      <c r="B2789" s="247"/>
      <c r="C2789" s="247"/>
      <c r="D2789" s="60"/>
      <c r="E2789" s="65"/>
      <c r="F2789" s="65"/>
      <c r="G2789" s="65"/>
      <c r="H2789" s="65"/>
      <c r="I2789" s="65"/>
      <c r="J2789" s="65"/>
      <c r="K2789" s="65"/>
      <c r="L2789" s="65"/>
    </row>
    <row r="2790" spans="1:12" ht="15" customHeight="1" x14ac:dyDescent="0.25">
      <c r="A2790" s="247"/>
      <c r="B2790" s="247"/>
      <c r="C2790" s="247"/>
      <c r="D2790" s="60"/>
      <c r="E2790" s="65"/>
      <c r="F2790" s="65"/>
      <c r="G2790" s="65"/>
      <c r="H2790" s="65"/>
      <c r="I2790" s="65"/>
      <c r="J2790" s="65"/>
      <c r="K2790" s="65"/>
      <c r="L2790" s="65"/>
    </row>
    <row r="2791" spans="1:12" ht="15" customHeight="1" x14ac:dyDescent="0.25">
      <c r="A2791" s="167">
        <v>453</v>
      </c>
      <c r="B2791" s="167" t="s">
        <v>2632</v>
      </c>
      <c r="C2791" s="265" t="s">
        <v>2633</v>
      </c>
      <c r="D2791" s="60">
        <v>61367</v>
      </c>
      <c r="E2791" s="65">
        <v>29.503365384615385</v>
      </c>
      <c r="F2791" s="197">
        <v>2360.2692307692309</v>
      </c>
      <c r="G2791" s="197">
        <v>0</v>
      </c>
      <c r="H2791" s="65">
        <v>61367</v>
      </c>
      <c r="I2791" s="65"/>
      <c r="J2791" s="65"/>
      <c r="K2791" s="65"/>
      <c r="L2791" s="197">
        <v>61367</v>
      </c>
    </row>
    <row r="2792" spans="1:12" ht="15" customHeight="1" x14ac:dyDescent="0.25">
      <c r="A2792" s="167">
        <v>453</v>
      </c>
      <c r="B2792" s="167" t="s">
        <v>2636</v>
      </c>
      <c r="C2792" s="265" t="s">
        <v>2617</v>
      </c>
      <c r="D2792" s="60">
        <v>39859</v>
      </c>
      <c r="E2792" s="65">
        <v>19.162980769230771</v>
      </c>
      <c r="F2792" s="197">
        <v>1533.0384615384614</v>
      </c>
      <c r="G2792" s="197">
        <v>0</v>
      </c>
      <c r="H2792" s="65">
        <v>39859</v>
      </c>
      <c r="I2792" s="65"/>
      <c r="J2792" s="65"/>
      <c r="K2792" s="65"/>
      <c r="L2792" s="197">
        <v>39859</v>
      </c>
    </row>
    <row r="2793" spans="1:12" ht="15" customHeight="1" x14ac:dyDescent="0.25">
      <c r="A2793" s="167">
        <v>453</v>
      </c>
      <c r="B2793" s="247"/>
      <c r="C2793" s="247"/>
      <c r="D2793" s="85">
        <v>101226</v>
      </c>
      <c r="E2793" s="79"/>
      <c r="F2793" s="85">
        <v>3893.3076923076924</v>
      </c>
      <c r="G2793" s="85">
        <v>0</v>
      </c>
      <c r="H2793" s="79">
        <v>101226</v>
      </c>
      <c r="I2793" s="85">
        <f t="shared" ref="I2793:K2793" si="985">SUM(I2791:I2792)</f>
        <v>0</v>
      </c>
      <c r="J2793" s="85">
        <f t="shared" si="985"/>
        <v>0</v>
      </c>
      <c r="K2793" s="85">
        <f t="shared" si="985"/>
        <v>0</v>
      </c>
      <c r="L2793" s="85">
        <v>101226</v>
      </c>
    </row>
    <row r="2794" spans="1:12" ht="15" customHeight="1" x14ac:dyDescent="0.25">
      <c r="A2794" s="247"/>
      <c r="B2794" s="247"/>
      <c r="C2794" s="247"/>
      <c r="D2794" s="60"/>
      <c r="E2794" s="65"/>
      <c r="F2794" s="65"/>
      <c r="G2794" s="65"/>
      <c r="H2794" s="65"/>
      <c r="I2794" s="65"/>
      <c r="J2794" s="65"/>
      <c r="K2794" s="65"/>
      <c r="L2794" s="65"/>
    </row>
    <row r="2795" spans="1:12" ht="15" customHeight="1" x14ac:dyDescent="0.25">
      <c r="A2795" s="247"/>
      <c r="B2795" s="247"/>
      <c r="C2795" s="247"/>
      <c r="D2795" s="60"/>
      <c r="E2795" s="65"/>
      <c r="F2795" s="65"/>
      <c r="G2795" s="65"/>
      <c r="H2795" s="65"/>
      <c r="I2795" s="65"/>
      <c r="J2795" s="65"/>
      <c r="K2795" s="65"/>
      <c r="L2795" s="65"/>
    </row>
    <row r="2796" spans="1:12" ht="15" customHeight="1" x14ac:dyDescent="0.25">
      <c r="A2796" s="247"/>
      <c r="B2796" s="247"/>
      <c r="C2796" s="247"/>
      <c r="D2796" s="60"/>
      <c r="E2796" s="65"/>
      <c r="F2796" s="65"/>
      <c r="G2796" s="65"/>
      <c r="H2796" s="65"/>
      <c r="I2796" s="65"/>
      <c r="J2796" s="65"/>
      <c r="K2796" s="65"/>
      <c r="L2796" s="65"/>
    </row>
    <row r="2797" spans="1:12" ht="15" customHeight="1" x14ac:dyDescent="0.25">
      <c r="A2797" s="167">
        <v>454</v>
      </c>
      <c r="B2797" s="167" t="s">
        <v>2639</v>
      </c>
      <c r="C2797" s="265" t="s">
        <v>2640</v>
      </c>
      <c r="D2797" s="60">
        <v>64803</v>
      </c>
      <c r="E2797" s="65">
        <v>31.155288461538461</v>
      </c>
      <c r="F2797" s="197">
        <v>2492.4230769230771</v>
      </c>
      <c r="G2797" s="197">
        <v>0</v>
      </c>
      <c r="H2797" s="65">
        <v>64803</v>
      </c>
      <c r="I2797" s="65"/>
      <c r="J2797" s="65"/>
      <c r="K2797" s="65"/>
      <c r="L2797" s="197">
        <v>64803</v>
      </c>
    </row>
    <row r="2798" spans="1:12" ht="15" customHeight="1" x14ac:dyDescent="0.25">
      <c r="A2798" s="167">
        <v>454</v>
      </c>
      <c r="B2798" s="167" t="s">
        <v>2643</v>
      </c>
      <c r="C2798" s="265" t="s">
        <v>2617</v>
      </c>
      <c r="D2798" s="60">
        <v>35100</v>
      </c>
      <c r="E2798" s="65">
        <v>16.875</v>
      </c>
      <c r="F2798" s="197">
        <v>1350</v>
      </c>
      <c r="G2798" s="197">
        <v>0</v>
      </c>
      <c r="H2798" s="65">
        <v>35100</v>
      </c>
      <c r="I2798" s="65"/>
      <c r="J2798" s="65"/>
      <c r="K2798" s="65"/>
      <c r="L2798" s="197">
        <v>35100</v>
      </c>
    </row>
    <row r="2799" spans="1:12" ht="15" customHeight="1" x14ac:dyDescent="0.25">
      <c r="A2799" s="167">
        <v>454</v>
      </c>
      <c r="B2799" s="247"/>
      <c r="C2799" s="247"/>
      <c r="D2799" s="85">
        <v>99903</v>
      </c>
      <c r="E2799" s="79"/>
      <c r="F2799" s="85">
        <v>3842.4230769230771</v>
      </c>
      <c r="G2799" s="85">
        <v>0</v>
      </c>
      <c r="H2799" s="79">
        <v>99903</v>
      </c>
      <c r="I2799" s="85">
        <f t="shared" ref="I2799:K2799" si="986">SUM(I2797:I2798)</f>
        <v>0</v>
      </c>
      <c r="J2799" s="85">
        <f t="shared" si="986"/>
        <v>0</v>
      </c>
      <c r="K2799" s="85">
        <f t="shared" si="986"/>
        <v>0</v>
      </c>
      <c r="L2799" s="85">
        <v>99903</v>
      </c>
    </row>
    <row r="2800" spans="1:12" ht="15" customHeight="1" x14ac:dyDescent="0.25">
      <c r="A2800" s="247"/>
      <c r="B2800" s="247"/>
      <c r="C2800" s="247"/>
      <c r="D2800" s="60"/>
      <c r="E2800" s="65"/>
      <c r="F2800" s="65"/>
      <c r="G2800" s="65"/>
      <c r="H2800" s="65"/>
      <c r="I2800" s="65"/>
      <c r="J2800" s="65"/>
      <c r="K2800" s="65"/>
      <c r="L2800" s="65"/>
    </row>
    <row r="2801" spans="1:12" ht="15" customHeight="1" x14ac:dyDescent="0.25">
      <c r="A2801" s="167">
        <v>455</v>
      </c>
      <c r="B2801" s="167" t="s">
        <v>2645</v>
      </c>
      <c r="C2801" s="265" t="s">
        <v>2646</v>
      </c>
      <c r="D2801" s="60">
        <v>59178</v>
      </c>
      <c r="E2801" s="65">
        <v>28.450961538461538</v>
      </c>
      <c r="F2801" s="197">
        <v>2276.0769230769229</v>
      </c>
      <c r="G2801" s="197">
        <v>0</v>
      </c>
      <c r="H2801" s="65">
        <v>59178</v>
      </c>
      <c r="I2801" s="65"/>
      <c r="J2801" s="65"/>
      <c r="K2801" s="65"/>
      <c r="L2801" s="197">
        <v>59178</v>
      </c>
    </row>
    <row r="2802" spans="1:12" ht="15" customHeight="1" x14ac:dyDescent="0.25">
      <c r="A2802" s="167">
        <v>455</v>
      </c>
      <c r="B2802" s="167" t="s">
        <v>2649</v>
      </c>
      <c r="C2802" s="265" t="s">
        <v>2617</v>
      </c>
      <c r="D2802" s="60">
        <v>35100</v>
      </c>
      <c r="E2802" s="65">
        <v>16.875</v>
      </c>
      <c r="F2802" s="197">
        <v>1350</v>
      </c>
      <c r="G2802" s="197">
        <v>0</v>
      </c>
      <c r="H2802" s="65">
        <v>35100</v>
      </c>
      <c r="I2802" s="65"/>
      <c r="J2802" s="65"/>
      <c r="K2802" s="65"/>
      <c r="L2802" s="197">
        <v>35100</v>
      </c>
    </row>
    <row r="2803" spans="1:12" ht="15" customHeight="1" x14ac:dyDescent="0.25">
      <c r="A2803" s="167">
        <v>455</v>
      </c>
      <c r="B2803" s="167" t="s">
        <v>2652</v>
      </c>
      <c r="C2803" s="265" t="s">
        <v>2621</v>
      </c>
      <c r="D2803" s="60">
        <v>33848</v>
      </c>
      <c r="E2803" s="65">
        <v>16.273076923076925</v>
      </c>
      <c r="F2803" s="197">
        <v>1301.8461538461538</v>
      </c>
      <c r="G2803" s="197">
        <v>0</v>
      </c>
      <c r="H2803" s="65">
        <v>33848</v>
      </c>
      <c r="I2803" s="65"/>
      <c r="J2803" s="65"/>
      <c r="K2803" s="65"/>
      <c r="L2803" s="197">
        <v>33848</v>
      </c>
    </row>
    <row r="2804" spans="1:12" ht="15" customHeight="1" x14ac:dyDescent="0.25">
      <c r="A2804" s="167">
        <v>455</v>
      </c>
      <c r="B2804" s="247"/>
      <c r="C2804" s="247"/>
      <c r="D2804" s="85">
        <v>128126</v>
      </c>
      <c r="E2804" s="79"/>
      <c r="F2804" s="85">
        <v>4927.9230769230762</v>
      </c>
      <c r="G2804" s="85">
        <v>0</v>
      </c>
      <c r="H2804" s="79">
        <v>128126</v>
      </c>
      <c r="I2804" s="85">
        <f t="shared" ref="I2804:K2804" si="987">SUM(I2801:I2803)</f>
        <v>0</v>
      </c>
      <c r="J2804" s="85">
        <f t="shared" si="987"/>
        <v>0</v>
      </c>
      <c r="K2804" s="85">
        <f t="shared" si="987"/>
        <v>0</v>
      </c>
      <c r="L2804" s="85">
        <v>128126</v>
      </c>
    </row>
    <row r="2805" spans="1:12" ht="15" customHeight="1" x14ac:dyDescent="0.25">
      <c r="A2805" s="247"/>
      <c r="B2805" s="247"/>
      <c r="C2805" s="247"/>
      <c r="D2805" s="60"/>
      <c r="E2805" s="65"/>
      <c r="F2805" s="65"/>
      <c r="G2805" s="65"/>
      <c r="H2805" s="65"/>
      <c r="I2805" s="65"/>
      <c r="J2805" s="65"/>
      <c r="K2805" s="65"/>
      <c r="L2805" s="65"/>
    </row>
    <row r="2806" spans="1:12" ht="15" customHeight="1" x14ac:dyDescent="0.25">
      <c r="A2806" s="247"/>
      <c r="B2806" s="247"/>
      <c r="C2806" s="247"/>
      <c r="D2806" s="60"/>
      <c r="E2806" s="65"/>
      <c r="F2806" s="65"/>
      <c r="G2806" s="65"/>
      <c r="H2806" s="65"/>
      <c r="I2806" s="65"/>
      <c r="J2806" s="65"/>
      <c r="K2806" s="65"/>
      <c r="L2806" s="65"/>
    </row>
    <row r="2807" spans="1:12" ht="15" customHeight="1" x14ac:dyDescent="0.25">
      <c r="A2807" s="167">
        <v>470</v>
      </c>
      <c r="B2807" s="247"/>
      <c r="C2807" s="265" t="s">
        <v>888</v>
      </c>
      <c r="D2807" s="85">
        <v>6000</v>
      </c>
      <c r="E2807" s="79"/>
      <c r="F2807" s="85">
        <v>0</v>
      </c>
      <c r="G2807" s="85">
        <v>0</v>
      </c>
      <c r="H2807" s="79">
        <v>6000</v>
      </c>
      <c r="I2807" s="85">
        <v>0</v>
      </c>
      <c r="J2807" s="85">
        <v>0</v>
      </c>
      <c r="K2807" s="85">
        <v>0</v>
      </c>
      <c r="L2807" s="85">
        <v>6000</v>
      </c>
    </row>
    <row r="2808" spans="1:12" ht="15" customHeight="1" x14ac:dyDescent="0.25">
      <c r="A2808" s="247"/>
      <c r="B2808" s="247"/>
      <c r="C2808" s="247"/>
      <c r="D2808" s="397"/>
      <c r="E2808" s="247"/>
      <c r="F2808" s="247"/>
      <c r="G2808" s="247"/>
      <c r="H2808" s="247"/>
      <c r="I2808" s="65"/>
      <c r="J2808" s="65"/>
      <c r="K2808" s="65"/>
      <c r="L2808" s="65"/>
    </row>
    <row r="2809" spans="1:12" ht="15" customHeight="1" x14ac:dyDescent="0.25">
      <c r="A2809" s="247"/>
      <c r="B2809" s="247"/>
      <c r="C2809" s="247"/>
      <c r="D2809" s="397"/>
      <c r="E2809" s="247"/>
      <c r="F2809" s="247"/>
      <c r="G2809" s="247"/>
      <c r="H2809" s="247"/>
      <c r="I2809" s="65"/>
      <c r="J2809" s="65"/>
      <c r="K2809" s="65"/>
      <c r="L2809" s="65"/>
    </row>
    <row r="2810" spans="1:12" ht="15" customHeight="1" x14ac:dyDescent="0.25">
      <c r="A2810" s="167">
        <v>475</v>
      </c>
      <c r="B2810" s="167" t="s">
        <v>2654</v>
      </c>
      <c r="C2810" s="265" t="s">
        <v>103</v>
      </c>
      <c r="D2810" s="60">
        <v>101400</v>
      </c>
      <c r="E2810" s="65">
        <v>48.75</v>
      </c>
      <c r="F2810" s="197">
        <v>3900</v>
      </c>
      <c r="G2810" s="197">
        <v>0</v>
      </c>
      <c r="H2810" s="65">
        <v>101400</v>
      </c>
      <c r="I2810" s="65"/>
      <c r="J2810" s="65"/>
      <c r="K2810" s="65"/>
      <c r="L2810" s="197">
        <v>101400</v>
      </c>
    </row>
    <row r="2811" spans="1:12" ht="15" customHeight="1" x14ac:dyDescent="0.25">
      <c r="A2811" s="247">
        <v>475</v>
      </c>
      <c r="B2811" s="167" t="s">
        <v>2654</v>
      </c>
      <c r="C2811" s="265" t="s">
        <v>2657</v>
      </c>
      <c r="D2811" s="60">
        <v>84000</v>
      </c>
      <c r="E2811" s="65">
        <v>40.384615384615387</v>
      </c>
      <c r="F2811" s="197">
        <v>3230.7692307692309</v>
      </c>
      <c r="G2811" s="197" t="s">
        <v>2422</v>
      </c>
      <c r="H2811" s="167">
        <v>84000</v>
      </c>
      <c r="I2811" s="65"/>
      <c r="J2811" s="65"/>
      <c r="K2811" s="65"/>
      <c r="L2811" s="197">
        <v>84000</v>
      </c>
    </row>
    <row r="2812" spans="1:12" ht="15" customHeight="1" x14ac:dyDescent="0.25">
      <c r="A2812" s="167">
        <v>475</v>
      </c>
      <c r="B2812" s="167" t="s">
        <v>2658</v>
      </c>
      <c r="C2812" s="265" t="s">
        <v>2659</v>
      </c>
      <c r="D2812" s="60">
        <v>81763</v>
      </c>
      <c r="E2812" s="65">
        <v>39.309134615384615</v>
      </c>
      <c r="F2812" s="197">
        <v>3144.7307692307691</v>
      </c>
      <c r="G2812" s="197">
        <v>3803.02</v>
      </c>
      <c r="H2812" s="65">
        <v>85566.02</v>
      </c>
      <c r="I2812" s="65"/>
      <c r="J2812" s="65"/>
      <c r="K2812" s="65"/>
      <c r="L2812" s="197">
        <v>85566.02</v>
      </c>
    </row>
    <row r="2813" spans="1:12" ht="15" customHeight="1" x14ac:dyDescent="0.25">
      <c r="A2813" s="167">
        <v>475</v>
      </c>
      <c r="B2813" s="167" t="s">
        <v>2662</v>
      </c>
      <c r="C2813" s="265" t="s">
        <v>2659</v>
      </c>
      <c r="D2813" s="60">
        <v>76033</v>
      </c>
      <c r="E2813" s="65">
        <v>36.554326923076921</v>
      </c>
      <c r="F2813" s="197">
        <v>2924.3461538461538</v>
      </c>
      <c r="G2813" s="197">
        <v>2400.06</v>
      </c>
      <c r="H2813" s="65">
        <v>78433.06</v>
      </c>
      <c r="I2813" s="65"/>
      <c r="J2813" s="65"/>
      <c r="K2813" s="65"/>
      <c r="L2813" s="197">
        <v>78433.06</v>
      </c>
    </row>
    <row r="2814" spans="1:12" ht="15" customHeight="1" x14ac:dyDescent="0.25">
      <c r="A2814" s="167">
        <v>475</v>
      </c>
      <c r="B2814" s="167" t="s">
        <v>2665</v>
      </c>
      <c r="C2814" s="265" t="s">
        <v>2666</v>
      </c>
      <c r="D2814" s="60">
        <v>76033</v>
      </c>
      <c r="E2814" s="65">
        <v>36.554326923076921</v>
      </c>
      <c r="F2814" s="197">
        <v>2924.3461538461538</v>
      </c>
      <c r="G2814" s="197">
        <v>0</v>
      </c>
      <c r="H2814" s="65">
        <v>76033</v>
      </c>
      <c r="I2814" s="65"/>
      <c r="J2814" s="65"/>
      <c r="K2814" s="65"/>
      <c r="L2814" s="197">
        <v>76033</v>
      </c>
    </row>
    <row r="2815" spans="1:12" ht="15" customHeight="1" x14ac:dyDescent="0.25">
      <c r="A2815" s="167">
        <v>475</v>
      </c>
      <c r="B2815" s="167" t="s">
        <v>2669</v>
      </c>
      <c r="C2815" s="265" t="s">
        <v>2666</v>
      </c>
      <c r="D2815" s="60">
        <v>76033</v>
      </c>
      <c r="E2815" s="65">
        <v>36.554326923076921</v>
      </c>
      <c r="F2815" s="197">
        <v>2924.3461538461538</v>
      </c>
      <c r="G2815" s="197">
        <v>0</v>
      </c>
      <c r="H2815" s="65">
        <v>76033</v>
      </c>
      <c r="I2815" s="65"/>
      <c r="J2815" s="65"/>
      <c r="K2815" s="65"/>
      <c r="L2815" s="197">
        <v>76033</v>
      </c>
    </row>
    <row r="2816" spans="1:12" ht="15" customHeight="1" x14ac:dyDescent="0.25">
      <c r="A2816" s="167">
        <v>475</v>
      </c>
      <c r="B2816" s="167" t="s">
        <v>2672</v>
      </c>
      <c r="C2816" s="265" t="s">
        <v>2673</v>
      </c>
      <c r="D2816" s="60">
        <v>82967</v>
      </c>
      <c r="E2816" s="65">
        <v>39.887980769230772</v>
      </c>
      <c r="F2816" s="197">
        <v>3191.0384615384614</v>
      </c>
      <c r="G2816" s="197">
        <v>2897.5</v>
      </c>
      <c r="H2816" s="65">
        <v>85864.5</v>
      </c>
      <c r="I2816" s="65"/>
      <c r="J2816" s="65"/>
      <c r="K2816" s="65"/>
      <c r="L2816" s="197">
        <v>85864.5</v>
      </c>
    </row>
    <row r="2817" spans="1:12" ht="15" customHeight="1" x14ac:dyDescent="0.25">
      <c r="A2817" s="167">
        <v>475</v>
      </c>
      <c r="B2817" s="167" t="s">
        <v>2676</v>
      </c>
      <c r="C2817" s="265" t="s">
        <v>2677</v>
      </c>
      <c r="D2817" s="60">
        <v>90440</v>
      </c>
      <c r="E2817" s="65">
        <v>43.480769230769234</v>
      </c>
      <c r="F2817" s="197">
        <v>3478.4615384615386</v>
      </c>
      <c r="G2817" s="197">
        <v>2695.42</v>
      </c>
      <c r="H2817" s="65">
        <v>93135.42</v>
      </c>
      <c r="I2817" s="65"/>
      <c r="J2817" s="65"/>
      <c r="K2817" s="65"/>
      <c r="L2817" s="197">
        <v>93135.42</v>
      </c>
    </row>
    <row r="2818" spans="1:12" ht="15" customHeight="1" x14ac:dyDescent="0.25">
      <c r="A2818" s="167">
        <v>475</v>
      </c>
      <c r="B2818" s="167" t="s">
        <v>2680</v>
      </c>
      <c r="C2818" s="181" t="s">
        <v>2681</v>
      </c>
      <c r="D2818" s="60">
        <v>62169</v>
      </c>
      <c r="E2818" s="60">
        <v>29.888942307692307</v>
      </c>
      <c r="F2818" s="66">
        <v>2391.1153846153848</v>
      </c>
      <c r="G2818" s="66">
        <v>0</v>
      </c>
      <c r="H2818" s="60">
        <v>62169</v>
      </c>
      <c r="I2818" s="60"/>
      <c r="J2818" s="60"/>
      <c r="K2818" s="60"/>
      <c r="L2818" s="66">
        <v>62169</v>
      </c>
    </row>
    <row r="2819" spans="1:12" ht="15" customHeight="1" x14ac:dyDescent="0.25">
      <c r="A2819" s="167">
        <v>475</v>
      </c>
      <c r="B2819" s="167" t="s">
        <v>2684</v>
      </c>
      <c r="C2819" s="265" t="s">
        <v>2685</v>
      </c>
      <c r="D2819" s="60">
        <v>39537</v>
      </c>
      <c r="E2819" s="60">
        <v>19.008173076923075</v>
      </c>
      <c r="F2819" s="66">
        <v>1520.6538461538462</v>
      </c>
      <c r="G2819" s="66">
        <v>0</v>
      </c>
      <c r="H2819" s="60">
        <v>39537</v>
      </c>
      <c r="I2819" s="60"/>
      <c r="J2819" s="60"/>
      <c r="K2819" s="60"/>
      <c r="L2819" s="66">
        <v>39537</v>
      </c>
    </row>
    <row r="2820" spans="1:12" ht="15" customHeight="1" x14ac:dyDescent="0.25">
      <c r="A2820" s="167">
        <v>475</v>
      </c>
      <c r="B2820" s="167" t="s">
        <v>2688</v>
      </c>
      <c r="C2820" s="247" t="s">
        <v>2689</v>
      </c>
      <c r="D2820" s="60">
        <v>35989</v>
      </c>
      <c r="E2820" s="65">
        <v>17.302403846153847</v>
      </c>
      <c r="F2820" s="197">
        <v>1384.1923076923076</v>
      </c>
      <c r="G2820" s="197">
        <v>0</v>
      </c>
      <c r="H2820" s="65">
        <v>35989</v>
      </c>
      <c r="I2820" s="65"/>
      <c r="J2820" s="65"/>
      <c r="K2820" s="65"/>
      <c r="L2820" s="197">
        <v>35989</v>
      </c>
    </row>
    <row r="2821" spans="1:12" ht="15" customHeight="1" x14ac:dyDescent="0.25">
      <c r="A2821" s="167">
        <v>475</v>
      </c>
      <c r="B2821" s="167" t="s">
        <v>2692</v>
      </c>
      <c r="C2821" s="247" t="s">
        <v>2693</v>
      </c>
      <c r="D2821" s="60">
        <v>35989</v>
      </c>
      <c r="E2821" s="65">
        <v>17.302403846153847</v>
      </c>
      <c r="F2821" s="197">
        <v>1384.1923076923076</v>
      </c>
      <c r="G2821" s="197">
        <v>0</v>
      </c>
      <c r="H2821" s="65">
        <v>35989</v>
      </c>
      <c r="I2821" s="65"/>
      <c r="J2821" s="65"/>
      <c r="K2821" s="65"/>
      <c r="L2821" s="197">
        <v>35989</v>
      </c>
    </row>
    <row r="2822" spans="1:12" ht="15" customHeight="1" x14ac:dyDescent="0.25">
      <c r="A2822" s="167">
        <v>475</v>
      </c>
      <c r="B2822" s="167" t="s">
        <v>2695</v>
      </c>
      <c r="C2822" s="265" t="s">
        <v>2696</v>
      </c>
      <c r="D2822" s="60">
        <v>35989</v>
      </c>
      <c r="E2822" s="65">
        <v>17.302403846153847</v>
      </c>
      <c r="F2822" s="197">
        <v>1384.1923076923076</v>
      </c>
      <c r="G2822" s="197">
        <v>0</v>
      </c>
      <c r="H2822" s="65">
        <v>35989</v>
      </c>
      <c r="I2822" s="65"/>
      <c r="J2822" s="65"/>
      <c r="K2822" s="65"/>
      <c r="L2822" s="197">
        <v>35989</v>
      </c>
    </row>
    <row r="2823" spans="1:12" ht="15" customHeight="1" x14ac:dyDescent="0.25">
      <c r="A2823" s="167">
        <v>475</v>
      </c>
      <c r="B2823" s="167"/>
      <c r="C2823" s="265" t="s">
        <v>2698</v>
      </c>
      <c r="D2823" s="60">
        <v>39791</v>
      </c>
      <c r="E2823" s="65">
        <v>19.130288461538463</v>
      </c>
      <c r="F2823" s="197">
        <v>1530.4230769230769</v>
      </c>
      <c r="G2823" s="197">
        <v>0</v>
      </c>
      <c r="H2823" s="65">
        <v>39791</v>
      </c>
      <c r="I2823" s="65"/>
      <c r="J2823" s="65"/>
      <c r="K2823" s="65"/>
      <c r="L2823" s="197">
        <v>39791</v>
      </c>
    </row>
    <row r="2824" spans="1:12" ht="15" customHeight="1" x14ac:dyDescent="0.25">
      <c r="A2824" s="167">
        <v>475</v>
      </c>
      <c r="B2824" s="167" t="s">
        <v>2700</v>
      </c>
      <c r="C2824" s="265" t="s">
        <v>2701</v>
      </c>
      <c r="D2824" s="60">
        <v>34215</v>
      </c>
      <c r="E2824" s="65">
        <v>16.44951923076923</v>
      </c>
      <c r="F2824" s="197">
        <v>1315.9615384615386</v>
      </c>
      <c r="G2824" s="197">
        <v>0</v>
      </c>
      <c r="H2824" s="65">
        <v>34215</v>
      </c>
      <c r="I2824" s="65"/>
      <c r="J2824" s="65"/>
      <c r="K2824" s="65"/>
      <c r="L2824" s="197">
        <v>34215</v>
      </c>
    </row>
    <row r="2825" spans="1:12" ht="15" customHeight="1" x14ac:dyDescent="0.25">
      <c r="A2825" s="167">
        <v>475</v>
      </c>
      <c r="B2825" s="167">
        <v>440006</v>
      </c>
      <c r="C2825" s="265" t="s">
        <v>253</v>
      </c>
      <c r="D2825" s="60">
        <v>9000</v>
      </c>
      <c r="E2825" s="247"/>
      <c r="F2825" s="247"/>
      <c r="G2825" s="247">
        <v>0</v>
      </c>
      <c r="H2825" s="65">
        <v>9000</v>
      </c>
      <c r="I2825" s="65"/>
      <c r="J2825" s="65"/>
      <c r="K2825" s="65"/>
      <c r="L2825" s="197">
        <v>9000</v>
      </c>
    </row>
    <row r="2826" spans="1:12" ht="15" customHeight="1" x14ac:dyDescent="0.25">
      <c r="A2826" s="167">
        <v>475</v>
      </c>
      <c r="B2826" s="247"/>
      <c r="C2826" s="247"/>
      <c r="D2826" s="95">
        <v>961348</v>
      </c>
      <c r="E2826" s="107"/>
      <c r="F2826" s="95">
        <v>36628.769230769234</v>
      </c>
      <c r="G2826" s="95">
        <v>11796</v>
      </c>
      <c r="H2826" s="107">
        <v>973144.00000000012</v>
      </c>
      <c r="I2826" s="95">
        <f t="shared" ref="I2826:K2826" si="988">SUM(I2809:I2825)</f>
        <v>0</v>
      </c>
      <c r="J2826" s="95">
        <f t="shared" si="988"/>
        <v>0</v>
      </c>
      <c r="K2826" s="95">
        <f t="shared" si="988"/>
        <v>0</v>
      </c>
      <c r="L2826" s="95">
        <v>973144.00000000012</v>
      </c>
    </row>
    <row r="2827" spans="1:12" ht="15" customHeight="1" x14ac:dyDescent="0.25">
      <c r="A2827" s="265" t="s">
        <v>2702</v>
      </c>
      <c r="B2827" s="247"/>
      <c r="C2827" s="265" t="s">
        <v>2703</v>
      </c>
      <c r="D2827" s="60">
        <v>766948</v>
      </c>
      <c r="E2827" s="167">
        <v>0</v>
      </c>
      <c r="F2827" s="167"/>
      <c r="G2827" s="247">
        <v>0</v>
      </c>
      <c r="H2827" s="167">
        <v>70000</v>
      </c>
      <c r="I2827" s="65"/>
      <c r="J2827" s="65"/>
      <c r="K2827" s="65"/>
      <c r="L2827" s="197"/>
    </row>
    <row r="2828" spans="1:12" ht="15" customHeight="1" x14ac:dyDescent="0.25">
      <c r="A2828" s="247"/>
      <c r="B2828" s="247"/>
      <c r="C2828" s="247"/>
      <c r="D2828" s="397"/>
      <c r="E2828" s="247"/>
      <c r="F2828" s="247"/>
      <c r="G2828" s="247"/>
      <c r="H2828" s="247"/>
      <c r="I2828" s="65"/>
      <c r="J2828" s="65"/>
      <c r="K2828" s="65"/>
      <c r="L2828" s="65"/>
    </row>
    <row r="2829" spans="1:12" ht="15" customHeight="1" x14ac:dyDescent="0.25">
      <c r="A2829" s="247"/>
      <c r="B2829" s="247"/>
      <c r="C2829" s="247"/>
      <c r="D2829" s="397"/>
      <c r="E2829" s="247"/>
      <c r="F2829" s="247"/>
      <c r="G2829" s="247"/>
      <c r="H2829" s="247"/>
      <c r="I2829" s="65"/>
      <c r="J2829" s="65"/>
      <c r="K2829" s="65"/>
      <c r="L2829" s="65"/>
    </row>
    <row r="2830" spans="1:12" ht="15" customHeight="1" x14ac:dyDescent="0.25">
      <c r="A2830" s="167">
        <v>476</v>
      </c>
      <c r="B2830" s="167" t="s">
        <v>2704</v>
      </c>
      <c r="C2830" s="265" t="s">
        <v>2705</v>
      </c>
      <c r="D2830" s="60">
        <v>36399</v>
      </c>
      <c r="E2830" s="65">
        <v>17.499519230769231</v>
      </c>
      <c r="F2830" s="197">
        <v>1399.9615384615386</v>
      </c>
      <c r="G2830" s="197">
        <v>0</v>
      </c>
      <c r="H2830" s="65">
        <v>36399</v>
      </c>
      <c r="I2830" s="65"/>
      <c r="J2830" s="65"/>
      <c r="K2830" s="65"/>
      <c r="L2830" s="197">
        <v>36399</v>
      </c>
    </row>
    <row r="2831" spans="1:12" ht="15" customHeight="1" x14ac:dyDescent="0.25">
      <c r="A2831" s="167">
        <v>476</v>
      </c>
      <c r="B2831" s="167" t="s">
        <v>2708</v>
      </c>
      <c r="C2831" s="265" t="s">
        <v>2709</v>
      </c>
      <c r="D2831" s="60">
        <v>34326</v>
      </c>
      <c r="E2831" s="65">
        <v>16.502884615384616</v>
      </c>
      <c r="F2831" s="197">
        <v>1320.2307692307693</v>
      </c>
      <c r="G2831" s="197">
        <v>0</v>
      </c>
      <c r="H2831" s="65">
        <v>34326</v>
      </c>
      <c r="I2831" s="65"/>
      <c r="J2831" s="65"/>
      <c r="K2831" s="197"/>
      <c r="L2831" s="197">
        <v>34326</v>
      </c>
    </row>
    <row r="2832" spans="1:12" ht="15" customHeight="1" x14ac:dyDescent="0.25">
      <c r="A2832" s="167">
        <v>476</v>
      </c>
      <c r="B2832" s="167" t="s">
        <v>2712</v>
      </c>
      <c r="C2832" s="265" t="s">
        <v>2713</v>
      </c>
      <c r="D2832" s="60">
        <v>55054</v>
      </c>
      <c r="E2832" s="65">
        <v>26.468269230769231</v>
      </c>
      <c r="F2832" s="197">
        <v>2117.4615384615386</v>
      </c>
      <c r="G2832" s="197">
        <v>0</v>
      </c>
      <c r="H2832" s="65">
        <v>55054</v>
      </c>
      <c r="I2832" s="65"/>
      <c r="J2832" s="65"/>
      <c r="K2832" s="294">
        <v>1000</v>
      </c>
      <c r="L2832" s="197">
        <v>56054</v>
      </c>
    </row>
    <row r="2833" spans="1:12" ht="15" customHeight="1" x14ac:dyDescent="0.25">
      <c r="A2833" s="167">
        <v>476</v>
      </c>
      <c r="B2833" s="247"/>
      <c r="C2833" s="265" t="s">
        <v>1627</v>
      </c>
      <c r="D2833" s="60">
        <v>28200</v>
      </c>
      <c r="E2833" s="65">
        <v>13.557692307692308</v>
      </c>
      <c r="F2833" s="197">
        <v>1084.6153846153845</v>
      </c>
      <c r="G2833" s="197">
        <v>0</v>
      </c>
      <c r="H2833" s="65">
        <v>28200</v>
      </c>
      <c r="I2833" s="65"/>
      <c r="J2833" s="65"/>
      <c r="K2833" s="65"/>
      <c r="L2833" s="197">
        <v>28200</v>
      </c>
    </row>
    <row r="2834" spans="1:12" ht="15" customHeight="1" x14ac:dyDescent="0.25">
      <c r="A2834" s="167">
        <v>476</v>
      </c>
      <c r="B2834" s="247"/>
      <c r="C2834" s="247"/>
      <c r="D2834" s="95">
        <v>153979</v>
      </c>
      <c r="E2834" s="107"/>
      <c r="F2834" s="95">
        <v>5922.2692307692305</v>
      </c>
      <c r="G2834" s="95">
        <v>0</v>
      </c>
      <c r="H2834" s="107">
        <v>153979</v>
      </c>
      <c r="I2834" s="95">
        <f t="shared" ref="I2834:K2834" si="989">SUM(I2829:I2833)</f>
        <v>0</v>
      </c>
      <c r="J2834" s="95">
        <f t="shared" si="989"/>
        <v>0</v>
      </c>
      <c r="K2834" s="95">
        <f t="shared" si="989"/>
        <v>1000</v>
      </c>
      <c r="L2834" s="95">
        <v>154979</v>
      </c>
    </row>
    <row r="2835" spans="1:12" ht="15" customHeight="1" x14ac:dyDescent="0.25">
      <c r="A2835" s="247"/>
      <c r="B2835" s="247"/>
      <c r="C2835" s="247"/>
      <c r="D2835" s="397"/>
      <c r="E2835" s="247"/>
      <c r="F2835" s="247"/>
      <c r="G2835" s="247"/>
      <c r="H2835" s="247"/>
      <c r="I2835" s="65"/>
      <c r="J2835" s="65"/>
      <c r="K2835" s="65"/>
      <c r="L2835" s="65"/>
    </row>
    <row r="2836" spans="1:12" ht="15" customHeight="1" x14ac:dyDescent="0.25">
      <c r="A2836" s="247"/>
      <c r="B2836" s="247"/>
      <c r="C2836" s="247"/>
      <c r="D2836" s="397"/>
      <c r="E2836" s="247"/>
      <c r="F2836" s="247"/>
      <c r="G2836" s="247"/>
      <c r="H2836" s="247"/>
      <c r="I2836" s="65"/>
      <c r="J2836" s="65"/>
      <c r="K2836" s="65"/>
      <c r="L2836" s="65"/>
    </row>
    <row r="2837" spans="1:12" ht="15" customHeight="1" x14ac:dyDescent="0.25">
      <c r="A2837" s="167">
        <v>485</v>
      </c>
      <c r="B2837" s="167" t="s">
        <v>2720</v>
      </c>
      <c r="C2837" s="265" t="s">
        <v>2721</v>
      </c>
      <c r="D2837" s="60">
        <v>9000</v>
      </c>
      <c r="E2837" s="65">
        <v>4.3269230769230766</v>
      </c>
      <c r="F2837" s="197">
        <v>346.15384615384613</v>
      </c>
      <c r="G2837" s="197">
        <v>0</v>
      </c>
      <c r="H2837" s="65">
        <v>9000</v>
      </c>
      <c r="I2837" s="65"/>
      <c r="J2837" s="65"/>
      <c r="K2837" s="65"/>
      <c r="L2837" s="197">
        <v>9000</v>
      </c>
    </row>
    <row r="2838" spans="1:12" ht="15" customHeight="1" x14ac:dyDescent="0.25">
      <c r="A2838" s="167">
        <v>485</v>
      </c>
      <c r="B2838" s="167" t="s">
        <v>2720</v>
      </c>
      <c r="C2838" s="265" t="s">
        <v>2723</v>
      </c>
      <c r="D2838" s="60">
        <v>0</v>
      </c>
      <c r="E2838" s="65">
        <v>0</v>
      </c>
      <c r="F2838" s="197">
        <v>0</v>
      </c>
      <c r="G2838" s="197">
        <v>0</v>
      </c>
      <c r="H2838" s="65">
        <v>0</v>
      </c>
      <c r="I2838" s="65"/>
      <c r="J2838" s="65"/>
      <c r="K2838" s="65"/>
      <c r="L2838" s="197">
        <v>0</v>
      </c>
    </row>
    <row r="2839" spans="1:12" ht="15" customHeight="1" x14ac:dyDescent="0.25">
      <c r="A2839" s="167">
        <v>485</v>
      </c>
      <c r="B2839" s="167" t="s">
        <v>2720</v>
      </c>
      <c r="C2839" s="265" t="s">
        <v>2724</v>
      </c>
      <c r="D2839" s="60">
        <v>9000</v>
      </c>
      <c r="E2839" s="65">
        <v>4.3269230769230766</v>
      </c>
      <c r="F2839" s="197">
        <v>346.15384615384613</v>
      </c>
      <c r="G2839" s="197">
        <v>0</v>
      </c>
      <c r="H2839" s="65">
        <v>9000</v>
      </c>
      <c r="I2839" s="65"/>
      <c r="J2839" s="65"/>
      <c r="K2839" s="65"/>
      <c r="L2839" s="197">
        <v>9000</v>
      </c>
    </row>
    <row r="2840" spans="1:12" ht="15" customHeight="1" x14ac:dyDescent="0.25">
      <c r="A2840" s="167">
        <v>485</v>
      </c>
      <c r="B2840" s="167" t="s">
        <v>2725</v>
      </c>
      <c r="C2840" s="265" t="s">
        <v>2726</v>
      </c>
      <c r="D2840" s="60">
        <v>81474</v>
      </c>
      <c r="E2840" s="65">
        <v>39.170192307692311</v>
      </c>
      <c r="F2840" s="197">
        <v>3133.6153846153848</v>
      </c>
      <c r="G2840" s="197">
        <v>0</v>
      </c>
      <c r="H2840" s="65">
        <v>81474</v>
      </c>
      <c r="I2840" s="65"/>
      <c r="J2840" s="65"/>
      <c r="K2840" s="65"/>
      <c r="L2840" s="197">
        <v>81474</v>
      </c>
    </row>
    <row r="2841" spans="1:12" ht="15" customHeight="1" x14ac:dyDescent="0.25">
      <c r="A2841" s="167">
        <v>485</v>
      </c>
      <c r="B2841" s="167" t="s">
        <v>2727</v>
      </c>
      <c r="C2841" s="265" t="s">
        <v>2728</v>
      </c>
      <c r="D2841" s="60">
        <v>80007</v>
      </c>
      <c r="E2841" s="65">
        <v>38.464903846153845</v>
      </c>
      <c r="F2841" s="197">
        <v>3077.1923076923076</v>
      </c>
      <c r="G2841" s="197">
        <v>0</v>
      </c>
      <c r="H2841" s="65">
        <v>80007</v>
      </c>
      <c r="I2841" s="65"/>
      <c r="J2841" s="65"/>
      <c r="K2841" s="65"/>
      <c r="L2841" s="197">
        <v>80007</v>
      </c>
    </row>
    <row r="2842" spans="1:12" ht="15" customHeight="1" x14ac:dyDescent="0.25">
      <c r="A2842" s="167">
        <v>485</v>
      </c>
      <c r="B2842" s="167" t="s">
        <v>2729</v>
      </c>
      <c r="C2842" s="265" t="s">
        <v>2728</v>
      </c>
      <c r="D2842" s="60">
        <v>76033</v>
      </c>
      <c r="E2842" s="65">
        <v>36.554326923076921</v>
      </c>
      <c r="F2842" s="197">
        <v>2924.3461538461538</v>
      </c>
      <c r="G2842" s="197">
        <v>0</v>
      </c>
      <c r="H2842" s="65">
        <v>76033</v>
      </c>
      <c r="I2842" s="65"/>
      <c r="J2842" s="65"/>
      <c r="K2842" s="65"/>
      <c r="L2842" s="197">
        <v>76033</v>
      </c>
    </row>
    <row r="2843" spans="1:12" ht="15" customHeight="1" x14ac:dyDescent="0.25">
      <c r="A2843" s="167">
        <v>485</v>
      </c>
      <c r="B2843" s="167" t="s">
        <v>2730</v>
      </c>
      <c r="C2843" s="265" t="s">
        <v>2726</v>
      </c>
      <c r="D2843" s="60">
        <v>82967</v>
      </c>
      <c r="E2843" s="65">
        <v>39.887980769230772</v>
      </c>
      <c r="F2843" s="197">
        <v>3191.0384615384614</v>
      </c>
      <c r="G2843" s="197">
        <v>2880</v>
      </c>
      <c r="H2843" s="65">
        <v>85847</v>
      </c>
      <c r="I2843" s="65"/>
      <c r="J2843" s="65"/>
      <c r="K2843" s="65"/>
      <c r="L2843" s="197">
        <v>85847</v>
      </c>
    </row>
    <row r="2844" spans="1:12" ht="15" customHeight="1" x14ac:dyDescent="0.25">
      <c r="A2844" s="167">
        <v>485</v>
      </c>
      <c r="B2844" s="167" t="s">
        <v>2732</v>
      </c>
      <c r="C2844" s="265" t="s">
        <v>2726</v>
      </c>
      <c r="D2844" s="60">
        <v>80007</v>
      </c>
      <c r="E2844" s="65">
        <v>38.464903846153845</v>
      </c>
      <c r="F2844" s="197">
        <v>3077.1923076923076</v>
      </c>
      <c r="G2844" s="197">
        <v>0</v>
      </c>
      <c r="H2844" s="65">
        <v>80007</v>
      </c>
      <c r="I2844" s="65"/>
      <c r="J2844" s="65"/>
      <c r="K2844" s="65"/>
      <c r="L2844" s="197">
        <v>80007</v>
      </c>
    </row>
    <row r="2845" spans="1:12" ht="15" customHeight="1" x14ac:dyDescent="0.25">
      <c r="A2845" s="167">
        <v>485</v>
      </c>
      <c r="B2845" s="167" t="s">
        <v>2735</v>
      </c>
      <c r="C2845" s="265" t="s">
        <v>2736</v>
      </c>
      <c r="D2845" s="60">
        <v>87214</v>
      </c>
      <c r="E2845" s="65">
        <v>41.929807692307691</v>
      </c>
      <c r="F2845" s="197">
        <v>3354.3846153846152</v>
      </c>
      <c r="G2845" s="197">
        <v>4320</v>
      </c>
      <c r="H2845" s="65">
        <v>91534</v>
      </c>
      <c r="I2845" s="65"/>
      <c r="J2845" s="65"/>
      <c r="K2845" s="65"/>
      <c r="L2845" s="197">
        <v>91534</v>
      </c>
    </row>
    <row r="2846" spans="1:12" ht="15" customHeight="1" x14ac:dyDescent="0.25">
      <c r="A2846" s="167">
        <v>485</v>
      </c>
      <c r="B2846" s="167" t="s">
        <v>2739</v>
      </c>
      <c r="C2846" s="265" t="s">
        <v>2740</v>
      </c>
      <c r="D2846" s="60">
        <v>51720</v>
      </c>
      <c r="E2846" s="65">
        <v>24.865384615384617</v>
      </c>
      <c r="F2846" s="197">
        <v>1989.2307692307693</v>
      </c>
      <c r="G2846" s="197">
        <v>0</v>
      </c>
      <c r="H2846" s="65">
        <v>51720</v>
      </c>
      <c r="I2846" s="65"/>
      <c r="J2846" s="65"/>
      <c r="K2846" s="65"/>
      <c r="L2846" s="197">
        <v>51720</v>
      </c>
    </row>
    <row r="2847" spans="1:12" ht="15" customHeight="1" x14ac:dyDescent="0.25">
      <c r="A2847" s="167">
        <v>485</v>
      </c>
      <c r="B2847" s="167" t="s">
        <v>2742</v>
      </c>
      <c r="C2847" s="265" t="s">
        <v>2743</v>
      </c>
      <c r="D2847" s="60">
        <v>42517</v>
      </c>
      <c r="E2847" s="65">
        <v>20.440865384615385</v>
      </c>
      <c r="F2847" s="197">
        <v>1635.2692307692307</v>
      </c>
      <c r="G2847" s="197">
        <v>0</v>
      </c>
      <c r="H2847" s="65">
        <v>42517</v>
      </c>
      <c r="I2847" s="65"/>
      <c r="J2847" s="65"/>
      <c r="K2847" s="65"/>
      <c r="L2847" s="197">
        <v>42517</v>
      </c>
    </row>
    <row r="2848" spans="1:12" ht="15" customHeight="1" x14ac:dyDescent="0.25">
      <c r="A2848" s="167">
        <v>485</v>
      </c>
      <c r="B2848" s="189" t="s">
        <v>2745</v>
      </c>
      <c r="C2848" s="181" t="s">
        <v>2743</v>
      </c>
      <c r="D2848" s="60">
        <v>38825</v>
      </c>
      <c r="E2848" s="65">
        <v>18.665865384615383</v>
      </c>
      <c r="F2848" s="197">
        <v>1493.2692307692307</v>
      </c>
      <c r="G2848" s="197">
        <v>0</v>
      </c>
      <c r="H2848" s="65">
        <v>38825</v>
      </c>
      <c r="I2848" s="65"/>
      <c r="J2848" s="65"/>
      <c r="K2848" s="65"/>
      <c r="L2848" s="197">
        <v>38825</v>
      </c>
    </row>
    <row r="2849" spans="1:12" ht="15" customHeight="1" x14ac:dyDescent="0.25">
      <c r="A2849" s="167">
        <v>485</v>
      </c>
      <c r="B2849" s="167" t="s">
        <v>2745</v>
      </c>
      <c r="C2849" s="265" t="s">
        <v>2746</v>
      </c>
      <c r="D2849" s="60">
        <v>37003</v>
      </c>
      <c r="E2849" s="65">
        <v>17.789903846153845</v>
      </c>
      <c r="F2849" s="197">
        <v>1423.1923076923076</v>
      </c>
      <c r="G2849" s="197">
        <v>0</v>
      </c>
      <c r="H2849" s="65">
        <v>37003</v>
      </c>
      <c r="I2849" s="65"/>
      <c r="J2849" s="65"/>
      <c r="K2849" s="65"/>
      <c r="L2849" s="197">
        <v>37003</v>
      </c>
    </row>
    <row r="2850" spans="1:12" ht="15" customHeight="1" x14ac:dyDescent="0.25">
      <c r="A2850" s="167">
        <v>485</v>
      </c>
      <c r="B2850" s="167" t="s">
        <v>2748</v>
      </c>
      <c r="C2850" s="265" t="s">
        <v>2746</v>
      </c>
      <c r="D2850" s="60">
        <v>37003</v>
      </c>
      <c r="E2850" s="65">
        <v>17.789903846153845</v>
      </c>
      <c r="F2850" s="197">
        <v>1423.1923076923076</v>
      </c>
      <c r="G2850" s="197">
        <v>0</v>
      </c>
      <c r="H2850" s="65">
        <v>37003</v>
      </c>
      <c r="I2850" s="65"/>
      <c r="J2850" s="65"/>
      <c r="K2850" s="65"/>
      <c r="L2850" s="197">
        <v>37003</v>
      </c>
    </row>
    <row r="2851" spans="1:12" ht="15" customHeight="1" x14ac:dyDescent="0.25">
      <c r="A2851" s="167">
        <v>485</v>
      </c>
      <c r="B2851" s="167" t="s">
        <v>2751</v>
      </c>
      <c r="C2851" s="265" t="s">
        <v>2746</v>
      </c>
      <c r="D2851" s="60">
        <v>36337</v>
      </c>
      <c r="E2851" s="65">
        <v>17.469711538461539</v>
      </c>
      <c r="F2851" s="197">
        <v>1397.5769230769231</v>
      </c>
      <c r="G2851" s="197">
        <v>0</v>
      </c>
      <c r="H2851" s="65">
        <v>36337</v>
      </c>
      <c r="I2851" s="65"/>
      <c r="J2851" s="65"/>
      <c r="K2851" s="65"/>
      <c r="L2851" s="197">
        <v>36337</v>
      </c>
    </row>
    <row r="2852" spans="1:12" ht="15" customHeight="1" x14ac:dyDescent="0.25">
      <c r="A2852" s="167">
        <v>485</v>
      </c>
      <c r="B2852" s="167" t="s">
        <v>2754</v>
      </c>
      <c r="C2852" s="265" t="s">
        <v>2746</v>
      </c>
      <c r="D2852" s="60">
        <v>37681</v>
      </c>
      <c r="E2852" s="65">
        <v>18.115865384615386</v>
      </c>
      <c r="F2852" s="197">
        <v>1449.2692307692307</v>
      </c>
      <c r="G2852" s="197">
        <v>0</v>
      </c>
      <c r="H2852" s="65">
        <v>37681</v>
      </c>
      <c r="I2852" s="65"/>
      <c r="J2852" s="65"/>
      <c r="K2852" s="65"/>
      <c r="L2852" s="197">
        <v>37681</v>
      </c>
    </row>
    <row r="2853" spans="1:12" ht="15" customHeight="1" x14ac:dyDescent="0.25">
      <c r="A2853" s="167">
        <v>485</v>
      </c>
      <c r="B2853" s="167" t="s">
        <v>2756</v>
      </c>
      <c r="C2853" s="265" t="s">
        <v>2701</v>
      </c>
      <c r="D2853" s="60">
        <v>34215</v>
      </c>
      <c r="E2853" s="65">
        <v>16.44951923076923</v>
      </c>
      <c r="F2853" s="197">
        <v>1315.9615384615386</v>
      </c>
      <c r="G2853" s="197">
        <v>0</v>
      </c>
      <c r="H2853" s="65">
        <v>34215</v>
      </c>
      <c r="I2853" s="65"/>
      <c r="J2853" s="65"/>
      <c r="K2853" s="65"/>
      <c r="L2853" s="197">
        <v>34215</v>
      </c>
    </row>
    <row r="2854" spans="1:12" ht="15" customHeight="1" x14ac:dyDescent="0.25">
      <c r="A2854" s="167">
        <v>485</v>
      </c>
      <c r="B2854" s="167" t="s">
        <v>2759</v>
      </c>
      <c r="C2854" s="265" t="s">
        <v>2760</v>
      </c>
      <c r="D2854" s="60">
        <v>54063</v>
      </c>
      <c r="E2854" s="65">
        <v>25.991826923076925</v>
      </c>
      <c r="F2854" s="197">
        <v>2079.3461538461538</v>
      </c>
      <c r="G2854" s="197">
        <v>0</v>
      </c>
      <c r="H2854" s="65">
        <v>54063</v>
      </c>
      <c r="I2854" s="65"/>
      <c r="J2854" s="65"/>
      <c r="K2854" s="197">
        <v>1500</v>
      </c>
      <c r="L2854" s="197">
        <v>55563</v>
      </c>
    </row>
    <row r="2855" spans="1:12" ht="15" customHeight="1" x14ac:dyDescent="0.25">
      <c r="A2855" s="167">
        <v>485</v>
      </c>
      <c r="B2855" s="167" t="s">
        <v>2763</v>
      </c>
      <c r="C2855" s="265" t="s">
        <v>2764</v>
      </c>
      <c r="D2855" s="60">
        <v>55054</v>
      </c>
      <c r="E2855" s="65">
        <v>26.468269230769231</v>
      </c>
      <c r="F2855" s="197">
        <v>2117.4615384615386</v>
      </c>
      <c r="G2855" s="197">
        <v>0</v>
      </c>
      <c r="H2855" s="65">
        <v>55054</v>
      </c>
      <c r="I2855" s="65"/>
      <c r="J2855" s="65"/>
      <c r="K2855" s="197"/>
      <c r="L2855" s="197">
        <v>55054</v>
      </c>
    </row>
    <row r="2856" spans="1:12" ht="15" customHeight="1" x14ac:dyDescent="0.25">
      <c r="A2856" s="167">
        <v>485</v>
      </c>
      <c r="B2856" s="247"/>
      <c r="C2856" s="265" t="s">
        <v>2766</v>
      </c>
      <c r="D2856" s="60">
        <v>0</v>
      </c>
      <c r="E2856" s="247"/>
      <c r="F2856" s="247"/>
      <c r="G2856" s="247">
        <v>0</v>
      </c>
      <c r="H2856" s="167">
        <v>0</v>
      </c>
      <c r="I2856" s="65"/>
      <c r="J2856" s="65"/>
      <c r="K2856" s="65"/>
      <c r="L2856" s="197">
        <v>0</v>
      </c>
    </row>
    <row r="2857" spans="1:12" ht="15" customHeight="1" x14ac:dyDescent="0.25">
      <c r="A2857" s="167">
        <v>485</v>
      </c>
      <c r="B2857" s="247"/>
      <c r="C2857" s="247"/>
      <c r="D2857" s="95">
        <v>930120</v>
      </c>
      <c r="E2857" s="107"/>
      <c r="F2857" s="95">
        <v>35773.846153846156</v>
      </c>
      <c r="G2857" s="95">
        <v>7200</v>
      </c>
      <c r="H2857" s="107">
        <v>937320</v>
      </c>
      <c r="I2857" s="95">
        <f t="shared" ref="I2857:K2857" si="990">SUM(I2837:I2856)</f>
        <v>0</v>
      </c>
      <c r="J2857" s="95">
        <f t="shared" si="990"/>
        <v>0</v>
      </c>
      <c r="K2857" s="95">
        <f t="shared" si="990"/>
        <v>1500</v>
      </c>
      <c r="L2857" s="95">
        <v>938820</v>
      </c>
    </row>
    <row r="2858" spans="1:12" ht="15" customHeight="1" x14ac:dyDescent="0.25">
      <c r="A2858" s="247"/>
      <c r="B2858" s="247"/>
      <c r="C2858" s="247"/>
      <c r="D2858" s="397"/>
      <c r="E2858" s="247"/>
      <c r="F2858" s="247"/>
      <c r="G2858" s="247"/>
      <c r="H2858" s="247"/>
      <c r="I2858" s="65"/>
      <c r="J2858" s="65"/>
      <c r="K2858" s="65"/>
      <c r="L2858" s="65"/>
    </row>
    <row r="2859" spans="1:12" ht="15" customHeight="1" x14ac:dyDescent="0.25">
      <c r="A2859" s="265"/>
      <c r="B2859" s="265"/>
      <c r="C2859" s="265"/>
      <c r="D2859" s="60"/>
      <c r="E2859" s="65"/>
      <c r="F2859" s="197"/>
      <c r="G2859" s="197"/>
      <c r="H2859" s="65"/>
      <c r="I2859" s="65"/>
      <c r="J2859" s="65"/>
      <c r="K2859" s="65"/>
      <c r="L2859" s="65"/>
    </row>
    <row r="2860" spans="1:12" ht="15" customHeight="1" x14ac:dyDescent="0.25">
      <c r="A2860" s="167">
        <v>495</v>
      </c>
      <c r="B2860" s="167" t="s">
        <v>2767</v>
      </c>
      <c r="C2860" s="265" t="s">
        <v>1024</v>
      </c>
      <c r="D2860" s="60">
        <v>142443</v>
      </c>
      <c r="E2860" s="65">
        <v>68.482211538461542</v>
      </c>
      <c r="F2860" s="197">
        <v>5478.5769230769229</v>
      </c>
      <c r="G2860" s="197">
        <v>0</v>
      </c>
      <c r="H2860" s="65">
        <v>142443</v>
      </c>
      <c r="I2860" s="65"/>
      <c r="J2860" s="65"/>
      <c r="K2860" s="65"/>
      <c r="L2860" s="197">
        <v>142443</v>
      </c>
    </row>
    <row r="2861" spans="1:12" ht="15" customHeight="1" x14ac:dyDescent="0.25">
      <c r="A2861" s="167">
        <v>495</v>
      </c>
      <c r="B2861" s="167" t="s">
        <v>2770</v>
      </c>
      <c r="C2861" s="265" t="s">
        <v>2771</v>
      </c>
      <c r="D2861" s="60">
        <v>69168</v>
      </c>
      <c r="E2861" s="65">
        <v>33.253846153846155</v>
      </c>
      <c r="F2861" s="197">
        <v>2660.3076923076924</v>
      </c>
      <c r="G2861" s="197">
        <v>0</v>
      </c>
      <c r="H2861" s="65">
        <v>69168</v>
      </c>
      <c r="I2861" s="65"/>
      <c r="J2861" s="65"/>
      <c r="K2861" s="65"/>
      <c r="L2861" s="197">
        <v>69168</v>
      </c>
    </row>
    <row r="2862" spans="1:12" ht="15" customHeight="1" x14ac:dyDescent="0.25">
      <c r="A2862" s="167">
        <v>495</v>
      </c>
      <c r="B2862" s="167" t="s">
        <v>2774</v>
      </c>
      <c r="C2862" s="265" t="s">
        <v>2775</v>
      </c>
      <c r="D2862" s="60">
        <v>42072</v>
      </c>
      <c r="E2862" s="65">
        <v>20.226923076923075</v>
      </c>
      <c r="F2862" s="197">
        <v>1618.1538461538462</v>
      </c>
      <c r="G2862" s="197">
        <v>0</v>
      </c>
      <c r="H2862" s="65">
        <v>42072</v>
      </c>
      <c r="I2862" s="65"/>
      <c r="J2862" s="65"/>
      <c r="K2862" s="65"/>
      <c r="L2862" s="197">
        <v>42072</v>
      </c>
    </row>
    <row r="2863" spans="1:12" ht="15" customHeight="1" x14ac:dyDescent="0.25">
      <c r="A2863" s="167">
        <v>495</v>
      </c>
      <c r="B2863" s="167" t="s">
        <v>2776</v>
      </c>
      <c r="C2863" s="265" t="s">
        <v>2775</v>
      </c>
      <c r="D2863" s="60">
        <v>42072</v>
      </c>
      <c r="E2863" s="65">
        <v>20.226923076923075</v>
      </c>
      <c r="F2863" s="197">
        <v>1618.1538461538462</v>
      </c>
      <c r="G2863" s="197">
        <v>0</v>
      </c>
      <c r="H2863" s="65">
        <v>42072</v>
      </c>
      <c r="I2863" s="65"/>
      <c r="J2863" s="65"/>
      <c r="K2863" s="65"/>
      <c r="L2863" s="197">
        <v>42072</v>
      </c>
    </row>
    <row r="2864" spans="1:12" ht="15" customHeight="1" x14ac:dyDescent="0.25">
      <c r="A2864" s="167">
        <v>495</v>
      </c>
      <c r="B2864" s="167" t="s">
        <v>2778</v>
      </c>
      <c r="C2864" s="265" t="s">
        <v>2779</v>
      </c>
      <c r="D2864" s="60">
        <v>46071</v>
      </c>
      <c r="E2864" s="65">
        <v>22.149519230769229</v>
      </c>
      <c r="F2864" s="197">
        <v>1771.9615384615386</v>
      </c>
      <c r="G2864" s="197">
        <v>0</v>
      </c>
      <c r="H2864" s="65">
        <v>46071</v>
      </c>
      <c r="I2864" s="65"/>
      <c r="J2864" s="65"/>
      <c r="K2864" s="65"/>
      <c r="L2864" s="197">
        <v>46071</v>
      </c>
    </row>
    <row r="2865" spans="1:12" ht="15" customHeight="1" x14ac:dyDescent="0.25">
      <c r="A2865" s="167">
        <v>495</v>
      </c>
      <c r="B2865" s="167" t="s">
        <v>2781</v>
      </c>
      <c r="C2865" s="265" t="s">
        <v>2779</v>
      </c>
      <c r="D2865" s="60">
        <v>46071</v>
      </c>
      <c r="E2865" s="65">
        <v>22.149519230769229</v>
      </c>
      <c r="F2865" s="197">
        <v>1771.9615384615386</v>
      </c>
      <c r="G2865" s="197">
        <v>0</v>
      </c>
      <c r="H2865" s="65">
        <v>46071</v>
      </c>
      <c r="I2865" s="65"/>
      <c r="J2865" s="65"/>
      <c r="K2865" s="65"/>
      <c r="L2865" s="197">
        <v>46071</v>
      </c>
    </row>
    <row r="2866" spans="1:12" ht="15" customHeight="1" x14ac:dyDescent="0.25">
      <c r="A2866" s="167">
        <v>495</v>
      </c>
      <c r="B2866" s="167" t="s">
        <v>2784</v>
      </c>
      <c r="C2866" s="265" t="s">
        <v>2779</v>
      </c>
      <c r="D2866" s="60">
        <v>46071</v>
      </c>
      <c r="E2866" s="65">
        <v>22.149519230769229</v>
      </c>
      <c r="F2866" s="197">
        <v>1771.9615384615386</v>
      </c>
      <c r="G2866" s="197">
        <v>0</v>
      </c>
      <c r="H2866" s="65">
        <v>46071</v>
      </c>
      <c r="I2866" s="65"/>
      <c r="J2866" s="65"/>
      <c r="K2866" s="65"/>
      <c r="L2866" s="197">
        <v>46071</v>
      </c>
    </row>
    <row r="2867" spans="1:12" ht="15" customHeight="1" x14ac:dyDescent="0.25">
      <c r="A2867" s="167">
        <v>495</v>
      </c>
      <c r="B2867" s="167" t="s">
        <v>2786</v>
      </c>
      <c r="C2867" s="265" t="s">
        <v>2779</v>
      </c>
      <c r="D2867" s="60">
        <v>46071</v>
      </c>
      <c r="E2867" s="65">
        <v>22.149519230769229</v>
      </c>
      <c r="F2867" s="197">
        <v>1771.9615384615386</v>
      </c>
      <c r="G2867" s="197">
        <v>0</v>
      </c>
      <c r="H2867" s="65">
        <v>46071</v>
      </c>
      <c r="I2867" s="65"/>
      <c r="J2867" s="65"/>
      <c r="K2867" s="65"/>
      <c r="L2867" s="197">
        <v>46071</v>
      </c>
    </row>
    <row r="2868" spans="1:12" ht="15" customHeight="1" x14ac:dyDescent="0.25">
      <c r="A2868" s="167">
        <v>495</v>
      </c>
      <c r="B2868" s="167" t="s">
        <v>2789</v>
      </c>
      <c r="C2868" s="265" t="s">
        <v>2790</v>
      </c>
      <c r="D2868" s="60">
        <v>52956</v>
      </c>
      <c r="E2868" s="65">
        <v>25.459615384615386</v>
      </c>
      <c r="F2868" s="197">
        <v>2036.7692307692307</v>
      </c>
      <c r="G2868" s="197">
        <v>0</v>
      </c>
      <c r="H2868" s="65">
        <v>52956</v>
      </c>
      <c r="I2868" s="65"/>
      <c r="J2868" s="65"/>
      <c r="K2868" s="65"/>
      <c r="L2868" s="197">
        <v>52956</v>
      </c>
    </row>
    <row r="2869" spans="1:12" ht="15" customHeight="1" x14ac:dyDescent="0.25">
      <c r="A2869" s="167">
        <v>495</v>
      </c>
      <c r="B2869" s="247"/>
      <c r="C2869" s="265" t="s">
        <v>1627</v>
      </c>
      <c r="D2869" s="60">
        <v>0</v>
      </c>
      <c r="E2869" s="247"/>
      <c r="F2869" s="247"/>
      <c r="G2869" s="247">
        <v>0</v>
      </c>
      <c r="H2869" s="65">
        <v>0</v>
      </c>
      <c r="I2869" s="65"/>
      <c r="J2869" s="65"/>
      <c r="K2869" s="65"/>
      <c r="L2869" s="197">
        <v>0</v>
      </c>
    </row>
    <row r="2870" spans="1:12" ht="15" customHeight="1" x14ac:dyDescent="0.25">
      <c r="A2870" s="167">
        <v>495</v>
      </c>
      <c r="B2870" s="247"/>
      <c r="C2870" s="265" t="s">
        <v>2495</v>
      </c>
      <c r="D2870" s="60">
        <v>500</v>
      </c>
      <c r="E2870" s="247"/>
      <c r="F2870" s="247"/>
      <c r="G2870" s="247">
        <v>0</v>
      </c>
      <c r="H2870" s="167">
        <v>500</v>
      </c>
      <c r="I2870" s="65"/>
      <c r="J2870" s="65"/>
      <c r="K2870" s="65"/>
      <c r="L2870" s="197">
        <v>500</v>
      </c>
    </row>
    <row r="2871" spans="1:12" ht="15" customHeight="1" x14ac:dyDescent="0.25">
      <c r="A2871" s="167">
        <v>495</v>
      </c>
      <c r="B2871" s="247"/>
      <c r="C2871" s="247"/>
      <c r="D2871" s="95">
        <v>533495</v>
      </c>
      <c r="E2871" s="107"/>
      <c r="F2871" s="95">
        <v>20499.807692307691</v>
      </c>
      <c r="G2871" s="95">
        <v>0</v>
      </c>
      <c r="H2871" s="107">
        <v>533495</v>
      </c>
      <c r="I2871" s="95">
        <f t="shared" ref="I2871:K2871" si="991">SUM(I2858:I2870)</f>
        <v>0</v>
      </c>
      <c r="J2871" s="95">
        <f t="shared" si="991"/>
        <v>0</v>
      </c>
      <c r="K2871" s="95">
        <f t="shared" si="991"/>
        <v>0</v>
      </c>
      <c r="L2871" s="95">
        <v>533495</v>
      </c>
    </row>
    <row r="2872" spans="1:12" ht="15" customHeight="1" x14ac:dyDescent="0.25">
      <c r="A2872" s="247"/>
      <c r="B2872" s="247"/>
      <c r="C2872" s="247"/>
      <c r="D2872" s="397"/>
      <c r="E2872" s="247"/>
      <c r="F2872" s="247"/>
      <c r="G2872" s="247"/>
      <c r="H2872" s="247"/>
      <c r="I2872" s="65"/>
      <c r="J2872" s="65"/>
      <c r="K2872" s="65"/>
      <c r="L2872" s="65"/>
    </row>
    <row r="2873" spans="1:12" ht="15" customHeight="1" x14ac:dyDescent="0.25">
      <c r="A2873" s="247"/>
      <c r="B2873" s="247"/>
      <c r="C2873" s="247"/>
      <c r="D2873" s="397"/>
      <c r="E2873" s="247"/>
      <c r="F2873" s="247"/>
      <c r="G2873" s="247"/>
      <c r="H2873" s="247"/>
      <c r="I2873" s="65"/>
      <c r="J2873" s="65"/>
      <c r="K2873" s="65"/>
      <c r="L2873" s="65"/>
    </row>
    <row r="2874" spans="1:12" ht="15" customHeight="1" x14ac:dyDescent="0.25">
      <c r="A2874" s="167">
        <v>496</v>
      </c>
      <c r="B2874" s="167" t="s">
        <v>2793</v>
      </c>
      <c r="C2874" s="265" t="s">
        <v>2794</v>
      </c>
      <c r="D2874" s="60">
        <v>84222</v>
      </c>
      <c r="E2874" s="65">
        <v>40.491346153846152</v>
      </c>
      <c r="F2874" s="197">
        <v>3239.3076923076924</v>
      </c>
      <c r="G2874" s="197">
        <v>0</v>
      </c>
      <c r="H2874" s="65">
        <v>84222</v>
      </c>
      <c r="I2874" s="65"/>
      <c r="J2874" s="65"/>
      <c r="K2874" s="65"/>
      <c r="L2874" s="197">
        <v>84222</v>
      </c>
    </row>
    <row r="2875" spans="1:12" ht="15" customHeight="1" x14ac:dyDescent="0.25">
      <c r="A2875" s="167">
        <v>496</v>
      </c>
      <c r="B2875" s="167" t="s">
        <v>2797</v>
      </c>
      <c r="C2875" s="265" t="s">
        <v>2798</v>
      </c>
      <c r="D2875" s="60">
        <v>56689</v>
      </c>
      <c r="E2875" s="65">
        <v>27.254326923076924</v>
      </c>
      <c r="F2875" s="197">
        <v>2180.3461538461538</v>
      </c>
      <c r="G2875" s="197">
        <v>0</v>
      </c>
      <c r="H2875" s="65">
        <v>56689</v>
      </c>
      <c r="I2875" s="65"/>
      <c r="J2875" s="65"/>
      <c r="K2875" s="65"/>
      <c r="L2875" s="197">
        <v>56689</v>
      </c>
    </row>
    <row r="2876" spans="1:12" ht="15" customHeight="1" x14ac:dyDescent="0.25">
      <c r="A2876" s="167">
        <v>496</v>
      </c>
      <c r="B2876" s="167" t="s">
        <v>2801</v>
      </c>
      <c r="C2876" s="265" t="s">
        <v>2802</v>
      </c>
      <c r="D2876" s="60">
        <v>43359</v>
      </c>
      <c r="E2876" s="65">
        <v>20.845673076923077</v>
      </c>
      <c r="F2876" s="197">
        <v>1667.6538461538462</v>
      </c>
      <c r="G2876" s="197">
        <v>0</v>
      </c>
      <c r="H2876" s="65">
        <v>43359</v>
      </c>
      <c r="I2876" s="65"/>
      <c r="J2876" s="65"/>
      <c r="K2876" s="65"/>
      <c r="L2876" s="197">
        <v>43359</v>
      </c>
    </row>
    <row r="2877" spans="1:12" ht="15" customHeight="1" x14ac:dyDescent="0.25">
      <c r="A2877" s="167">
        <v>496</v>
      </c>
      <c r="B2877" s="265"/>
      <c r="C2877" s="265" t="s">
        <v>2802</v>
      </c>
      <c r="D2877" s="60">
        <v>41812</v>
      </c>
      <c r="E2877" s="65">
        <v>20.101923076923075</v>
      </c>
      <c r="F2877" s="197">
        <v>1608.1538461538462</v>
      </c>
      <c r="G2877" s="197">
        <v>0</v>
      </c>
      <c r="H2877" s="65">
        <v>41812</v>
      </c>
      <c r="I2877" s="65"/>
      <c r="J2877" s="65"/>
      <c r="K2877" s="65"/>
      <c r="L2877" s="197">
        <v>41812</v>
      </c>
    </row>
    <row r="2878" spans="1:12" ht="15" customHeight="1" x14ac:dyDescent="0.25">
      <c r="A2878" s="167">
        <v>496</v>
      </c>
      <c r="B2878" s="167" t="s">
        <v>2807</v>
      </c>
      <c r="C2878" s="265" t="s">
        <v>2808</v>
      </c>
      <c r="D2878" s="60">
        <v>34844</v>
      </c>
      <c r="E2878" s="65">
        <v>16.751923076923077</v>
      </c>
      <c r="F2878" s="197">
        <v>1340.1538461538462</v>
      </c>
      <c r="G2878" s="197">
        <v>0</v>
      </c>
      <c r="H2878" s="65">
        <v>34844</v>
      </c>
      <c r="I2878" s="65"/>
      <c r="J2878" s="65"/>
      <c r="K2878" s="65"/>
      <c r="L2878" s="197">
        <v>34844</v>
      </c>
    </row>
    <row r="2879" spans="1:12" ht="15" customHeight="1" x14ac:dyDescent="0.25">
      <c r="A2879" s="167">
        <v>496</v>
      </c>
      <c r="B2879" s="247"/>
      <c r="C2879" s="265" t="s">
        <v>2495</v>
      </c>
      <c r="D2879" s="60">
        <v>7000</v>
      </c>
      <c r="E2879" s="247"/>
      <c r="F2879" s="247">
        <v>279.73</v>
      </c>
      <c r="G2879" s="167">
        <v>0</v>
      </c>
      <c r="H2879" s="167">
        <v>7000</v>
      </c>
      <c r="I2879" s="65"/>
      <c r="J2879" s="65"/>
      <c r="K2879" s="65"/>
      <c r="L2879" s="197">
        <v>7000</v>
      </c>
    </row>
    <row r="2880" spans="1:12" ht="15" customHeight="1" x14ac:dyDescent="0.25">
      <c r="A2880" s="167">
        <v>496</v>
      </c>
      <c r="B2880" s="247"/>
      <c r="C2880" s="247"/>
      <c r="D2880" s="95">
        <v>267926</v>
      </c>
      <c r="E2880" s="107"/>
      <c r="F2880" s="95">
        <v>10315.345384615382</v>
      </c>
      <c r="G2880" s="95">
        <v>0</v>
      </c>
      <c r="H2880" s="107">
        <v>267926</v>
      </c>
      <c r="I2880" s="95">
        <f t="shared" ref="I2880:K2880" si="992">SUM(I2873:I2879)</f>
        <v>0</v>
      </c>
      <c r="J2880" s="95">
        <f t="shared" si="992"/>
        <v>0</v>
      </c>
      <c r="K2880" s="95">
        <f t="shared" si="992"/>
        <v>0</v>
      </c>
      <c r="L2880" s="95">
        <v>267926</v>
      </c>
    </row>
    <row r="2881" spans="1:12" ht="15" customHeight="1" x14ac:dyDescent="0.25">
      <c r="A2881" s="247"/>
      <c r="B2881" s="247"/>
      <c r="C2881" s="247"/>
      <c r="D2881" s="397"/>
      <c r="E2881" s="247"/>
      <c r="F2881" s="247"/>
      <c r="G2881" s="247"/>
      <c r="H2881" s="247"/>
      <c r="I2881" s="65"/>
      <c r="J2881" s="65"/>
      <c r="K2881" s="65"/>
      <c r="L2881" s="65"/>
    </row>
    <row r="2882" spans="1:12" ht="15" customHeight="1" x14ac:dyDescent="0.25">
      <c r="A2882" s="167">
        <v>497</v>
      </c>
      <c r="B2882" s="167" t="s">
        <v>2809</v>
      </c>
      <c r="C2882" s="265" t="s">
        <v>1069</v>
      </c>
      <c r="D2882" s="60">
        <v>63638</v>
      </c>
      <c r="E2882" s="65">
        <v>30.595192307692308</v>
      </c>
      <c r="F2882" s="197">
        <v>2447.6153846153848</v>
      </c>
      <c r="G2882" s="197">
        <v>0</v>
      </c>
      <c r="H2882" s="65">
        <v>63638</v>
      </c>
      <c r="I2882" s="65"/>
      <c r="J2882" s="65"/>
      <c r="K2882" s="65"/>
      <c r="L2882" s="197">
        <v>63638</v>
      </c>
    </row>
    <row r="2883" spans="1:12" ht="15" customHeight="1" x14ac:dyDescent="0.25">
      <c r="A2883" s="167">
        <v>497</v>
      </c>
      <c r="B2883" s="167" t="s">
        <v>2811</v>
      </c>
      <c r="C2883" s="265" t="s">
        <v>2812</v>
      </c>
      <c r="D2883" s="60">
        <v>39323</v>
      </c>
      <c r="E2883" s="65">
        <v>18.905288461538461</v>
      </c>
      <c r="F2883" s="197">
        <v>1512.4230769230769</v>
      </c>
      <c r="G2883" s="197">
        <v>0</v>
      </c>
      <c r="H2883" s="65">
        <v>39323</v>
      </c>
      <c r="I2883" s="65"/>
      <c r="J2883" s="65"/>
      <c r="K2883" s="65"/>
      <c r="L2883" s="197">
        <v>39323</v>
      </c>
    </row>
    <row r="2884" spans="1:12" ht="15" customHeight="1" x14ac:dyDescent="0.25">
      <c r="A2884" s="167">
        <v>497</v>
      </c>
      <c r="B2884" s="167" t="s">
        <v>2815</v>
      </c>
      <c r="C2884" s="265" t="s">
        <v>2816</v>
      </c>
      <c r="D2884" s="60">
        <v>52873</v>
      </c>
      <c r="E2884" s="65">
        <v>25.419711538461538</v>
      </c>
      <c r="F2884" s="197">
        <v>2033.5769230769231</v>
      </c>
      <c r="G2884" s="197">
        <v>0</v>
      </c>
      <c r="H2884" s="65">
        <v>52873</v>
      </c>
      <c r="I2884" s="65"/>
      <c r="J2884" s="65"/>
      <c r="K2884" s="65"/>
      <c r="L2884" s="197">
        <v>52873</v>
      </c>
    </row>
    <row r="2885" spans="1:12" ht="15" customHeight="1" x14ac:dyDescent="0.25">
      <c r="A2885" s="167">
        <v>497</v>
      </c>
      <c r="B2885" s="247"/>
      <c r="C2885" s="265" t="s">
        <v>2495</v>
      </c>
      <c r="D2885" s="60">
        <v>4000</v>
      </c>
      <c r="E2885" s="247"/>
      <c r="F2885" s="247"/>
      <c r="G2885" s="247">
        <v>0</v>
      </c>
      <c r="H2885" s="65">
        <v>4000</v>
      </c>
      <c r="I2885" s="65"/>
      <c r="J2885" s="65"/>
      <c r="K2885" s="65"/>
      <c r="L2885" s="197">
        <v>4000</v>
      </c>
    </row>
    <row r="2886" spans="1:12" ht="15" customHeight="1" x14ac:dyDescent="0.25">
      <c r="A2886" s="167">
        <v>497</v>
      </c>
      <c r="B2886" s="247"/>
      <c r="C2886" s="247"/>
      <c r="D2886" s="95">
        <v>159834</v>
      </c>
      <c r="E2886" s="107"/>
      <c r="F2886" s="95">
        <v>5993.6153846153848</v>
      </c>
      <c r="G2886" s="95">
        <v>0</v>
      </c>
      <c r="H2886" s="107">
        <v>159834</v>
      </c>
      <c r="I2886" s="95">
        <f t="shared" ref="I2886:K2886" si="993">SUM(I2881:I2885)</f>
        <v>0</v>
      </c>
      <c r="J2886" s="95">
        <f t="shared" si="993"/>
        <v>0</v>
      </c>
      <c r="K2886" s="95">
        <f t="shared" si="993"/>
        <v>0</v>
      </c>
      <c r="L2886" s="95">
        <v>159834</v>
      </c>
    </row>
    <row r="2887" spans="1:12" ht="15" customHeight="1" x14ac:dyDescent="0.25">
      <c r="A2887" s="247"/>
      <c r="B2887" s="247"/>
      <c r="C2887" s="247"/>
      <c r="D2887" s="60">
        <v>92196</v>
      </c>
      <c r="E2887" s="247"/>
      <c r="F2887" s="247"/>
      <c r="G2887" s="247"/>
      <c r="H2887" s="247"/>
      <c r="I2887" s="65"/>
      <c r="J2887" s="65"/>
      <c r="K2887" s="65"/>
      <c r="L2887" s="65"/>
    </row>
    <row r="2888" spans="1:12" ht="15" customHeight="1" x14ac:dyDescent="0.25">
      <c r="A2888" s="247"/>
      <c r="B2888" s="247"/>
      <c r="C2888" s="247"/>
      <c r="D2888" s="397"/>
      <c r="E2888" s="247"/>
      <c r="F2888" s="247"/>
      <c r="G2888" s="247"/>
      <c r="H2888" s="247"/>
      <c r="I2888" s="65"/>
      <c r="J2888" s="65"/>
      <c r="K2888" s="65"/>
      <c r="L2888" s="65"/>
    </row>
    <row r="2889" spans="1:12" ht="15" customHeight="1" x14ac:dyDescent="0.25">
      <c r="A2889" s="167">
        <v>498</v>
      </c>
      <c r="B2889" s="167" t="s">
        <v>2818</v>
      </c>
      <c r="C2889" s="265" t="s">
        <v>2819</v>
      </c>
      <c r="D2889" s="60">
        <v>59812</v>
      </c>
      <c r="E2889" s="65">
        <v>28.755769230769232</v>
      </c>
      <c r="F2889" s="197">
        <v>2300.4615384615386</v>
      </c>
      <c r="G2889" s="197">
        <v>0</v>
      </c>
      <c r="H2889" s="65">
        <v>59812</v>
      </c>
      <c r="I2889" s="65"/>
      <c r="J2889" s="65"/>
      <c r="K2889" s="65"/>
      <c r="L2889" s="197">
        <v>59812</v>
      </c>
    </row>
    <row r="2890" spans="1:12" ht="15" customHeight="1" x14ac:dyDescent="0.25">
      <c r="A2890" s="167">
        <v>498</v>
      </c>
      <c r="B2890" s="167" t="s">
        <v>2822</v>
      </c>
      <c r="C2890" s="265" t="s">
        <v>2823</v>
      </c>
      <c r="D2890" s="60">
        <v>33599</v>
      </c>
      <c r="E2890" s="60">
        <v>16.153365384615384</v>
      </c>
      <c r="F2890" s="197">
        <v>1292.2692307692307</v>
      </c>
      <c r="G2890" s="197">
        <v>0</v>
      </c>
      <c r="H2890" s="65">
        <v>33599</v>
      </c>
      <c r="I2890" s="65"/>
      <c r="J2890" s="65"/>
      <c r="K2890" s="65"/>
      <c r="L2890" s="197">
        <v>33599</v>
      </c>
    </row>
    <row r="2891" spans="1:12" ht="15" customHeight="1" x14ac:dyDescent="0.25">
      <c r="A2891" s="265"/>
      <c r="B2891" s="265"/>
      <c r="C2891" s="265"/>
      <c r="D2891" s="85">
        <v>93411</v>
      </c>
      <c r="E2891" s="85"/>
      <c r="F2891" s="85">
        <v>3592.7307692307695</v>
      </c>
      <c r="G2891" s="85">
        <v>0</v>
      </c>
      <c r="H2891" s="85">
        <v>93411</v>
      </c>
      <c r="I2891" s="85">
        <f t="shared" ref="I2891:K2891" si="994">SUM(I2889:I2890)</f>
        <v>0</v>
      </c>
      <c r="J2891" s="85">
        <f t="shared" si="994"/>
        <v>0</v>
      </c>
      <c r="K2891" s="85">
        <f t="shared" si="994"/>
        <v>0</v>
      </c>
      <c r="L2891" s="85">
        <v>93411</v>
      </c>
    </row>
    <row r="2892" spans="1:12" ht="15" customHeight="1" x14ac:dyDescent="0.25">
      <c r="A2892" s="247"/>
      <c r="B2892" s="247"/>
      <c r="C2892" s="247"/>
      <c r="D2892" s="397"/>
      <c r="E2892" s="247"/>
      <c r="F2892" s="247"/>
      <c r="G2892" s="247"/>
      <c r="H2892" s="247"/>
      <c r="I2892" s="65"/>
      <c r="J2892" s="65"/>
      <c r="K2892" s="65"/>
      <c r="L2892" s="65"/>
    </row>
    <row r="2893" spans="1:12" ht="15" customHeight="1" x14ac:dyDescent="0.25">
      <c r="A2893" s="247"/>
      <c r="B2893" s="247"/>
      <c r="C2893" s="247"/>
      <c r="D2893" s="397"/>
      <c r="E2893" s="247"/>
      <c r="F2893" s="247"/>
      <c r="G2893" s="247"/>
      <c r="H2893" s="247"/>
      <c r="I2893" s="65"/>
      <c r="J2893" s="65"/>
      <c r="K2893" s="65"/>
      <c r="L2893" s="65"/>
    </row>
    <row r="2894" spans="1:12" ht="15" customHeight="1" x14ac:dyDescent="0.25">
      <c r="A2894" s="167">
        <v>499</v>
      </c>
      <c r="B2894" s="167" t="s">
        <v>2824</v>
      </c>
      <c r="C2894" s="265" t="s">
        <v>2825</v>
      </c>
      <c r="D2894" s="60">
        <v>64804</v>
      </c>
      <c r="E2894" s="65">
        <v>31.155769230769231</v>
      </c>
      <c r="F2894" s="197">
        <v>2492.4615384615386</v>
      </c>
      <c r="G2894" s="197">
        <v>0</v>
      </c>
      <c r="H2894" s="65">
        <v>64804</v>
      </c>
      <c r="I2894" s="65"/>
      <c r="J2894" s="65"/>
      <c r="K2894" s="65"/>
      <c r="L2894" s="197">
        <v>64804</v>
      </c>
    </row>
    <row r="2895" spans="1:12" ht="15" customHeight="1" x14ac:dyDescent="0.25">
      <c r="A2895" s="167">
        <v>499</v>
      </c>
      <c r="B2895" s="167" t="s">
        <v>2828</v>
      </c>
      <c r="C2895" s="265" t="s">
        <v>2829</v>
      </c>
      <c r="D2895" s="60">
        <v>45498</v>
      </c>
      <c r="E2895" s="65">
        <v>21.874038461538461</v>
      </c>
      <c r="F2895" s="197">
        <v>1749.9230769230769</v>
      </c>
      <c r="G2895" s="197">
        <v>0</v>
      </c>
      <c r="H2895" s="65">
        <v>45498</v>
      </c>
      <c r="I2895" s="65"/>
      <c r="J2895" s="65"/>
      <c r="K2895" s="65"/>
      <c r="L2895" s="197">
        <v>45498</v>
      </c>
    </row>
    <row r="2896" spans="1:12" ht="15" customHeight="1" x14ac:dyDescent="0.25">
      <c r="A2896" s="167">
        <v>499</v>
      </c>
      <c r="B2896" s="167" t="s">
        <v>2832</v>
      </c>
      <c r="C2896" s="265" t="s">
        <v>2833</v>
      </c>
      <c r="D2896" s="60">
        <v>46351</v>
      </c>
      <c r="E2896" s="65">
        <v>22.284134615384616</v>
      </c>
      <c r="F2896" s="197">
        <v>1782.7307692307693</v>
      </c>
      <c r="G2896" s="197">
        <v>0</v>
      </c>
      <c r="H2896" s="65">
        <v>46351</v>
      </c>
      <c r="I2896" s="65"/>
      <c r="J2896" s="65"/>
      <c r="K2896" s="65"/>
      <c r="L2896" s="197">
        <v>46351</v>
      </c>
    </row>
    <row r="2897" spans="1:12" ht="15" customHeight="1" x14ac:dyDescent="0.25">
      <c r="A2897" s="167">
        <v>499</v>
      </c>
      <c r="B2897" s="167" t="s">
        <v>2836</v>
      </c>
      <c r="C2897" s="265" t="s">
        <v>2837</v>
      </c>
      <c r="D2897" s="60">
        <v>43102</v>
      </c>
      <c r="E2897" s="65">
        <v>20.722115384615385</v>
      </c>
      <c r="F2897" s="197">
        <v>1657.7692307692307</v>
      </c>
      <c r="G2897" s="197">
        <v>0</v>
      </c>
      <c r="H2897" s="65">
        <v>43102</v>
      </c>
      <c r="I2897" s="65"/>
      <c r="J2897" s="65"/>
      <c r="K2897" s="65"/>
      <c r="L2897" s="197">
        <v>43102</v>
      </c>
    </row>
    <row r="2898" spans="1:12" ht="15" customHeight="1" x14ac:dyDescent="0.25">
      <c r="A2898" s="167">
        <v>499</v>
      </c>
      <c r="B2898" s="167" t="s">
        <v>2840</v>
      </c>
      <c r="C2898" s="265" t="s">
        <v>2841</v>
      </c>
      <c r="D2898" s="60">
        <v>37469</v>
      </c>
      <c r="E2898" s="65">
        <v>18.013942307692307</v>
      </c>
      <c r="F2898" s="197">
        <v>1441.1153846153845</v>
      </c>
      <c r="G2898" s="197">
        <v>0</v>
      </c>
      <c r="H2898" s="65">
        <v>37469</v>
      </c>
      <c r="I2898" s="65"/>
      <c r="J2898" s="65"/>
      <c r="K2898" s="65"/>
      <c r="L2898" s="197">
        <v>37469</v>
      </c>
    </row>
    <row r="2899" spans="1:12" ht="15" customHeight="1" x14ac:dyDescent="0.25">
      <c r="A2899" s="167">
        <v>499</v>
      </c>
      <c r="B2899" s="167" t="s">
        <v>2843</v>
      </c>
      <c r="C2899" s="265" t="s">
        <v>2844</v>
      </c>
      <c r="D2899" s="60">
        <v>35481</v>
      </c>
      <c r="E2899" s="65">
        <v>17.058173076923076</v>
      </c>
      <c r="F2899" s="197">
        <v>1364.6538461538462</v>
      </c>
      <c r="G2899" s="197">
        <v>0</v>
      </c>
      <c r="H2899" s="65">
        <v>35481</v>
      </c>
      <c r="I2899" s="65"/>
      <c r="J2899" s="65"/>
      <c r="K2899" s="65"/>
      <c r="L2899" s="197">
        <v>35481</v>
      </c>
    </row>
    <row r="2900" spans="1:12" ht="15" customHeight="1" x14ac:dyDescent="0.25">
      <c r="A2900" s="167">
        <v>499</v>
      </c>
      <c r="B2900" s="167" t="s">
        <v>2847</v>
      </c>
      <c r="C2900" s="265" t="s">
        <v>2844</v>
      </c>
      <c r="D2900" s="60">
        <v>39566</v>
      </c>
      <c r="E2900" s="65">
        <v>19.022115384615386</v>
      </c>
      <c r="F2900" s="197">
        <v>1521.7692307692307</v>
      </c>
      <c r="G2900" s="197">
        <v>0</v>
      </c>
      <c r="H2900" s="65">
        <v>39566</v>
      </c>
      <c r="I2900" s="65"/>
      <c r="J2900" s="65"/>
      <c r="K2900" s="65"/>
      <c r="L2900" s="197">
        <v>39566</v>
      </c>
    </row>
    <row r="2901" spans="1:12" ht="15" customHeight="1" x14ac:dyDescent="0.25">
      <c r="A2901" s="167">
        <v>499</v>
      </c>
      <c r="B2901" s="167" t="s">
        <v>2850</v>
      </c>
      <c r="C2901" s="265" t="s">
        <v>2851</v>
      </c>
      <c r="D2901" s="60">
        <v>34215</v>
      </c>
      <c r="E2901" s="65">
        <v>16.44951923076923</v>
      </c>
      <c r="F2901" s="197">
        <v>1315.9615384615386</v>
      </c>
      <c r="G2901" s="197">
        <v>0</v>
      </c>
      <c r="H2901" s="65">
        <v>34215</v>
      </c>
      <c r="I2901" s="65"/>
      <c r="J2901" s="65"/>
      <c r="K2901" s="65"/>
      <c r="L2901" s="197">
        <v>34215</v>
      </c>
    </row>
    <row r="2902" spans="1:12" ht="15" customHeight="1" x14ac:dyDescent="0.25">
      <c r="A2902" s="167">
        <v>499</v>
      </c>
      <c r="B2902" s="167" t="s">
        <v>2853</v>
      </c>
      <c r="C2902" s="265" t="s">
        <v>2844</v>
      </c>
      <c r="D2902" s="60">
        <v>34215</v>
      </c>
      <c r="E2902" s="65">
        <v>16.44951923076923</v>
      </c>
      <c r="F2902" s="197">
        <v>1315.9615384615386</v>
      </c>
      <c r="G2902" s="197">
        <v>0</v>
      </c>
      <c r="H2902" s="65">
        <v>34215</v>
      </c>
      <c r="I2902" s="65"/>
      <c r="J2902" s="65"/>
      <c r="K2902" s="65"/>
      <c r="L2902" s="197">
        <v>34215</v>
      </c>
    </row>
    <row r="2903" spans="1:12" ht="15" customHeight="1" x14ac:dyDescent="0.25">
      <c r="A2903" s="167">
        <v>499</v>
      </c>
      <c r="B2903" s="167" t="s">
        <v>2856</v>
      </c>
      <c r="C2903" s="265" t="s">
        <v>2844</v>
      </c>
      <c r="D2903" s="60">
        <v>36131</v>
      </c>
      <c r="E2903" s="65">
        <v>17.370673076923076</v>
      </c>
      <c r="F2903" s="197">
        <v>1389.6538461538462</v>
      </c>
      <c r="G2903" s="197">
        <v>0</v>
      </c>
      <c r="H2903" s="65">
        <v>36131</v>
      </c>
      <c r="I2903" s="65"/>
      <c r="J2903" s="65"/>
      <c r="K2903" s="65"/>
      <c r="L2903" s="197">
        <v>36131</v>
      </c>
    </row>
    <row r="2904" spans="1:12" ht="15" customHeight="1" x14ac:dyDescent="0.25">
      <c r="A2904" s="167">
        <v>499</v>
      </c>
      <c r="B2904" s="167" t="s">
        <v>2858</v>
      </c>
      <c r="C2904" s="265" t="s">
        <v>2859</v>
      </c>
      <c r="D2904" s="60">
        <v>34215</v>
      </c>
      <c r="E2904" s="65">
        <v>16.44951923076923</v>
      </c>
      <c r="F2904" s="197">
        <v>1315.9615384615386</v>
      </c>
      <c r="G2904" s="197">
        <v>0</v>
      </c>
      <c r="H2904" s="65">
        <v>34215</v>
      </c>
      <c r="I2904" s="65"/>
      <c r="J2904" s="65"/>
      <c r="K2904" s="65"/>
      <c r="L2904" s="197">
        <v>34215</v>
      </c>
    </row>
    <row r="2905" spans="1:12" ht="15" customHeight="1" x14ac:dyDescent="0.25">
      <c r="A2905" s="167">
        <v>499</v>
      </c>
      <c r="B2905" s="167" t="s">
        <v>2861</v>
      </c>
      <c r="C2905" s="265" t="s">
        <v>2859</v>
      </c>
      <c r="D2905" s="60">
        <v>34215</v>
      </c>
      <c r="E2905" s="65">
        <v>16.44951923076923</v>
      </c>
      <c r="F2905" s="197">
        <v>1315.9615384615386</v>
      </c>
      <c r="G2905" s="197">
        <v>0</v>
      </c>
      <c r="H2905" s="65">
        <v>34215</v>
      </c>
      <c r="I2905" s="65"/>
      <c r="J2905" s="65"/>
      <c r="K2905" s="65"/>
      <c r="L2905" s="197">
        <v>34215</v>
      </c>
    </row>
    <row r="2906" spans="1:12" ht="15" customHeight="1" x14ac:dyDescent="0.25">
      <c r="A2906" s="167">
        <v>499</v>
      </c>
      <c r="B2906" s="167" t="s">
        <v>2863</v>
      </c>
      <c r="C2906" s="265" t="s">
        <v>2859</v>
      </c>
      <c r="D2906" s="60">
        <v>37468</v>
      </c>
      <c r="E2906" s="65">
        <v>18.013461538461538</v>
      </c>
      <c r="F2906" s="197">
        <v>1441.0769230769231</v>
      </c>
      <c r="G2906" s="197">
        <v>0</v>
      </c>
      <c r="H2906" s="65">
        <v>37468</v>
      </c>
      <c r="I2906" s="65"/>
      <c r="J2906" s="65"/>
      <c r="K2906" s="65"/>
      <c r="L2906" s="197">
        <v>37468</v>
      </c>
    </row>
    <row r="2907" spans="1:12" ht="15" customHeight="1" x14ac:dyDescent="0.25">
      <c r="A2907" s="167">
        <v>499</v>
      </c>
      <c r="B2907" s="167" t="s">
        <v>2866</v>
      </c>
      <c r="C2907" s="265" t="s">
        <v>2851</v>
      </c>
      <c r="D2907" s="60">
        <v>39566</v>
      </c>
      <c r="E2907" s="65">
        <v>19.022115384615386</v>
      </c>
      <c r="F2907" s="197">
        <v>1521.7692307692307</v>
      </c>
      <c r="G2907" s="197">
        <v>0</v>
      </c>
      <c r="H2907" s="65">
        <v>39566</v>
      </c>
      <c r="I2907" s="65"/>
      <c r="J2907" s="65"/>
      <c r="K2907" s="65"/>
      <c r="L2907" s="197">
        <v>39566</v>
      </c>
    </row>
    <row r="2908" spans="1:12" ht="15" customHeight="1" x14ac:dyDescent="0.25">
      <c r="A2908" s="167">
        <v>499</v>
      </c>
      <c r="B2908" s="247"/>
      <c r="C2908" s="265" t="s">
        <v>2611</v>
      </c>
      <c r="D2908" s="60">
        <v>16380</v>
      </c>
      <c r="E2908" s="247"/>
      <c r="F2908" s="247"/>
      <c r="G2908" s="247">
        <v>0</v>
      </c>
      <c r="H2908" s="65">
        <v>16380</v>
      </c>
      <c r="I2908" s="65"/>
      <c r="J2908" s="65"/>
      <c r="K2908" s="65"/>
      <c r="L2908" s="197">
        <v>16380</v>
      </c>
    </row>
    <row r="2909" spans="1:12" ht="15" customHeight="1" x14ac:dyDescent="0.25">
      <c r="A2909" s="167">
        <v>499</v>
      </c>
      <c r="B2909" s="247"/>
      <c r="C2909" s="265" t="s">
        <v>2495</v>
      </c>
      <c r="D2909" s="60">
        <v>1000</v>
      </c>
      <c r="E2909" s="247"/>
      <c r="F2909" s="247"/>
      <c r="G2909" s="247">
        <v>0</v>
      </c>
      <c r="H2909" s="167">
        <v>1000</v>
      </c>
      <c r="I2909" s="65"/>
      <c r="J2909" s="65"/>
      <c r="K2909" s="65"/>
      <c r="L2909" s="197">
        <v>1000</v>
      </c>
    </row>
    <row r="2910" spans="1:12" ht="15" customHeight="1" x14ac:dyDescent="0.25">
      <c r="A2910" s="167">
        <v>499</v>
      </c>
      <c r="B2910" s="247"/>
      <c r="C2910" s="247"/>
      <c r="D2910" s="95">
        <v>579676</v>
      </c>
      <c r="E2910" s="107"/>
      <c r="F2910" s="95">
        <v>21626.76923076923</v>
      </c>
      <c r="G2910" s="95">
        <v>0</v>
      </c>
      <c r="H2910" s="107">
        <v>579676</v>
      </c>
      <c r="I2910" s="95">
        <f t="shared" ref="I2910:K2910" si="995">SUM(I2893:I2909)</f>
        <v>0</v>
      </c>
      <c r="J2910" s="95">
        <f t="shared" si="995"/>
        <v>0</v>
      </c>
      <c r="K2910" s="95">
        <f t="shared" si="995"/>
        <v>0</v>
      </c>
      <c r="L2910" s="95">
        <v>579676</v>
      </c>
    </row>
    <row r="2911" spans="1:12" ht="15" customHeight="1" x14ac:dyDescent="0.25">
      <c r="A2911" s="247"/>
      <c r="B2911" s="247"/>
      <c r="C2911" s="247"/>
      <c r="D2911" s="60"/>
      <c r="E2911" s="247"/>
      <c r="F2911" s="247"/>
      <c r="G2911" s="247"/>
      <c r="H2911" s="247"/>
      <c r="I2911" s="65"/>
      <c r="J2911" s="65"/>
      <c r="K2911" s="65"/>
      <c r="L2911" s="65"/>
    </row>
    <row r="2912" spans="1:12" ht="15" customHeight="1" x14ac:dyDescent="0.25">
      <c r="A2912" s="247"/>
      <c r="B2912" s="247"/>
      <c r="C2912" s="247"/>
      <c r="D2912" s="397"/>
      <c r="E2912" s="247"/>
      <c r="F2912" s="247"/>
      <c r="G2912" s="247"/>
      <c r="H2912" s="247"/>
      <c r="I2912" s="65"/>
      <c r="J2912" s="65"/>
      <c r="K2912" s="65"/>
      <c r="L2912" s="65"/>
    </row>
    <row r="2913" spans="1:12" ht="15" customHeight="1" x14ac:dyDescent="0.25">
      <c r="A2913" s="247"/>
      <c r="B2913" s="247"/>
      <c r="C2913" s="247"/>
      <c r="D2913" s="397"/>
      <c r="E2913" s="247"/>
      <c r="F2913" s="247"/>
      <c r="G2913" s="247"/>
      <c r="H2913" s="247"/>
      <c r="I2913" s="65"/>
      <c r="J2913" s="65"/>
      <c r="K2913" s="65"/>
      <c r="L2913" s="65"/>
    </row>
    <row r="2914" spans="1:12" ht="15" customHeight="1" x14ac:dyDescent="0.25">
      <c r="A2914" s="167">
        <v>510</v>
      </c>
      <c r="B2914" s="167" t="s">
        <v>2869</v>
      </c>
      <c r="C2914" s="265" t="s">
        <v>2870</v>
      </c>
      <c r="D2914" s="60">
        <v>48096</v>
      </c>
      <c r="E2914" s="65">
        <v>23.123076923076923</v>
      </c>
      <c r="F2914" s="197">
        <v>1849.8461538461538</v>
      </c>
      <c r="G2914" s="197">
        <v>0</v>
      </c>
      <c r="H2914" s="65">
        <v>48096</v>
      </c>
      <c r="I2914" s="65"/>
      <c r="J2914" s="65"/>
      <c r="K2914" s="65"/>
      <c r="L2914" s="197">
        <v>48096</v>
      </c>
    </row>
    <row r="2915" spans="1:12" ht="15" customHeight="1" x14ac:dyDescent="0.25">
      <c r="A2915" s="167">
        <v>510</v>
      </c>
      <c r="B2915" s="167" t="s">
        <v>2873</v>
      </c>
      <c r="C2915" s="265" t="s">
        <v>2874</v>
      </c>
      <c r="D2915" s="60">
        <v>42287</v>
      </c>
      <c r="E2915" s="65">
        <v>20.330288461538462</v>
      </c>
      <c r="F2915" s="197">
        <v>1626.4230769230769</v>
      </c>
      <c r="G2915" s="197">
        <v>0</v>
      </c>
      <c r="H2915" s="65">
        <v>42287</v>
      </c>
      <c r="I2915" s="65"/>
      <c r="J2915" s="65"/>
      <c r="K2915" s="65"/>
      <c r="L2915" s="197">
        <v>42287</v>
      </c>
    </row>
    <row r="2916" spans="1:12" ht="15" customHeight="1" x14ac:dyDescent="0.25">
      <c r="A2916" s="167">
        <v>510</v>
      </c>
      <c r="B2916" s="167" t="s">
        <v>2876</v>
      </c>
      <c r="C2916" s="464" t="s">
        <v>2877</v>
      </c>
      <c r="D2916" s="60">
        <v>0</v>
      </c>
      <c r="E2916" s="65"/>
      <c r="F2916" s="197"/>
      <c r="G2916" s="197"/>
      <c r="H2916" s="65"/>
      <c r="I2916" s="65"/>
      <c r="J2916" s="65"/>
      <c r="K2916" s="65"/>
      <c r="L2916" s="197"/>
    </row>
    <row r="2917" spans="1:12" ht="15" customHeight="1" x14ac:dyDescent="0.25">
      <c r="A2917" s="167">
        <v>510</v>
      </c>
      <c r="B2917" s="167" t="s">
        <v>2878</v>
      </c>
      <c r="C2917" s="265" t="s">
        <v>2879</v>
      </c>
      <c r="D2917" s="60">
        <v>29856</v>
      </c>
      <c r="E2917" s="65">
        <v>14.353846153846154</v>
      </c>
      <c r="F2917" s="197">
        <v>1148.3076923076924</v>
      </c>
      <c r="G2917" s="197">
        <v>0</v>
      </c>
      <c r="H2917" s="65">
        <v>29856</v>
      </c>
      <c r="I2917" s="65"/>
      <c r="J2917" s="65"/>
      <c r="K2917" s="65"/>
      <c r="L2917" s="197">
        <v>29856</v>
      </c>
    </row>
    <row r="2918" spans="1:12" ht="15" customHeight="1" x14ac:dyDescent="0.25">
      <c r="A2918" s="167">
        <v>510</v>
      </c>
      <c r="B2918" s="167" t="s">
        <v>2882</v>
      </c>
      <c r="C2918" s="265" t="s">
        <v>2879</v>
      </c>
      <c r="D2918" s="60">
        <v>28791</v>
      </c>
      <c r="E2918" s="65">
        <v>13.841826923076923</v>
      </c>
      <c r="F2918" s="197">
        <v>1107.3461538461538</v>
      </c>
      <c r="G2918" s="197">
        <v>0</v>
      </c>
      <c r="H2918" s="65">
        <v>28791</v>
      </c>
      <c r="I2918" s="65"/>
      <c r="J2918" s="65"/>
      <c r="K2918" s="65"/>
      <c r="L2918" s="197">
        <v>28791</v>
      </c>
    </row>
    <row r="2919" spans="1:12" ht="15" customHeight="1" x14ac:dyDescent="0.25">
      <c r="A2919" s="167">
        <v>510</v>
      </c>
      <c r="B2919" s="167" t="s">
        <v>2884</v>
      </c>
      <c r="C2919" s="265" t="s">
        <v>2879</v>
      </c>
      <c r="D2919" s="60">
        <v>28791</v>
      </c>
      <c r="E2919" s="65">
        <v>13.841826923076923</v>
      </c>
      <c r="F2919" s="197">
        <v>1107.3461538461538</v>
      </c>
      <c r="G2919" s="197">
        <v>0</v>
      </c>
      <c r="H2919" s="65">
        <v>28791</v>
      </c>
      <c r="I2919" s="65"/>
      <c r="J2919" s="65"/>
      <c r="K2919" s="65"/>
      <c r="L2919" s="197">
        <v>28791</v>
      </c>
    </row>
    <row r="2920" spans="1:12" ht="15" customHeight="1" x14ac:dyDescent="0.25">
      <c r="A2920" s="167">
        <v>510</v>
      </c>
      <c r="B2920" s="167" t="s">
        <v>2887</v>
      </c>
      <c r="C2920" s="265" t="s">
        <v>2879</v>
      </c>
      <c r="D2920" s="60">
        <v>28791</v>
      </c>
      <c r="E2920" s="65">
        <v>13.841826923076923</v>
      </c>
      <c r="F2920" s="197">
        <v>1107.3461538461538</v>
      </c>
      <c r="G2920" s="197">
        <v>0</v>
      </c>
      <c r="H2920" s="65">
        <v>28791</v>
      </c>
      <c r="I2920" s="65"/>
      <c r="J2920" s="65"/>
      <c r="K2920" s="65"/>
      <c r="L2920" s="197">
        <v>28791</v>
      </c>
    </row>
    <row r="2921" spans="1:12" ht="15" customHeight="1" x14ac:dyDescent="0.25">
      <c r="A2921" s="167">
        <v>510</v>
      </c>
      <c r="B2921" s="167" t="s">
        <v>2888</v>
      </c>
      <c r="C2921" s="181" t="s">
        <v>2889</v>
      </c>
      <c r="D2921" s="60">
        <v>28273</v>
      </c>
      <c r="E2921" s="65">
        <v>13.592788461538461</v>
      </c>
      <c r="F2921" s="197">
        <v>1087.4230769230769</v>
      </c>
      <c r="G2921" s="197">
        <v>0</v>
      </c>
      <c r="H2921" s="65">
        <v>28273</v>
      </c>
      <c r="I2921" s="65"/>
      <c r="J2921" s="65"/>
      <c r="K2921" s="65"/>
      <c r="L2921" s="197">
        <v>28273</v>
      </c>
    </row>
    <row r="2922" spans="1:12" ht="15" customHeight="1" x14ac:dyDescent="0.25">
      <c r="A2922" s="167">
        <v>510</v>
      </c>
      <c r="B2922" s="167" t="s">
        <v>2890</v>
      </c>
      <c r="C2922" s="464" t="s">
        <v>2877</v>
      </c>
      <c r="D2922" s="60">
        <v>0</v>
      </c>
      <c r="E2922" s="65"/>
      <c r="F2922" s="197"/>
      <c r="G2922" s="197"/>
      <c r="H2922" s="197"/>
      <c r="I2922" s="65"/>
      <c r="J2922" s="65"/>
      <c r="K2922" s="65"/>
      <c r="L2922" s="197"/>
    </row>
    <row r="2923" spans="1:12" ht="15" customHeight="1" x14ac:dyDescent="0.25">
      <c r="A2923" s="167">
        <v>510</v>
      </c>
      <c r="B2923" s="167" t="s">
        <v>2891</v>
      </c>
      <c r="C2923" s="265" t="s">
        <v>2892</v>
      </c>
      <c r="D2923" s="60">
        <v>37681</v>
      </c>
      <c r="E2923" s="65">
        <v>18.115865384615386</v>
      </c>
      <c r="F2923" s="197">
        <v>1449.2692307692307</v>
      </c>
      <c r="G2923" s="197">
        <v>0</v>
      </c>
      <c r="H2923" s="65">
        <v>37681</v>
      </c>
      <c r="I2923" s="65"/>
      <c r="J2923" s="65"/>
      <c r="K2923" s="65"/>
      <c r="L2923" s="197">
        <v>37681</v>
      </c>
    </row>
    <row r="2924" spans="1:12" ht="15" customHeight="1" x14ac:dyDescent="0.25">
      <c r="A2924" s="167">
        <v>510</v>
      </c>
      <c r="B2924" s="247"/>
      <c r="C2924" s="265" t="s">
        <v>2894</v>
      </c>
      <c r="D2924" s="60">
        <v>5855.2</v>
      </c>
      <c r="E2924" s="247"/>
      <c r="F2924" s="247"/>
      <c r="G2924" s="247">
        <v>0</v>
      </c>
      <c r="H2924" s="167">
        <v>5855.2</v>
      </c>
      <c r="I2924" s="65"/>
      <c r="J2924" s="65"/>
      <c r="K2924" s="65"/>
      <c r="L2924" s="197">
        <v>5855.2</v>
      </c>
    </row>
    <row r="2925" spans="1:12" ht="15" customHeight="1" x14ac:dyDescent="0.25">
      <c r="A2925" s="167">
        <v>510</v>
      </c>
      <c r="B2925" s="247"/>
      <c r="C2925" s="265" t="s">
        <v>2495</v>
      </c>
      <c r="D2925" s="60">
        <v>20000</v>
      </c>
      <c r="E2925" s="247"/>
      <c r="F2925" s="247"/>
      <c r="G2925" s="247">
        <v>0</v>
      </c>
      <c r="H2925" s="167">
        <v>20000</v>
      </c>
      <c r="I2925" s="65"/>
      <c r="J2925" s="65"/>
      <c r="K2925" s="65"/>
      <c r="L2925" s="197">
        <v>20000</v>
      </c>
    </row>
    <row r="2926" spans="1:12" ht="15" customHeight="1" x14ac:dyDescent="0.25">
      <c r="A2926" s="167">
        <v>510</v>
      </c>
      <c r="B2926" s="247"/>
      <c r="C2926" s="247"/>
      <c r="D2926" s="95">
        <v>298421.2</v>
      </c>
      <c r="E2926" s="107"/>
      <c r="F2926" s="95">
        <v>10483.307692307691</v>
      </c>
      <c r="G2926" s="95">
        <v>0</v>
      </c>
      <c r="H2926" s="107">
        <v>298421.2</v>
      </c>
      <c r="I2926" s="95">
        <f t="shared" ref="I2926:K2926" si="996">SUM(I2913:I2925)</f>
        <v>0</v>
      </c>
      <c r="J2926" s="95">
        <f t="shared" si="996"/>
        <v>0</v>
      </c>
      <c r="K2926" s="95">
        <f t="shared" si="996"/>
        <v>0</v>
      </c>
      <c r="L2926" s="95">
        <v>298421.2</v>
      </c>
    </row>
    <row r="2927" spans="1:12" ht="15" customHeight="1" x14ac:dyDescent="0.25">
      <c r="A2927" s="247"/>
      <c r="B2927" s="247"/>
      <c r="C2927" s="247"/>
      <c r="D2927" s="60"/>
      <c r="E2927" s="247"/>
      <c r="F2927" s="247"/>
      <c r="G2927" s="247"/>
      <c r="H2927" s="247"/>
      <c r="I2927" s="65"/>
      <c r="J2927" s="65"/>
      <c r="K2927" s="65"/>
      <c r="L2927" s="65"/>
    </row>
    <row r="2928" spans="1:12" ht="15" customHeight="1" x14ac:dyDescent="0.25">
      <c r="A2928" s="247"/>
      <c r="B2928" s="247"/>
      <c r="C2928" s="247"/>
      <c r="D2928" s="397"/>
      <c r="E2928" s="247"/>
      <c r="F2928" s="247"/>
      <c r="G2928" s="247"/>
      <c r="H2928" s="247"/>
      <c r="I2928" s="65"/>
      <c r="J2928" s="65"/>
      <c r="K2928" s="65"/>
      <c r="L2928" s="65"/>
    </row>
    <row r="2929" spans="1:12" ht="15" customHeight="1" x14ac:dyDescent="0.25">
      <c r="A2929" s="167">
        <v>511</v>
      </c>
      <c r="B2929" s="167">
        <v>560521</v>
      </c>
      <c r="C2929" s="265" t="s">
        <v>2896</v>
      </c>
      <c r="D2929" s="91">
        <v>0</v>
      </c>
      <c r="E2929" s="65">
        <v>0</v>
      </c>
      <c r="F2929" s="197">
        <v>0</v>
      </c>
      <c r="G2929" s="197">
        <v>0</v>
      </c>
      <c r="H2929" s="65">
        <v>0</v>
      </c>
      <c r="I2929" s="65"/>
      <c r="J2929" s="65"/>
      <c r="K2929" s="65"/>
      <c r="L2929" s="197">
        <v>0</v>
      </c>
    </row>
    <row r="2930" spans="1:12" ht="15" customHeight="1" x14ac:dyDescent="0.25">
      <c r="A2930" s="167">
        <v>511</v>
      </c>
      <c r="B2930" s="247"/>
      <c r="C2930" s="247"/>
      <c r="D2930" s="95">
        <v>0</v>
      </c>
      <c r="E2930" s="107"/>
      <c r="F2930" s="95">
        <v>0</v>
      </c>
      <c r="G2930" s="95">
        <v>0</v>
      </c>
      <c r="H2930" s="107">
        <v>0</v>
      </c>
      <c r="I2930" s="95">
        <f t="shared" ref="I2930:K2930" si="997">SUM(I2929)</f>
        <v>0</v>
      </c>
      <c r="J2930" s="95">
        <f t="shared" si="997"/>
        <v>0</v>
      </c>
      <c r="K2930" s="95">
        <f t="shared" si="997"/>
        <v>0</v>
      </c>
      <c r="L2930" s="95">
        <v>0</v>
      </c>
    </row>
    <row r="2931" spans="1:12" ht="15" customHeight="1" x14ac:dyDescent="0.25">
      <c r="A2931" s="247"/>
      <c r="B2931" s="247"/>
      <c r="C2931" s="247"/>
      <c r="D2931" s="397"/>
      <c r="E2931" s="247"/>
      <c r="F2931" s="247"/>
      <c r="G2931" s="247"/>
      <c r="H2931" s="247"/>
      <c r="I2931" s="65"/>
      <c r="J2931" s="65"/>
      <c r="K2931" s="65"/>
      <c r="L2931" s="65"/>
    </row>
    <row r="2932" spans="1:12" ht="15" customHeight="1" x14ac:dyDescent="0.25">
      <c r="A2932" s="247"/>
      <c r="B2932" s="247"/>
      <c r="C2932" s="247"/>
      <c r="D2932" s="397"/>
      <c r="E2932" s="247"/>
      <c r="F2932" s="247"/>
      <c r="G2932" s="247"/>
      <c r="H2932" s="247"/>
      <c r="I2932" s="65"/>
      <c r="J2932" s="65"/>
      <c r="K2932" s="65"/>
      <c r="L2932" s="65"/>
    </row>
    <row r="2933" spans="1:12" ht="15" customHeight="1" x14ac:dyDescent="0.25">
      <c r="A2933" s="247"/>
      <c r="B2933" s="247"/>
      <c r="C2933" s="247"/>
      <c r="D2933" s="397"/>
      <c r="E2933" s="247"/>
      <c r="F2933" s="247"/>
      <c r="G2933" s="247"/>
      <c r="H2933" s="247"/>
      <c r="I2933" s="65"/>
      <c r="J2933" s="65"/>
      <c r="K2933" s="65"/>
      <c r="L2933" s="65"/>
    </row>
    <row r="2934" spans="1:12" ht="15" customHeight="1" x14ac:dyDescent="0.25">
      <c r="A2934" s="167">
        <v>541</v>
      </c>
      <c r="B2934" s="167" t="s">
        <v>2897</v>
      </c>
      <c r="C2934" s="265" t="s">
        <v>2898</v>
      </c>
      <c r="D2934" s="60">
        <v>46126</v>
      </c>
      <c r="E2934" s="65">
        <v>22.175961538461539</v>
      </c>
      <c r="F2934" s="197">
        <v>1774.0769230769231</v>
      </c>
      <c r="G2934" s="197">
        <v>0</v>
      </c>
      <c r="H2934" s="65">
        <v>46126</v>
      </c>
      <c r="I2934" s="65"/>
      <c r="J2934" s="197">
        <v>1200</v>
      </c>
      <c r="K2934" s="65"/>
      <c r="L2934" s="197">
        <v>47326</v>
      </c>
    </row>
    <row r="2935" spans="1:12" ht="15" customHeight="1" x14ac:dyDescent="0.25">
      <c r="A2935" s="247"/>
      <c r="B2935" s="247"/>
      <c r="C2935" s="265" t="s">
        <v>2901</v>
      </c>
      <c r="D2935" s="189">
        <v>0</v>
      </c>
      <c r="E2935" s="247"/>
      <c r="F2935" s="247"/>
      <c r="G2935" s="247"/>
      <c r="H2935" s="247">
        <v>0</v>
      </c>
      <c r="I2935" s="65"/>
      <c r="J2935" s="65"/>
      <c r="K2935" s="65"/>
      <c r="L2935" s="197">
        <v>0</v>
      </c>
    </row>
    <row r="2936" spans="1:12" ht="15" customHeight="1" x14ac:dyDescent="0.25">
      <c r="A2936" s="247"/>
      <c r="B2936" s="247"/>
      <c r="C2936" s="247"/>
      <c r="D2936" s="95">
        <v>46126</v>
      </c>
      <c r="E2936" s="107"/>
      <c r="F2936" s="95">
        <v>1774.0769230769231</v>
      </c>
      <c r="G2936" s="95">
        <v>0</v>
      </c>
      <c r="H2936" s="107">
        <v>46126</v>
      </c>
      <c r="I2936" s="95">
        <f t="shared" ref="I2936:K2936" si="998">SUM(I2933:I2935)</f>
        <v>0</v>
      </c>
      <c r="J2936" s="95">
        <f t="shared" si="998"/>
        <v>1200</v>
      </c>
      <c r="K2936" s="95">
        <f t="shared" si="998"/>
        <v>0</v>
      </c>
      <c r="L2936" s="95">
        <v>47326</v>
      </c>
    </row>
    <row r="2937" spans="1:12" ht="15" customHeight="1" x14ac:dyDescent="0.25">
      <c r="A2937" s="247"/>
      <c r="B2937" s="247"/>
      <c r="C2937" s="247"/>
      <c r="D2937" s="397"/>
      <c r="E2937" s="247"/>
      <c r="F2937" s="247"/>
      <c r="G2937" s="247"/>
      <c r="H2937" s="247"/>
      <c r="I2937" s="65"/>
      <c r="J2937" s="65"/>
      <c r="K2937" s="65"/>
      <c r="L2937" s="65"/>
    </row>
    <row r="2938" spans="1:12" ht="15" customHeight="1" x14ac:dyDescent="0.25">
      <c r="A2938" s="247"/>
      <c r="B2938" s="247"/>
      <c r="C2938" s="247"/>
      <c r="D2938" s="397"/>
      <c r="E2938" s="247"/>
      <c r="F2938" s="247"/>
      <c r="G2938" s="247"/>
      <c r="H2938" s="247"/>
      <c r="I2938" s="65"/>
      <c r="J2938" s="65"/>
      <c r="K2938" s="65"/>
      <c r="L2938" s="65"/>
    </row>
    <row r="2939" spans="1:12" ht="15" customHeight="1" x14ac:dyDescent="0.25">
      <c r="A2939" s="167">
        <v>542</v>
      </c>
      <c r="B2939" s="167" t="s">
        <v>2902</v>
      </c>
      <c r="C2939" s="265" t="s">
        <v>2903</v>
      </c>
      <c r="D2939" s="60">
        <v>53340</v>
      </c>
      <c r="E2939" s="65">
        <v>25.64423076923077</v>
      </c>
      <c r="F2939" s="197">
        <v>2051.5384615384614</v>
      </c>
      <c r="G2939" s="197">
        <v>0</v>
      </c>
      <c r="H2939" s="65">
        <v>53340</v>
      </c>
      <c r="I2939" s="65"/>
      <c r="J2939" s="197">
        <v>1200</v>
      </c>
      <c r="K2939" s="65"/>
      <c r="L2939" s="197">
        <v>54540</v>
      </c>
    </row>
    <row r="2940" spans="1:12" ht="15" customHeight="1" x14ac:dyDescent="0.25">
      <c r="A2940" s="247"/>
      <c r="B2940" s="247"/>
      <c r="C2940" s="265" t="s">
        <v>2901</v>
      </c>
      <c r="D2940" s="189">
        <v>0</v>
      </c>
      <c r="E2940" s="247"/>
      <c r="F2940" s="247"/>
      <c r="G2940" s="247"/>
      <c r="H2940" s="247">
        <v>0</v>
      </c>
      <c r="I2940" s="65"/>
      <c r="J2940" s="65"/>
      <c r="K2940" s="65"/>
      <c r="L2940" s="197">
        <v>0</v>
      </c>
    </row>
    <row r="2941" spans="1:12" ht="15" customHeight="1" x14ac:dyDescent="0.25">
      <c r="A2941" s="247"/>
      <c r="B2941" s="247"/>
      <c r="C2941" s="247"/>
      <c r="D2941" s="95">
        <v>53340</v>
      </c>
      <c r="E2941" s="107"/>
      <c r="F2941" s="95">
        <v>2051.5384615384614</v>
      </c>
      <c r="G2941" s="95">
        <v>0</v>
      </c>
      <c r="H2941" s="107">
        <v>53340</v>
      </c>
      <c r="I2941" s="95">
        <f t="shared" ref="I2941:K2941" si="999">SUM(I2938:I2940)</f>
        <v>0</v>
      </c>
      <c r="J2941" s="95">
        <f t="shared" si="999"/>
        <v>1200</v>
      </c>
      <c r="K2941" s="95">
        <f t="shared" si="999"/>
        <v>0</v>
      </c>
      <c r="L2941" s="95">
        <v>54540</v>
      </c>
    </row>
    <row r="2942" spans="1:12" ht="15" customHeight="1" x14ac:dyDescent="0.25">
      <c r="A2942" s="247"/>
      <c r="B2942" s="247"/>
      <c r="C2942" s="247"/>
      <c r="D2942" s="397"/>
      <c r="E2942" s="247"/>
      <c r="F2942" s="247"/>
      <c r="G2942" s="247"/>
      <c r="H2942" s="247"/>
      <c r="I2942" s="65"/>
      <c r="J2942" s="65"/>
      <c r="K2942" s="65"/>
      <c r="L2942" s="65"/>
    </row>
    <row r="2943" spans="1:12" ht="15" customHeight="1" x14ac:dyDescent="0.25">
      <c r="A2943" s="247"/>
      <c r="B2943" s="247"/>
      <c r="C2943" s="247"/>
      <c r="D2943" s="397"/>
      <c r="E2943" s="247"/>
      <c r="F2943" s="247"/>
      <c r="G2943" s="247"/>
      <c r="H2943" s="247"/>
      <c r="I2943" s="65"/>
      <c r="J2943" s="65"/>
      <c r="K2943" s="65"/>
      <c r="L2943" s="65"/>
    </row>
    <row r="2944" spans="1:12" ht="15" customHeight="1" x14ac:dyDescent="0.25">
      <c r="A2944" s="167">
        <v>543</v>
      </c>
      <c r="B2944" s="167" t="s">
        <v>2906</v>
      </c>
      <c r="C2944" s="265" t="s">
        <v>2907</v>
      </c>
      <c r="D2944" s="60">
        <v>51437</v>
      </c>
      <c r="E2944" s="65">
        <v>24.729326923076922</v>
      </c>
      <c r="F2944" s="197">
        <v>1978.3461538461538</v>
      </c>
      <c r="G2944" s="197">
        <v>0</v>
      </c>
      <c r="H2944" s="65">
        <v>51437</v>
      </c>
      <c r="I2944" s="65"/>
      <c r="J2944" s="197">
        <v>1200</v>
      </c>
      <c r="K2944" s="65"/>
      <c r="L2944" s="197">
        <v>52637</v>
      </c>
    </row>
    <row r="2945" spans="1:12" ht="15" customHeight="1" x14ac:dyDescent="0.25">
      <c r="A2945" s="247"/>
      <c r="B2945" s="247"/>
      <c r="C2945" s="265" t="s">
        <v>2901</v>
      </c>
      <c r="D2945" s="189">
        <v>0</v>
      </c>
      <c r="E2945" s="247"/>
      <c r="F2945" s="247"/>
      <c r="G2945" s="247"/>
      <c r="H2945" s="247">
        <v>0</v>
      </c>
      <c r="I2945" s="65"/>
      <c r="J2945" s="65"/>
      <c r="K2945" s="65"/>
      <c r="L2945" s="197">
        <v>0</v>
      </c>
    </row>
    <row r="2946" spans="1:12" ht="15" customHeight="1" x14ac:dyDescent="0.25">
      <c r="A2946" s="247"/>
      <c r="B2946" s="247"/>
      <c r="C2946" s="247"/>
      <c r="D2946" s="95">
        <v>51437</v>
      </c>
      <c r="E2946" s="107"/>
      <c r="F2946" s="95">
        <v>1978.3461538461538</v>
      </c>
      <c r="G2946" s="95">
        <v>0</v>
      </c>
      <c r="H2946" s="107">
        <v>51437</v>
      </c>
      <c r="I2946" s="95">
        <f t="shared" ref="I2946:K2946" si="1000">SUM(I2943:I2945)</f>
        <v>0</v>
      </c>
      <c r="J2946" s="95">
        <f t="shared" si="1000"/>
        <v>1200</v>
      </c>
      <c r="K2946" s="95">
        <f t="shared" si="1000"/>
        <v>0</v>
      </c>
      <c r="L2946" s="95">
        <v>52637</v>
      </c>
    </row>
    <row r="2947" spans="1:12" ht="15" customHeight="1" x14ac:dyDescent="0.25">
      <c r="A2947" s="247"/>
      <c r="B2947" s="247"/>
      <c r="C2947" s="247"/>
      <c r="D2947" s="397"/>
      <c r="E2947" s="247"/>
      <c r="F2947" s="247"/>
      <c r="G2947" s="247"/>
      <c r="H2947" s="247"/>
      <c r="I2947" s="65"/>
      <c r="J2947" s="65"/>
      <c r="K2947" s="65"/>
      <c r="L2947" s="65"/>
    </row>
    <row r="2948" spans="1:12" ht="15" customHeight="1" x14ac:dyDescent="0.25">
      <c r="A2948" s="265"/>
      <c r="B2948" s="265"/>
      <c r="C2948" s="265"/>
      <c r="D2948" s="60"/>
      <c r="E2948" s="167"/>
      <c r="F2948" s="167"/>
      <c r="G2948" s="125"/>
      <c r="H2948" s="125"/>
      <c r="I2948" s="65"/>
      <c r="J2948" s="197"/>
      <c r="K2948" s="65"/>
      <c r="L2948" s="197"/>
    </row>
    <row r="2949" spans="1:12" ht="15" customHeight="1" x14ac:dyDescent="0.25">
      <c r="A2949" s="167">
        <v>544</v>
      </c>
      <c r="B2949" s="167" t="s">
        <v>2911</v>
      </c>
      <c r="C2949" s="265" t="s">
        <v>2912</v>
      </c>
      <c r="D2949" s="60">
        <v>46971</v>
      </c>
      <c r="E2949" s="65">
        <v>22.582211538461539</v>
      </c>
      <c r="F2949" s="197">
        <v>1806.5769230769231</v>
      </c>
      <c r="G2949" s="197">
        <v>0</v>
      </c>
      <c r="H2949" s="65">
        <v>46971</v>
      </c>
      <c r="I2949" s="65"/>
      <c r="J2949" s="197">
        <v>1200</v>
      </c>
      <c r="K2949" s="65"/>
      <c r="L2949" s="197">
        <v>48171</v>
      </c>
    </row>
    <row r="2950" spans="1:12" ht="15" customHeight="1" x14ac:dyDescent="0.25">
      <c r="A2950" s="247"/>
      <c r="B2950" s="247"/>
      <c r="C2950" s="265" t="s">
        <v>2901</v>
      </c>
      <c r="D2950" s="189">
        <v>0</v>
      </c>
      <c r="E2950" s="247"/>
      <c r="F2950" s="247"/>
      <c r="G2950" s="247"/>
      <c r="H2950" s="247">
        <v>0</v>
      </c>
      <c r="I2950" s="65"/>
      <c r="J2950" s="65"/>
      <c r="K2950" s="65"/>
      <c r="L2950" s="197">
        <v>0</v>
      </c>
    </row>
    <row r="2951" spans="1:12" ht="15" customHeight="1" x14ac:dyDescent="0.25">
      <c r="A2951" s="247"/>
      <c r="B2951" s="247"/>
      <c r="C2951" s="247"/>
      <c r="D2951" s="95">
        <v>46971</v>
      </c>
      <c r="E2951" s="107"/>
      <c r="F2951" s="95">
        <v>1806.5769230769231</v>
      </c>
      <c r="G2951" s="95">
        <v>0</v>
      </c>
      <c r="H2951" s="107">
        <v>46971</v>
      </c>
      <c r="I2951" s="95">
        <f t="shared" ref="I2951:K2951" si="1001">SUM(I2948:I2950)</f>
        <v>0</v>
      </c>
      <c r="J2951" s="95">
        <f t="shared" si="1001"/>
        <v>1200</v>
      </c>
      <c r="K2951" s="95">
        <f t="shared" si="1001"/>
        <v>0</v>
      </c>
      <c r="L2951" s="95">
        <v>48171</v>
      </c>
    </row>
    <row r="2952" spans="1:12" ht="15" customHeight="1" x14ac:dyDescent="0.25">
      <c r="A2952" s="247"/>
      <c r="B2952" s="247"/>
      <c r="C2952" s="247"/>
      <c r="D2952" s="397"/>
      <c r="E2952" s="247"/>
      <c r="F2952" s="247"/>
      <c r="G2952" s="247"/>
      <c r="H2952" s="247"/>
      <c r="I2952" s="65"/>
      <c r="J2952" s="65"/>
      <c r="K2952" s="65"/>
      <c r="L2952" s="65"/>
    </row>
    <row r="2953" spans="1:12" ht="15" customHeight="1" x14ac:dyDescent="0.25">
      <c r="A2953" s="247"/>
      <c r="B2953" s="247"/>
      <c r="C2953" s="247"/>
      <c r="D2953" s="397"/>
      <c r="E2953" s="247"/>
      <c r="F2953" s="247"/>
      <c r="G2953" s="247"/>
      <c r="H2953" s="247"/>
      <c r="I2953" s="65"/>
      <c r="J2953" s="65"/>
      <c r="K2953" s="65"/>
      <c r="L2953" s="65"/>
    </row>
    <row r="2954" spans="1:12" ht="15" customHeight="1" x14ac:dyDescent="0.25">
      <c r="A2954" s="167">
        <v>545</v>
      </c>
      <c r="B2954" s="167" t="s">
        <v>2915</v>
      </c>
      <c r="C2954" s="265" t="s">
        <v>2916</v>
      </c>
      <c r="D2954" s="60">
        <v>51437</v>
      </c>
      <c r="E2954" s="65">
        <v>24.729326923076922</v>
      </c>
      <c r="F2954" s="197">
        <v>1978.3461538461538</v>
      </c>
      <c r="G2954" s="197">
        <v>0</v>
      </c>
      <c r="H2954" s="65">
        <v>51437</v>
      </c>
      <c r="I2954" s="65"/>
      <c r="J2954" s="197">
        <v>1200</v>
      </c>
      <c r="K2954" s="65"/>
      <c r="L2954" s="197">
        <v>52637</v>
      </c>
    </row>
    <row r="2955" spans="1:12" ht="15" customHeight="1" x14ac:dyDescent="0.25">
      <c r="A2955" s="247"/>
      <c r="B2955" s="247"/>
      <c r="C2955" s="265" t="s">
        <v>2901</v>
      </c>
      <c r="D2955" s="189">
        <v>0</v>
      </c>
      <c r="E2955" s="247"/>
      <c r="F2955" s="247"/>
      <c r="G2955" s="247"/>
      <c r="H2955" s="247">
        <v>0</v>
      </c>
      <c r="I2955" s="65"/>
      <c r="J2955" s="65"/>
      <c r="K2955" s="65"/>
      <c r="L2955" s="197">
        <v>0</v>
      </c>
    </row>
    <row r="2956" spans="1:12" ht="15" customHeight="1" x14ac:dyDescent="0.25">
      <c r="A2956" s="247"/>
      <c r="B2956" s="247"/>
      <c r="C2956" s="247"/>
      <c r="D2956" s="95">
        <v>51437</v>
      </c>
      <c r="E2956" s="107"/>
      <c r="F2956" s="95">
        <v>1978.3461538461538</v>
      </c>
      <c r="G2956" s="95">
        <v>0</v>
      </c>
      <c r="H2956" s="107">
        <v>51437</v>
      </c>
      <c r="I2956" s="95">
        <f t="shared" ref="I2956:K2956" si="1002">SUM(I2953:I2955)</f>
        <v>0</v>
      </c>
      <c r="J2956" s="95">
        <f t="shared" si="1002"/>
        <v>1200</v>
      </c>
      <c r="K2956" s="95">
        <f t="shared" si="1002"/>
        <v>0</v>
      </c>
      <c r="L2956" s="95">
        <v>52637</v>
      </c>
    </row>
    <row r="2957" spans="1:12" ht="15" customHeight="1" x14ac:dyDescent="0.25">
      <c r="A2957" s="247"/>
      <c r="B2957" s="247"/>
      <c r="C2957" s="247"/>
      <c r="D2957" s="397"/>
      <c r="E2957" s="247"/>
      <c r="F2957" s="247"/>
      <c r="G2957" s="247"/>
      <c r="H2957" s="247"/>
      <c r="I2957" s="65"/>
      <c r="J2957" s="65"/>
      <c r="K2957" s="65"/>
      <c r="L2957" s="65"/>
    </row>
    <row r="2958" spans="1:12" ht="15" customHeight="1" x14ac:dyDescent="0.25">
      <c r="A2958" s="247"/>
      <c r="B2958" s="247"/>
      <c r="C2958" s="247"/>
      <c r="D2958" s="397"/>
      <c r="E2958" s="247"/>
      <c r="F2958" s="247"/>
      <c r="G2958" s="247"/>
      <c r="H2958" s="247"/>
      <c r="I2958" s="65"/>
      <c r="J2958" s="65"/>
      <c r="K2958" s="65"/>
      <c r="L2958" s="65"/>
    </row>
    <row r="2959" spans="1:12" ht="15" customHeight="1" x14ac:dyDescent="0.25">
      <c r="A2959" s="247"/>
      <c r="B2959" s="247"/>
      <c r="C2959" s="247"/>
      <c r="D2959" s="397"/>
      <c r="E2959" s="247"/>
      <c r="F2959" s="247"/>
      <c r="G2959" s="247"/>
      <c r="H2959" s="247"/>
      <c r="I2959" s="65"/>
      <c r="J2959" s="65"/>
      <c r="K2959" s="65"/>
      <c r="L2959" s="65"/>
    </row>
    <row r="2960" spans="1:12" ht="15" customHeight="1" x14ac:dyDescent="0.25">
      <c r="A2960" s="167">
        <v>560</v>
      </c>
      <c r="B2960" s="167" t="s">
        <v>2918</v>
      </c>
      <c r="C2960" s="265" t="s">
        <v>97</v>
      </c>
      <c r="D2960" s="60">
        <v>88540</v>
      </c>
      <c r="E2960" s="65">
        <v>42.567307692307693</v>
      </c>
      <c r="F2960" s="197">
        <v>3405.3846153846152</v>
      </c>
      <c r="G2960" s="197">
        <v>0</v>
      </c>
      <c r="H2960" s="65">
        <v>88540</v>
      </c>
      <c r="I2960" s="197">
        <v>4200</v>
      </c>
      <c r="J2960" s="197" t="s">
        <v>2420</v>
      </c>
      <c r="K2960" s="197" t="s">
        <v>2420</v>
      </c>
      <c r="L2960" s="197">
        <v>92740</v>
      </c>
    </row>
    <row r="2961" spans="1:12" ht="15" customHeight="1" x14ac:dyDescent="0.25">
      <c r="A2961" s="167">
        <v>560</v>
      </c>
      <c r="B2961" s="167" t="s">
        <v>2921</v>
      </c>
      <c r="C2961" s="265" t="s">
        <v>2579</v>
      </c>
      <c r="D2961" s="60">
        <v>62840</v>
      </c>
      <c r="E2961" s="65">
        <v>30.21153846153846</v>
      </c>
      <c r="F2961" s="197">
        <v>2416.9230769230771</v>
      </c>
      <c r="G2961" s="197">
        <v>0</v>
      </c>
      <c r="H2961" s="65">
        <v>62840</v>
      </c>
      <c r="I2961" s="65"/>
      <c r="J2961" s="66">
        <v>1200</v>
      </c>
      <c r="K2961" s="66" t="s">
        <v>2420</v>
      </c>
      <c r="L2961" s="197">
        <v>64040</v>
      </c>
    </row>
    <row r="2962" spans="1:12" ht="15" customHeight="1" x14ac:dyDescent="0.25">
      <c r="A2962" s="167">
        <v>560</v>
      </c>
      <c r="B2962" s="167" t="s">
        <v>2922</v>
      </c>
      <c r="C2962" s="265" t="s">
        <v>2923</v>
      </c>
      <c r="D2962" s="60">
        <v>57263</v>
      </c>
      <c r="E2962" s="65">
        <v>27.530288461538461</v>
      </c>
      <c r="F2962" s="197">
        <v>2202.4230769230771</v>
      </c>
      <c r="G2962" s="197">
        <v>0</v>
      </c>
      <c r="H2962" s="65">
        <v>57263</v>
      </c>
      <c r="I2962" s="65"/>
      <c r="J2962" s="66">
        <v>1200</v>
      </c>
      <c r="K2962" s="66">
        <v>1500</v>
      </c>
      <c r="L2962" s="197">
        <v>59963</v>
      </c>
    </row>
    <row r="2963" spans="1:12" ht="15" customHeight="1" x14ac:dyDescent="0.25">
      <c r="A2963" s="167">
        <v>560</v>
      </c>
      <c r="B2963" s="167" t="s">
        <v>2926</v>
      </c>
      <c r="C2963" s="181" t="s">
        <v>2927</v>
      </c>
      <c r="D2963" s="60">
        <v>57264</v>
      </c>
      <c r="E2963" s="65">
        <v>27.530769230769231</v>
      </c>
      <c r="F2963" s="197">
        <v>2202.4615384615386</v>
      </c>
      <c r="G2963" s="197">
        <v>0</v>
      </c>
      <c r="H2963" s="65">
        <v>57264</v>
      </c>
      <c r="I2963" s="65"/>
      <c r="J2963" s="66">
        <v>1200</v>
      </c>
      <c r="K2963" s="66"/>
      <c r="L2963" s="197">
        <v>58464</v>
      </c>
    </row>
    <row r="2964" spans="1:12" ht="15" customHeight="1" x14ac:dyDescent="0.25">
      <c r="A2964" s="167">
        <v>560</v>
      </c>
      <c r="B2964" s="167" t="s">
        <v>2928</v>
      </c>
      <c r="C2964" s="181" t="s">
        <v>2929</v>
      </c>
      <c r="D2964" s="60">
        <v>52195</v>
      </c>
      <c r="E2964" s="65">
        <v>25.09375</v>
      </c>
      <c r="F2964" s="197">
        <v>2007.5</v>
      </c>
      <c r="G2964" s="197">
        <v>0</v>
      </c>
      <c r="H2964" s="65">
        <v>52195</v>
      </c>
      <c r="I2964" s="65"/>
      <c r="J2964" s="66">
        <v>1200</v>
      </c>
      <c r="K2964" s="66">
        <v>1500</v>
      </c>
      <c r="L2964" s="197">
        <v>54895</v>
      </c>
    </row>
    <row r="2965" spans="1:12" ht="15" customHeight="1" x14ac:dyDescent="0.25">
      <c r="A2965" s="167">
        <v>560</v>
      </c>
      <c r="B2965" s="167" t="s">
        <v>2931</v>
      </c>
      <c r="C2965" s="181" t="s">
        <v>2929</v>
      </c>
      <c r="D2965" s="60">
        <v>54089</v>
      </c>
      <c r="E2965" s="65">
        <v>26.004326923076924</v>
      </c>
      <c r="F2965" s="197">
        <v>2080.3461538461538</v>
      </c>
      <c r="G2965" s="197">
        <v>0</v>
      </c>
      <c r="H2965" s="65">
        <v>54089</v>
      </c>
      <c r="I2965" s="65"/>
      <c r="J2965" s="66">
        <v>1200</v>
      </c>
      <c r="K2965" s="66">
        <v>1500</v>
      </c>
      <c r="L2965" s="197">
        <v>56789</v>
      </c>
    </row>
    <row r="2966" spans="1:12" ht="15" customHeight="1" x14ac:dyDescent="0.25">
      <c r="A2966" s="167">
        <v>560</v>
      </c>
      <c r="B2966" s="167" t="s">
        <v>2934</v>
      </c>
      <c r="C2966" s="181" t="s">
        <v>2929</v>
      </c>
      <c r="D2966" s="60">
        <v>52195</v>
      </c>
      <c r="E2966" s="65">
        <v>25.09375</v>
      </c>
      <c r="F2966" s="197">
        <v>2007.5</v>
      </c>
      <c r="G2966" s="197">
        <v>0</v>
      </c>
      <c r="H2966" s="65">
        <v>52195</v>
      </c>
      <c r="I2966" s="65"/>
      <c r="J2966" s="66">
        <v>1200</v>
      </c>
      <c r="K2966" s="66"/>
      <c r="L2966" s="197">
        <v>53395</v>
      </c>
    </row>
    <row r="2967" spans="1:12" ht="15" customHeight="1" x14ac:dyDescent="0.25">
      <c r="A2967" s="167">
        <v>560</v>
      </c>
      <c r="B2967" s="167" t="s">
        <v>2935</v>
      </c>
      <c r="C2967" s="181" t="s">
        <v>2929</v>
      </c>
      <c r="D2967" s="60">
        <v>55063</v>
      </c>
      <c r="E2967" s="65">
        <v>26.472596153846155</v>
      </c>
      <c r="F2967" s="197">
        <v>2117.8076923076924</v>
      </c>
      <c r="G2967" s="197">
        <v>0</v>
      </c>
      <c r="H2967" s="65">
        <v>55063</v>
      </c>
      <c r="I2967" s="65"/>
      <c r="J2967" s="66">
        <v>1200</v>
      </c>
      <c r="K2967" s="96">
        <v>1000</v>
      </c>
      <c r="L2967" s="197">
        <v>57263</v>
      </c>
    </row>
    <row r="2968" spans="1:12" ht="15" customHeight="1" x14ac:dyDescent="0.25">
      <c r="A2968" s="167">
        <v>560</v>
      </c>
      <c r="B2968" s="167" t="s">
        <v>2938</v>
      </c>
      <c r="C2968" s="181" t="s">
        <v>2939</v>
      </c>
      <c r="D2968" s="60">
        <v>49661</v>
      </c>
      <c r="E2968" s="65">
        <v>23.875480769230769</v>
      </c>
      <c r="F2968" s="197">
        <v>1910.0384615384614</v>
      </c>
      <c r="G2968" s="197">
        <v>0</v>
      </c>
      <c r="H2968" s="65">
        <v>49661</v>
      </c>
      <c r="I2968" s="65"/>
      <c r="J2968" s="66">
        <v>1200</v>
      </c>
      <c r="K2968" s="66">
        <v>1000</v>
      </c>
      <c r="L2968" s="197">
        <v>51861</v>
      </c>
    </row>
    <row r="2969" spans="1:12" ht="15" customHeight="1" x14ac:dyDescent="0.25">
      <c r="A2969" s="167">
        <v>560</v>
      </c>
      <c r="B2969" s="167" t="s">
        <v>2942</v>
      </c>
      <c r="C2969" s="181" t="s">
        <v>2939</v>
      </c>
      <c r="D2969" s="60">
        <v>49661</v>
      </c>
      <c r="E2969" s="65">
        <v>23.875480769230769</v>
      </c>
      <c r="F2969" s="197">
        <v>1910.0384615384614</v>
      </c>
      <c r="G2969" s="197">
        <v>0</v>
      </c>
      <c r="H2969" s="65">
        <v>49661</v>
      </c>
      <c r="I2969" s="65"/>
      <c r="J2969" s="66">
        <v>1200</v>
      </c>
      <c r="K2969" s="60"/>
      <c r="L2969" s="197">
        <v>50861</v>
      </c>
    </row>
    <row r="2970" spans="1:12" ht="15" customHeight="1" x14ac:dyDescent="0.25">
      <c r="A2970" s="167">
        <v>560</v>
      </c>
      <c r="B2970" s="167" t="s">
        <v>2944</v>
      </c>
      <c r="C2970" s="181" t="s">
        <v>2939</v>
      </c>
      <c r="D2970" s="60">
        <v>48785</v>
      </c>
      <c r="E2970" s="65">
        <v>23.454326923076923</v>
      </c>
      <c r="F2970" s="197">
        <v>1876.3461538461538</v>
      </c>
      <c r="G2970" s="197">
        <v>0</v>
      </c>
      <c r="H2970" s="65">
        <v>48785</v>
      </c>
      <c r="I2970" s="65"/>
      <c r="J2970" s="66">
        <v>1200</v>
      </c>
      <c r="K2970" s="66"/>
      <c r="L2970" s="197">
        <v>49985</v>
      </c>
    </row>
    <row r="2971" spans="1:12" ht="15" customHeight="1" x14ac:dyDescent="0.25">
      <c r="A2971" s="167">
        <v>560</v>
      </c>
      <c r="B2971" s="167" t="s">
        <v>2946</v>
      </c>
      <c r="C2971" s="181" t="s">
        <v>2939</v>
      </c>
      <c r="D2971" s="60">
        <v>49661</v>
      </c>
      <c r="E2971" s="65">
        <v>23.875480769230769</v>
      </c>
      <c r="F2971" s="197">
        <v>1910.0384615384614</v>
      </c>
      <c r="G2971" s="197">
        <v>0</v>
      </c>
      <c r="H2971" s="65">
        <v>49661</v>
      </c>
      <c r="I2971" s="65"/>
      <c r="J2971" s="66">
        <v>1200</v>
      </c>
      <c r="K2971" s="96">
        <v>500</v>
      </c>
      <c r="L2971" s="197">
        <v>51361</v>
      </c>
    </row>
    <row r="2972" spans="1:12" ht="15" customHeight="1" x14ac:dyDescent="0.25">
      <c r="A2972" s="167">
        <v>560</v>
      </c>
      <c r="B2972" s="167" t="s">
        <v>2949</v>
      </c>
      <c r="C2972" s="181" t="s">
        <v>2939</v>
      </c>
      <c r="D2972" s="60">
        <v>49661</v>
      </c>
      <c r="E2972" s="65">
        <v>23.875480769230769</v>
      </c>
      <c r="F2972" s="197">
        <v>1910.0384615384614</v>
      </c>
      <c r="G2972" s="197">
        <v>0</v>
      </c>
      <c r="H2972" s="65">
        <v>49661</v>
      </c>
      <c r="I2972" s="65"/>
      <c r="J2972" s="66">
        <v>1200</v>
      </c>
      <c r="K2972" s="96">
        <v>1000</v>
      </c>
      <c r="L2972" s="197">
        <v>51861</v>
      </c>
    </row>
    <row r="2973" spans="1:12" ht="15" customHeight="1" x14ac:dyDescent="0.25">
      <c r="A2973" s="167">
        <v>560</v>
      </c>
      <c r="B2973" s="167" t="s">
        <v>2952</v>
      </c>
      <c r="C2973" s="181" t="s">
        <v>2939</v>
      </c>
      <c r="D2973" s="60">
        <v>49661</v>
      </c>
      <c r="E2973" s="65">
        <v>23.875480769230769</v>
      </c>
      <c r="F2973" s="197">
        <v>1910.0384615384614</v>
      </c>
      <c r="G2973" s="197">
        <v>0</v>
      </c>
      <c r="H2973" s="65">
        <v>49661</v>
      </c>
      <c r="I2973" s="65"/>
      <c r="J2973" s="66">
        <v>1200</v>
      </c>
      <c r="K2973" s="96">
        <v>1000</v>
      </c>
      <c r="L2973" s="197">
        <v>51861</v>
      </c>
    </row>
    <row r="2974" spans="1:12" ht="15" customHeight="1" x14ac:dyDescent="0.25">
      <c r="A2974" s="167">
        <v>560</v>
      </c>
      <c r="B2974" s="167" t="s">
        <v>2954</v>
      </c>
      <c r="C2974" s="181" t="s">
        <v>2939</v>
      </c>
      <c r="D2974" s="60">
        <v>49661</v>
      </c>
      <c r="E2974" s="65">
        <v>23.875480769230769</v>
      </c>
      <c r="F2974" s="197">
        <v>1910.0384615384614</v>
      </c>
      <c r="G2974" s="197">
        <v>0</v>
      </c>
      <c r="H2974" s="65">
        <v>49661</v>
      </c>
      <c r="I2974" s="65"/>
      <c r="J2974" s="66">
        <v>1200</v>
      </c>
      <c r="K2974" s="60">
        <v>1500</v>
      </c>
      <c r="L2974" s="197">
        <v>52361</v>
      </c>
    </row>
    <row r="2975" spans="1:12" ht="15" customHeight="1" x14ac:dyDescent="0.25">
      <c r="A2975" s="167">
        <v>560</v>
      </c>
      <c r="B2975" s="167" t="s">
        <v>2957</v>
      </c>
      <c r="C2975" s="181" t="s">
        <v>2939</v>
      </c>
      <c r="D2975" s="60">
        <v>49661</v>
      </c>
      <c r="E2975" s="65">
        <v>23.875480769230769</v>
      </c>
      <c r="F2975" s="197">
        <v>1910.0384615384614</v>
      </c>
      <c r="G2975" s="197">
        <v>0</v>
      </c>
      <c r="H2975" s="65">
        <v>49661</v>
      </c>
      <c r="I2975" s="65"/>
      <c r="J2975" s="66">
        <v>1200</v>
      </c>
      <c r="K2975" s="77"/>
      <c r="L2975" s="197">
        <v>50861</v>
      </c>
    </row>
    <row r="2976" spans="1:12" ht="15" customHeight="1" x14ac:dyDescent="0.25">
      <c r="A2976" s="167">
        <v>560</v>
      </c>
      <c r="B2976" s="167" t="s">
        <v>2958</v>
      </c>
      <c r="C2976" s="181" t="s">
        <v>2939</v>
      </c>
      <c r="D2976" s="60">
        <v>49661</v>
      </c>
      <c r="E2976" s="65">
        <v>23.875480769230769</v>
      </c>
      <c r="F2976" s="197">
        <v>1910.0384615384614</v>
      </c>
      <c r="G2976" s="197">
        <v>0</v>
      </c>
      <c r="H2976" s="65">
        <v>49661</v>
      </c>
      <c r="I2976" s="65"/>
      <c r="J2976" s="66">
        <v>1200</v>
      </c>
      <c r="K2976" s="66"/>
      <c r="L2976" s="197">
        <v>50861</v>
      </c>
    </row>
    <row r="2977" spans="1:12" ht="15" customHeight="1" x14ac:dyDescent="0.25">
      <c r="A2977" s="167">
        <v>560</v>
      </c>
      <c r="B2977" s="167" t="s">
        <v>2961</v>
      </c>
      <c r="C2977" s="181" t="s">
        <v>2939</v>
      </c>
      <c r="D2977" s="60">
        <v>50553</v>
      </c>
      <c r="E2977" s="65">
        <v>24.304326923076925</v>
      </c>
      <c r="F2977" s="197">
        <v>1944.3461538461538</v>
      </c>
      <c r="G2977" s="197">
        <v>0</v>
      </c>
      <c r="H2977" s="65">
        <v>50553</v>
      </c>
      <c r="I2977" s="65"/>
      <c r="J2977" s="66">
        <v>1200</v>
      </c>
      <c r="K2977" s="60"/>
      <c r="L2977" s="197">
        <v>51753</v>
      </c>
    </row>
    <row r="2978" spans="1:12" ht="15" customHeight="1" x14ac:dyDescent="0.25">
      <c r="A2978" s="167">
        <v>560</v>
      </c>
      <c r="B2978" s="167" t="s">
        <v>2963</v>
      </c>
      <c r="C2978" s="181" t="s">
        <v>2939</v>
      </c>
      <c r="D2978" s="60">
        <v>49661</v>
      </c>
      <c r="E2978" s="65">
        <v>23.875480769230769</v>
      </c>
      <c r="F2978" s="197">
        <v>1910.0384615384614</v>
      </c>
      <c r="G2978" s="197">
        <v>0</v>
      </c>
      <c r="H2978" s="65">
        <v>49661</v>
      </c>
      <c r="I2978" s="65"/>
      <c r="J2978" s="66">
        <v>1200</v>
      </c>
      <c r="K2978" s="89"/>
      <c r="L2978" s="197">
        <v>50861</v>
      </c>
    </row>
    <row r="2979" spans="1:12" ht="15" customHeight="1" x14ac:dyDescent="0.25">
      <c r="A2979" s="167">
        <v>560</v>
      </c>
      <c r="B2979" s="167" t="s">
        <v>2965</v>
      </c>
      <c r="C2979" s="181" t="s">
        <v>2939</v>
      </c>
      <c r="D2979" s="60">
        <v>49661</v>
      </c>
      <c r="E2979" s="65">
        <v>23.875480769230769</v>
      </c>
      <c r="F2979" s="197">
        <v>1910.0384615384614</v>
      </c>
      <c r="G2979" s="197">
        <v>0</v>
      </c>
      <c r="H2979" s="65">
        <v>49661</v>
      </c>
      <c r="I2979" s="65"/>
      <c r="J2979" s="66">
        <v>1200</v>
      </c>
      <c r="K2979" s="60"/>
      <c r="L2979" s="197">
        <v>50861</v>
      </c>
    </row>
    <row r="2980" spans="1:12" ht="15" customHeight="1" x14ac:dyDescent="0.25">
      <c r="A2980" s="167">
        <v>560</v>
      </c>
      <c r="B2980" s="167" t="s">
        <v>2968</v>
      </c>
      <c r="C2980" s="181" t="s">
        <v>2939</v>
      </c>
      <c r="D2980" s="60">
        <v>49661</v>
      </c>
      <c r="E2980" s="65">
        <v>23.875480769230769</v>
      </c>
      <c r="F2980" s="197">
        <v>1910.0384615384614</v>
      </c>
      <c r="G2980" s="197">
        <v>0</v>
      </c>
      <c r="H2980" s="65">
        <v>49661</v>
      </c>
      <c r="I2980" s="65"/>
      <c r="J2980" s="66">
        <v>1200</v>
      </c>
      <c r="K2980" s="66"/>
      <c r="L2980" s="197">
        <v>50861</v>
      </c>
    </row>
    <row r="2981" spans="1:12" ht="15" customHeight="1" x14ac:dyDescent="0.25">
      <c r="A2981" s="167">
        <v>560</v>
      </c>
      <c r="B2981" s="167" t="s">
        <v>2969</v>
      </c>
      <c r="C2981" s="181" t="s">
        <v>2939</v>
      </c>
      <c r="D2981" s="60">
        <v>50553</v>
      </c>
      <c r="E2981" s="65">
        <v>24.304326923076925</v>
      </c>
      <c r="F2981" s="197">
        <v>1944.3461538461538</v>
      </c>
      <c r="G2981" s="197">
        <v>0</v>
      </c>
      <c r="H2981" s="65">
        <v>50553</v>
      </c>
      <c r="I2981" s="65"/>
      <c r="J2981" s="66">
        <v>1200</v>
      </c>
      <c r="K2981" s="66"/>
      <c r="L2981" s="197">
        <v>51753</v>
      </c>
    </row>
    <row r="2982" spans="1:12" ht="15" customHeight="1" x14ac:dyDescent="0.25">
      <c r="A2982" s="167">
        <v>560</v>
      </c>
      <c r="B2982" s="167" t="s">
        <v>2972</v>
      </c>
      <c r="C2982" s="181" t="s">
        <v>2939</v>
      </c>
      <c r="D2982" s="60">
        <v>49661</v>
      </c>
      <c r="E2982" s="65">
        <v>23.875480769230769</v>
      </c>
      <c r="F2982" s="197">
        <v>1910.0384615384614</v>
      </c>
      <c r="G2982" s="197">
        <v>0</v>
      </c>
      <c r="H2982" s="65">
        <v>49661</v>
      </c>
      <c r="I2982" s="65"/>
      <c r="J2982" s="66">
        <v>1200</v>
      </c>
      <c r="K2982" s="89"/>
      <c r="L2982" s="197">
        <v>50861</v>
      </c>
    </row>
    <row r="2983" spans="1:12" ht="15" customHeight="1" x14ac:dyDescent="0.25">
      <c r="A2983" s="167">
        <v>560</v>
      </c>
      <c r="B2983" s="167" t="s">
        <v>2975</v>
      </c>
      <c r="C2983" s="181" t="s">
        <v>2939</v>
      </c>
      <c r="D2983" s="60">
        <v>50552</v>
      </c>
      <c r="E2983" s="65">
        <v>24.303846153846155</v>
      </c>
      <c r="F2983" s="197">
        <v>1944.3076923076924</v>
      </c>
      <c r="G2983" s="197">
        <v>0</v>
      </c>
      <c r="H2983" s="65">
        <v>50552</v>
      </c>
      <c r="I2983" s="65"/>
      <c r="J2983" s="66">
        <v>1200</v>
      </c>
      <c r="K2983" s="66"/>
      <c r="L2983" s="197">
        <v>51752</v>
      </c>
    </row>
    <row r="2984" spans="1:12" ht="15" customHeight="1" x14ac:dyDescent="0.25">
      <c r="A2984" s="167">
        <v>560</v>
      </c>
      <c r="B2984" s="167" t="s">
        <v>2978</v>
      </c>
      <c r="C2984" s="181" t="s">
        <v>2939</v>
      </c>
      <c r="D2984" s="60">
        <v>49661</v>
      </c>
      <c r="E2984" s="65">
        <v>23.875480769230769</v>
      </c>
      <c r="F2984" s="197">
        <v>1910.0384615384614</v>
      </c>
      <c r="G2984" s="197">
        <v>0</v>
      </c>
      <c r="H2984" s="65">
        <v>49661</v>
      </c>
      <c r="I2984" s="65"/>
      <c r="J2984" s="66">
        <v>1200</v>
      </c>
      <c r="K2984" s="66">
        <v>500</v>
      </c>
      <c r="L2984" s="197">
        <v>51361</v>
      </c>
    </row>
    <row r="2985" spans="1:12" ht="15" customHeight="1" x14ac:dyDescent="0.25">
      <c r="A2985" s="167">
        <v>560</v>
      </c>
      <c r="B2985" s="167" t="s">
        <v>2981</v>
      </c>
      <c r="C2985" s="181" t="s">
        <v>2939</v>
      </c>
      <c r="D2985" s="60">
        <v>49661</v>
      </c>
      <c r="E2985" s="65">
        <v>23.875480769230769</v>
      </c>
      <c r="F2985" s="197">
        <v>1910.0384615384614</v>
      </c>
      <c r="G2985" s="197">
        <v>0</v>
      </c>
      <c r="H2985" s="65">
        <v>49661</v>
      </c>
      <c r="I2985" s="65"/>
      <c r="J2985" s="66">
        <v>1200</v>
      </c>
      <c r="K2985" s="66"/>
      <c r="L2985" s="197">
        <v>50861</v>
      </c>
    </row>
    <row r="2986" spans="1:12" ht="15" customHeight="1" x14ac:dyDescent="0.25">
      <c r="A2986" s="167">
        <v>560</v>
      </c>
      <c r="B2986" s="167" t="s">
        <v>2983</v>
      </c>
      <c r="C2986" s="181" t="s">
        <v>2984</v>
      </c>
      <c r="D2986" s="60">
        <v>51435</v>
      </c>
      <c r="E2986" s="65">
        <v>24.728365384615383</v>
      </c>
      <c r="F2986" s="197">
        <v>1978.2692307692307</v>
      </c>
      <c r="G2986" s="197">
        <v>0</v>
      </c>
      <c r="H2986" s="65">
        <v>51435</v>
      </c>
      <c r="I2986" s="65"/>
      <c r="J2986" s="66">
        <v>1200</v>
      </c>
      <c r="K2986" s="60"/>
      <c r="L2986" s="197">
        <v>52635</v>
      </c>
    </row>
    <row r="2987" spans="1:12" ht="15" customHeight="1" x14ac:dyDescent="0.25">
      <c r="A2987" s="167">
        <v>560</v>
      </c>
      <c r="B2987" s="167" t="s">
        <v>2987</v>
      </c>
      <c r="C2987" s="181" t="s">
        <v>2984</v>
      </c>
      <c r="D2987" s="60">
        <v>52360</v>
      </c>
      <c r="E2987" s="65">
        <v>25.173076923076923</v>
      </c>
      <c r="F2987" s="197">
        <v>2013.8461538461538</v>
      </c>
      <c r="G2987" s="197">
        <v>0</v>
      </c>
      <c r="H2987" s="65">
        <v>52360</v>
      </c>
      <c r="I2987" s="65"/>
      <c r="J2987" s="66">
        <v>1200</v>
      </c>
      <c r="K2987" s="66">
        <v>1500</v>
      </c>
      <c r="L2987" s="197">
        <v>55060</v>
      </c>
    </row>
    <row r="2988" spans="1:12" ht="15" customHeight="1" x14ac:dyDescent="0.25">
      <c r="A2988" s="167">
        <v>560</v>
      </c>
      <c r="B2988" s="167" t="s">
        <v>2990</v>
      </c>
      <c r="C2988" s="181" t="s">
        <v>2984</v>
      </c>
      <c r="D2988" s="60">
        <v>52360</v>
      </c>
      <c r="E2988" s="65">
        <v>25.173076923076923</v>
      </c>
      <c r="F2988" s="197">
        <v>2013.8461538461538</v>
      </c>
      <c r="G2988" s="197">
        <v>0</v>
      </c>
      <c r="H2988" s="65">
        <v>52360</v>
      </c>
      <c r="I2988" s="65"/>
      <c r="J2988" s="66">
        <v>1200</v>
      </c>
      <c r="K2988" s="66">
        <v>1000</v>
      </c>
      <c r="L2988" s="197">
        <v>54560</v>
      </c>
    </row>
    <row r="2989" spans="1:12" ht="15" customHeight="1" x14ac:dyDescent="0.25">
      <c r="A2989" s="167">
        <v>560</v>
      </c>
      <c r="B2989" s="167" t="s">
        <v>2992</v>
      </c>
      <c r="C2989" s="181" t="s">
        <v>2984</v>
      </c>
      <c r="D2989" s="60">
        <v>51435</v>
      </c>
      <c r="E2989" s="65">
        <v>24.728365384615383</v>
      </c>
      <c r="F2989" s="197">
        <v>1978.2692307692307</v>
      </c>
      <c r="G2989" s="197">
        <v>0</v>
      </c>
      <c r="H2989" s="65">
        <v>51435</v>
      </c>
      <c r="I2989" s="65"/>
      <c r="J2989" s="66">
        <v>1200</v>
      </c>
      <c r="K2989" s="66">
        <v>1000</v>
      </c>
      <c r="L2989" s="197">
        <v>53635</v>
      </c>
    </row>
    <row r="2990" spans="1:12" ht="15" customHeight="1" x14ac:dyDescent="0.25">
      <c r="A2990" s="167">
        <v>560</v>
      </c>
      <c r="B2990" s="167" t="s">
        <v>2994</v>
      </c>
      <c r="C2990" s="181" t="s">
        <v>2984</v>
      </c>
      <c r="D2990" s="60">
        <v>50527</v>
      </c>
      <c r="E2990" s="65">
        <v>24.291826923076922</v>
      </c>
      <c r="F2990" s="197">
        <v>1943.3461538461538</v>
      </c>
      <c r="G2990" s="197">
        <v>0</v>
      </c>
      <c r="H2990" s="65">
        <v>50527</v>
      </c>
      <c r="I2990" s="65"/>
      <c r="J2990" s="66">
        <v>1200</v>
      </c>
      <c r="K2990" s="66"/>
      <c r="L2990" s="197">
        <v>51727</v>
      </c>
    </row>
    <row r="2991" spans="1:12" ht="15" customHeight="1" x14ac:dyDescent="0.25">
      <c r="A2991" s="167">
        <v>560</v>
      </c>
      <c r="B2991" s="167" t="s">
        <v>2995</v>
      </c>
      <c r="C2991" s="181" t="s">
        <v>2996</v>
      </c>
      <c r="D2991" s="60">
        <v>52195</v>
      </c>
      <c r="E2991" s="65">
        <v>25.09375</v>
      </c>
      <c r="F2991" s="197">
        <v>2007.5</v>
      </c>
      <c r="G2991" s="197">
        <v>0</v>
      </c>
      <c r="H2991" s="65">
        <v>52195</v>
      </c>
      <c r="I2991" s="65"/>
      <c r="J2991" s="66">
        <v>1200</v>
      </c>
      <c r="K2991" s="66">
        <v>500</v>
      </c>
      <c r="L2991" s="197">
        <v>53895</v>
      </c>
    </row>
    <row r="2992" spans="1:12" ht="15" customHeight="1" x14ac:dyDescent="0.25">
      <c r="A2992" s="167">
        <v>560</v>
      </c>
      <c r="B2992" s="167" t="s">
        <v>2998</v>
      </c>
      <c r="C2992" s="181" t="s">
        <v>2760</v>
      </c>
      <c r="D2992" s="60">
        <v>52195</v>
      </c>
      <c r="E2992" s="65">
        <v>25.09375</v>
      </c>
      <c r="F2992" s="197">
        <v>2007.5</v>
      </c>
      <c r="G2992" s="197">
        <v>0</v>
      </c>
      <c r="H2992" s="65">
        <v>52195</v>
      </c>
      <c r="I2992" s="65"/>
      <c r="J2992" s="66">
        <v>1200</v>
      </c>
      <c r="K2992" s="96">
        <v>1000</v>
      </c>
      <c r="L2992" s="197">
        <v>54395</v>
      </c>
    </row>
    <row r="2993" spans="1:12" ht="15" customHeight="1" x14ac:dyDescent="0.25">
      <c r="A2993" s="167">
        <v>560</v>
      </c>
      <c r="B2993" s="167" t="s">
        <v>3001</v>
      </c>
      <c r="C2993" s="181" t="s">
        <v>2760</v>
      </c>
      <c r="D2993" s="60">
        <v>52195</v>
      </c>
      <c r="E2993" s="65">
        <v>25.09375</v>
      </c>
      <c r="F2993" s="197">
        <v>2007.5</v>
      </c>
      <c r="G2993" s="197">
        <v>0</v>
      </c>
      <c r="H2993" s="65">
        <v>52195</v>
      </c>
      <c r="I2993" s="65"/>
      <c r="J2993" s="66">
        <v>1200</v>
      </c>
      <c r="K2993" s="66">
        <v>1000</v>
      </c>
      <c r="L2993" s="197">
        <v>54395</v>
      </c>
    </row>
    <row r="2994" spans="1:12" ht="15" customHeight="1" x14ac:dyDescent="0.25">
      <c r="A2994" s="167">
        <v>560</v>
      </c>
      <c r="B2994" s="167" t="s">
        <v>3002</v>
      </c>
      <c r="C2994" s="181" t="s">
        <v>2760</v>
      </c>
      <c r="D2994" s="60">
        <v>52195</v>
      </c>
      <c r="E2994" s="65">
        <v>25.09375</v>
      </c>
      <c r="F2994" s="197">
        <v>2007.5</v>
      </c>
      <c r="G2994" s="197">
        <v>0</v>
      </c>
      <c r="H2994" s="65">
        <v>52195</v>
      </c>
      <c r="I2994" s="65"/>
      <c r="J2994" s="66">
        <v>1200</v>
      </c>
      <c r="K2994" s="66">
        <v>500</v>
      </c>
      <c r="L2994" s="197">
        <v>53895</v>
      </c>
    </row>
    <row r="2995" spans="1:12" ht="15" customHeight="1" x14ac:dyDescent="0.25">
      <c r="A2995" s="167">
        <v>560</v>
      </c>
      <c r="B2995" s="167" t="s">
        <v>3005</v>
      </c>
      <c r="C2995" s="181" t="s">
        <v>2760</v>
      </c>
      <c r="D2995" s="60">
        <v>52195</v>
      </c>
      <c r="E2995" s="65">
        <v>25.09375</v>
      </c>
      <c r="F2995" s="197">
        <v>2007.5</v>
      </c>
      <c r="G2995" s="197">
        <v>0</v>
      </c>
      <c r="H2995" s="65">
        <v>52195</v>
      </c>
      <c r="I2995" s="65"/>
      <c r="J2995" s="66">
        <v>1200</v>
      </c>
      <c r="K2995" s="66">
        <v>1000</v>
      </c>
      <c r="L2995" s="197">
        <v>54395</v>
      </c>
    </row>
    <row r="2996" spans="1:12" ht="15" customHeight="1" x14ac:dyDescent="0.25">
      <c r="A2996" s="167">
        <v>560</v>
      </c>
      <c r="B2996" s="167" t="s">
        <v>3008</v>
      </c>
      <c r="C2996" s="181" t="s">
        <v>2760</v>
      </c>
      <c r="D2996" s="60">
        <v>52195</v>
      </c>
      <c r="E2996" s="65">
        <v>25.09375</v>
      </c>
      <c r="F2996" s="197">
        <v>2007.5</v>
      </c>
      <c r="G2996" s="197">
        <v>0</v>
      </c>
      <c r="H2996" s="65">
        <v>52195</v>
      </c>
      <c r="I2996" s="65"/>
      <c r="J2996" s="66">
        <v>1200</v>
      </c>
      <c r="K2996" s="89"/>
      <c r="L2996" s="197">
        <v>53395</v>
      </c>
    </row>
    <row r="2997" spans="1:12" ht="15" customHeight="1" x14ac:dyDescent="0.25">
      <c r="A2997" s="167">
        <v>560</v>
      </c>
      <c r="B2997" s="167" t="s">
        <v>3010</v>
      </c>
      <c r="C2997" s="181" t="s">
        <v>2760</v>
      </c>
      <c r="D2997" s="60">
        <v>52195</v>
      </c>
      <c r="E2997" s="65">
        <v>25.09375</v>
      </c>
      <c r="F2997" s="197">
        <v>2007.5</v>
      </c>
      <c r="G2997" s="197">
        <v>0</v>
      </c>
      <c r="H2997" s="65">
        <v>52195</v>
      </c>
      <c r="I2997" s="65"/>
      <c r="J2997" s="66">
        <v>1200</v>
      </c>
      <c r="K2997" s="66">
        <v>500</v>
      </c>
      <c r="L2997" s="197">
        <v>53895</v>
      </c>
    </row>
    <row r="2998" spans="1:12" ht="15" customHeight="1" x14ac:dyDescent="0.25">
      <c r="A2998" s="167">
        <v>560</v>
      </c>
      <c r="B2998" s="167" t="s">
        <v>3013</v>
      </c>
      <c r="C2998" s="181" t="s">
        <v>2760</v>
      </c>
      <c r="D2998" s="60">
        <v>52195</v>
      </c>
      <c r="E2998" s="65">
        <v>25.09375</v>
      </c>
      <c r="F2998" s="197">
        <v>2007.5</v>
      </c>
      <c r="G2998" s="197">
        <v>0</v>
      </c>
      <c r="H2998" s="65">
        <v>52195</v>
      </c>
      <c r="I2998" s="65"/>
      <c r="J2998" s="96">
        <v>1200</v>
      </c>
      <c r="K2998" s="60">
        <v>500</v>
      </c>
      <c r="L2998" s="197">
        <v>53895</v>
      </c>
    </row>
    <row r="2999" spans="1:12" ht="15" customHeight="1" x14ac:dyDescent="0.25">
      <c r="A2999" s="167">
        <v>560</v>
      </c>
      <c r="B2999" s="167" t="s">
        <v>3016</v>
      </c>
      <c r="C2999" s="181" t="s">
        <v>2760</v>
      </c>
      <c r="D2999" s="60">
        <v>52195</v>
      </c>
      <c r="E2999" s="65">
        <v>25.09375</v>
      </c>
      <c r="F2999" s="197">
        <v>2007.5</v>
      </c>
      <c r="G2999" s="197">
        <v>0</v>
      </c>
      <c r="H2999" s="65">
        <v>52195</v>
      </c>
      <c r="I2999" s="65"/>
      <c r="J2999" s="96">
        <v>1200</v>
      </c>
      <c r="K2999" s="96">
        <v>1500</v>
      </c>
      <c r="L2999" s="197">
        <v>54895</v>
      </c>
    </row>
    <row r="3000" spans="1:12" ht="15" customHeight="1" x14ac:dyDescent="0.25">
      <c r="A3000" s="167">
        <v>560</v>
      </c>
      <c r="B3000" s="167" t="s">
        <v>3019</v>
      </c>
      <c r="C3000" s="181" t="s">
        <v>2760</v>
      </c>
      <c r="D3000" s="60">
        <v>53134</v>
      </c>
      <c r="E3000" s="65">
        <v>25.545192307692307</v>
      </c>
      <c r="F3000" s="197">
        <v>2043.6153846153845</v>
      </c>
      <c r="G3000" s="197">
        <v>0</v>
      </c>
      <c r="H3000" s="65">
        <v>53134</v>
      </c>
      <c r="I3000" s="65"/>
      <c r="J3000" s="96">
        <v>1200</v>
      </c>
      <c r="K3000" s="96">
        <v>500</v>
      </c>
      <c r="L3000" s="197">
        <v>54834</v>
      </c>
    </row>
    <row r="3001" spans="1:12" ht="15" customHeight="1" x14ac:dyDescent="0.25">
      <c r="A3001" s="167">
        <v>560</v>
      </c>
      <c r="B3001" s="167" t="s">
        <v>3021</v>
      </c>
      <c r="C3001" s="181" t="s">
        <v>2760</v>
      </c>
      <c r="D3001" s="60">
        <v>52195</v>
      </c>
      <c r="E3001" s="65">
        <v>25.09375</v>
      </c>
      <c r="F3001" s="197">
        <v>2007.5</v>
      </c>
      <c r="G3001" s="197">
        <v>0</v>
      </c>
      <c r="H3001" s="65">
        <v>52195</v>
      </c>
      <c r="I3001" s="65"/>
      <c r="J3001" s="96">
        <v>1200</v>
      </c>
      <c r="K3001" s="96">
        <v>1000</v>
      </c>
      <c r="L3001" s="197">
        <v>54395</v>
      </c>
    </row>
    <row r="3002" spans="1:12" ht="15" customHeight="1" x14ac:dyDescent="0.25">
      <c r="A3002" s="167">
        <v>560</v>
      </c>
      <c r="B3002" s="167" t="s">
        <v>3023</v>
      </c>
      <c r="C3002" s="98" t="s">
        <v>3024</v>
      </c>
      <c r="D3002" s="60">
        <v>52195</v>
      </c>
      <c r="E3002" s="65">
        <v>25.09375</v>
      </c>
      <c r="F3002" s="197">
        <v>2007.5</v>
      </c>
      <c r="G3002" s="197">
        <v>0</v>
      </c>
      <c r="H3002" s="65">
        <v>52195</v>
      </c>
      <c r="I3002" s="65"/>
      <c r="J3002" s="96">
        <v>1200</v>
      </c>
      <c r="K3002" s="96">
        <v>1500</v>
      </c>
      <c r="L3002" s="197">
        <v>54895</v>
      </c>
    </row>
    <row r="3003" spans="1:12" ht="15" customHeight="1" x14ac:dyDescent="0.25">
      <c r="A3003" s="167">
        <v>560</v>
      </c>
      <c r="B3003" s="167" t="s">
        <v>3026</v>
      </c>
      <c r="C3003" s="181" t="s">
        <v>2760</v>
      </c>
      <c r="D3003" s="60">
        <v>51274</v>
      </c>
      <c r="E3003" s="65">
        <v>24.650961538461537</v>
      </c>
      <c r="F3003" s="197">
        <v>1972.0769230769231</v>
      </c>
      <c r="G3003" s="197">
        <v>0</v>
      </c>
      <c r="H3003" s="65">
        <v>51274</v>
      </c>
      <c r="I3003" s="65"/>
      <c r="J3003" s="96">
        <v>1200</v>
      </c>
      <c r="K3003" s="96"/>
      <c r="L3003" s="197">
        <v>52474</v>
      </c>
    </row>
    <row r="3004" spans="1:12" ht="15" customHeight="1" x14ac:dyDescent="0.25">
      <c r="A3004" s="167">
        <v>560</v>
      </c>
      <c r="B3004" s="167" t="s">
        <v>3027</v>
      </c>
      <c r="C3004" s="181" t="s">
        <v>2760</v>
      </c>
      <c r="D3004" s="60">
        <v>51274</v>
      </c>
      <c r="E3004" s="65">
        <v>24.650961538461537</v>
      </c>
      <c r="F3004" s="197">
        <v>1972.0769230769231</v>
      </c>
      <c r="G3004" s="197">
        <v>0</v>
      </c>
      <c r="H3004" s="65">
        <v>51274</v>
      </c>
      <c r="I3004" s="65"/>
      <c r="J3004" s="96">
        <v>1200</v>
      </c>
      <c r="K3004" s="96"/>
      <c r="L3004" s="197">
        <v>52474</v>
      </c>
    </row>
    <row r="3005" spans="1:12" ht="15" customHeight="1" x14ac:dyDescent="0.25">
      <c r="A3005" s="167">
        <v>560</v>
      </c>
      <c r="B3005" s="167" t="s">
        <v>3028</v>
      </c>
      <c r="C3005" s="181" t="s">
        <v>3029</v>
      </c>
      <c r="D3005" s="60">
        <v>40949</v>
      </c>
      <c r="E3005" s="65">
        <v>19.687019230769231</v>
      </c>
      <c r="F3005" s="197">
        <v>1574.9615384615386</v>
      </c>
      <c r="G3005" s="197">
        <v>0</v>
      </c>
      <c r="H3005" s="65">
        <v>40949</v>
      </c>
      <c r="I3005" s="65"/>
      <c r="J3005" s="60"/>
      <c r="K3005" s="60"/>
      <c r="L3005" s="197">
        <v>40949</v>
      </c>
    </row>
    <row r="3006" spans="1:12" ht="15" customHeight="1" x14ac:dyDescent="0.25">
      <c r="A3006" s="167">
        <v>560</v>
      </c>
      <c r="B3006" s="167" t="s">
        <v>3032</v>
      </c>
      <c r="C3006" s="181" t="s">
        <v>3033</v>
      </c>
      <c r="D3006" s="60">
        <v>36616</v>
      </c>
      <c r="E3006" s="65">
        <v>17.603846153846153</v>
      </c>
      <c r="F3006" s="197">
        <v>1408.3076923076924</v>
      </c>
      <c r="G3006" s="197">
        <v>0</v>
      </c>
      <c r="H3006" s="65">
        <v>36616</v>
      </c>
      <c r="I3006" s="65"/>
      <c r="J3006" s="197"/>
      <c r="K3006" s="66"/>
      <c r="L3006" s="197">
        <v>36616</v>
      </c>
    </row>
    <row r="3007" spans="1:12" ht="15" customHeight="1" x14ac:dyDescent="0.25">
      <c r="A3007" s="167">
        <v>560</v>
      </c>
      <c r="B3007" s="167" t="s">
        <v>3034</v>
      </c>
      <c r="C3007" s="181" t="s">
        <v>3033</v>
      </c>
      <c r="D3007" s="60">
        <v>36616</v>
      </c>
      <c r="E3007" s="65">
        <v>17.603846153846153</v>
      </c>
      <c r="F3007" s="197">
        <v>1408.3076923076924</v>
      </c>
      <c r="G3007" s="197">
        <v>0</v>
      </c>
      <c r="H3007" s="65">
        <v>36616</v>
      </c>
      <c r="I3007" s="65"/>
      <c r="J3007" s="197"/>
      <c r="K3007" s="66"/>
      <c r="L3007" s="197">
        <v>36616</v>
      </c>
    </row>
    <row r="3008" spans="1:12" ht="15" customHeight="1" x14ac:dyDescent="0.25">
      <c r="A3008" s="167">
        <v>560</v>
      </c>
      <c r="B3008" s="167" t="s">
        <v>3037</v>
      </c>
      <c r="C3008" s="181" t="s">
        <v>3033</v>
      </c>
      <c r="D3008" s="60">
        <v>36616</v>
      </c>
      <c r="E3008" s="65">
        <v>17.603846153846153</v>
      </c>
      <c r="F3008" s="197">
        <v>1408.3076923076924</v>
      </c>
      <c r="G3008" s="197">
        <v>0</v>
      </c>
      <c r="H3008" s="65">
        <v>36616</v>
      </c>
      <c r="I3008" s="65"/>
      <c r="J3008" s="197"/>
      <c r="K3008" s="66"/>
      <c r="L3008" s="197">
        <v>36616</v>
      </c>
    </row>
    <row r="3009" spans="1:12" ht="15" customHeight="1" x14ac:dyDescent="0.25">
      <c r="A3009" s="167">
        <v>560</v>
      </c>
      <c r="B3009" s="167" t="s">
        <v>3039</v>
      </c>
      <c r="C3009" s="181" t="s">
        <v>3033</v>
      </c>
      <c r="D3009" s="60">
        <v>39300</v>
      </c>
      <c r="E3009" s="65">
        <v>18.89423076923077</v>
      </c>
      <c r="F3009" s="197">
        <v>1511.5384615384614</v>
      </c>
      <c r="G3009" s="197">
        <v>0</v>
      </c>
      <c r="H3009" s="65">
        <v>39300</v>
      </c>
      <c r="I3009" s="65"/>
      <c r="J3009" s="197"/>
      <c r="K3009" s="66"/>
      <c r="L3009" s="197">
        <v>39300</v>
      </c>
    </row>
    <row r="3010" spans="1:12" ht="15" customHeight="1" x14ac:dyDescent="0.25">
      <c r="A3010" s="167">
        <v>560</v>
      </c>
      <c r="B3010" s="167" t="s">
        <v>3041</v>
      </c>
      <c r="C3010" s="181" t="s">
        <v>3042</v>
      </c>
      <c r="D3010" s="60">
        <v>56054</v>
      </c>
      <c r="E3010" s="65">
        <v>26.949038461538461</v>
      </c>
      <c r="F3010" s="197">
        <v>2155.9230769230771</v>
      </c>
      <c r="G3010" s="197">
        <v>0</v>
      </c>
      <c r="H3010" s="65">
        <v>56054</v>
      </c>
      <c r="I3010" s="65"/>
      <c r="J3010" s="66">
        <v>1200</v>
      </c>
      <c r="K3010" s="66">
        <v>500</v>
      </c>
      <c r="L3010" s="197">
        <v>57754</v>
      </c>
    </row>
    <row r="3011" spans="1:12" ht="15" customHeight="1" x14ac:dyDescent="0.25">
      <c r="A3011" s="167">
        <v>560</v>
      </c>
      <c r="B3011" s="167" t="s">
        <v>3044</v>
      </c>
      <c r="C3011" s="181" t="s">
        <v>3045</v>
      </c>
      <c r="D3011" s="60">
        <v>49661</v>
      </c>
      <c r="E3011" s="65">
        <v>23.875480769230769</v>
      </c>
      <c r="F3011" s="197">
        <v>1910.0384615384614</v>
      </c>
      <c r="G3011" s="197">
        <v>0</v>
      </c>
      <c r="H3011" s="65">
        <v>49661</v>
      </c>
      <c r="I3011" s="65"/>
      <c r="J3011" s="66">
        <v>1200</v>
      </c>
      <c r="K3011" s="66">
        <v>1500</v>
      </c>
      <c r="L3011" s="197">
        <v>52361</v>
      </c>
    </row>
    <row r="3012" spans="1:12" ht="15" customHeight="1" x14ac:dyDescent="0.25">
      <c r="A3012" s="167">
        <v>560</v>
      </c>
      <c r="B3012" s="167" t="s">
        <v>3047</v>
      </c>
      <c r="C3012" s="181" t="s">
        <v>3045</v>
      </c>
      <c r="D3012" s="60">
        <v>52386</v>
      </c>
      <c r="E3012" s="65">
        <v>25.185576923076923</v>
      </c>
      <c r="F3012" s="197">
        <v>2014.8461538461538</v>
      </c>
      <c r="G3012" s="197">
        <v>0</v>
      </c>
      <c r="H3012" s="65">
        <v>52386</v>
      </c>
      <c r="I3012" s="65"/>
      <c r="J3012" s="66">
        <v>1200</v>
      </c>
      <c r="K3012" s="66">
        <v>1000</v>
      </c>
      <c r="L3012" s="197">
        <v>54586</v>
      </c>
    </row>
    <row r="3013" spans="1:12" ht="15" customHeight="1" x14ac:dyDescent="0.25">
      <c r="A3013" s="167">
        <v>560</v>
      </c>
      <c r="B3013" s="167" t="s">
        <v>3050</v>
      </c>
      <c r="C3013" s="181" t="s">
        <v>3045</v>
      </c>
      <c r="D3013" s="60">
        <v>54287</v>
      </c>
      <c r="E3013" s="65">
        <v>26.099519230769232</v>
      </c>
      <c r="F3013" s="197">
        <v>2087.9615384615386</v>
      </c>
      <c r="G3013" s="197">
        <v>0</v>
      </c>
      <c r="H3013" s="65">
        <v>54287</v>
      </c>
      <c r="I3013" s="65"/>
      <c r="J3013" s="66">
        <v>1200</v>
      </c>
      <c r="K3013" s="96">
        <v>1500</v>
      </c>
      <c r="L3013" s="197">
        <v>56987</v>
      </c>
    </row>
    <row r="3014" spans="1:12" ht="15" customHeight="1" x14ac:dyDescent="0.25">
      <c r="A3014" s="167">
        <v>560</v>
      </c>
      <c r="B3014" s="167" t="s">
        <v>3052</v>
      </c>
      <c r="C3014" s="181" t="s">
        <v>3045</v>
      </c>
      <c r="D3014" s="60">
        <v>54287</v>
      </c>
      <c r="E3014" s="65">
        <v>26.099519230769232</v>
      </c>
      <c r="F3014" s="197">
        <v>2087.9615384615386</v>
      </c>
      <c r="G3014" s="197">
        <v>0</v>
      </c>
      <c r="H3014" s="65">
        <v>54287</v>
      </c>
      <c r="I3014" s="65"/>
      <c r="J3014" s="66">
        <v>1200</v>
      </c>
      <c r="K3014" s="66">
        <v>1500</v>
      </c>
      <c r="L3014" s="197">
        <v>56987</v>
      </c>
    </row>
    <row r="3015" spans="1:12" ht="15" customHeight="1" x14ac:dyDescent="0.25">
      <c r="A3015" s="167">
        <v>560</v>
      </c>
      <c r="B3015" s="167" t="s">
        <v>3055</v>
      </c>
      <c r="C3015" s="181" t="s">
        <v>3056</v>
      </c>
      <c r="D3015" s="60">
        <v>49661</v>
      </c>
      <c r="E3015" s="65">
        <v>23.875480769230769</v>
      </c>
      <c r="F3015" s="197">
        <v>1910.0384615384614</v>
      </c>
      <c r="G3015" s="197">
        <v>0</v>
      </c>
      <c r="H3015" s="65">
        <v>49661</v>
      </c>
      <c r="I3015" s="65"/>
      <c r="J3015" s="66">
        <v>1200</v>
      </c>
      <c r="K3015" s="66"/>
      <c r="L3015" s="197">
        <v>50861</v>
      </c>
    </row>
    <row r="3016" spans="1:12" ht="15" customHeight="1" x14ac:dyDescent="0.25">
      <c r="A3016" s="167">
        <v>560</v>
      </c>
      <c r="B3016" s="167" t="s">
        <v>3059</v>
      </c>
      <c r="C3016" s="181" t="s">
        <v>3056</v>
      </c>
      <c r="D3016" s="60">
        <v>49661</v>
      </c>
      <c r="E3016" s="65">
        <v>23.875480769230769</v>
      </c>
      <c r="F3016" s="197">
        <v>1910.0384615384614</v>
      </c>
      <c r="G3016" s="197">
        <v>0</v>
      </c>
      <c r="H3016" s="65">
        <v>49661</v>
      </c>
      <c r="I3016" s="65"/>
      <c r="J3016" s="66">
        <v>1200</v>
      </c>
      <c r="K3016" s="66">
        <v>1500</v>
      </c>
      <c r="L3016" s="197">
        <v>52361</v>
      </c>
    </row>
    <row r="3017" spans="1:12" ht="15" customHeight="1" x14ac:dyDescent="0.25">
      <c r="A3017" s="167">
        <v>560</v>
      </c>
      <c r="B3017" s="167" t="s">
        <v>3060</v>
      </c>
      <c r="C3017" s="181" t="s">
        <v>3056</v>
      </c>
      <c r="D3017" s="60">
        <v>48786</v>
      </c>
      <c r="E3017" s="65">
        <v>23.454807692307693</v>
      </c>
      <c r="F3017" s="197">
        <v>1876.3846153846155</v>
      </c>
      <c r="G3017" s="197">
        <v>0</v>
      </c>
      <c r="H3017" s="65">
        <v>48786</v>
      </c>
      <c r="I3017" s="65"/>
      <c r="J3017" s="66">
        <v>1200</v>
      </c>
      <c r="K3017" s="60"/>
      <c r="L3017" s="197">
        <v>49986</v>
      </c>
    </row>
    <row r="3018" spans="1:12" ht="15" customHeight="1" x14ac:dyDescent="0.25">
      <c r="A3018" s="167">
        <v>560</v>
      </c>
      <c r="B3018" s="167" t="s">
        <v>3062</v>
      </c>
      <c r="C3018" s="181" t="s">
        <v>3063</v>
      </c>
      <c r="D3018" s="60">
        <v>50553</v>
      </c>
      <c r="E3018" s="65">
        <v>24.304326923076925</v>
      </c>
      <c r="F3018" s="197">
        <v>1944.3461538461538</v>
      </c>
      <c r="G3018" s="197">
        <v>0</v>
      </c>
      <c r="H3018" s="65">
        <v>50553</v>
      </c>
      <c r="I3018" s="65"/>
      <c r="J3018" s="66">
        <v>1200</v>
      </c>
      <c r="K3018" s="66"/>
      <c r="L3018" s="197">
        <v>51753</v>
      </c>
    </row>
    <row r="3019" spans="1:12" ht="15" customHeight="1" x14ac:dyDescent="0.25">
      <c r="A3019" s="167">
        <v>560</v>
      </c>
      <c r="B3019" s="167" t="s">
        <v>3065</v>
      </c>
      <c r="C3019" s="181" t="s">
        <v>3066</v>
      </c>
      <c r="D3019" s="60">
        <v>53328</v>
      </c>
      <c r="E3019" s="65">
        <v>25.638461538461538</v>
      </c>
      <c r="F3019" s="197">
        <v>2051.0769230769229</v>
      </c>
      <c r="G3019" s="197">
        <v>0</v>
      </c>
      <c r="H3019" s="65">
        <v>53328</v>
      </c>
      <c r="I3019" s="65"/>
      <c r="J3019" s="60"/>
      <c r="K3019" s="66"/>
      <c r="L3019" s="197">
        <v>53328</v>
      </c>
    </row>
    <row r="3020" spans="1:12" ht="15" customHeight="1" x14ac:dyDescent="0.25">
      <c r="A3020" s="167">
        <v>560</v>
      </c>
      <c r="B3020" s="167" t="s">
        <v>3069</v>
      </c>
      <c r="C3020" s="181" t="s">
        <v>3070</v>
      </c>
      <c r="D3020" s="60">
        <v>45606</v>
      </c>
      <c r="E3020" s="65">
        <v>21.925961538461539</v>
      </c>
      <c r="F3020" s="197">
        <v>1754.0769230769231</v>
      </c>
      <c r="G3020" s="197">
        <v>0</v>
      </c>
      <c r="H3020" s="65">
        <v>45606</v>
      </c>
      <c r="I3020" s="65"/>
      <c r="J3020" s="60"/>
      <c r="K3020" s="66"/>
      <c r="L3020" s="197">
        <v>45606</v>
      </c>
    </row>
    <row r="3021" spans="1:12" ht="15" customHeight="1" x14ac:dyDescent="0.25">
      <c r="A3021" s="167">
        <v>560</v>
      </c>
      <c r="B3021" s="167" t="s">
        <v>3072</v>
      </c>
      <c r="C3021" s="181" t="s">
        <v>3073</v>
      </c>
      <c r="D3021" s="60">
        <v>39270</v>
      </c>
      <c r="E3021" s="65">
        <v>18.879807692307693</v>
      </c>
      <c r="F3021" s="197">
        <v>1510.3846153846155</v>
      </c>
      <c r="G3021" s="197">
        <v>0</v>
      </c>
      <c r="H3021" s="65">
        <v>39270</v>
      </c>
      <c r="I3021" s="65"/>
      <c r="J3021" s="65"/>
      <c r="K3021" s="60"/>
      <c r="L3021" s="197">
        <v>39270</v>
      </c>
    </row>
    <row r="3022" spans="1:12" ht="15" customHeight="1" x14ac:dyDescent="0.25">
      <c r="A3022" s="167">
        <v>560</v>
      </c>
      <c r="B3022" s="167" t="s">
        <v>3076</v>
      </c>
      <c r="C3022" s="181" t="s">
        <v>3073</v>
      </c>
      <c r="D3022" s="60">
        <v>39971</v>
      </c>
      <c r="E3022" s="65">
        <v>19.216826923076923</v>
      </c>
      <c r="F3022" s="197">
        <v>1537.3461538461538</v>
      </c>
      <c r="G3022" s="197">
        <v>0</v>
      </c>
      <c r="H3022" s="65">
        <v>39971</v>
      </c>
      <c r="I3022" s="65"/>
      <c r="J3022" s="65"/>
      <c r="K3022" s="60"/>
      <c r="L3022" s="197">
        <v>39971</v>
      </c>
    </row>
    <row r="3023" spans="1:12" ht="15" customHeight="1" x14ac:dyDescent="0.25">
      <c r="A3023" s="167">
        <v>560</v>
      </c>
      <c r="B3023" s="167" t="s">
        <v>3079</v>
      </c>
      <c r="C3023" s="181" t="s">
        <v>3073</v>
      </c>
      <c r="D3023" s="60">
        <v>39270</v>
      </c>
      <c r="E3023" s="65">
        <v>18.879807692307693</v>
      </c>
      <c r="F3023" s="197">
        <v>1510.3846153846155</v>
      </c>
      <c r="G3023" s="197">
        <v>0</v>
      </c>
      <c r="H3023" s="65">
        <v>39270</v>
      </c>
      <c r="I3023" s="65"/>
      <c r="J3023" s="65"/>
      <c r="K3023" s="60"/>
      <c r="L3023" s="197">
        <v>39270</v>
      </c>
    </row>
    <row r="3024" spans="1:12" ht="15" customHeight="1" x14ac:dyDescent="0.25">
      <c r="A3024" s="167">
        <v>560</v>
      </c>
      <c r="B3024" s="167" t="s">
        <v>3081</v>
      </c>
      <c r="C3024" s="181" t="s">
        <v>3073</v>
      </c>
      <c r="D3024" s="60">
        <v>39270</v>
      </c>
      <c r="E3024" s="65">
        <v>18.879807692307693</v>
      </c>
      <c r="F3024" s="197">
        <v>1510.3846153846155</v>
      </c>
      <c r="G3024" s="197">
        <v>0</v>
      </c>
      <c r="H3024" s="65">
        <v>39270</v>
      </c>
      <c r="I3024" s="65"/>
      <c r="J3024" s="65"/>
      <c r="K3024" s="60"/>
      <c r="L3024" s="197">
        <v>39270</v>
      </c>
    </row>
    <row r="3025" spans="1:12" ht="15" customHeight="1" x14ac:dyDescent="0.25">
      <c r="A3025" s="167">
        <v>560</v>
      </c>
      <c r="B3025" s="167" t="s">
        <v>3084</v>
      </c>
      <c r="C3025" s="181" t="s">
        <v>3073</v>
      </c>
      <c r="D3025" s="60">
        <v>40686</v>
      </c>
      <c r="E3025" s="65">
        <v>19.560576923076923</v>
      </c>
      <c r="F3025" s="197">
        <v>1564.8461538461538</v>
      </c>
      <c r="G3025" s="197">
        <v>0</v>
      </c>
      <c r="H3025" s="65">
        <v>40686</v>
      </c>
      <c r="I3025" s="65"/>
      <c r="J3025" s="65"/>
      <c r="K3025" s="60"/>
      <c r="L3025" s="197">
        <v>40686</v>
      </c>
    </row>
    <row r="3026" spans="1:12" ht="15" customHeight="1" x14ac:dyDescent="0.25">
      <c r="A3026" s="167">
        <v>560</v>
      </c>
      <c r="B3026" s="167" t="s">
        <v>3087</v>
      </c>
      <c r="C3026" s="181" t="s">
        <v>3073</v>
      </c>
      <c r="D3026" s="60">
        <v>39270</v>
      </c>
      <c r="E3026" s="65">
        <v>18.879807692307693</v>
      </c>
      <c r="F3026" s="197">
        <v>1510.3846153846155</v>
      </c>
      <c r="G3026" s="197">
        <v>0</v>
      </c>
      <c r="H3026" s="65">
        <v>39270</v>
      </c>
      <c r="I3026" s="65"/>
      <c r="J3026" s="65"/>
      <c r="K3026" s="60"/>
      <c r="L3026" s="197">
        <v>39270</v>
      </c>
    </row>
    <row r="3027" spans="1:12" ht="15" customHeight="1" x14ac:dyDescent="0.25">
      <c r="A3027" s="167">
        <v>560</v>
      </c>
      <c r="B3027" s="167" t="s">
        <v>3088</v>
      </c>
      <c r="C3027" s="181" t="s">
        <v>3073</v>
      </c>
      <c r="D3027" s="60">
        <v>40686</v>
      </c>
      <c r="E3027" s="65">
        <v>19.560576923076923</v>
      </c>
      <c r="F3027" s="197">
        <v>1564.8461538461538</v>
      </c>
      <c r="G3027" s="197">
        <v>0</v>
      </c>
      <c r="H3027" s="65">
        <v>40686</v>
      </c>
      <c r="I3027" s="65"/>
      <c r="J3027" s="65"/>
      <c r="K3027" s="60"/>
      <c r="L3027" s="197">
        <v>40686</v>
      </c>
    </row>
    <row r="3028" spans="1:12" ht="15" customHeight="1" x14ac:dyDescent="0.25">
      <c r="A3028" s="167">
        <v>560</v>
      </c>
      <c r="B3028" s="167" t="s">
        <v>3090</v>
      </c>
      <c r="C3028" s="181" t="s">
        <v>3073</v>
      </c>
      <c r="D3028" s="60">
        <v>39270</v>
      </c>
      <c r="E3028" s="65">
        <v>18.879807692307693</v>
      </c>
      <c r="F3028" s="197">
        <v>1510.3846153846155</v>
      </c>
      <c r="G3028" s="197">
        <v>0</v>
      </c>
      <c r="H3028" s="65">
        <v>39270</v>
      </c>
      <c r="I3028" s="65"/>
      <c r="J3028" s="65"/>
      <c r="K3028" s="60"/>
      <c r="L3028" s="197">
        <v>39270</v>
      </c>
    </row>
    <row r="3029" spans="1:12" ht="15" customHeight="1" x14ac:dyDescent="0.25">
      <c r="A3029" s="167">
        <v>560</v>
      </c>
      <c r="B3029" s="167" t="s">
        <v>3092</v>
      </c>
      <c r="C3029" s="181" t="s">
        <v>3073</v>
      </c>
      <c r="D3029" s="60">
        <v>38581</v>
      </c>
      <c r="E3029" s="65">
        <v>18.548557692307693</v>
      </c>
      <c r="F3029" s="197">
        <v>1483.8846153846155</v>
      </c>
      <c r="G3029" s="197">
        <v>0</v>
      </c>
      <c r="H3029" s="65">
        <v>38581</v>
      </c>
      <c r="I3029" s="65"/>
      <c r="J3029" s="65"/>
      <c r="K3029" s="60"/>
      <c r="L3029" s="197">
        <v>38581</v>
      </c>
    </row>
    <row r="3030" spans="1:12" ht="15" customHeight="1" x14ac:dyDescent="0.25">
      <c r="A3030" s="167">
        <v>560</v>
      </c>
      <c r="B3030" s="167" t="s">
        <v>3094</v>
      </c>
      <c r="C3030" s="181" t="s">
        <v>3073</v>
      </c>
      <c r="D3030" s="60">
        <v>41413</v>
      </c>
      <c r="E3030" s="65">
        <v>19.910096153846155</v>
      </c>
      <c r="F3030" s="197">
        <v>1592.8076923076924</v>
      </c>
      <c r="G3030" s="197">
        <v>0</v>
      </c>
      <c r="H3030" s="65">
        <v>41413</v>
      </c>
      <c r="I3030" s="65"/>
      <c r="J3030" s="65"/>
      <c r="K3030" s="60"/>
      <c r="L3030" s="197">
        <v>41413</v>
      </c>
    </row>
    <row r="3031" spans="1:12" ht="15" customHeight="1" x14ac:dyDescent="0.25">
      <c r="A3031" s="167">
        <v>560</v>
      </c>
      <c r="B3031" s="167" t="s">
        <v>3096</v>
      </c>
      <c r="C3031" s="181" t="s">
        <v>3097</v>
      </c>
      <c r="D3031" s="60">
        <v>42294</v>
      </c>
      <c r="E3031" s="65">
        <v>20.333653846153847</v>
      </c>
      <c r="F3031" s="197">
        <v>1626.6923076923076</v>
      </c>
      <c r="G3031" s="197">
        <v>0</v>
      </c>
      <c r="H3031" s="65">
        <v>42294</v>
      </c>
      <c r="I3031" s="65"/>
      <c r="J3031" s="65"/>
      <c r="K3031" s="60"/>
      <c r="L3031" s="197">
        <v>42294</v>
      </c>
    </row>
    <row r="3032" spans="1:12" ht="15" customHeight="1" x14ac:dyDescent="0.25">
      <c r="A3032" s="167">
        <v>560</v>
      </c>
      <c r="B3032" s="167" t="s">
        <v>3098</v>
      </c>
      <c r="C3032" s="181" t="s">
        <v>3097</v>
      </c>
      <c r="D3032" s="60">
        <v>46220</v>
      </c>
      <c r="E3032" s="65">
        <v>22.221153846153847</v>
      </c>
      <c r="F3032" s="197">
        <v>1777.6923076923076</v>
      </c>
      <c r="G3032" s="197">
        <v>0</v>
      </c>
      <c r="H3032" s="65">
        <v>46220</v>
      </c>
      <c r="I3032" s="65"/>
      <c r="J3032" s="197"/>
      <c r="K3032" s="66">
        <v>1000</v>
      </c>
      <c r="L3032" s="197">
        <v>47220</v>
      </c>
    </row>
    <row r="3033" spans="1:12" ht="15" customHeight="1" x14ac:dyDescent="0.25">
      <c r="A3033" s="167">
        <v>560</v>
      </c>
      <c r="B3033" s="247"/>
      <c r="C3033" s="181" t="s">
        <v>3100</v>
      </c>
      <c r="D3033" s="60">
        <v>40000</v>
      </c>
      <c r="E3033" s="247"/>
      <c r="F3033" s="247"/>
      <c r="G3033" s="247">
        <v>0</v>
      </c>
      <c r="H3033" s="167">
        <v>40000</v>
      </c>
      <c r="I3033" s="65"/>
      <c r="J3033" s="65"/>
      <c r="K3033" s="60"/>
      <c r="L3033" s="197">
        <v>40000</v>
      </c>
    </row>
    <row r="3034" spans="1:12" ht="15" customHeight="1" x14ac:dyDescent="0.25">
      <c r="A3034" s="167">
        <v>560</v>
      </c>
      <c r="B3034" s="247"/>
      <c r="C3034" s="181" t="s">
        <v>2495</v>
      </c>
      <c r="D3034" s="60">
        <v>50000</v>
      </c>
      <c r="E3034" s="247"/>
      <c r="F3034" s="247"/>
      <c r="G3034" s="247">
        <v>0</v>
      </c>
      <c r="H3034" s="167">
        <v>50000</v>
      </c>
      <c r="I3034" s="65"/>
      <c r="J3034" s="65"/>
      <c r="K3034" s="65"/>
      <c r="L3034" s="197">
        <v>50000</v>
      </c>
    </row>
    <row r="3035" spans="1:12" ht="15" customHeight="1" x14ac:dyDescent="0.25">
      <c r="A3035" s="167">
        <v>560</v>
      </c>
      <c r="B3035" s="247"/>
      <c r="C3035" s="247"/>
      <c r="D3035" s="95">
        <v>3693658</v>
      </c>
      <c r="E3035" s="107"/>
      <c r="F3035" s="95">
        <v>138602.23076923078</v>
      </c>
      <c r="G3035" s="95">
        <v>0</v>
      </c>
      <c r="H3035" s="107">
        <v>3693658</v>
      </c>
      <c r="I3035" s="95">
        <f t="shared" ref="I3035:K3035" si="1003">SUM(I2960:I3034)</f>
        <v>4200</v>
      </c>
      <c r="J3035" s="95">
        <f t="shared" si="1003"/>
        <v>63600</v>
      </c>
      <c r="K3035" s="95">
        <f t="shared" si="1003"/>
        <v>32500</v>
      </c>
      <c r="L3035" s="95">
        <v>3793958</v>
      </c>
    </row>
    <row r="3036" spans="1:12" ht="15" customHeight="1" x14ac:dyDescent="0.25">
      <c r="A3036" s="247"/>
      <c r="B3036" s="247"/>
      <c r="C3036" s="247"/>
      <c r="D3036" s="60">
        <v>3555118</v>
      </c>
      <c r="E3036" s="125">
        <v>3075827</v>
      </c>
      <c r="F3036" s="225"/>
      <c r="G3036" s="247"/>
      <c r="H3036" s="247"/>
      <c r="I3036" s="65"/>
      <c r="J3036" s="65"/>
      <c r="K3036" s="65"/>
      <c r="L3036" s="65"/>
    </row>
    <row r="3037" spans="1:12" ht="15" customHeight="1" x14ac:dyDescent="0.25">
      <c r="A3037" s="247"/>
      <c r="B3037" s="247"/>
      <c r="C3037" s="247"/>
      <c r="D3037" s="60">
        <v>184682.90000000002</v>
      </c>
      <c r="E3037" s="247"/>
      <c r="F3037" s="247"/>
      <c r="G3037" s="247"/>
      <c r="H3037" s="247">
        <v>184682.90000000002</v>
      </c>
      <c r="I3037" s="65"/>
      <c r="J3037" s="65"/>
      <c r="K3037" s="65"/>
      <c r="L3037" s="197">
        <v>184682.90000000002</v>
      </c>
    </row>
    <row r="3038" spans="1:12" ht="15" customHeight="1" x14ac:dyDescent="0.25">
      <c r="A3038" s="265"/>
      <c r="B3038" s="265"/>
      <c r="C3038" s="265"/>
      <c r="D3038" s="60"/>
      <c r="E3038" s="65"/>
      <c r="F3038" s="197"/>
      <c r="G3038" s="197"/>
      <c r="H3038" s="65"/>
      <c r="I3038" s="65"/>
      <c r="J3038" s="197"/>
      <c r="K3038" s="66"/>
      <c r="L3038" s="69"/>
    </row>
    <row r="3039" spans="1:12" ht="15" customHeight="1" x14ac:dyDescent="0.25">
      <c r="A3039" s="167">
        <v>568</v>
      </c>
      <c r="B3039" s="167" t="s">
        <v>3101</v>
      </c>
      <c r="C3039" s="265" t="s">
        <v>3102</v>
      </c>
      <c r="D3039" s="60">
        <v>62840</v>
      </c>
      <c r="E3039" s="65">
        <v>30.21153846153846</v>
      </c>
      <c r="F3039" s="197">
        <v>2416.9230769230771</v>
      </c>
      <c r="G3039" s="197">
        <v>0</v>
      </c>
      <c r="H3039" s="65">
        <v>62840</v>
      </c>
      <c r="I3039" s="65"/>
      <c r="J3039" s="197">
        <v>1200</v>
      </c>
      <c r="K3039" s="66">
        <v>1500</v>
      </c>
      <c r="L3039" s="197">
        <v>65540</v>
      </c>
    </row>
    <row r="3040" spans="1:12" ht="15" customHeight="1" x14ac:dyDescent="0.25">
      <c r="A3040" s="167">
        <v>568</v>
      </c>
      <c r="B3040" s="167" t="s">
        <v>3103</v>
      </c>
      <c r="C3040" s="265" t="s">
        <v>3104</v>
      </c>
      <c r="D3040" s="60">
        <v>58296</v>
      </c>
      <c r="E3040" s="65">
        <v>28.026923076923076</v>
      </c>
      <c r="F3040" s="197">
        <v>2242.1538461538462</v>
      </c>
      <c r="G3040" s="197">
        <v>0</v>
      </c>
      <c r="H3040" s="65">
        <v>58296</v>
      </c>
      <c r="I3040" s="65"/>
      <c r="J3040" s="197">
        <v>1200</v>
      </c>
      <c r="K3040" s="66"/>
      <c r="L3040" s="197">
        <v>59496</v>
      </c>
    </row>
    <row r="3041" spans="1:12" ht="15" customHeight="1" x14ac:dyDescent="0.25">
      <c r="A3041" s="167">
        <v>568</v>
      </c>
      <c r="B3041" s="167" t="s">
        <v>3106</v>
      </c>
      <c r="C3041" s="265" t="s">
        <v>3107</v>
      </c>
      <c r="D3041" s="60">
        <v>57263</v>
      </c>
      <c r="E3041" s="65">
        <v>27.530288461538461</v>
      </c>
      <c r="F3041" s="197">
        <v>2202.4230769230771</v>
      </c>
      <c r="G3041" s="197">
        <v>0</v>
      </c>
      <c r="H3041" s="65">
        <v>57263</v>
      </c>
      <c r="I3041" s="65"/>
      <c r="J3041" s="197">
        <v>1200</v>
      </c>
      <c r="K3041" s="66">
        <v>1500</v>
      </c>
      <c r="L3041" s="197">
        <v>59963</v>
      </c>
    </row>
    <row r="3042" spans="1:12" ht="15" customHeight="1" x14ac:dyDescent="0.25">
      <c r="A3042" s="167">
        <v>568</v>
      </c>
      <c r="B3042" s="167" t="s">
        <v>3108</v>
      </c>
      <c r="C3042" s="265" t="s">
        <v>3107</v>
      </c>
      <c r="D3042" s="60">
        <v>57263</v>
      </c>
      <c r="E3042" s="65">
        <v>27.530288461538461</v>
      </c>
      <c r="F3042" s="197">
        <v>2202.4230769230771</v>
      </c>
      <c r="G3042" s="197">
        <v>0</v>
      </c>
      <c r="H3042" s="65">
        <v>57263</v>
      </c>
      <c r="I3042" s="65"/>
      <c r="J3042" s="197">
        <v>1200</v>
      </c>
      <c r="K3042" s="66">
        <v>1500</v>
      </c>
      <c r="L3042" s="197">
        <v>59963</v>
      </c>
    </row>
    <row r="3043" spans="1:12" ht="15" customHeight="1" x14ac:dyDescent="0.25">
      <c r="A3043" s="167">
        <v>568</v>
      </c>
      <c r="B3043" s="167" t="s">
        <v>3111</v>
      </c>
      <c r="C3043" s="265" t="s">
        <v>3112</v>
      </c>
      <c r="D3043" s="60">
        <v>45907</v>
      </c>
      <c r="E3043" s="65">
        <v>22.070673076923075</v>
      </c>
      <c r="F3043" s="197">
        <v>1765.6538461538462</v>
      </c>
      <c r="G3043" s="197">
        <v>0</v>
      </c>
      <c r="H3043" s="65">
        <v>45907</v>
      </c>
      <c r="I3043" s="65"/>
      <c r="J3043" s="65"/>
      <c r="K3043" s="60"/>
      <c r="L3043" s="197">
        <v>45907</v>
      </c>
    </row>
    <row r="3044" spans="1:12" ht="15" customHeight="1" x14ac:dyDescent="0.25">
      <c r="A3044" s="167">
        <v>568</v>
      </c>
      <c r="B3044" s="167" t="s">
        <v>3114</v>
      </c>
      <c r="C3044" s="265" t="s">
        <v>3112</v>
      </c>
      <c r="D3044" s="60">
        <v>45099</v>
      </c>
      <c r="E3044" s="65">
        <v>21.682211538461537</v>
      </c>
      <c r="F3044" s="197">
        <v>1734.5769230769231</v>
      </c>
      <c r="G3044" s="197">
        <v>0</v>
      </c>
      <c r="H3044" s="65">
        <v>45099</v>
      </c>
      <c r="I3044" s="65"/>
      <c r="J3044" s="65"/>
      <c r="K3044" s="60"/>
      <c r="L3044" s="197">
        <v>45099</v>
      </c>
    </row>
    <row r="3045" spans="1:12" ht="15" customHeight="1" x14ac:dyDescent="0.25">
      <c r="A3045" s="167">
        <v>568</v>
      </c>
      <c r="B3045" s="167" t="s">
        <v>3116</v>
      </c>
      <c r="C3045" s="265" t="s">
        <v>3112</v>
      </c>
      <c r="D3045" s="60">
        <v>45099</v>
      </c>
      <c r="E3045" s="65">
        <v>21.682211538461537</v>
      </c>
      <c r="F3045" s="197">
        <v>1734.5769230769231</v>
      </c>
      <c r="G3045" s="197">
        <v>0</v>
      </c>
      <c r="H3045" s="65">
        <v>45099</v>
      </c>
      <c r="I3045" s="65"/>
      <c r="J3045" s="65"/>
      <c r="K3045" s="60"/>
      <c r="L3045" s="197">
        <v>45099</v>
      </c>
    </row>
    <row r="3046" spans="1:12" ht="15" customHeight="1" x14ac:dyDescent="0.25">
      <c r="A3046" s="167">
        <v>568</v>
      </c>
      <c r="B3046" s="167" t="s">
        <v>3119</v>
      </c>
      <c r="C3046" s="265" t="s">
        <v>3112</v>
      </c>
      <c r="D3046" s="60">
        <v>45099</v>
      </c>
      <c r="E3046" s="65">
        <v>21.682211538461537</v>
      </c>
      <c r="F3046" s="197">
        <v>1734.5769230769231</v>
      </c>
      <c r="G3046" s="197">
        <v>0</v>
      </c>
      <c r="H3046" s="65">
        <v>45099</v>
      </c>
      <c r="I3046" s="65"/>
      <c r="J3046" s="65"/>
      <c r="K3046" s="60"/>
      <c r="L3046" s="197">
        <v>45099</v>
      </c>
    </row>
    <row r="3047" spans="1:12" ht="15" customHeight="1" x14ac:dyDescent="0.25">
      <c r="A3047" s="167">
        <v>568</v>
      </c>
      <c r="B3047" s="167" t="s">
        <v>3121</v>
      </c>
      <c r="C3047" s="265" t="s">
        <v>3122</v>
      </c>
      <c r="D3047" s="60">
        <v>41044</v>
      </c>
      <c r="E3047" s="65">
        <v>19.732692307692307</v>
      </c>
      <c r="F3047" s="197">
        <v>1578.6153846153845</v>
      </c>
      <c r="G3047" s="197">
        <v>0</v>
      </c>
      <c r="H3047" s="65">
        <v>41044</v>
      </c>
      <c r="I3047" s="65"/>
      <c r="J3047" s="65"/>
      <c r="K3047" s="65"/>
      <c r="L3047" s="197">
        <v>41044</v>
      </c>
    </row>
    <row r="3048" spans="1:12" ht="15" customHeight="1" x14ac:dyDescent="0.25">
      <c r="A3048" s="167">
        <v>568</v>
      </c>
      <c r="B3048" s="167" t="s">
        <v>3125</v>
      </c>
      <c r="C3048" s="265" t="s">
        <v>3122</v>
      </c>
      <c r="D3048" s="60">
        <v>40323</v>
      </c>
      <c r="E3048" s="65">
        <v>19.386057692307691</v>
      </c>
      <c r="F3048" s="197">
        <v>1550.8846153846155</v>
      </c>
      <c r="G3048" s="197">
        <v>0</v>
      </c>
      <c r="H3048" s="65">
        <v>40323</v>
      </c>
      <c r="I3048" s="65"/>
      <c r="J3048" s="65"/>
      <c r="K3048" s="65"/>
      <c r="L3048" s="197">
        <v>40323</v>
      </c>
    </row>
    <row r="3049" spans="1:12" ht="15" customHeight="1" x14ac:dyDescent="0.25">
      <c r="A3049" s="167">
        <v>568</v>
      </c>
      <c r="B3049" s="167" t="s">
        <v>3128</v>
      </c>
      <c r="C3049" s="265" t="s">
        <v>3122</v>
      </c>
      <c r="D3049" s="60">
        <v>43287</v>
      </c>
      <c r="E3049" s="65">
        <v>20.811057692307692</v>
      </c>
      <c r="F3049" s="197">
        <v>1664.8846153846155</v>
      </c>
      <c r="G3049" s="197">
        <v>0</v>
      </c>
      <c r="H3049" s="65">
        <v>43287</v>
      </c>
      <c r="I3049" s="65"/>
      <c r="J3049" s="65"/>
      <c r="K3049" s="65"/>
      <c r="L3049" s="197">
        <v>43287</v>
      </c>
    </row>
    <row r="3050" spans="1:12" ht="15" customHeight="1" x14ac:dyDescent="0.25">
      <c r="A3050" s="167">
        <v>568</v>
      </c>
      <c r="B3050" s="167" t="s">
        <v>3131</v>
      </c>
      <c r="C3050" s="265" t="s">
        <v>3122</v>
      </c>
      <c r="D3050" s="60">
        <v>41044</v>
      </c>
      <c r="E3050" s="65">
        <v>19.732692307692307</v>
      </c>
      <c r="F3050" s="197">
        <v>1578.6153846153845</v>
      </c>
      <c r="G3050" s="197">
        <v>0</v>
      </c>
      <c r="H3050" s="65">
        <v>41044</v>
      </c>
      <c r="I3050" s="65"/>
      <c r="J3050" s="65"/>
      <c r="K3050" s="65"/>
      <c r="L3050" s="197">
        <v>41044</v>
      </c>
    </row>
    <row r="3051" spans="1:12" ht="15" customHeight="1" x14ac:dyDescent="0.25">
      <c r="A3051" s="167">
        <v>568</v>
      </c>
      <c r="B3051" s="167" t="s">
        <v>3134</v>
      </c>
      <c r="C3051" s="265" t="s">
        <v>3122</v>
      </c>
      <c r="D3051" s="60">
        <v>41044</v>
      </c>
      <c r="E3051" s="65">
        <v>19.732692307692307</v>
      </c>
      <c r="F3051" s="197">
        <v>1578.6153846153845</v>
      </c>
      <c r="G3051" s="197">
        <v>0</v>
      </c>
      <c r="H3051" s="65">
        <v>41044</v>
      </c>
      <c r="I3051" s="65"/>
      <c r="J3051" s="65"/>
      <c r="K3051" s="65"/>
      <c r="L3051" s="197">
        <v>41044</v>
      </c>
    </row>
    <row r="3052" spans="1:12" ht="15" customHeight="1" x14ac:dyDescent="0.25">
      <c r="A3052" s="167">
        <v>568</v>
      </c>
      <c r="B3052" s="167" t="s">
        <v>3136</v>
      </c>
      <c r="C3052" s="265" t="s">
        <v>3122</v>
      </c>
      <c r="D3052" s="60">
        <v>41044</v>
      </c>
      <c r="E3052" s="65">
        <v>19.732692307692307</v>
      </c>
      <c r="F3052" s="197">
        <v>1578.6153846153845</v>
      </c>
      <c r="G3052" s="197">
        <v>0</v>
      </c>
      <c r="H3052" s="65">
        <v>41044</v>
      </c>
      <c r="I3052" s="65"/>
      <c r="J3052" s="65"/>
      <c r="K3052" s="65"/>
      <c r="L3052" s="197">
        <v>41044</v>
      </c>
    </row>
    <row r="3053" spans="1:12" ht="15" customHeight="1" x14ac:dyDescent="0.25">
      <c r="A3053" s="167">
        <v>568</v>
      </c>
      <c r="B3053" s="167" t="s">
        <v>3139</v>
      </c>
      <c r="C3053" s="265" t="s">
        <v>3122</v>
      </c>
      <c r="D3053" s="60">
        <v>43287</v>
      </c>
      <c r="E3053" s="65">
        <v>20.811057692307692</v>
      </c>
      <c r="F3053" s="197">
        <v>1664.8846153846155</v>
      </c>
      <c r="G3053" s="197">
        <v>0</v>
      </c>
      <c r="H3053" s="65">
        <v>43287</v>
      </c>
      <c r="I3053" s="65"/>
      <c r="J3053" s="65"/>
      <c r="K3053" s="65"/>
      <c r="L3053" s="197">
        <v>43287</v>
      </c>
    </row>
    <row r="3054" spans="1:12" ht="15" customHeight="1" x14ac:dyDescent="0.25">
      <c r="A3054" s="167">
        <v>568</v>
      </c>
      <c r="B3054" s="167" t="s">
        <v>3142</v>
      </c>
      <c r="C3054" s="265" t="s">
        <v>3122</v>
      </c>
      <c r="D3054" s="60">
        <v>41044</v>
      </c>
      <c r="E3054" s="65">
        <v>19.732692307692307</v>
      </c>
      <c r="F3054" s="197">
        <v>1578.6153846153845</v>
      </c>
      <c r="G3054" s="197">
        <v>0</v>
      </c>
      <c r="H3054" s="65">
        <v>41044</v>
      </c>
      <c r="I3054" s="65"/>
      <c r="J3054" s="65"/>
      <c r="K3054" s="65"/>
      <c r="L3054" s="197">
        <v>41044</v>
      </c>
    </row>
    <row r="3055" spans="1:12" ht="15" customHeight="1" x14ac:dyDescent="0.25">
      <c r="A3055" s="167">
        <v>568</v>
      </c>
      <c r="B3055" s="167" t="s">
        <v>3145</v>
      </c>
      <c r="C3055" s="265" t="s">
        <v>3146</v>
      </c>
      <c r="D3055" s="60">
        <v>39523</v>
      </c>
      <c r="E3055" s="65">
        <v>19.001442307692308</v>
      </c>
      <c r="F3055" s="197">
        <v>1520.1153846153845</v>
      </c>
      <c r="G3055" s="197">
        <v>0</v>
      </c>
      <c r="H3055" s="65">
        <v>39523</v>
      </c>
      <c r="I3055" s="65"/>
      <c r="J3055" s="65"/>
      <c r="K3055" s="65"/>
      <c r="L3055" s="197">
        <v>39523</v>
      </c>
    </row>
    <row r="3056" spans="1:12" ht="15" customHeight="1" x14ac:dyDescent="0.25">
      <c r="A3056" s="167">
        <v>568</v>
      </c>
      <c r="B3056" s="167" t="s">
        <v>3148</v>
      </c>
      <c r="C3056" s="265" t="s">
        <v>3146</v>
      </c>
      <c r="D3056" s="60">
        <v>38830</v>
      </c>
      <c r="E3056" s="65">
        <v>18.66826923076923</v>
      </c>
      <c r="F3056" s="197">
        <v>1493.4615384615386</v>
      </c>
      <c r="G3056" s="197">
        <v>0</v>
      </c>
      <c r="H3056" s="65">
        <v>38830</v>
      </c>
      <c r="I3056" s="65"/>
      <c r="J3056" s="65"/>
      <c r="K3056" s="65"/>
      <c r="L3056" s="197">
        <v>38830</v>
      </c>
    </row>
    <row r="3057" spans="1:12" ht="15" customHeight="1" x14ac:dyDescent="0.25">
      <c r="A3057" s="167">
        <v>568</v>
      </c>
      <c r="B3057" s="167" t="s">
        <v>3149</v>
      </c>
      <c r="C3057" s="265" t="s">
        <v>3146</v>
      </c>
      <c r="D3057" s="60">
        <v>38830</v>
      </c>
      <c r="E3057" s="65">
        <v>18.66826923076923</v>
      </c>
      <c r="F3057" s="197">
        <v>1493.4615384615386</v>
      </c>
      <c r="G3057" s="197">
        <v>0</v>
      </c>
      <c r="H3057" s="65">
        <v>38830</v>
      </c>
      <c r="I3057" s="65"/>
      <c r="J3057" s="65"/>
      <c r="K3057" s="65"/>
      <c r="L3057" s="197">
        <v>38830</v>
      </c>
    </row>
    <row r="3058" spans="1:12" ht="15" customHeight="1" x14ac:dyDescent="0.25">
      <c r="A3058" s="167">
        <v>568</v>
      </c>
      <c r="B3058" s="167" t="s">
        <v>3150</v>
      </c>
      <c r="C3058" s="265" t="s">
        <v>3146</v>
      </c>
      <c r="D3058" s="60">
        <v>38830</v>
      </c>
      <c r="E3058" s="65">
        <v>18.66826923076923</v>
      </c>
      <c r="F3058" s="197">
        <v>1493.4615384615386</v>
      </c>
      <c r="G3058" s="197">
        <v>0</v>
      </c>
      <c r="H3058" s="65">
        <v>38830</v>
      </c>
      <c r="I3058" s="65"/>
      <c r="J3058" s="65"/>
      <c r="K3058" s="65"/>
      <c r="L3058" s="197">
        <v>38830</v>
      </c>
    </row>
    <row r="3059" spans="1:12" ht="15" customHeight="1" x14ac:dyDescent="0.25">
      <c r="A3059" s="167">
        <v>568</v>
      </c>
      <c r="B3059" s="167" t="s">
        <v>3151</v>
      </c>
      <c r="C3059" s="265" t="s">
        <v>3146</v>
      </c>
      <c r="D3059" s="60">
        <v>39523</v>
      </c>
      <c r="E3059" s="65">
        <v>19.001442307692308</v>
      </c>
      <c r="F3059" s="197">
        <v>1520.1153846153845</v>
      </c>
      <c r="G3059" s="197">
        <v>0</v>
      </c>
      <c r="H3059" s="65">
        <v>39523</v>
      </c>
      <c r="I3059" s="65"/>
      <c r="J3059" s="65"/>
      <c r="K3059" s="65"/>
      <c r="L3059" s="197">
        <v>39523</v>
      </c>
    </row>
    <row r="3060" spans="1:12" ht="15" customHeight="1" x14ac:dyDescent="0.25">
      <c r="A3060" s="167">
        <v>568</v>
      </c>
      <c r="B3060" s="167" t="s">
        <v>3154</v>
      </c>
      <c r="C3060" s="265" t="s">
        <v>3146</v>
      </c>
      <c r="D3060" s="60">
        <v>39523</v>
      </c>
      <c r="E3060" s="65">
        <v>19.001442307692308</v>
      </c>
      <c r="F3060" s="197">
        <v>1520.1153846153845</v>
      </c>
      <c r="G3060" s="197">
        <v>0</v>
      </c>
      <c r="H3060" s="65">
        <v>39523</v>
      </c>
      <c r="I3060" s="65"/>
      <c r="J3060" s="65"/>
      <c r="K3060" s="65"/>
      <c r="L3060" s="197">
        <v>39523</v>
      </c>
    </row>
    <row r="3061" spans="1:12" ht="15" customHeight="1" x14ac:dyDescent="0.25">
      <c r="A3061" s="167">
        <v>568</v>
      </c>
      <c r="B3061" s="167" t="s">
        <v>3155</v>
      </c>
      <c r="C3061" s="265" t="s">
        <v>3146</v>
      </c>
      <c r="D3061" s="60">
        <v>39523</v>
      </c>
      <c r="E3061" s="65">
        <v>19.001442307692308</v>
      </c>
      <c r="F3061" s="197">
        <v>1520.1153846153845</v>
      </c>
      <c r="G3061" s="197">
        <v>0</v>
      </c>
      <c r="H3061" s="65">
        <v>39523</v>
      </c>
      <c r="I3061" s="65"/>
      <c r="J3061" s="65"/>
      <c r="K3061" s="65"/>
      <c r="L3061" s="197">
        <v>39523</v>
      </c>
    </row>
    <row r="3062" spans="1:12" ht="15" customHeight="1" x14ac:dyDescent="0.25">
      <c r="A3062" s="167">
        <v>568</v>
      </c>
      <c r="B3062" s="167" t="s">
        <v>3156</v>
      </c>
      <c r="C3062" s="265" t="s">
        <v>3146</v>
      </c>
      <c r="D3062" s="60">
        <v>38830</v>
      </c>
      <c r="E3062" s="65">
        <v>18.66826923076923</v>
      </c>
      <c r="F3062" s="197">
        <v>1493.4615384615386</v>
      </c>
      <c r="G3062" s="197">
        <v>0</v>
      </c>
      <c r="H3062" s="65">
        <v>38830</v>
      </c>
      <c r="I3062" s="65"/>
      <c r="J3062" s="65"/>
      <c r="K3062" s="65"/>
      <c r="L3062" s="197">
        <v>38830</v>
      </c>
    </row>
    <row r="3063" spans="1:12" ht="15" customHeight="1" x14ac:dyDescent="0.25">
      <c r="A3063" s="167">
        <v>568</v>
      </c>
      <c r="B3063" s="167" t="s">
        <v>3157</v>
      </c>
      <c r="C3063" s="265" t="s">
        <v>3146</v>
      </c>
      <c r="D3063" s="60">
        <v>40229</v>
      </c>
      <c r="E3063" s="65">
        <v>19.340865384615384</v>
      </c>
      <c r="F3063" s="197">
        <v>1547.2692307692307</v>
      </c>
      <c r="G3063" s="197">
        <v>0</v>
      </c>
      <c r="H3063" s="65">
        <v>40229</v>
      </c>
      <c r="I3063" s="65"/>
      <c r="J3063" s="65"/>
      <c r="K3063" s="65"/>
      <c r="L3063" s="197">
        <v>40229</v>
      </c>
    </row>
    <row r="3064" spans="1:12" ht="15" customHeight="1" x14ac:dyDescent="0.25">
      <c r="A3064" s="167">
        <v>568</v>
      </c>
      <c r="B3064" s="167" t="s">
        <v>3159</v>
      </c>
      <c r="C3064" s="265" t="s">
        <v>3146</v>
      </c>
      <c r="D3064" s="60">
        <v>38830</v>
      </c>
      <c r="E3064" s="65">
        <v>18.66826923076923</v>
      </c>
      <c r="F3064" s="197">
        <v>1493.4615384615386</v>
      </c>
      <c r="G3064" s="197">
        <v>0</v>
      </c>
      <c r="H3064" s="65">
        <v>38830</v>
      </c>
      <c r="I3064" s="65"/>
      <c r="J3064" s="65"/>
      <c r="K3064" s="65"/>
      <c r="L3064" s="197">
        <v>38830</v>
      </c>
    </row>
    <row r="3065" spans="1:12" ht="15" customHeight="1" x14ac:dyDescent="0.25">
      <c r="A3065" s="167">
        <v>568</v>
      </c>
      <c r="B3065" s="167" t="s">
        <v>3160</v>
      </c>
      <c r="C3065" s="265" t="s">
        <v>3146</v>
      </c>
      <c r="D3065" s="60">
        <v>38830</v>
      </c>
      <c r="E3065" s="65">
        <v>18.66826923076923</v>
      </c>
      <c r="F3065" s="197">
        <v>1493.4615384615386</v>
      </c>
      <c r="G3065" s="197">
        <v>0</v>
      </c>
      <c r="H3065" s="65">
        <v>38830</v>
      </c>
      <c r="I3065" s="65"/>
      <c r="J3065" s="65"/>
      <c r="K3065" s="197"/>
      <c r="L3065" s="197">
        <v>38830</v>
      </c>
    </row>
    <row r="3066" spans="1:12" ht="15" customHeight="1" x14ac:dyDescent="0.25">
      <c r="A3066" s="167">
        <v>568</v>
      </c>
      <c r="B3066" s="167" t="s">
        <v>3161</v>
      </c>
      <c r="C3066" s="265" t="s">
        <v>3146</v>
      </c>
      <c r="D3066" s="60">
        <v>38830</v>
      </c>
      <c r="E3066" s="65">
        <v>18.66826923076923</v>
      </c>
      <c r="F3066" s="197">
        <v>1493.4615384615386</v>
      </c>
      <c r="G3066" s="197">
        <v>0</v>
      </c>
      <c r="H3066" s="65">
        <v>38830</v>
      </c>
      <c r="I3066" s="65"/>
      <c r="J3066" s="65"/>
      <c r="K3066" s="65"/>
      <c r="L3066" s="197">
        <v>38830</v>
      </c>
    </row>
    <row r="3067" spans="1:12" ht="15" customHeight="1" x14ac:dyDescent="0.25">
      <c r="A3067" s="167">
        <v>568</v>
      </c>
      <c r="B3067" s="167" t="s">
        <v>3162</v>
      </c>
      <c r="C3067" s="265" t="s">
        <v>3146</v>
      </c>
      <c r="D3067" s="60">
        <v>39523</v>
      </c>
      <c r="E3067" s="65">
        <v>19.001442307692308</v>
      </c>
      <c r="F3067" s="197">
        <v>1520.1153846153845</v>
      </c>
      <c r="G3067" s="197">
        <v>0</v>
      </c>
      <c r="H3067" s="65">
        <v>39523</v>
      </c>
      <c r="I3067" s="65"/>
      <c r="J3067" s="65"/>
      <c r="K3067" s="65"/>
      <c r="L3067" s="197">
        <v>39523</v>
      </c>
    </row>
    <row r="3068" spans="1:12" ht="15" customHeight="1" x14ac:dyDescent="0.25">
      <c r="A3068" s="167">
        <v>568</v>
      </c>
      <c r="B3068" s="167" t="s">
        <v>3164</v>
      </c>
      <c r="C3068" s="265" t="s">
        <v>3146</v>
      </c>
      <c r="D3068" s="60">
        <v>39523</v>
      </c>
      <c r="E3068" s="65">
        <v>19.001442307692308</v>
      </c>
      <c r="F3068" s="197">
        <v>1520.1153846153845</v>
      </c>
      <c r="G3068" s="197">
        <v>0</v>
      </c>
      <c r="H3068" s="65">
        <v>39523</v>
      </c>
      <c r="I3068" s="65"/>
      <c r="J3068" s="65"/>
      <c r="K3068" s="65"/>
      <c r="L3068" s="197">
        <v>39523</v>
      </c>
    </row>
    <row r="3069" spans="1:12" ht="15" customHeight="1" x14ac:dyDescent="0.25">
      <c r="A3069" s="167">
        <v>568</v>
      </c>
      <c r="B3069" s="167" t="s">
        <v>3167</v>
      </c>
      <c r="C3069" s="265" t="s">
        <v>3146</v>
      </c>
      <c r="D3069" s="60">
        <v>38830</v>
      </c>
      <c r="E3069" s="65">
        <v>18.66826923076923</v>
      </c>
      <c r="F3069" s="197">
        <v>1493.4615384615386</v>
      </c>
      <c r="G3069" s="197">
        <v>0</v>
      </c>
      <c r="H3069" s="65">
        <v>38830</v>
      </c>
      <c r="I3069" s="65"/>
      <c r="J3069" s="65"/>
      <c r="K3069" s="65"/>
      <c r="L3069" s="197">
        <v>38830</v>
      </c>
    </row>
    <row r="3070" spans="1:12" ht="15" customHeight="1" x14ac:dyDescent="0.25">
      <c r="A3070" s="167">
        <v>568</v>
      </c>
      <c r="B3070" s="167" t="s">
        <v>3168</v>
      </c>
      <c r="C3070" s="265" t="s">
        <v>3146</v>
      </c>
      <c r="D3070" s="60">
        <v>38830</v>
      </c>
      <c r="E3070" s="65">
        <v>18.66826923076923</v>
      </c>
      <c r="F3070" s="197">
        <v>1493.4615384615386</v>
      </c>
      <c r="G3070" s="197">
        <v>0</v>
      </c>
      <c r="H3070" s="65">
        <v>38830</v>
      </c>
      <c r="I3070" s="65"/>
      <c r="J3070" s="65"/>
      <c r="K3070" s="65"/>
      <c r="L3070" s="197">
        <v>38830</v>
      </c>
    </row>
    <row r="3071" spans="1:12" ht="15" customHeight="1" x14ac:dyDescent="0.25">
      <c r="A3071" s="167">
        <v>568</v>
      </c>
      <c r="B3071" s="167" t="s">
        <v>3169</v>
      </c>
      <c r="C3071" s="265" t="s">
        <v>3146</v>
      </c>
      <c r="D3071" s="60">
        <v>38830</v>
      </c>
      <c r="E3071" s="65">
        <v>18.66826923076923</v>
      </c>
      <c r="F3071" s="197">
        <v>1493.4615384615386</v>
      </c>
      <c r="G3071" s="197">
        <v>0</v>
      </c>
      <c r="H3071" s="65">
        <v>38830</v>
      </c>
      <c r="I3071" s="65"/>
      <c r="J3071" s="65"/>
      <c r="K3071" s="65"/>
      <c r="L3071" s="197">
        <v>38830</v>
      </c>
    </row>
    <row r="3072" spans="1:12" ht="15" customHeight="1" x14ac:dyDescent="0.25">
      <c r="A3072" s="167">
        <v>568</v>
      </c>
      <c r="B3072" s="167" t="s">
        <v>3170</v>
      </c>
      <c r="C3072" s="265" t="s">
        <v>3146</v>
      </c>
      <c r="D3072" s="60">
        <v>38830</v>
      </c>
      <c r="E3072" s="65">
        <v>18.66826923076923</v>
      </c>
      <c r="F3072" s="197">
        <v>1493.4615384615386</v>
      </c>
      <c r="G3072" s="197">
        <v>0</v>
      </c>
      <c r="H3072" s="65">
        <v>38830</v>
      </c>
      <c r="I3072" s="65"/>
      <c r="J3072" s="65"/>
      <c r="K3072" s="65"/>
      <c r="L3072" s="197">
        <v>38830</v>
      </c>
    </row>
    <row r="3073" spans="1:12" ht="15" customHeight="1" x14ac:dyDescent="0.25">
      <c r="A3073" s="167">
        <v>568</v>
      </c>
      <c r="B3073" s="167" t="s">
        <v>3171</v>
      </c>
      <c r="C3073" s="265" t="s">
        <v>3146</v>
      </c>
      <c r="D3073" s="60">
        <v>38830</v>
      </c>
      <c r="E3073" s="65">
        <v>18.66826923076923</v>
      </c>
      <c r="F3073" s="197">
        <v>1493.4615384615386</v>
      </c>
      <c r="G3073" s="197">
        <v>0</v>
      </c>
      <c r="H3073" s="65">
        <v>38830</v>
      </c>
      <c r="I3073" s="65"/>
      <c r="J3073" s="65"/>
      <c r="K3073" s="65"/>
      <c r="L3073" s="197">
        <v>38830</v>
      </c>
    </row>
    <row r="3074" spans="1:12" ht="15" customHeight="1" x14ac:dyDescent="0.25">
      <c r="A3074" s="167">
        <v>568</v>
      </c>
      <c r="B3074" s="167" t="s">
        <v>3172</v>
      </c>
      <c r="C3074" s="265" t="s">
        <v>3146</v>
      </c>
      <c r="D3074" s="60">
        <v>39523</v>
      </c>
      <c r="E3074" s="65">
        <v>19.001442307692308</v>
      </c>
      <c r="F3074" s="197">
        <v>1520.1153846153845</v>
      </c>
      <c r="G3074" s="197">
        <v>0</v>
      </c>
      <c r="H3074" s="65">
        <v>39523</v>
      </c>
      <c r="I3074" s="65"/>
      <c r="J3074" s="65"/>
      <c r="K3074" s="65"/>
      <c r="L3074" s="197">
        <v>39523</v>
      </c>
    </row>
    <row r="3075" spans="1:12" ht="15" customHeight="1" x14ac:dyDescent="0.25">
      <c r="A3075" s="167">
        <v>568</v>
      </c>
      <c r="B3075" s="167" t="s">
        <v>3173</v>
      </c>
      <c r="C3075" s="265" t="s">
        <v>3146</v>
      </c>
      <c r="D3075" s="60">
        <v>39523</v>
      </c>
      <c r="E3075" s="65">
        <v>19.001442307692308</v>
      </c>
      <c r="F3075" s="197">
        <v>1520.1153846153845</v>
      </c>
      <c r="G3075" s="197">
        <v>0</v>
      </c>
      <c r="H3075" s="65">
        <v>39523</v>
      </c>
      <c r="I3075" s="65"/>
      <c r="J3075" s="65"/>
      <c r="K3075" s="65"/>
      <c r="L3075" s="197">
        <v>39523</v>
      </c>
    </row>
    <row r="3076" spans="1:12" ht="15" customHeight="1" x14ac:dyDescent="0.25">
      <c r="A3076" s="167">
        <v>568</v>
      </c>
      <c r="B3076" s="167" t="s">
        <v>3174</v>
      </c>
      <c r="C3076" s="265" t="s">
        <v>3146</v>
      </c>
      <c r="D3076" s="60">
        <v>39523</v>
      </c>
      <c r="E3076" s="65">
        <v>19.001442307692308</v>
      </c>
      <c r="F3076" s="197">
        <v>1520.1153846153845</v>
      </c>
      <c r="G3076" s="197">
        <v>0</v>
      </c>
      <c r="H3076" s="65">
        <v>39523</v>
      </c>
      <c r="I3076" s="65"/>
      <c r="J3076" s="65"/>
      <c r="K3076" s="65"/>
      <c r="L3076" s="197">
        <v>39523</v>
      </c>
    </row>
    <row r="3077" spans="1:12" ht="15" customHeight="1" x14ac:dyDescent="0.25">
      <c r="A3077" s="167">
        <v>568</v>
      </c>
      <c r="B3077" s="167" t="s">
        <v>3177</v>
      </c>
      <c r="C3077" s="265" t="s">
        <v>3146</v>
      </c>
      <c r="D3077" s="60">
        <v>38830</v>
      </c>
      <c r="E3077" s="65">
        <v>18.66826923076923</v>
      </c>
      <c r="F3077" s="197">
        <v>1493.4615384615386</v>
      </c>
      <c r="G3077" s="197">
        <v>0</v>
      </c>
      <c r="H3077" s="65">
        <v>38830</v>
      </c>
      <c r="I3077" s="65"/>
      <c r="J3077" s="65"/>
      <c r="K3077" s="65"/>
      <c r="L3077" s="197">
        <v>38830</v>
      </c>
    </row>
    <row r="3078" spans="1:12" ht="15" customHeight="1" x14ac:dyDescent="0.25">
      <c r="A3078" s="167">
        <v>568</v>
      </c>
      <c r="B3078" s="167" t="s">
        <v>3180</v>
      </c>
      <c r="C3078" s="265" t="s">
        <v>3146</v>
      </c>
      <c r="D3078" s="60">
        <v>38830</v>
      </c>
      <c r="E3078" s="65">
        <v>18.66826923076923</v>
      </c>
      <c r="F3078" s="197">
        <v>1493.4615384615386</v>
      </c>
      <c r="G3078" s="197">
        <v>0</v>
      </c>
      <c r="H3078" s="65">
        <v>38830</v>
      </c>
      <c r="I3078" s="65"/>
      <c r="J3078" s="65"/>
      <c r="K3078" s="65"/>
      <c r="L3078" s="197">
        <v>38830</v>
      </c>
    </row>
    <row r="3079" spans="1:12" ht="15" customHeight="1" x14ac:dyDescent="0.25">
      <c r="A3079" s="167">
        <v>568</v>
      </c>
      <c r="B3079" s="167" t="s">
        <v>3182</v>
      </c>
      <c r="C3079" s="265" t="s">
        <v>3146</v>
      </c>
      <c r="D3079" s="60">
        <v>42427</v>
      </c>
      <c r="E3079" s="65">
        <v>20.397596153846155</v>
      </c>
      <c r="F3079" s="197">
        <v>1631.8076923076924</v>
      </c>
      <c r="G3079" s="197">
        <v>0</v>
      </c>
      <c r="H3079" s="65">
        <v>42427</v>
      </c>
      <c r="I3079" s="65"/>
      <c r="J3079" s="65"/>
      <c r="K3079" s="102"/>
      <c r="L3079" s="197">
        <v>42427</v>
      </c>
    </row>
    <row r="3080" spans="1:12" ht="15" customHeight="1" x14ac:dyDescent="0.25">
      <c r="A3080" s="167">
        <v>568</v>
      </c>
      <c r="B3080" s="167" t="s">
        <v>3184</v>
      </c>
      <c r="C3080" s="265" t="s">
        <v>3146</v>
      </c>
      <c r="D3080" s="60">
        <v>39523</v>
      </c>
      <c r="E3080" s="65">
        <v>19.001442307692308</v>
      </c>
      <c r="F3080" s="197">
        <v>1520.1153846153845</v>
      </c>
      <c r="G3080" s="197">
        <v>0</v>
      </c>
      <c r="H3080" s="65">
        <v>39523</v>
      </c>
      <c r="I3080" s="65"/>
      <c r="J3080" s="65"/>
      <c r="K3080" s="65"/>
      <c r="L3080" s="197">
        <v>39523</v>
      </c>
    </row>
    <row r="3081" spans="1:12" ht="15" customHeight="1" x14ac:dyDescent="0.25">
      <c r="A3081" s="167">
        <v>568</v>
      </c>
      <c r="B3081" s="167" t="s">
        <v>3187</v>
      </c>
      <c r="C3081" s="265" t="s">
        <v>3146</v>
      </c>
      <c r="D3081" s="60">
        <v>38830</v>
      </c>
      <c r="E3081" s="65">
        <v>18.66826923076923</v>
      </c>
      <c r="F3081" s="197">
        <v>1493.4615384615386</v>
      </c>
      <c r="G3081" s="197">
        <v>0</v>
      </c>
      <c r="H3081" s="65">
        <v>38830</v>
      </c>
      <c r="I3081" s="65"/>
      <c r="J3081" s="65"/>
      <c r="K3081" s="65"/>
      <c r="L3081" s="197">
        <v>38830</v>
      </c>
    </row>
    <row r="3082" spans="1:12" ht="15" customHeight="1" x14ac:dyDescent="0.25">
      <c r="A3082" s="167">
        <v>568</v>
      </c>
      <c r="B3082" s="167" t="s">
        <v>3188</v>
      </c>
      <c r="C3082" s="265" t="s">
        <v>3146</v>
      </c>
      <c r="D3082" s="60">
        <v>39523</v>
      </c>
      <c r="E3082" s="65">
        <v>19.001442307692308</v>
      </c>
      <c r="F3082" s="197">
        <v>1520.1153846153845</v>
      </c>
      <c r="G3082" s="197">
        <v>0</v>
      </c>
      <c r="H3082" s="65">
        <v>39523</v>
      </c>
      <c r="I3082" s="65"/>
      <c r="J3082" s="65"/>
      <c r="K3082" s="65"/>
      <c r="L3082" s="197">
        <v>39523</v>
      </c>
    </row>
    <row r="3083" spans="1:12" ht="15" customHeight="1" x14ac:dyDescent="0.25">
      <c r="A3083" s="167">
        <v>568</v>
      </c>
      <c r="B3083" s="167" t="s">
        <v>3190</v>
      </c>
      <c r="C3083" s="265" t="s">
        <v>3146</v>
      </c>
      <c r="D3083" s="60">
        <v>39523</v>
      </c>
      <c r="E3083" s="65">
        <v>19.001442307692308</v>
      </c>
      <c r="F3083" s="197">
        <v>1520.1153846153845</v>
      </c>
      <c r="G3083" s="197">
        <v>0</v>
      </c>
      <c r="H3083" s="65">
        <v>39523</v>
      </c>
      <c r="I3083" s="65"/>
      <c r="J3083" s="65"/>
      <c r="K3083" s="65"/>
      <c r="L3083" s="197">
        <v>39523</v>
      </c>
    </row>
    <row r="3084" spans="1:12" ht="15" customHeight="1" x14ac:dyDescent="0.25">
      <c r="A3084" s="167">
        <v>568</v>
      </c>
      <c r="B3084" s="167" t="s">
        <v>3192</v>
      </c>
      <c r="C3084" s="265" t="s">
        <v>3146</v>
      </c>
      <c r="D3084" s="60">
        <v>39523</v>
      </c>
      <c r="E3084" s="65">
        <v>19.001442307692308</v>
      </c>
      <c r="F3084" s="197">
        <v>1520.1153846153845</v>
      </c>
      <c r="G3084" s="197">
        <v>0</v>
      </c>
      <c r="H3084" s="65">
        <v>39523</v>
      </c>
      <c r="I3084" s="65"/>
      <c r="J3084" s="65"/>
      <c r="K3084" s="65"/>
      <c r="L3084" s="197">
        <v>39523</v>
      </c>
    </row>
    <row r="3085" spans="1:12" ht="15" customHeight="1" x14ac:dyDescent="0.25">
      <c r="A3085" s="167">
        <v>568</v>
      </c>
      <c r="B3085" s="167" t="s">
        <v>3194</v>
      </c>
      <c r="C3085" s="265" t="s">
        <v>3146</v>
      </c>
      <c r="D3085" s="60">
        <v>38830</v>
      </c>
      <c r="E3085" s="65">
        <v>18.66826923076923</v>
      </c>
      <c r="F3085" s="197">
        <v>1493.4615384615386</v>
      </c>
      <c r="G3085" s="197">
        <v>0</v>
      </c>
      <c r="H3085" s="65">
        <v>38830</v>
      </c>
      <c r="I3085" s="65"/>
      <c r="J3085" s="65"/>
      <c r="K3085" s="65"/>
      <c r="L3085" s="197">
        <v>38830</v>
      </c>
    </row>
    <row r="3086" spans="1:12" ht="15" customHeight="1" x14ac:dyDescent="0.25">
      <c r="A3086" s="167">
        <v>568</v>
      </c>
      <c r="B3086" s="167" t="s">
        <v>3195</v>
      </c>
      <c r="C3086" s="265" t="s">
        <v>3146</v>
      </c>
      <c r="D3086" s="60">
        <v>38830</v>
      </c>
      <c r="E3086" s="65">
        <v>18.66826923076923</v>
      </c>
      <c r="F3086" s="197">
        <v>1493.4615384615386</v>
      </c>
      <c r="G3086" s="197">
        <v>0</v>
      </c>
      <c r="H3086" s="65">
        <v>38830</v>
      </c>
      <c r="I3086" s="65"/>
      <c r="J3086" s="65"/>
      <c r="K3086" s="65"/>
      <c r="L3086" s="197">
        <v>38830</v>
      </c>
    </row>
    <row r="3087" spans="1:12" ht="15" customHeight="1" x14ac:dyDescent="0.25">
      <c r="A3087" s="167">
        <v>568</v>
      </c>
      <c r="B3087" s="167" t="s">
        <v>3196</v>
      </c>
      <c r="C3087" s="265" t="s">
        <v>3146</v>
      </c>
      <c r="D3087" s="60">
        <v>38830</v>
      </c>
      <c r="E3087" s="65">
        <v>18.66826923076923</v>
      </c>
      <c r="F3087" s="197">
        <v>1493.4615384615386</v>
      </c>
      <c r="G3087" s="197">
        <v>0</v>
      </c>
      <c r="H3087" s="65">
        <v>38830</v>
      </c>
      <c r="I3087" s="65"/>
      <c r="J3087" s="65"/>
      <c r="K3087" s="65"/>
      <c r="L3087" s="197">
        <v>38830</v>
      </c>
    </row>
    <row r="3088" spans="1:12" ht="15" customHeight="1" x14ac:dyDescent="0.25">
      <c r="A3088" s="167">
        <v>568</v>
      </c>
      <c r="B3088" s="167" t="s">
        <v>3197</v>
      </c>
      <c r="C3088" s="265" t="s">
        <v>3146</v>
      </c>
      <c r="D3088" s="60">
        <v>38830</v>
      </c>
      <c r="E3088" s="65">
        <v>18.66826923076923</v>
      </c>
      <c r="F3088" s="197">
        <v>1493.4615384615386</v>
      </c>
      <c r="G3088" s="197">
        <v>0</v>
      </c>
      <c r="H3088" s="65">
        <v>38830</v>
      </c>
      <c r="I3088" s="65"/>
      <c r="J3088" s="65"/>
      <c r="K3088" s="65"/>
      <c r="L3088" s="197">
        <v>38830</v>
      </c>
    </row>
    <row r="3089" spans="1:12" ht="15" customHeight="1" x14ac:dyDescent="0.25">
      <c r="A3089" s="167">
        <v>568</v>
      </c>
      <c r="B3089" s="167" t="s">
        <v>3198</v>
      </c>
      <c r="C3089" s="265" t="s">
        <v>3146</v>
      </c>
      <c r="D3089" s="60">
        <v>39523</v>
      </c>
      <c r="E3089" s="65">
        <v>19.001442307692308</v>
      </c>
      <c r="F3089" s="197">
        <v>1520.1153846153845</v>
      </c>
      <c r="G3089" s="197">
        <v>0</v>
      </c>
      <c r="H3089" s="65">
        <v>39523</v>
      </c>
      <c r="I3089" s="65"/>
      <c r="J3089" s="65"/>
      <c r="K3089" s="65"/>
      <c r="L3089" s="197">
        <v>39523</v>
      </c>
    </row>
    <row r="3090" spans="1:12" ht="15" customHeight="1" x14ac:dyDescent="0.25">
      <c r="A3090" s="167">
        <v>568</v>
      </c>
      <c r="B3090" s="167" t="s">
        <v>3200</v>
      </c>
      <c r="C3090" s="265" t="s">
        <v>3146</v>
      </c>
      <c r="D3090" s="60">
        <v>38830</v>
      </c>
      <c r="E3090" s="65">
        <v>18.66826923076923</v>
      </c>
      <c r="F3090" s="197">
        <v>1493.4615384615386</v>
      </c>
      <c r="G3090" s="197">
        <v>0</v>
      </c>
      <c r="H3090" s="65">
        <v>38830</v>
      </c>
      <c r="I3090" s="65"/>
      <c r="J3090" s="65"/>
      <c r="K3090" s="65"/>
      <c r="L3090" s="197">
        <v>38830</v>
      </c>
    </row>
    <row r="3091" spans="1:12" ht="15" customHeight="1" x14ac:dyDescent="0.25">
      <c r="A3091" s="167">
        <v>568</v>
      </c>
      <c r="B3091" s="167" t="s">
        <v>3201</v>
      </c>
      <c r="C3091" s="265" t="s">
        <v>3146</v>
      </c>
      <c r="D3091" s="60">
        <v>38830</v>
      </c>
      <c r="E3091" s="65">
        <v>18.66826923076923</v>
      </c>
      <c r="F3091" s="197">
        <v>1493.4615384615386</v>
      </c>
      <c r="G3091" s="197">
        <v>0</v>
      </c>
      <c r="H3091" s="65">
        <v>38830</v>
      </c>
      <c r="I3091" s="65"/>
      <c r="J3091" s="65"/>
      <c r="K3091" s="65"/>
      <c r="L3091" s="197">
        <v>38830</v>
      </c>
    </row>
    <row r="3092" spans="1:12" ht="15" customHeight="1" x14ac:dyDescent="0.25">
      <c r="A3092" s="167">
        <v>568</v>
      </c>
      <c r="B3092" s="167" t="s">
        <v>3202</v>
      </c>
      <c r="C3092" s="265" t="s">
        <v>3146</v>
      </c>
      <c r="D3092" s="60">
        <v>39523</v>
      </c>
      <c r="E3092" s="65">
        <v>19.001442307692308</v>
      </c>
      <c r="F3092" s="197">
        <v>1520.1153846153845</v>
      </c>
      <c r="G3092" s="197">
        <v>0</v>
      </c>
      <c r="H3092" s="65">
        <v>39523</v>
      </c>
      <c r="I3092" s="65"/>
      <c r="J3092" s="65"/>
      <c r="K3092" s="65"/>
      <c r="L3092" s="197">
        <v>39523</v>
      </c>
    </row>
    <row r="3093" spans="1:12" ht="15" customHeight="1" x14ac:dyDescent="0.25">
      <c r="A3093" s="167">
        <v>568</v>
      </c>
      <c r="B3093" s="167" t="s">
        <v>3203</v>
      </c>
      <c r="C3093" s="265" t="s">
        <v>3146</v>
      </c>
      <c r="D3093" s="60">
        <v>38830</v>
      </c>
      <c r="E3093" s="65">
        <v>18.66826923076923</v>
      </c>
      <c r="F3093" s="197">
        <v>1493.4615384615386</v>
      </c>
      <c r="G3093" s="197">
        <v>0</v>
      </c>
      <c r="H3093" s="65">
        <v>38830</v>
      </c>
      <c r="I3093" s="65"/>
      <c r="J3093" s="65"/>
      <c r="K3093" s="65"/>
      <c r="L3093" s="197">
        <v>38830</v>
      </c>
    </row>
    <row r="3094" spans="1:12" ht="15" customHeight="1" x14ac:dyDescent="0.25">
      <c r="A3094" s="167">
        <v>568</v>
      </c>
      <c r="B3094" s="167" t="s">
        <v>3204</v>
      </c>
      <c r="C3094" s="265" t="s">
        <v>3146</v>
      </c>
      <c r="D3094" s="60">
        <v>38830</v>
      </c>
      <c r="E3094" s="65">
        <v>18.66826923076923</v>
      </c>
      <c r="F3094" s="197">
        <v>1493.4615384615386</v>
      </c>
      <c r="G3094" s="197">
        <v>0</v>
      </c>
      <c r="H3094" s="65">
        <v>38830</v>
      </c>
      <c r="I3094" s="65"/>
      <c r="J3094" s="65"/>
      <c r="K3094" s="65"/>
      <c r="L3094" s="197">
        <v>38830</v>
      </c>
    </row>
    <row r="3095" spans="1:12" ht="15" customHeight="1" x14ac:dyDescent="0.25">
      <c r="A3095" s="167">
        <v>568</v>
      </c>
      <c r="B3095" s="167" t="s">
        <v>3205</v>
      </c>
      <c r="C3095" s="265" t="s">
        <v>3146</v>
      </c>
      <c r="D3095" s="60">
        <v>40229</v>
      </c>
      <c r="E3095" s="65">
        <v>19.340865384615384</v>
      </c>
      <c r="F3095" s="197">
        <v>1547.2692307692307</v>
      </c>
      <c r="G3095" s="197">
        <v>0</v>
      </c>
      <c r="H3095" s="65">
        <v>40229</v>
      </c>
      <c r="I3095" s="65"/>
      <c r="J3095" s="65"/>
      <c r="K3095" s="65"/>
      <c r="L3095" s="197">
        <v>40229</v>
      </c>
    </row>
    <row r="3096" spans="1:12" ht="15" customHeight="1" x14ac:dyDescent="0.25">
      <c r="A3096" s="167">
        <v>568</v>
      </c>
      <c r="B3096" s="167" t="s">
        <v>3208</v>
      </c>
      <c r="C3096" s="265" t="s">
        <v>3146</v>
      </c>
      <c r="D3096" s="60">
        <v>40229</v>
      </c>
      <c r="E3096" s="65">
        <v>19.340865384615384</v>
      </c>
      <c r="F3096" s="197">
        <v>1547.2692307692307</v>
      </c>
      <c r="G3096" s="197">
        <v>0</v>
      </c>
      <c r="H3096" s="65">
        <v>40229</v>
      </c>
      <c r="I3096" s="65"/>
      <c r="J3096" s="65"/>
      <c r="K3096" s="65"/>
      <c r="L3096" s="197">
        <v>40229</v>
      </c>
    </row>
    <row r="3097" spans="1:12" ht="15" customHeight="1" x14ac:dyDescent="0.25">
      <c r="A3097" s="167">
        <v>568</v>
      </c>
      <c r="B3097" s="167" t="s">
        <v>3210</v>
      </c>
      <c r="C3097" s="265" t="s">
        <v>3146</v>
      </c>
      <c r="D3097" s="60">
        <v>38830</v>
      </c>
      <c r="E3097" s="65">
        <v>18.66826923076923</v>
      </c>
      <c r="F3097" s="197">
        <v>1493.4615384615386</v>
      </c>
      <c r="G3097" s="197">
        <v>0</v>
      </c>
      <c r="H3097" s="65">
        <v>38830</v>
      </c>
      <c r="I3097" s="65"/>
      <c r="J3097" s="65"/>
      <c r="K3097" s="65"/>
      <c r="L3097" s="197">
        <v>38830</v>
      </c>
    </row>
    <row r="3098" spans="1:12" ht="15" customHeight="1" x14ac:dyDescent="0.25">
      <c r="A3098" s="167">
        <v>568</v>
      </c>
      <c r="B3098" s="167" t="s">
        <v>3211</v>
      </c>
      <c r="C3098" s="265" t="s">
        <v>3146</v>
      </c>
      <c r="D3098" s="60">
        <v>39523</v>
      </c>
      <c r="E3098" s="65">
        <v>19.001442307692308</v>
      </c>
      <c r="F3098" s="197">
        <v>1520.1153846153845</v>
      </c>
      <c r="G3098" s="197">
        <v>0</v>
      </c>
      <c r="H3098" s="65">
        <v>39523</v>
      </c>
      <c r="I3098" s="65"/>
      <c r="J3098" s="65"/>
      <c r="K3098" s="65"/>
      <c r="L3098" s="197">
        <v>39523</v>
      </c>
    </row>
    <row r="3099" spans="1:12" ht="15" customHeight="1" x14ac:dyDescent="0.25">
      <c r="A3099" s="167">
        <v>568</v>
      </c>
      <c r="B3099" s="167" t="s">
        <v>3212</v>
      </c>
      <c r="C3099" s="265" t="s">
        <v>3146</v>
      </c>
      <c r="D3099" s="60">
        <v>40229</v>
      </c>
      <c r="E3099" s="65">
        <v>19.340865384615384</v>
      </c>
      <c r="F3099" s="197">
        <v>1547.2692307692307</v>
      </c>
      <c r="G3099" s="197">
        <v>0</v>
      </c>
      <c r="H3099" s="65">
        <v>40229</v>
      </c>
      <c r="I3099" s="65"/>
      <c r="J3099" s="65"/>
      <c r="K3099" s="65"/>
      <c r="L3099" s="197">
        <v>40229</v>
      </c>
    </row>
    <row r="3100" spans="1:12" ht="15" customHeight="1" x14ac:dyDescent="0.25">
      <c r="A3100" s="167">
        <v>568</v>
      </c>
      <c r="B3100" s="167" t="s">
        <v>3215</v>
      </c>
      <c r="C3100" s="265" t="s">
        <v>3146</v>
      </c>
      <c r="D3100" s="60">
        <v>38830</v>
      </c>
      <c r="E3100" s="65">
        <v>18.66826923076923</v>
      </c>
      <c r="F3100" s="197">
        <v>1493.4615384615386</v>
      </c>
      <c r="G3100" s="197">
        <v>0</v>
      </c>
      <c r="H3100" s="65">
        <v>38830</v>
      </c>
      <c r="I3100" s="65"/>
      <c r="J3100" s="65"/>
      <c r="K3100" s="65"/>
      <c r="L3100" s="197">
        <v>38830</v>
      </c>
    </row>
    <row r="3101" spans="1:12" ht="15" customHeight="1" x14ac:dyDescent="0.25">
      <c r="A3101" s="167">
        <v>568</v>
      </c>
      <c r="B3101" s="167" t="s">
        <v>3216</v>
      </c>
      <c r="C3101" s="265" t="s">
        <v>3146</v>
      </c>
      <c r="D3101" s="60">
        <v>40229</v>
      </c>
      <c r="E3101" s="65">
        <v>19.340865384615384</v>
      </c>
      <c r="F3101" s="197">
        <v>1547.2692307692307</v>
      </c>
      <c r="G3101" s="197">
        <v>0</v>
      </c>
      <c r="H3101" s="65">
        <v>40229</v>
      </c>
      <c r="I3101" s="65"/>
      <c r="J3101" s="65"/>
      <c r="K3101" s="65"/>
      <c r="L3101" s="197">
        <v>40229</v>
      </c>
    </row>
    <row r="3102" spans="1:12" ht="15" customHeight="1" x14ac:dyDescent="0.25">
      <c r="A3102" s="167">
        <v>568</v>
      </c>
      <c r="B3102" s="167" t="s">
        <v>3218</v>
      </c>
      <c r="C3102" s="265" t="s">
        <v>3146</v>
      </c>
      <c r="D3102" s="60">
        <v>38830</v>
      </c>
      <c r="E3102" s="65">
        <v>18.66826923076923</v>
      </c>
      <c r="F3102" s="197">
        <v>1493.4615384615386</v>
      </c>
      <c r="G3102" s="197">
        <v>0</v>
      </c>
      <c r="H3102" s="65">
        <v>38830</v>
      </c>
      <c r="I3102" s="65"/>
      <c r="J3102" s="65"/>
      <c r="K3102" s="65"/>
      <c r="L3102" s="197">
        <v>38830</v>
      </c>
    </row>
    <row r="3103" spans="1:12" ht="15" customHeight="1" x14ac:dyDescent="0.25">
      <c r="A3103" s="167">
        <v>568</v>
      </c>
      <c r="B3103" s="167" t="s">
        <v>3219</v>
      </c>
      <c r="C3103" s="265" t="s">
        <v>3146</v>
      </c>
      <c r="D3103" s="60">
        <v>40949</v>
      </c>
      <c r="E3103" s="65">
        <v>19.687019230769231</v>
      </c>
      <c r="F3103" s="197">
        <v>1574.9615384615386</v>
      </c>
      <c r="G3103" s="197">
        <v>0</v>
      </c>
      <c r="H3103" s="65">
        <v>40949</v>
      </c>
      <c r="I3103" s="65"/>
      <c r="J3103" s="65"/>
      <c r="K3103" s="65"/>
      <c r="L3103" s="197">
        <v>40949</v>
      </c>
    </row>
    <row r="3104" spans="1:12" ht="15" customHeight="1" x14ac:dyDescent="0.25">
      <c r="A3104" s="167">
        <v>568</v>
      </c>
      <c r="B3104" s="167" t="s">
        <v>3221</v>
      </c>
      <c r="C3104" s="265" t="s">
        <v>3146</v>
      </c>
      <c r="D3104" s="60">
        <v>38830</v>
      </c>
      <c r="E3104" s="65">
        <v>18.66826923076923</v>
      </c>
      <c r="F3104" s="197">
        <v>1493.4615384615386</v>
      </c>
      <c r="G3104" s="197">
        <v>0</v>
      </c>
      <c r="H3104" s="65">
        <v>38830</v>
      </c>
      <c r="I3104" s="65"/>
      <c r="J3104" s="65"/>
      <c r="K3104" s="65"/>
      <c r="L3104" s="197">
        <v>38830</v>
      </c>
    </row>
    <row r="3105" spans="1:12" ht="15" customHeight="1" x14ac:dyDescent="0.25">
      <c r="A3105" s="167">
        <v>568</v>
      </c>
      <c r="B3105" s="167" t="s">
        <v>3222</v>
      </c>
      <c r="C3105" s="265" t="s">
        <v>3146</v>
      </c>
      <c r="D3105" s="60">
        <v>39523</v>
      </c>
      <c r="E3105" s="65">
        <v>19.001442307692308</v>
      </c>
      <c r="F3105" s="197">
        <v>1520.1153846153845</v>
      </c>
      <c r="G3105" s="197">
        <v>0</v>
      </c>
      <c r="H3105" s="65">
        <v>39523</v>
      </c>
      <c r="I3105" s="65"/>
      <c r="J3105" s="65"/>
      <c r="K3105" s="65"/>
      <c r="L3105" s="197">
        <v>39523</v>
      </c>
    </row>
    <row r="3106" spans="1:12" ht="15" customHeight="1" x14ac:dyDescent="0.25">
      <c r="A3106" s="167">
        <v>568</v>
      </c>
      <c r="B3106" s="167" t="s">
        <v>3224</v>
      </c>
      <c r="C3106" s="265" t="s">
        <v>3146</v>
      </c>
      <c r="D3106" s="60">
        <v>39523</v>
      </c>
      <c r="E3106" s="65">
        <v>19.001442307692308</v>
      </c>
      <c r="F3106" s="197">
        <v>1520.1153846153845</v>
      </c>
      <c r="G3106" s="197">
        <v>0</v>
      </c>
      <c r="H3106" s="65">
        <v>39523</v>
      </c>
      <c r="I3106" s="65"/>
      <c r="J3106" s="65"/>
      <c r="K3106" s="65"/>
      <c r="L3106" s="197">
        <v>39523</v>
      </c>
    </row>
    <row r="3107" spans="1:12" ht="15" customHeight="1" x14ac:dyDescent="0.25">
      <c r="A3107" s="167">
        <v>568</v>
      </c>
      <c r="B3107" s="167" t="s">
        <v>3226</v>
      </c>
      <c r="C3107" s="265" t="s">
        <v>3146</v>
      </c>
      <c r="D3107" s="60">
        <v>38830</v>
      </c>
      <c r="E3107" s="65">
        <v>18.66826923076923</v>
      </c>
      <c r="F3107" s="197">
        <v>1493.4615384615386</v>
      </c>
      <c r="G3107" s="197">
        <v>0</v>
      </c>
      <c r="H3107" s="65">
        <v>38830</v>
      </c>
      <c r="I3107" s="65"/>
      <c r="J3107" s="65"/>
      <c r="K3107" s="65"/>
      <c r="L3107" s="197">
        <v>38830</v>
      </c>
    </row>
    <row r="3108" spans="1:12" ht="15" customHeight="1" x14ac:dyDescent="0.25">
      <c r="A3108" s="167">
        <v>568</v>
      </c>
      <c r="B3108" s="167" t="s">
        <v>3228</v>
      </c>
      <c r="C3108" s="265" t="s">
        <v>3146</v>
      </c>
      <c r="D3108" s="60">
        <v>38830</v>
      </c>
      <c r="E3108" s="65">
        <v>18.66826923076923</v>
      </c>
      <c r="F3108" s="197">
        <v>1493.4615384615386</v>
      </c>
      <c r="G3108" s="197">
        <v>0</v>
      </c>
      <c r="H3108" s="65">
        <v>38830</v>
      </c>
      <c r="I3108" s="65"/>
      <c r="J3108" s="65"/>
      <c r="K3108" s="65"/>
      <c r="L3108" s="197">
        <v>38830</v>
      </c>
    </row>
    <row r="3109" spans="1:12" ht="15" customHeight="1" x14ac:dyDescent="0.25">
      <c r="A3109" s="167">
        <v>568</v>
      </c>
      <c r="B3109" s="167" t="s">
        <v>3229</v>
      </c>
      <c r="C3109" s="265" t="s">
        <v>3146</v>
      </c>
      <c r="D3109" s="60">
        <v>38830</v>
      </c>
      <c r="E3109" s="65">
        <v>18.66826923076923</v>
      </c>
      <c r="F3109" s="197">
        <v>1493.4615384615386</v>
      </c>
      <c r="G3109" s="197">
        <v>0</v>
      </c>
      <c r="H3109" s="65">
        <v>38830</v>
      </c>
      <c r="I3109" s="65"/>
      <c r="J3109" s="65"/>
      <c r="K3109" s="65"/>
      <c r="L3109" s="197">
        <v>38830</v>
      </c>
    </row>
    <row r="3110" spans="1:12" ht="15" customHeight="1" x14ac:dyDescent="0.25">
      <c r="A3110" s="167">
        <v>568</v>
      </c>
      <c r="B3110" s="167" t="s">
        <v>3230</v>
      </c>
      <c r="C3110" s="265" t="s">
        <v>3146</v>
      </c>
      <c r="D3110" s="60">
        <v>39523</v>
      </c>
      <c r="E3110" s="65">
        <v>19.001442307692308</v>
      </c>
      <c r="F3110" s="197">
        <v>1520.1153846153845</v>
      </c>
      <c r="G3110" s="197">
        <v>0</v>
      </c>
      <c r="H3110" s="65">
        <v>39523</v>
      </c>
      <c r="I3110" s="65"/>
      <c r="J3110" s="65"/>
      <c r="K3110" s="65"/>
      <c r="L3110" s="197">
        <v>39523</v>
      </c>
    </row>
    <row r="3111" spans="1:12" ht="15" customHeight="1" x14ac:dyDescent="0.25">
      <c r="A3111" s="167">
        <v>568</v>
      </c>
      <c r="B3111" s="167" t="s">
        <v>3231</v>
      </c>
      <c r="C3111" s="265" t="s">
        <v>3146</v>
      </c>
      <c r="D3111" s="60">
        <v>38830</v>
      </c>
      <c r="E3111" s="65">
        <v>18.66826923076923</v>
      </c>
      <c r="F3111" s="197">
        <v>1493.4615384615386</v>
      </c>
      <c r="G3111" s="197">
        <v>0</v>
      </c>
      <c r="H3111" s="65">
        <v>38830</v>
      </c>
      <c r="I3111" s="65"/>
      <c r="J3111" s="65"/>
      <c r="K3111" s="65"/>
      <c r="L3111" s="197">
        <v>38830</v>
      </c>
    </row>
    <row r="3112" spans="1:12" ht="15" customHeight="1" x14ac:dyDescent="0.25">
      <c r="A3112" s="167">
        <v>568</v>
      </c>
      <c r="B3112" s="167" t="s">
        <v>3232</v>
      </c>
      <c r="C3112" s="265" t="s">
        <v>3146</v>
      </c>
      <c r="D3112" s="60">
        <v>38830</v>
      </c>
      <c r="E3112" s="65">
        <v>18.66826923076923</v>
      </c>
      <c r="F3112" s="197">
        <v>1493.4615384615386</v>
      </c>
      <c r="G3112" s="197">
        <v>0</v>
      </c>
      <c r="H3112" s="65">
        <v>38830</v>
      </c>
      <c r="I3112" s="65"/>
      <c r="J3112" s="65"/>
      <c r="K3112" s="65"/>
      <c r="L3112" s="197">
        <v>38830</v>
      </c>
    </row>
    <row r="3113" spans="1:12" ht="15" customHeight="1" x14ac:dyDescent="0.25">
      <c r="A3113" s="167">
        <v>568</v>
      </c>
      <c r="B3113" s="167" t="s">
        <v>3233</v>
      </c>
      <c r="C3113" s="265" t="s">
        <v>3146</v>
      </c>
      <c r="D3113" s="60">
        <v>39524</v>
      </c>
      <c r="E3113" s="65">
        <v>19.001923076923077</v>
      </c>
      <c r="F3113" s="197">
        <v>1520.1538461538462</v>
      </c>
      <c r="G3113" s="197">
        <v>0</v>
      </c>
      <c r="H3113" s="65">
        <v>39524</v>
      </c>
      <c r="I3113" s="65"/>
      <c r="J3113" s="65"/>
      <c r="K3113" s="65"/>
      <c r="L3113" s="197">
        <v>39524</v>
      </c>
    </row>
    <row r="3114" spans="1:12" ht="15" customHeight="1" x14ac:dyDescent="0.25">
      <c r="A3114" s="167">
        <v>568</v>
      </c>
      <c r="B3114" s="167" t="s">
        <v>3235</v>
      </c>
      <c r="C3114" s="265" t="s">
        <v>3146</v>
      </c>
      <c r="D3114" s="60">
        <v>39524</v>
      </c>
      <c r="E3114" s="65">
        <v>19.001923076923077</v>
      </c>
      <c r="F3114" s="197">
        <v>1520.1538461538462</v>
      </c>
      <c r="G3114" s="197">
        <v>0</v>
      </c>
      <c r="H3114" s="65">
        <v>39524</v>
      </c>
      <c r="I3114" s="65"/>
      <c r="J3114" s="65"/>
      <c r="K3114" s="65"/>
      <c r="L3114" s="197">
        <v>39524</v>
      </c>
    </row>
    <row r="3115" spans="1:12" ht="15" customHeight="1" x14ac:dyDescent="0.25">
      <c r="A3115" s="167">
        <v>568</v>
      </c>
      <c r="B3115" s="167" t="s">
        <v>3236</v>
      </c>
      <c r="C3115" s="265" t="s">
        <v>3146</v>
      </c>
      <c r="D3115" s="60">
        <v>38830</v>
      </c>
      <c r="E3115" s="65">
        <v>18.66826923076923</v>
      </c>
      <c r="F3115" s="197">
        <v>1493.4615384615386</v>
      </c>
      <c r="G3115" s="197">
        <v>0</v>
      </c>
      <c r="H3115" s="65">
        <v>38830</v>
      </c>
      <c r="I3115" s="65"/>
      <c r="J3115" s="65"/>
      <c r="K3115" s="65"/>
      <c r="L3115" s="197">
        <v>38830</v>
      </c>
    </row>
    <row r="3116" spans="1:12" ht="15" customHeight="1" x14ac:dyDescent="0.25">
      <c r="A3116" s="167">
        <v>568</v>
      </c>
      <c r="B3116" s="167" t="s">
        <v>3237</v>
      </c>
      <c r="C3116" s="265" t="s">
        <v>3146</v>
      </c>
      <c r="D3116" s="60">
        <v>38830</v>
      </c>
      <c r="E3116" s="65">
        <v>18.66826923076923</v>
      </c>
      <c r="F3116" s="197">
        <v>1493.4615384615386</v>
      </c>
      <c r="G3116" s="197">
        <v>0</v>
      </c>
      <c r="H3116" s="65">
        <v>38830</v>
      </c>
      <c r="I3116" s="65"/>
      <c r="J3116" s="65"/>
      <c r="K3116" s="65"/>
      <c r="L3116" s="197">
        <v>38830</v>
      </c>
    </row>
    <row r="3117" spans="1:12" ht="15" customHeight="1" x14ac:dyDescent="0.25">
      <c r="A3117" s="167">
        <v>568</v>
      </c>
      <c r="B3117" s="167" t="s">
        <v>3238</v>
      </c>
      <c r="C3117" s="265" t="s">
        <v>3239</v>
      </c>
      <c r="D3117" s="60">
        <v>40537</v>
      </c>
      <c r="E3117" s="65">
        <v>19.488942307692309</v>
      </c>
      <c r="F3117" s="197">
        <v>1559.1153846153845</v>
      </c>
      <c r="G3117" s="197">
        <v>0</v>
      </c>
      <c r="H3117" s="65">
        <v>40537</v>
      </c>
      <c r="I3117" s="65"/>
      <c r="J3117" s="65"/>
      <c r="K3117" s="65"/>
      <c r="L3117" s="197">
        <v>40537</v>
      </c>
    </row>
    <row r="3118" spans="1:12" ht="15" customHeight="1" x14ac:dyDescent="0.25">
      <c r="A3118" s="167">
        <v>568</v>
      </c>
      <c r="B3118" s="167" t="s">
        <v>3240</v>
      </c>
      <c r="C3118" s="265" t="s">
        <v>3239</v>
      </c>
      <c r="D3118" s="60">
        <v>40537</v>
      </c>
      <c r="E3118" s="65">
        <v>19.488942307692309</v>
      </c>
      <c r="F3118" s="197">
        <v>1559.1153846153845</v>
      </c>
      <c r="G3118" s="197">
        <v>0</v>
      </c>
      <c r="H3118" s="65">
        <v>40537</v>
      </c>
      <c r="I3118" s="65"/>
      <c r="J3118" s="65"/>
      <c r="K3118" s="65"/>
      <c r="L3118" s="197">
        <v>40537</v>
      </c>
    </row>
    <row r="3119" spans="1:12" ht="15" customHeight="1" x14ac:dyDescent="0.25">
      <c r="A3119" s="167">
        <v>568</v>
      </c>
      <c r="B3119" s="167" t="s">
        <v>3242</v>
      </c>
      <c r="C3119" s="265" t="s">
        <v>3239</v>
      </c>
      <c r="D3119" s="60">
        <v>40537</v>
      </c>
      <c r="E3119" s="65">
        <v>19.488942307692309</v>
      </c>
      <c r="F3119" s="197">
        <v>1559.1153846153845</v>
      </c>
      <c r="G3119" s="197">
        <v>0</v>
      </c>
      <c r="H3119" s="65">
        <v>40537</v>
      </c>
      <c r="I3119" s="65"/>
      <c r="J3119" s="65"/>
      <c r="K3119" s="65"/>
      <c r="L3119" s="197">
        <v>40537</v>
      </c>
    </row>
    <row r="3120" spans="1:12" ht="15" customHeight="1" x14ac:dyDescent="0.25">
      <c r="A3120" s="167">
        <v>568</v>
      </c>
      <c r="B3120" s="167" t="s">
        <v>3245</v>
      </c>
      <c r="C3120" s="265" t="s">
        <v>3239</v>
      </c>
      <c r="D3120" s="60">
        <v>40537</v>
      </c>
      <c r="E3120" s="65">
        <v>19.488942307692309</v>
      </c>
      <c r="F3120" s="197">
        <v>1559.1153846153845</v>
      </c>
      <c r="G3120" s="197">
        <v>0</v>
      </c>
      <c r="H3120" s="65">
        <v>40537</v>
      </c>
      <c r="I3120" s="65"/>
      <c r="J3120" s="65"/>
      <c r="K3120" s="65"/>
      <c r="L3120" s="197">
        <v>40537</v>
      </c>
    </row>
    <row r="3121" spans="1:12" ht="15" customHeight="1" x14ac:dyDescent="0.25">
      <c r="A3121" s="167">
        <v>568</v>
      </c>
      <c r="B3121" s="167" t="s">
        <v>3247</v>
      </c>
      <c r="C3121" s="265" t="s">
        <v>3239</v>
      </c>
      <c r="D3121" s="60">
        <v>41262</v>
      </c>
      <c r="E3121" s="65">
        <v>19.837499999999999</v>
      </c>
      <c r="F3121" s="197">
        <v>1587</v>
      </c>
      <c r="G3121" s="197">
        <v>0</v>
      </c>
      <c r="H3121" s="65">
        <v>41262</v>
      </c>
      <c r="I3121" s="65"/>
      <c r="J3121" s="65"/>
      <c r="K3121" s="65"/>
      <c r="L3121" s="197">
        <v>41262</v>
      </c>
    </row>
    <row r="3122" spans="1:12" ht="15" customHeight="1" x14ac:dyDescent="0.25">
      <c r="A3122" s="167">
        <v>568</v>
      </c>
      <c r="B3122" s="167" t="s">
        <v>3249</v>
      </c>
      <c r="C3122" s="265" t="s">
        <v>3239</v>
      </c>
      <c r="D3122" s="60">
        <v>42000</v>
      </c>
      <c r="E3122" s="65">
        <v>20.192307692307693</v>
      </c>
      <c r="F3122" s="197">
        <v>1615.3846153846155</v>
      </c>
      <c r="G3122" s="197">
        <v>0</v>
      </c>
      <c r="H3122" s="65">
        <v>42000</v>
      </c>
      <c r="I3122" s="65"/>
      <c r="J3122" s="65"/>
      <c r="K3122" s="65"/>
      <c r="L3122" s="197">
        <v>42000</v>
      </c>
    </row>
    <row r="3123" spans="1:12" ht="15" customHeight="1" x14ac:dyDescent="0.25">
      <c r="A3123" s="167">
        <v>568</v>
      </c>
      <c r="B3123" s="167" t="s">
        <v>3252</v>
      </c>
      <c r="C3123" s="265" t="s">
        <v>3239</v>
      </c>
      <c r="D3123" s="60">
        <v>42000</v>
      </c>
      <c r="E3123" s="65">
        <v>20.192307692307693</v>
      </c>
      <c r="F3123" s="197">
        <v>1615.3846153846155</v>
      </c>
      <c r="G3123" s="197">
        <v>0</v>
      </c>
      <c r="H3123" s="65">
        <v>42000</v>
      </c>
      <c r="I3123" s="65"/>
      <c r="J3123" s="65"/>
      <c r="K3123" s="65"/>
      <c r="L3123" s="197">
        <v>42000</v>
      </c>
    </row>
    <row r="3124" spans="1:12" ht="15" customHeight="1" x14ac:dyDescent="0.25">
      <c r="A3124" s="167">
        <v>568</v>
      </c>
      <c r="B3124" s="167" t="s">
        <v>3255</v>
      </c>
      <c r="C3124" s="265" t="s">
        <v>3239</v>
      </c>
      <c r="D3124" s="60">
        <v>39825</v>
      </c>
      <c r="E3124" s="65">
        <v>19.146634615384617</v>
      </c>
      <c r="F3124" s="197">
        <v>1531.7307692307693</v>
      </c>
      <c r="G3124" s="197">
        <v>0</v>
      </c>
      <c r="H3124" s="65">
        <v>39825</v>
      </c>
      <c r="I3124" s="65"/>
      <c r="J3124" s="65"/>
      <c r="K3124" s="65"/>
      <c r="L3124" s="197">
        <v>39825</v>
      </c>
    </row>
    <row r="3125" spans="1:12" ht="15" customHeight="1" x14ac:dyDescent="0.25">
      <c r="A3125" s="167">
        <v>568</v>
      </c>
      <c r="B3125" s="167" t="s">
        <v>3258</v>
      </c>
      <c r="C3125" s="265" t="s">
        <v>3239</v>
      </c>
      <c r="D3125" s="60">
        <v>44296</v>
      </c>
      <c r="E3125" s="65">
        <v>21.296153846153846</v>
      </c>
      <c r="F3125" s="197">
        <v>1703.6923076923076</v>
      </c>
      <c r="G3125" s="197">
        <v>0</v>
      </c>
      <c r="H3125" s="65">
        <v>44296</v>
      </c>
      <c r="I3125" s="65"/>
      <c r="J3125" s="65"/>
      <c r="K3125" s="65"/>
      <c r="L3125" s="197">
        <v>44296</v>
      </c>
    </row>
    <row r="3126" spans="1:12" ht="15" customHeight="1" x14ac:dyDescent="0.25">
      <c r="A3126" s="167">
        <v>568</v>
      </c>
      <c r="B3126" s="167" t="s">
        <v>3259</v>
      </c>
      <c r="C3126" s="265" t="s">
        <v>3239</v>
      </c>
      <c r="D3126" s="60">
        <v>44296</v>
      </c>
      <c r="E3126" s="65">
        <v>21.296153846153846</v>
      </c>
      <c r="F3126" s="197">
        <v>1703.6923076923076</v>
      </c>
      <c r="G3126" s="197">
        <v>0</v>
      </c>
      <c r="H3126" s="65">
        <v>44296</v>
      </c>
      <c r="I3126" s="65"/>
      <c r="J3126" s="65"/>
      <c r="K3126" s="65"/>
      <c r="L3126" s="197">
        <v>44296</v>
      </c>
    </row>
    <row r="3127" spans="1:12" ht="15" customHeight="1" x14ac:dyDescent="0.25">
      <c r="A3127" s="167">
        <v>568</v>
      </c>
      <c r="B3127" s="167" t="s">
        <v>3260</v>
      </c>
      <c r="C3127" s="265" t="s">
        <v>3239</v>
      </c>
      <c r="D3127" s="60">
        <v>44296</v>
      </c>
      <c r="E3127" s="65">
        <v>21.296153846153846</v>
      </c>
      <c r="F3127" s="197">
        <v>1703.6923076923076</v>
      </c>
      <c r="G3127" s="197">
        <v>0</v>
      </c>
      <c r="H3127" s="65">
        <v>44296</v>
      </c>
      <c r="I3127" s="65"/>
      <c r="J3127" s="65"/>
      <c r="K3127" s="65"/>
      <c r="L3127" s="197">
        <v>44296</v>
      </c>
    </row>
    <row r="3128" spans="1:12" ht="15" customHeight="1" x14ac:dyDescent="0.25">
      <c r="A3128" s="167">
        <v>568</v>
      </c>
      <c r="B3128" s="167" t="s">
        <v>3263</v>
      </c>
      <c r="C3128" s="265" t="s">
        <v>3239</v>
      </c>
      <c r="D3128" s="60">
        <v>40537</v>
      </c>
      <c r="E3128" s="65">
        <v>19.488942307692309</v>
      </c>
      <c r="F3128" s="197">
        <v>1559.1153846153845</v>
      </c>
      <c r="G3128" s="197">
        <v>0</v>
      </c>
      <c r="H3128" s="65">
        <v>40537</v>
      </c>
      <c r="I3128" s="65"/>
      <c r="J3128" s="65"/>
      <c r="K3128" s="65"/>
      <c r="L3128" s="197">
        <v>40537</v>
      </c>
    </row>
    <row r="3129" spans="1:12" ht="15" customHeight="1" x14ac:dyDescent="0.25">
      <c r="A3129" s="167">
        <v>568</v>
      </c>
      <c r="B3129" s="167" t="s">
        <v>3264</v>
      </c>
      <c r="C3129" s="265" t="s">
        <v>3239</v>
      </c>
      <c r="D3129" s="60">
        <v>39825</v>
      </c>
      <c r="E3129" s="65">
        <v>19.146634615384617</v>
      </c>
      <c r="F3129" s="197">
        <v>1531.7307692307693</v>
      </c>
      <c r="G3129" s="197">
        <v>0</v>
      </c>
      <c r="H3129" s="65">
        <v>39825</v>
      </c>
      <c r="I3129" s="65"/>
      <c r="J3129" s="65"/>
      <c r="K3129" s="65"/>
      <c r="L3129" s="197">
        <v>39825</v>
      </c>
    </row>
    <row r="3130" spans="1:12" ht="15" customHeight="1" x14ac:dyDescent="0.25">
      <c r="A3130" s="167">
        <v>568</v>
      </c>
      <c r="B3130" s="167" t="s">
        <v>3265</v>
      </c>
      <c r="C3130" s="265" t="s">
        <v>3266</v>
      </c>
      <c r="D3130" s="60">
        <v>45099</v>
      </c>
      <c r="E3130" s="65">
        <v>21.682211538461537</v>
      </c>
      <c r="F3130" s="197">
        <v>1734.5769230769231</v>
      </c>
      <c r="G3130" s="197">
        <v>0</v>
      </c>
      <c r="H3130" s="65">
        <v>45099</v>
      </c>
      <c r="I3130" s="65"/>
      <c r="J3130" s="102">
        <v>1200</v>
      </c>
      <c r="K3130" s="65"/>
      <c r="L3130" s="197">
        <v>46299</v>
      </c>
    </row>
    <row r="3131" spans="1:12" ht="15" customHeight="1" x14ac:dyDescent="0.25">
      <c r="A3131" s="167">
        <v>568</v>
      </c>
      <c r="B3131" s="167" t="s">
        <v>3268</v>
      </c>
      <c r="C3131" s="265" t="s">
        <v>3269</v>
      </c>
      <c r="D3131" s="60">
        <v>42058</v>
      </c>
      <c r="E3131" s="65">
        <v>20.220192307692308</v>
      </c>
      <c r="F3131" s="197">
        <v>1617.6153846153845</v>
      </c>
      <c r="G3131" s="197">
        <v>0</v>
      </c>
      <c r="H3131" s="65">
        <v>42058</v>
      </c>
      <c r="I3131" s="65"/>
      <c r="J3131" s="65">
        <v>1200</v>
      </c>
      <c r="K3131" s="65"/>
      <c r="L3131" s="197">
        <v>43258</v>
      </c>
    </row>
    <row r="3132" spans="1:12" ht="15" customHeight="1" x14ac:dyDescent="0.25">
      <c r="A3132" s="167">
        <v>568</v>
      </c>
      <c r="B3132" s="167" t="s">
        <v>3271</v>
      </c>
      <c r="C3132" s="265" t="s">
        <v>3269</v>
      </c>
      <c r="D3132" s="60">
        <v>42058</v>
      </c>
      <c r="E3132" s="65">
        <v>20.220192307692308</v>
      </c>
      <c r="F3132" s="197">
        <v>1617.6153846153845</v>
      </c>
      <c r="G3132" s="197">
        <v>0</v>
      </c>
      <c r="H3132" s="65">
        <v>42058</v>
      </c>
      <c r="I3132" s="65"/>
      <c r="J3132" s="197">
        <v>1200</v>
      </c>
      <c r="K3132" s="197"/>
      <c r="L3132" s="197">
        <v>43258</v>
      </c>
    </row>
    <row r="3133" spans="1:12" ht="15" customHeight="1" x14ac:dyDescent="0.25">
      <c r="A3133" s="167">
        <v>568</v>
      </c>
      <c r="B3133" s="167" t="s">
        <v>3274</v>
      </c>
      <c r="C3133" s="265" t="s">
        <v>3269</v>
      </c>
      <c r="D3133" s="60">
        <v>42058</v>
      </c>
      <c r="E3133" s="65">
        <v>20.220192307692308</v>
      </c>
      <c r="F3133" s="197">
        <v>1617.6153846153845</v>
      </c>
      <c r="G3133" s="197">
        <v>0</v>
      </c>
      <c r="H3133" s="65">
        <v>42058</v>
      </c>
      <c r="I3133" s="65"/>
      <c r="J3133" s="197">
        <v>1200</v>
      </c>
      <c r="K3133" s="197"/>
      <c r="L3133" s="197">
        <v>43258</v>
      </c>
    </row>
    <row r="3134" spans="1:12" ht="15" customHeight="1" x14ac:dyDescent="0.25">
      <c r="A3134" s="167">
        <v>568</v>
      </c>
      <c r="B3134" s="167" t="s">
        <v>3275</v>
      </c>
      <c r="C3134" s="265" t="s">
        <v>3269</v>
      </c>
      <c r="D3134" s="60">
        <v>42058</v>
      </c>
      <c r="E3134" s="65">
        <v>20.220192307692308</v>
      </c>
      <c r="F3134" s="197">
        <v>1617.6153846153845</v>
      </c>
      <c r="G3134" s="197">
        <v>0</v>
      </c>
      <c r="H3134" s="65">
        <v>42058</v>
      </c>
      <c r="I3134" s="65"/>
      <c r="J3134" s="197">
        <v>1200</v>
      </c>
      <c r="K3134" s="65"/>
      <c r="L3134" s="197">
        <v>43258</v>
      </c>
    </row>
    <row r="3135" spans="1:12" ht="15" customHeight="1" x14ac:dyDescent="0.25">
      <c r="A3135" s="167">
        <v>568</v>
      </c>
      <c r="B3135" s="167" t="s">
        <v>3277</v>
      </c>
      <c r="C3135" s="265" t="s">
        <v>3269</v>
      </c>
      <c r="D3135" s="60">
        <v>42058</v>
      </c>
      <c r="E3135" s="65">
        <v>20.220192307692308</v>
      </c>
      <c r="F3135" s="197">
        <v>1617.6153846153845</v>
      </c>
      <c r="G3135" s="197">
        <v>0</v>
      </c>
      <c r="H3135" s="65">
        <v>42058</v>
      </c>
      <c r="I3135" s="65"/>
      <c r="J3135" s="197">
        <v>1200</v>
      </c>
      <c r="K3135" s="65"/>
      <c r="L3135" s="197">
        <v>43258</v>
      </c>
    </row>
    <row r="3136" spans="1:12" ht="15" customHeight="1" x14ac:dyDescent="0.25">
      <c r="A3136" s="167">
        <v>568</v>
      </c>
      <c r="B3136" s="167" t="s">
        <v>3280</v>
      </c>
      <c r="C3136" s="265" t="s">
        <v>3269</v>
      </c>
      <c r="D3136" s="60">
        <v>43577</v>
      </c>
      <c r="E3136" s="65">
        <v>20.950480769230769</v>
      </c>
      <c r="F3136" s="197">
        <v>1676.0384615384614</v>
      </c>
      <c r="G3136" s="197">
        <v>0</v>
      </c>
      <c r="H3136" s="65">
        <v>43577</v>
      </c>
      <c r="I3136" s="65"/>
      <c r="J3136" s="197">
        <v>1200</v>
      </c>
      <c r="K3136" s="60"/>
      <c r="L3136" s="197">
        <v>44777</v>
      </c>
    </row>
    <row r="3137" spans="1:12" ht="15" customHeight="1" x14ac:dyDescent="0.25">
      <c r="A3137" s="167">
        <v>568</v>
      </c>
      <c r="B3137" s="167" t="s">
        <v>3281</v>
      </c>
      <c r="C3137" s="265" t="s">
        <v>3269</v>
      </c>
      <c r="D3137" s="60">
        <v>43577</v>
      </c>
      <c r="E3137" s="65">
        <v>20.950480769230769</v>
      </c>
      <c r="F3137" s="197">
        <v>1676.0384615384614</v>
      </c>
      <c r="G3137" s="197">
        <v>0</v>
      </c>
      <c r="H3137" s="65">
        <v>43577</v>
      </c>
      <c r="I3137" s="65"/>
      <c r="J3137" s="197">
        <v>1200</v>
      </c>
      <c r="K3137" s="96">
        <v>1000</v>
      </c>
      <c r="L3137" s="197">
        <v>45777</v>
      </c>
    </row>
    <row r="3138" spans="1:12" ht="15" customHeight="1" x14ac:dyDescent="0.25">
      <c r="A3138" s="167">
        <v>568</v>
      </c>
      <c r="B3138" s="167" t="s">
        <v>3284</v>
      </c>
      <c r="C3138" s="265" t="s">
        <v>3269</v>
      </c>
      <c r="D3138" s="60">
        <v>41319</v>
      </c>
      <c r="E3138" s="65">
        <v>19.864903846153847</v>
      </c>
      <c r="F3138" s="197">
        <v>1589.1923076923076</v>
      </c>
      <c r="G3138" s="197">
        <v>0</v>
      </c>
      <c r="H3138" s="65">
        <v>41319</v>
      </c>
      <c r="I3138" s="65"/>
      <c r="J3138" s="197">
        <v>1200</v>
      </c>
      <c r="K3138" s="60"/>
      <c r="L3138" s="197">
        <v>42519</v>
      </c>
    </row>
    <row r="3139" spans="1:12" ht="15" customHeight="1" x14ac:dyDescent="0.25">
      <c r="A3139" s="167">
        <v>568</v>
      </c>
      <c r="B3139" s="167" t="s">
        <v>3285</v>
      </c>
      <c r="C3139" s="265" t="s">
        <v>3269</v>
      </c>
      <c r="D3139" s="60">
        <v>41319</v>
      </c>
      <c r="E3139" s="65">
        <v>19.864903846153847</v>
      </c>
      <c r="F3139" s="197">
        <v>1589.1923076923076</v>
      </c>
      <c r="G3139" s="197">
        <v>0</v>
      </c>
      <c r="H3139" s="65">
        <v>41319</v>
      </c>
      <c r="I3139" s="65"/>
      <c r="J3139" s="197">
        <v>1200</v>
      </c>
      <c r="K3139" s="96"/>
      <c r="L3139" s="197">
        <v>42519</v>
      </c>
    </row>
    <row r="3140" spans="1:12" ht="15" customHeight="1" x14ac:dyDescent="0.25">
      <c r="A3140" s="167">
        <v>568</v>
      </c>
      <c r="B3140" s="167" t="s">
        <v>3286</v>
      </c>
      <c r="C3140" s="181" t="s">
        <v>3287</v>
      </c>
      <c r="D3140" s="60">
        <v>41778</v>
      </c>
      <c r="E3140" s="65">
        <v>20.085576923076925</v>
      </c>
      <c r="F3140" s="197">
        <v>1606.8461538461538</v>
      </c>
      <c r="G3140" s="197">
        <v>0</v>
      </c>
      <c r="H3140" s="65">
        <v>41778</v>
      </c>
      <c r="I3140" s="65"/>
      <c r="J3140" s="65"/>
      <c r="K3140" s="65"/>
      <c r="L3140" s="197">
        <v>41778</v>
      </c>
    </row>
    <row r="3141" spans="1:12" ht="15" customHeight="1" x14ac:dyDescent="0.25">
      <c r="A3141" s="167">
        <v>568</v>
      </c>
      <c r="B3141" s="167" t="s">
        <v>3290</v>
      </c>
      <c r="C3141" s="181" t="s">
        <v>3291</v>
      </c>
      <c r="D3141" s="60">
        <v>46516</v>
      </c>
      <c r="E3141" s="65">
        <v>22.363461538461539</v>
      </c>
      <c r="F3141" s="197">
        <v>1789.0769230769231</v>
      </c>
      <c r="G3141" s="197">
        <v>0</v>
      </c>
      <c r="H3141" s="65">
        <v>46516</v>
      </c>
      <c r="I3141" s="65"/>
      <c r="J3141" s="65"/>
      <c r="K3141" s="65"/>
      <c r="L3141" s="197">
        <v>46516</v>
      </c>
    </row>
    <row r="3142" spans="1:12" ht="15" customHeight="1" x14ac:dyDescent="0.25">
      <c r="A3142" s="167">
        <v>568</v>
      </c>
      <c r="B3142" s="247"/>
      <c r="C3142" s="265" t="s">
        <v>3100</v>
      </c>
      <c r="D3142" s="60">
        <v>54000</v>
      </c>
      <c r="E3142" s="247"/>
      <c r="F3142" s="247"/>
      <c r="G3142" s="247">
        <v>0</v>
      </c>
      <c r="H3142" s="167">
        <v>54000</v>
      </c>
      <c r="I3142" s="65"/>
      <c r="J3142" s="65"/>
      <c r="K3142" s="65"/>
      <c r="L3142" s="197">
        <v>54000</v>
      </c>
    </row>
    <row r="3143" spans="1:12" ht="15" customHeight="1" x14ac:dyDescent="0.25">
      <c r="A3143" s="167">
        <v>568</v>
      </c>
      <c r="B3143" s="247"/>
      <c r="C3143" s="265" t="s">
        <v>2495</v>
      </c>
      <c r="D3143" s="60">
        <v>30000</v>
      </c>
      <c r="E3143" s="247"/>
      <c r="F3143" s="247"/>
      <c r="G3143" s="247">
        <v>0</v>
      </c>
      <c r="H3143" s="167">
        <v>30000</v>
      </c>
      <c r="I3143" s="65"/>
      <c r="J3143" s="65"/>
      <c r="K3143" s="65"/>
      <c r="L3143" s="197">
        <v>30000</v>
      </c>
    </row>
    <row r="3144" spans="1:12" ht="15" customHeight="1" x14ac:dyDescent="0.25">
      <c r="A3144" s="167">
        <v>568</v>
      </c>
      <c r="B3144" s="247"/>
      <c r="C3144" s="247"/>
      <c r="D3144" s="95">
        <v>4321669</v>
      </c>
      <c r="E3144" s="107"/>
      <c r="F3144" s="95">
        <v>162987.26923076922</v>
      </c>
      <c r="G3144" s="95">
        <v>0</v>
      </c>
      <c r="H3144" s="107">
        <v>4321669</v>
      </c>
      <c r="I3144" s="95">
        <f t="shared" ref="I3144:K3144" si="1004">SUM(I3039:I3143)</f>
        <v>0</v>
      </c>
      <c r="J3144" s="95">
        <f t="shared" si="1004"/>
        <v>16800</v>
      </c>
      <c r="K3144" s="95">
        <f t="shared" si="1004"/>
        <v>5500</v>
      </c>
      <c r="L3144" s="95">
        <v>4343969</v>
      </c>
    </row>
    <row r="3145" spans="1:12" ht="15" customHeight="1" x14ac:dyDescent="0.25">
      <c r="A3145" s="247"/>
      <c r="B3145" s="247"/>
      <c r="C3145" s="247"/>
      <c r="D3145" s="60"/>
      <c r="E3145" s="125"/>
      <c r="F3145" s="225"/>
      <c r="G3145" s="247"/>
      <c r="H3145" s="247"/>
      <c r="I3145" s="65"/>
      <c r="J3145" s="65"/>
      <c r="K3145" s="65"/>
      <c r="L3145" s="65"/>
    </row>
    <row r="3146" spans="1:12" ht="15" customHeight="1" x14ac:dyDescent="0.25">
      <c r="A3146" s="247"/>
      <c r="B3146" s="247"/>
      <c r="C3146" s="247"/>
      <c r="D3146" s="397"/>
      <c r="E3146" s="247"/>
      <c r="F3146" s="247"/>
      <c r="G3146" s="247"/>
      <c r="H3146" s="247"/>
      <c r="I3146" s="65"/>
      <c r="J3146" s="65"/>
      <c r="K3146" s="65"/>
      <c r="L3146" s="197"/>
    </row>
    <row r="3147" spans="1:12" ht="15" customHeight="1" x14ac:dyDescent="0.25">
      <c r="A3147" s="247"/>
      <c r="B3147" s="247"/>
      <c r="C3147" s="247"/>
      <c r="D3147" s="397"/>
      <c r="E3147" s="247"/>
      <c r="F3147" s="247"/>
      <c r="G3147" s="247"/>
      <c r="H3147" s="247"/>
      <c r="I3147" s="65"/>
      <c r="J3147" s="65"/>
      <c r="K3147" s="65"/>
      <c r="L3147" s="69"/>
    </row>
    <row r="3148" spans="1:12" ht="15" customHeight="1" x14ac:dyDescent="0.25">
      <c r="A3148" s="167"/>
      <c r="B3148" s="167"/>
      <c r="C3148" s="181"/>
      <c r="D3148" s="60"/>
      <c r="E3148" s="65"/>
      <c r="F3148" s="197"/>
      <c r="G3148" s="197"/>
      <c r="H3148" s="65"/>
      <c r="I3148" s="65"/>
      <c r="J3148" s="197"/>
      <c r="K3148" s="65"/>
      <c r="L3148" s="197"/>
    </row>
    <row r="3149" spans="1:12" ht="15" customHeight="1" x14ac:dyDescent="0.25">
      <c r="A3149" s="167">
        <v>569</v>
      </c>
      <c r="B3149" s="167" t="s">
        <v>3294</v>
      </c>
      <c r="C3149" s="181" t="s">
        <v>3295</v>
      </c>
      <c r="D3149" s="60">
        <v>49662</v>
      </c>
      <c r="E3149" s="65">
        <v>23.875961538461539</v>
      </c>
      <c r="F3149" s="197">
        <v>1910.0769230769231</v>
      </c>
      <c r="G3149" s="197">
        <v>0</v>
      </c>
      <c r="H3149" s="65">
        <v>49662</v>
      </c>
      <c r="I3149" s="65"/>
      <c r="J3149" s="197">
        <v>1200</v>
      </c>
      <c r="K3149" s="294"/>
      <c r="L3149" s="197">
        <v>50862</v>
      </c>
    </row>
    <row r="3150" spans="1:12" ht="15" customHeight="1" x14ac:dyDescent="0.25">
      <c r="A3150" s="247"/>
      <c r="B3150" s="247"/>
      <c r="C3150" s="247"/>
      <c r="D3150" s="95">
        <v>49662</v>
      </c>
      <c r="E3150" s="107"/>
      <c r="F3150" s="95">
        <v>1910.0769230769231</v>
      </c>
      <c r="G3150" s="95">
        <v>0</v>
      </c>
      <c r="H3150" s="107">
        <v>49662</v>
      </c>
      <c r="I3150" s="95">
        <f t="shared" ref="I3150:K3150" si="1005">SUM(I3149)</f>
        <v>0</v>
      </c>
      <c r="J3150" s="95">
        <f t="shared" si="1005"/>
        <v>1200</v>
      </c>
      <c r="K3150" s="95">
        <f t="shared" si="1005"/>
        <v>0</v>
      </c>
      <c r="L3150" s="95">
        <v>50862</v>
      </c>
    </row>
    <row r="3151" spans="1:12" ht="15" customHeight="1" x14ac:dyDescent="0.25">
      <c r="A3151" s="247"/>
      <c r="B3151" s="247"/>
      <c r="C3151" s="247"/>
      <c r="D3151" s="397"/>
      <c r="E3151" s="247"/>
      <c r="F3151" s="247"/>
      <c r="G3151" s="247"/>
      <c r="H3151" s="247"/>
      <c r="I3151" s="65"/>
      <c r="J3151" s="65"/>
      <c r="K3151" s="65"/>
      <c r="L3151" s="65"/>
    </row>
    <row r="3152" spans="1:12" ht="15" customHeight="1" x14ac:dyDescent="0.25">
      <c r="A3152" s="247"/>
      <c r="B3152" s="247"/>
      <c r="C3152" s="247"/>
      <c r="D3152" s="397"/>
      <c r="E3152" s="247"/>
      <c r="F3152" s="247"/>
      <c r="G3152" s="247"/>
      <c r="H3152" s="247"/>
      <c r="I3152" s="65"/>
      <c r="J3152" s="65"/>
      <c r="K3152" s="65"/>
      <c r="L3152" s="65"/>
    </row>
    <row r="3153" spans="1:12" ht="15" customHeight="1" x14ac:dyDescent="0.25">
      <c r="A3153" s="167">
        <v>570</v>
      </c>
      <c r="B3153" s="167" t="s">
        <v>3297</v>
      </c>
      <c r="C3153" s="265" t="s">
        <v>3298</v>
      </c>
      <c r="D3153" s="60">
        <v>66700</v>
      </c>
      <c r="E3153" s="65">
        <v>32.067307692307693</v>
      </c>
      <c r="F3153" s="197">
        <v>2565.3846153846152</v>
      </c>
      <c r="G3153" s="197">
        <v>0</v>
      </c>
      <c r="H3153" s="65">
        <v>66700</v>
      </c>
      <c r="I3153" s="65"/>
      <c r="J3153" s="65"/>
      <c r="K3153" s="65"/>
      <c r="L3153" s="197">
        <v>66700</v>
      </c>
    </row>
    <row r="3154" spans="1:12" ht="15" customHeight="1" x14ac:dyDescent="0.25">
      <c r="A3154" s="167">
        <v>570</v>
      </c>
      <c r="B3154" s="167" t="s">
        <v>3300</v>
      </c>
      <c r="C3154" s="265" t="s">
        <v>3301</v>
      </c>
      <c r="D3154" s="60">
        <v>55251</v>
      </c>
      <c r="E3154" s="65">
        <v>26.562980769230769</v>
      </c>
      <c r="F3154" s="197">
        <v>2125.0384615384614</v>
      </c>
      <c r="G3154" s="197">
        <v>0</v>
      </c>
      <c r="H3154" s="65">
        <v>55251</v>
      </c>
      <c r="I3154" s="65"/>
      <c r="J3154" s="65"/>
      <c r="K3154" s="65"/>
      <c r="L3154" s="197">
        <v>55251</v>
      </c>
    </row>
    <row r="3155" spans="1:12" ht="15" customHeight="1" x14ac:dyDescent="0.25">
      <c r="A3155" s="167">
        <v>570</v>
      </c>
      <c r="B3155" s="167" t="s">
        <v>3304</v>
      </c>
      <c r="C3155" s="265" t="s">
        <v>3305</v>
      </c>
      <c r="D3155" s="60">
        <v>43998</v>
      </c>
      <c r="E3155" s="65">
        <v>21.152884615384615</v>
      </c>
      <c r="F3155" s="197">
        <v>1692.2307692307693</v>
      </c>
      <c r="G3155" s="197">
        <v>0</v>
      </c>
      <c r="H3155" s="65">
        <v>43998</v>
      </c>
      <c r="I3155" s="65"/>
      <c r="J3155" s="65"/>
      <c r="K3155" s="65"/>
      <c r="L3155" s="197">
        <v>43998</v>
      </c>
    </row>
    <row r="3156" spans="1:12" ht="15" customHeight="1" x14ac:dyDescent="0.25">
      <c r="A3156" s="167">
        <v>570</v>
      </c>
      <c r="B3156" s="167" t="s">
        <v>3307</v>
      </c>
      <c r="C3156" s="265" t="s">
        <v>3305</v>
      </c>
      <c r="D3156" s="60">
        <v>43206</v>
      </c>
      <c r="E3156" s="65">
        <v>20.772115384615386</v>
      </c>
      <c r="F3156" s="197">
        <v>1661.7692307692307</v>
      </c>
      <c r="G3156" s="197">
        <v>0</v>
      </c>
      <c r="H3156" s="65">
        <v>43206</v>
      </c>
      <c r="I3156" s="65"/>
      <c r="J3156" s="65"/>
      <c r="K3156" s="65"/>
      <c r="L3156" s="197">
        <v>43206</v>
      </c>
    </row>
    <row r="3157" spans="1:12" ht="15" customHeight="1" x14ac:dyDescent="0.25">
      <c r="A3157" s="167">
        <v>570</v>
      </c>
      <c r="B3157" s="167" t="s">
        <v>3308</v>
      </c>
      <c r="C3157" s="265" t="s">
        <v>3305</v>
      </c>
      <c r="D3157" s="60">
        <v>43206</v>
      </c>
      <c r="E3157" s="65">
        <v>20.772115384615386</v>
      </c>
      <c r="F3157" s="197">
        <v>1661.7692307692307</v>
      </c>
      <c r="G3157" s="197">
        <v>0</v>
      </c>
      <c r="H3157" s="65">
        <v>43206</v>
      </c>
      <c r="I3157" s="65"/>
      <c r="J3157" s="65"/>
      <c r="K3157" s="65"/>
      <c r="L3157" s="197">
        <v>43206</v>
      </c>
    </row>
    <row r="3158" spans="1:12" ht="15" customHeight="1" x14ac:dyDescent="0.25">
      <c r="A3158" s="167">
        <v>570</v>
      </c>
      <c r="B3158" s="167" t="s">
        <v>3309</v>
      </c>
      <c r="C3158" s="265" t="s">
        <v>3305</v>
      </c>
      <c r="D3158" s="60">
        <v>43206</v>
      </c>
      <c r="E3158" s="65">
        <v>20.772115384615386</v>
      </c>
      <c r="F3158" s="197">
        <v>1661.7692307692307</v>
      </c>
      <c r="G3158" s="197">
        <v>0</v>
      </c>
      <c r="H3158" s="65">
        <v>43206</v>
      </c>
      <c r="I3158" s="65"/>
      <c r="J3158" s="65"/>
      <c r="K3158" s="65"/>
      <c r="L3158" s="197">
        <v>43206</v>
      </c>
    </row>
    <row r="3159" spans="1:12" ht="15" customHeight="1" x14ac:dyDescent="0.25">
      <c r="A3159" s="167">
        <v>570</v>
      </c>
      <c r="B3159" s="167" t="s">
        <v>3310</v>
      </c>
      <c r="C3159" s="265" t="s">
        <v>2701</v>
      </c>
      <c r="D3159" s="60">
        <v>40044</v>
      </c>
      <c r="E3159" s="65">
        <v>19.251923076923077</v>
      </c>
      <c r="F3159" s="197">
        <v>1540.1538461538462</v>
      </c>
      <c r="G3159" s="197">
        <v>0</v>
      </c>
      <c r="H3159" s="65">
        <v>40044</v>
      </c>
      <c r="I3159" s="65"/>
      <c r="J3159" s="65"/>
      <c r="K3159" s="65"/>
      <c r="L3159" s="197">
        <v>40044</v>
      </c>
    </row>
    <row r="3160" spans="1:12" ht="15" customHeight="1" x14ac:dyDescent="0.25">
      <c r="A3160" s="167">
        <v>570</v>
      </c>
      <c r="B3160" s="247"/>
      <c r="C3160" s="247"/>
      <c r="D3160" s="95">
        <v>335611</v>
      </c>
      <c r="E3160" s="107"/>
      <c r="F3160" s="95">
        <v>12908.115384615383</v>
      </c>
      <c r="G3160" s="95">
        <v>0</v>
      </c>
      <c r="H3160" s="107">
        <v>335611</v>
      </c>
      <c r="I3160" s="95">
        <f t="shared" ref="I3160:K3160" si="1006">SUM(I3152:I3159)</f>
        <v>0</v>
      </c>
      <c r="J3160" s="95">
        <f t="shared" si="1006"/>
        <v>0</v>
      </c>
      <c r="K3160" s="95">
        <f t="shared" si="1006"/>
        <v>0</v>
      </c>
      <c r="L3160" s="95">
        <v>335611</v>
      </c>
    </row>
    <row r="3161" spans="1:12" ht="15" customHeight="1" x14ac:dyDescent="0.25">
      <c r="A3161" s="247"/>
      <c r="B3161" s="247"/>
      <c r="C3161" s="247"/>
      <c r="D3161" s="117"/>
      <c r="E3161" s="247"/>
      <c r="F3161" s="247"/>
      <c r="G3161" s="247"/>
      <c r="H3161" s="167"/>
      <c r="I3161" s="65"/>
      <c r="J3161" s="65"/>
      <c r="K3161" s="294"/>
      <c r="L3161" s="294"/>
    </row>
    <row r="3162" spans="1:12" ht="15" customHeight="1" x14ac:dyDescent="0.25">
      <c r="A3162" s="247"/>
      <c r="B3162" s="247"/>
      <c r="C3162" s="247"/>
      <c r="D3162" s="397"/>
      <c r="E3162" s="247"/>
      <c r="F3162" s="247"/>
      <c r="G3162" s="247"/>
      <c r="H3162" s="247"/>
      <c r="I3162" s="65"/>
      <c r="J3162" s="65"/>
      <c r="K3162" s="65"/>
      <c r="L3162" s="294">
        <v>177406</v>
      </c>
    </row>
    <row r="3163" spans="1:12" ht="15" customHeight="1" x14ac:dyDescent="0.25">
      <c r="A3163" s="265"/>
      <c r="B3163" s="265"/>
      <c r="C3163" s="265"/>
      <c r="D3163" s="60"/>
      <c r="E3163" s="65"/>
      <c r="F3163" s="197"/>
      <c r="G3163" s="197"/>
      <c r="H3163" s="65"/>
      <c r="I3163" s="65"/>
      <c r="J3163" s="65"/>
      <c r="K3163" s="65"/>
      <c r="L3163" s="65"/>
    </row>
    <row r="3164" spans="1:12" ht="15" customHeight="1" x14ac:dyDescent="0.25">
      <c r="A3164" s="167">
        <v>588</v>
      </c>
      <c r="B3164" s="167" t="s">
        <v>3313</v>
      </c>
      <c r="C3164" s="265" t="s">
        <v>3314</v>
      </c>
      <c r="D3164" s="60">
        <v>56264</v>
      </c>
      <c r="E3164" s="65">
        <v>27.05</v>
      </c>
      <c r="F3164" s="197">
        <v>2164</v>
      </c>
      <c r="G3164" s="197">
        <v>0</v>
      </c>
      <c r="H3164" s="65">
        <v>56264</v>
      </c>
      <c r="I3164" s="65"/>
      <c r="J3164" s="65"/>
      <c r="K3164" s="65"/>
      <c r="L3164" s="197">
        <v>56264</v>
      </c>
    </row>
    <row r="3165" spans="1:12" ht="15" customHeight="1" x14ac:dyDescent="0.25">
      <c r="A3165" s="247"/>
      <c r="B3165" s="265"/>
      <c r="C3165" s="265"/>
      <c r="D3165" s="95">
        <v>56264</v>
      </c>
      <c r="E3165" s="107"/>
      <c r="F3165" s="95">
        <v>2164</v>
      </c>
      <c r="G3165" s="95">
        <v>0</v>
      </c>
      <c r="H3165" s="107">
        <v>56264</v>
      </c>
      <c r="I3165" s="95">
        <f t="shared" ref="I3165:K3165" si="1007">SUM(I3162:I3164)</f>
        <v>0</v>
      </c>
      <c r="J3165" s="95">
        <f t="shared" si="1007"/>
        <v>0</v>
      </c>
      <c r="K3165" s="95">
        <f t="shared" si="1007"/>
        <v>0</v>
      </c>
      <c r="L3165" s="95">
        <v>56264</v>
      </c>
    </row>
    <row r="3166" spans="1:12" ht="15" customHeight="1" x14ac:dyDescent="0.25">
      <c r="A3166" s="247"/>
      <c r="B3166" s="247"/>
      <c r="C3166" s="247"/>
      <c r="D3166" s="397"/>
      <c r="E3166" s="247"/>
      <c r="F3166" s="247"/>
      <c r="G3166" s="247"/>
      <c r="H3166" s="247"/>
      <c r="I3166" s="65"/>
      <c r="J3166" s="65"/>
      <c r="K3166" s="65"/>
      <c r="L3166" s="65"/>
    </row>
    <row r="3167" spans="1:12" ht="15" customHeight="1" x14ac:dyDescent="0.25">
      <c r="A3167" s="247"/>
      <c r="B3167" s="247"/>
      <c r="C3167" s="247"/>
      <c r="D3167" s="397"/>
      <c r="E3167" s="247"/>
      <c r="F3167" s="247"/>
      <c r="G3167" s="247"/>
      <c r="H3167" s="247"/>
      <c r="I3167" s="65"/>
      <c r="J3167" s="65"/>
      <c r="K3167" s="65"/>
      <c r="L3167" s="65"/>
    </row>
    <row r="3168" spans="1:12" ht="15" customHeight="1" x14ac:dyDescent="0.25">
      <c r="A3168" s="167">
        <v>591</v>
      </c>
      <c r="B3168" s="167" t="s">
        <v>3317</v>
      </c>
      <c r="C3168" s="265" t="s">
        <v>3318</v>
      </c>
      <c r="D3168" s="60">
        <v>61504</v>
      </c>
      <c r="E3168" s="113">
        <v>29.569230769230771</v>
      </c>
      <c r="F3168" s="113">
        <v>2365.5384615384614</v>
      </c>
      <c r="G3168" s="125">
        <v>0</v>
      </c>
      <c r="H3168" s="65">
        <v>61504</v>
      </c>
      <c r="I3168" s="65"/>
      <c r="J3168" s="197">
        <v>1200</v>
      </c>
      <c r="K3168" s="65"/>
      <c r="L3168" s="197">
        <v>62704</v>
      </c>
    </row>
    <row r="3169" spans="1:12" ht="15" customHeight="1" x14ac:dyDescent="0.25">
      <c r="A3169" s="167">
        <v>591</v>
      </c>
      <c r="B3169" s="167" t="s">
        <v>3321</v>
      </c>
      <c r="C3169" s="265" t="s">
        <v>3322</v>
      </c>
      <c r="D3169" s="60">
        <v>53134</v>
      </c>
      <c r="E3169" s="113">
        <v>25.545192307692307</v>
      </c>
      <c r="F3169" s="113">
        <v>2043.6153846153845</v>
      </c>
      <c r="G3169" s="125">
        <v>0</v>
      </c>
      <c r="H3169" s="65">
        <v>53134</v>
      </c>
      <c r="I3169" s="65"/>
      <c r="J3169" s="197">
        <v>1200</v>
      </c>
      <c r="K3169" s="65"/>
      <c r="L3169" s="197">
        <v>54334</v>
      </c>
    </row>
    <row r="3170" spans="1:12" ht="15" customHeight="1" x14ac:dyDescent="0.25">
      <c r="A3170" s="167">
        <v>591</v>
      </c>
      <c r="B3170" s="167" t="s">
        <v>3324</v>
      </c>
      <c r="C3170" s="265" t="s">
        <v>3325</v>
      </c>
      <c r="D3170" s="60">
        <v>40821</v>
      </c>
      <c r="E3170" s="113">
        <v>19.625480769230769</v>
      </c>
      <c r="F3170" s="113">
        <v>1570.0384615384614</v>
      </c>
      <c r="G3170" s="125">
        <v>0</v>
      </c>
      <c r="H3170" s="65">
        <v>40821</v>
      </c>
      <c r="I3170" s="65"/>
      <c r="J3170" s="197">
        <v>1200</v>
      </c>
      <c r="K3170" s="65"/>
      <c r="L3170" s="197">
        <v>42021</v>
      </c>
    </row>
    <row r="3171" spans="1:12" ht="15" customHeight="1" x14ac:dyDescent="0.25">
      <c r="A3171" s="167">
        <v>591</v>
      </c>
      <c r="B3171" s="167" t="s">
        <v>3327</v>
      </c>
      <c r="C3171" s="265" t="s">
        <v>3328</v>
      </c>
      <c r="D3171" s="60">
        <v>40821</v>
      </c>
      <c r="E3171" s="113">
        <v>19.625480769230769</v>
      </c>
      <c r="F3171" s="113">
        <v>1570.0384615384614</v>
      </c>
      <c r="G3171" s="125">
        <v>0</v>
      </c>
      <c r="H3171" s="65">
        <v>40821</v>
      </c>
      <c r="I3171" s="65"/>
      <c r="J3171" s="197">
        <v>1200</v>
      </c>
      <c r="K3171" s="65"/>
      <c r="L3171" s="197">
        <v>42021</v>
      </c>
    </row>
    <row r="3172" spans="1:12" ht="15" customHeight="1" x14ac:dyDescent="0.25">
      <c r="A3172" s="167">
        <v>591</v>
      </c>
      <c r="B3172" s="167" t="s">
        <v>3330</v>
      </c>
      <c r="C3172" s="265" t="s">
        <v>3331</v>
      </c>
      <c r="D3172" s="60">
        <v>42812</v>
      </c>
      <c r="E3172" s="113">
        <v>20.582692307692309</v>
      </c>
      <c r="F3172" s="113">
        <v>1646.6153846153845</v>
      </c>
      <c r="G3172" s="125">
        <v>0</v>
      </c>
      <c r="H3172" s="65">
        <v>42812</v>
      </c>
      <c r="I3172" s="65"/>
      <c r="J3172" s="197">
        <v>1200</v>
      </c>
      <c r="K3172" s="65"/>
      <c r="L3172" s="197">
        <v>44012</v>
      </c>
    </row>
    <row r="3173" spans="1:12" ht="15" customHeight="1" x14ac:dyDescent="0.25">
      <c r="A3173" s="167">
        <v>591</v>
      </c>
      <c r="B3173" s="167"/>
      <c r="C3173" s="265" t="s">
        <v>3332</v>
      </c>
      <c r="D3173" s="60">
        <v>22050</v>
      </c>
      <c r="E3173" s="113">
        <v>10.600961538461538</v>
      </c>
      <c r="F3173" s="113">
        <v>848.07692307692309</v>
      </c>
      <c r="G3173" s="125">
        <v>0</v>
      </c>
      <c r="H3173" s="65">
        <v>22050</v>
      </c>
      <c r="I3173" s="65"/>
      <c r="J3173" s="65"/>
      <c r="K3173" s="65"/>
      <c r="L3173" s="197">
        <v>22050</v>
      </c>
    </row>
    <row r="3174" spans="1:12" ht="15" customHeight="1" x14ac:dyDescent="0.25">
      <c r="A3174" s="167">
        <v>591</v>
      </c>
      <c r="B3174" s="247"/>
      <c r="C3174" s="265" t="s">
        <v>2495</v>
      </c>
      <c r="D3174" s="60">
        <v>2000</v>
      </c>
      <c r="E3174" s="103">
        <v>0.96153846153846156</v>
      </c>
      <c r="F3174" s="113">
        <v>76.92307692307692</v>
      </c>
      <c r="G3174" s="61">
        <v>0</v>
      </c>
      <c r="H3174" s="65">
        <v>2000</v>
      </c>
      <c r="I3174" s="65"/>
      <c r="J3174" s="65"/>
      <c r="K3174" s="65"/>
      <c r="L3174" s="197">
        <v>2000</v>
      </c>
    </row>
    <row r="3175" spans="1:12" ht="15" customHeight="1" x14ac:dyDescent="0.25">
      <c r="A3175" s="167">
        <v>591</v>
      </c>
      <c r="B3175" s="247"/>
      <c r="C3175" s="247"/>
      <c r="D3175" s="95">
        <v>263142</v>
      </c>
      <c r="E3175" s="107"/>
      <c r="F3175" s="95">
        <v>10120.846153846152</v>
      </c>
      <c r="G3175" s="95">
        <v>0</v>
      </c>
      <c r="H3175" s="107">
        <v>263142</v>
      </c>
      <c r="I3175" s="95">
        <f t="shared" ref="I3175:K3175" si="1008">SUM(I3167:I3174)</f>
        <v>0</v>
      </c>
      <c r="J3175" s="95">
        <f t="shared" si="1008"/>
        <v>6000</v>
      </c>
      <c r="K3175" s="95">
        <f t="shared" si="1008"/>
        <v>0</v>
      </c>
      <c r="L3175" s="95">
        <v>269142</v>
      </c>
    </row>
    <row r="3176" spans="1:12" ht="15" customHeight="1" x14ac:dyDescent="0.25">
      <c r="A3176" s="247"/>
      <c r="B3176" s="247"/>
      <c r="C3176" s="247"/>
      <c r="D3176" s="60"/>
      <c r="E3176" s="247"/>
      <c r="F3176" s="247"/>
      <c r="G3176" s="247"/>
      <c r="H3176" s="247"/>
      <c r="I3176" s="65"/>
      <c r="J3176" s="65"/>
      <c r="K3176" s="65"/>
      <c r="L3176" s="65"/>
    </row>
    <row r="3177" spans="1:12" ht="15" customHeight="1" x14ac:dyDescent="0.25">
      <c r="A3177" s="247"/>
      <c r="B3177" s="247"/>
      <c r="C3177" s="247"/>
      <c r="D3177" s="117"/>
      <c r="E3177" s="247"/>
      <c r="F3177" s="247"/>
      <c r="G3177" s="247"/>
      <c r="H3177" s="247"/>
      <c r="I3177" s="65"/>
      <c r="J3177" s="65"/>
      <c r="K3177" s="65"/>
      <c r="L3177" s="65"/>
    </row>
    <row r="3178" spans="1:12" ht="15" customHeight="1" x14ac:dyDescent="0.25">
      <c r="A3178" s="247"/>
      <c r="B3178" s="247"/>
      <c r="C3178" s="247"/>
      <c r="D3178" s="397"/>
      <c r="E3178" s="247"/>
      <c r="F3178" s="247"/>
      <c r="G3178" s="247"/>
      <c r="H3178" s="247"/>
      <c r="I3178" s="65"/>
      <c r="J3178" s="65"/>
      <c r="K3178" s="65"/>
      <c r="L3178" s="65"/>
    </row>
    <row r="3179" spans="1:12" ht="15" customHeight="1" x14ac:dyDescent="0.25">
      <c r="A3179" s="265"/>
      <c r="B3179" s="265"/>
      <c r="C3179" s="265"/>
      <c r="D3179" s="60"/>
      <c r="E3179" s="113"/>
      <c r="F3179" s="113"/>
      <c r="G3179" s="125"/>
      <c r="H3179" s="125"/>
      <c r="I3179" s="65"/>
      <c r="J3179" s="65"/>
      <c r="K3179" s="65"/>
      <c r="L3179" s="65"/>
    </row>
    <row r="3180" spans="1:12" ht="15" customHeight="1" x14ac:dyDescent="0.25">
      <c r="A3180" s="265"/>
      <c r="B3180" s="265"/>
      <c r="C3180" s="265"/>
      <c r="D3180" s="60"/>
      <c r="E3180" s="113"/>
      <c r="F3180" s="113"/>
      <c r="G3180" s="125"/>
      <c r="H3180" s="125"/>
      <c r="I3180" s="65"/>
      <c r="J3180" s="65"/>
      <c r="K3180" s="65"/>
      <c r="L3180" s="65"/>
    </row>
    <row r="3181" spans="1:12" ht="15" customHeight="1" x14ac:dyDescent="0.25">
      <c r="A3181" s="265"/>
      <c r="B3181" s="265"/>
      <c r="C3181" s="265"/>
      <c r="D3181" s="60"/>
      <c r="E3181" s="113"/>
      <c r="F3181" s="113"/>
      <c r="G3181" s="125"/>
      <c r="H3181" s="125"/>
      <c r="I3181" s="65"/>
      <c r="J3181" s="65"/>
      <c r="K3181" s="65"/>
      <c r="L3181" s="65"/>
    </row>
    <row r="3182" spans="1:12" ht="15" customHeight="1" x14ac:dyDescent="0.25">
      <c r="A3182" s="167">
        <v>592</v>
      </c>
      <c r="B3182" s="167" t="s">
        <v>3333</v>
      </c>
      <c r="C3182" s="265" t="s">
        <v>3334</v>
      </c>
      <c r="D3182" s="60">
        <v>33252</v>
      </c>
      <c r="E3182" s="113">
        <v>15.986538461538462</v>
      </c>
      <c r="F3182" s="113">
        <v>1278.9230769230769</v>
      </c>
      <c r="G3182" s="125">
        <v>0</v>
      </c>
      <c r="H3182" s="65">
        <v>33252</v>
      </c>
      <c r="I3182" s="65"/>
      <c r="J3182" s="65"/>
      <c r="K3182" s="65"/>
      <c r="L3182" s="197">
        <v>33252</v>
      </c>
    </row>
    <row r="3183" spans="1:12" ht="15" customHeight="1" x14ac:dyDescent="0.25">
      <c r="A3183" s="167">
        <v>592</v>
      </c>
      <c r="B3183" s="167" t="s">
        <v>3337</v>
      </c>
      <c r="C3183" s="265" t="s">
        <v>3338</v>
      </c>
      <c r="D3183" s="60">
        <v>43062</v>
      </c>
      <c r="E3183" s="113">
        <v>20.702884615384615</v>
      </c>
      <c r="F3183" s="113">
        <v>1656.2307692307693</v>
      </c>
      <c r="G3183" s="125">
        <v>0</v>
      </c>
      <c r="H3183" s="65">
        <v>43062</v>
      </c>
      <c r="I3183" s="65"/>
      <c r="J3183" s="65"/>
      <c r="K3183" s="65"/>
      <c r="L3183" s="197">
        <v>43062</v>
      </c>
    </row>
    <row r="3184" spans="1:12" ht="15" customHeight="1" x14ac:dyDescent="0.25">
      <c r="A3184" s="167">
        <v>592</v>
      </c>
      <c r="B3184" s="247"/>
      <c r="C3184" s="265" t="s">
        <v>3341</v>
      </c>
      <c r="D3184" s="60">
        <v>0</v>
      </c>
      <c r="E3184" s="247"/>
      <c r="F3184" s="247"/>
      <c r="G3184" s="247">
        <v>0</v>
      </c>
      <c r="H3184" s="167">
        <v>0</v>
      </c>
      <c r="I3184" s="65"/>
      <c r="J3184" s="65"/>
      <c r="K3184" s="65"/>
      <c r="L3184" s="197">
        <v>0</v>
      </c>
    </row>
    <row r="3185" spans="1:12" ht="15" customHeight="1" x14ac:dyDescent="0.25">
      <c r="A3185" s="167">
        <v>592</v>
      </c>
      <c r="B3185" s="247"/>
      <c r="C3185" s="247"/>
      <c r="D3185" s="95">
        <v>76314</v>
      </c>
      <c r="E3185" s="107"/>
      <c r="F3185" s="95">
        <v>2935.1538461538462</v>
      </c>
      <c r="G3185" s="95">
        <v>0</v>
      </c>
      <c r="H3185" s="107">
        <v>76314</v>
      </c>
      <c r="I3185" s="95">
        <f t="shared" ref="I3185:K3185" si="1009">SUM(I3178:I3184)</f>
        <v>0</v>
      </c>
      <c r="J3185" s="95">
        <f t="shared" si="1009"/>
        <v>0</v>
      </c>
      <c r="K3185" s="95">
        <f t="shared" si="1009"/>
        <v>0</v>
      </c>
      <c r="L3185" s="95">
        <v>76314</v>
      </c>
    </row>
    <row r="3186" spans="1:12" ht="15" customHeight="1" x14ac:dyDescent="0.25">
      <c r="A3186" s="247"/>
      <c r="B3186" s="247"/>
      <c r="C3186" s="247"/>
      <c r="D3186" s="60"/>
      <c r="E3186" s="247"/>
      <c r="F3186" s="247"/>
      <c r="G3186" s="247"/>
      <c r="H3186" s="247"/>
      <c r="I3186" s="65"/>
      <c r="J3186" s="65"/>
      <c r="K3186" s="65"/>
      <c r="L3186" s="65"/>
    </row>
    <row r="3187" spans="1:12" ht="15" customHeight="1" x14ac:dyDescent="0.25">
      <c r="A3187" s="247"/>
      <c r="B3187" s="247"/>
      <c r="C3187" s="247"/>
      <c r="D3187" s="397"/>
      <c r="E3187" s="247"/>
      <c r="F3187" s="247"/>
      <c r="G3187" s="247"/>
      <c r="H3187" s="247"/>
      <c r="I3187" s="65"/>
      <c r="J3187" s="65"/>
      <c r="K3187" s="65"/>
      <c r="L3187" s="65"/>
    </row>
    <row r="3188" spans="1:12" ht="15" customHeight="1" x14ac:dyDescent="0.25">
      <c r="A3188" s="247"/>
      <c r="B3188" s="247"/>
      <c r="C3188" s="247"/>
      <c r="D3188" s="104"/>
      <c r="E3188" s="247"/>
      <c r="F3188" s="247"/>
      <c r="G3188" s="247"/>
      <c r="H3188" s="247"/>
      <c r="I3188" s="65"/>
      <c r="J3188" s="65"/>
      <c r="K3188" s="65"/>
      <c r="L3188" s="65"/>
    </row>
    <row r="3189" spans="1:12" ht="15" customHeight="1" x14ac:dyDescent="0.25">
      <c r="A3189" s="167">
        <v>645</v>
      </c>
      <c r="B3189" s="167">
        <v>645001</v>
      </c>
      <c r="C3189" s="265" t="s">
        <v>1674</v>
      </c>
      <c r="D3189" s="60">
        <v>0</v>
      </c>
      <c r="E3189" s="65">
        <v>0</v>
      </c>
      <c r="F3189" s="197">
        <v>0</v>
      </c>
      <c r="G3189" s="197">
        <v>0</v>
      </c>
      <c r="H3189" s="65">
        <v>0</v>
      </c>
      <c r="I3189" s="65"/>
      <c r="J3189" s="65"/>
      <c r="K3189" s="65"/>
      <c r="L3189" s="197">
        <v>0</v>
      </c>
    </row>
    <row r="3190" spans="1:12" ht="15" customHeight="1" x14ac:dyDescent="0.25">
      <c r="A3190" s="167">
        <v>645</v>
      </c>
      <c r="B3190" s="247"/>
      <c r="C3190" s="247"/>
      <c r="D3190" s="95">
        <v>0</v>
      </c>
      <c r="E3190" s="107"/>
      <c r="F3190" s="95">
        <v>0</v>
      </c>
      <c r="G3190" s="95">
        <v>0</v>
      </c>
      <c r="H3190" s="107">
        <v>0</v>
      </c>
      <c r="I3190" s="95">
        <f t="shared" ref="I3190:K3190" si="1010">SUM(I3188:I3189)</f>
        <v>0</v>
      </c>
      <c r="J3190" s="95">
        <f t="shared" si="1010"/>
        <v>0</v>
      </c>
      <c r="K3190" s="95">
        <f t="shared" si="1010"/>
        <v>0</v>
      </c>
      <c r="L3190" s="95">
        <v>0</v>
      </c>
    </row>
    <row r="3191" spans="1:12" ht="15" customHeight="1" x14ac:dyDescent="0.25">
      <c r="A3191" s="247"/>
      <c r="B3191" s="247"/>
      <c r="C3191" s="247"/>
      <c r="D3191" s="397"/>
      <c r="E3191" s="247"/>
      <c r="F3191" s="247"/>
      <c r="G3191" s="247"/>
      <c r="H3191" s="247"/>
      <c r="I3191" s="65"/>
      <c r="J3191" s="65"/>
      <c r="K3191" s="65"/>
      <c r="L3191" s="65"/>
    </row>
    <row r="3192" spans="1:12" ht="15" customHeight="1" x14ac:dyDescent="0.25">
      <c r="A3192" s="247"/>
      <c r="B3192" s="247"/>
      <c r="C3192" s="247"/>
      <c r="D3192" s="397"/>
      <c r="E3192" s="247"/>
      <c r="F3192" s="247"/>
      <c r="G3192" s="247"/>
      <c r="H3192" s="247"/>
      <c r="I3192" s="65"/>
      <c r="J3192" s="65"/>
      <c r="K3192" s="65"/>
      <c r="L3192" s="65"/>
    </row>
    <row r="3193" spans="1:12" ht="15" customHeight="1" x14ac:dyDescent="0.25">
      <c r="A3193" s="167">
        <v>650</v>
      </c>
      <c r="B3193" s="167" t="s">
        <v>3342</v>
      </c>
      <c r="C3193" s="265" t="s">
        <v>3343</v>
      </c>
      <c r="D3193" s="60">
        <v>49168</v>
      </c>
      <c r="E3193" s="113">
        <v>23.638461538461538</v>
      </c>
      <c r="F3193" s="113">
        <v>1891.0769230769231</v>
      </c>
      <c r="G3193" s="125">
        <v>0</v>
      </c>
      <c r="H3193" s="65">
        <v>49168</v>
      </c>
      <c r="I3193" s="65"/>
      <c r="J3193" s="65"/>
      <c r="K3193" s="65"/>
      <c r="L3193" s="197">
        <v>49168</v>
      </c>
    </row>
    <row r="3194" spans="1:12" ht="15" customHeight="1" x14ac:dyDescent="0.25">
      <c r="A3194" s="167">
        <v>650</v>
      </c>
      <c r="B3194" s="167" t="s">
        <v>3345</v>
      </c>
      <c r="C3194" s="265" t="s">
        <v>3346</v>
      </c>
      <c r="D3194" s="60">
        <v>34468</v>
      </c>
      <c r="E3194" s="113">
        <v>16.571153846153845</v>
      </c>
      <c r="F3194" s="113">
        <v>1325.6923076923076</v>
      </c>
      <c r="G3194" s="125">
        <v>0</v>
      </c>
      <c r="H3194" s="65">
        <v>34468</v>
      </c>
      <c r="I3194" s="65"/>
      <c r="J3194" s="65"/>
      <c r="K3194" s="65"/>
      <c r="L3194" s="197">
        <v>34468</v>
      </c>
    </row>
    <row r="3195" spans="1:12" ht="15" customHeight="1" x14ac:dyDescent="0.25">
      <c r="A3195" s="167">
        <v>650</v>
      </c>
      <c r="B3195" s="167" t="s">
        <v>3348</v>
      </c>
      <c r="C3195" s="265" t="s">
        <v>3349</v>
      </c>
      <c r="D3195" s="60">
        <v>32238</v>
      </c>
      <c r="E3195" s="113">
        <v>15.499038461538461</v>
      </c>
      <c r="F3195" s="113">
        <v>1239.9230769230769</v>
      </c>
      <c r="G3195" s="125">
        <v>0</v>
      </c>
      <c r="H3195" s="65">
        <v>32238</v>
      </c>
      <c r="I3195" s="65"/>
      <c r="J3195" s="65"/>
      <c r="K3195" s="65"/>
      <c r="L3195" s="197">
        <v>32238</v>
      </c>
    </row>
    <row r="3196" spans="1:12" ht="15" customHeight="1" x14ac:dyDescent="0.25">
      <c r="A3196" s="167">
        <v>650</v>
      </c>
      <c r="B3196" s="247"/>
      <c r="C3196" s="265" t="s">
        <v>2495</v>
      </c>
      <c r="D3196" s="60">
        <v>745</v>
      </c>
      <c r="E3196" s="247"/>
      <c r="F3196" s="247"/>
      <c r="G3196" s="247">
        <v>0</v>
      </c>
      <c r="H3196" s="65">
        <v>745</v>
      </c>
      <c r="I3196" s="65"/>
      <c r="J3196" s="65"/>
      <c r="K3196" s="65"/>
      <c r="L3196" s="197">
        <v>745</v>
      </c>
    </row>
    <row r="3197" spans="1:12" ht="15" customHeight="1" x14ac:dyDescent="0.25">
      <c r="A3197" s="167">
        <v>650</v>
      </c>
      <c r="B3197" s="247"/>
      <c r="C3197" s="492" t="s">
        <v>3353</v>
      </c>
      <c r="D3197" s="60">
        <v>54912</v>
      </c>
      <c r="E3197" s="247"/>
      <c r="F3197" s="247"/>
      <c r="G3197" s="247"/>
      <c r="H3197" s="65">
        <v>54912</v>
      </c>
      <c r="I3197" s="65"/>
      <c r="J3197" s="65"/>
      <c r="K3197" s="65"/>
      <c r="L3197" s="197">
        <v>54912</v>
      </c>
    </row>
    <row r="3198" spans="1:12" ht="15" customHeight="1" x14ac:dyDescent="0.25">
      <c r="A3198" s="167">
        <v>650</v>
      </c>
      <c r="B3198" s="247"/>
      <c r="C3198" s="247" t="s">
        <v>3356</v>
      </c>
      <c r="D3198" s="95">
        <v>171531</v>
      </c>
      <c r="E3198" s="107"/>
      <c r="F3198" s="95">
        <v>4456.6923076923076</v>
      </c>
      <c r="G3198" s="95">
        <v>0</v>
      </c>
      <c r="H3198" s="107">
        <v>171531</v>
      </c>
      <c r="I3198" s="95">
        <f t="shared" ref="I3198:K3198" si="1011">SUM(I3192:I3197)</f>
        <v>0</v>
      </c>
      <c r="J3198" s="95">
        <f t="shared" si="1011"/>
        <v>0</v>
      </c>
      <c r="K3198" s="95">
        <f t="shared" si="1011"/>
        <v>0</v>
      </c>
      <c r="L3198" s="95">
        <v>171531</v>
      </c>
    </row>
    <row r="3199" spans="1:12" ht="15" customHeight="1" x14ac:dyDescent="0.25">
      <c r="A3199" s="247"/>
      <c r="B3199" s="247"/>
      <c r="C3199" s="247"/>
      <c r="D3199" s="60"/>
      <c r="E3199" s="247"/>
      <c r="F3199" s="247"/>
      <c r="G3199" s="247"/>
      <c r="H3199" s="247"/>
      <c r="I3199" s="65"/>
      <c r="J3199" s="65"/>
      <c r="K3199" s="65"/>
      <c r="L3199" s="65"/>
    </row>
    <row r="3200" spans="1:12" ht="15" customHeight="1" x14ac:dyDescent="0.25">
      <c r="A3200" s="247"/>
      <c r="B3200" s="247"/>
      <c r="C3200" s="247"/>
      <c r="D3200" s="397"/>
      <c r="E3200" s="247"/>
      <c r="F3200" s="247"/>
      <c r="G3200" s="247"/>
      <c r="H3200" s="247"/>
      <c r="I3200" s="65"/>
      <c r="J3200" s="65"/>
      <c r="K3200" s="65"/>
      <c r="L3200" s="65"/>
    </row>
    <row r="3201" spans="1:12" ht="15" customHeight="1" x14ac:dyDescent="0.25">
      <c r="A3201" s="247"/>
      <c r="B3201" s="247"/>
      <c r="C3201" s="247"/>
      <c r="D3201" s="397"/>
      <c r="E3201" s="247"/>
      <c r="F3201" s="247"/>
      <c r="G3201" s="247"/>
      <c r="H3201" s="247"/>
      <c r="I3201" s="65"/>
      <c r="J3201" s="65"/>
      <c r="K3201" s="65"/>
      <c r="L3201" s="65"/>
    </row>
    <row r="3202" spans="1:12" ht="15" customHeight="1" x14ac:dyDescent="0.25">
      <c r="A3202" s="247"/>
      <c r="B3202" s="247"/>
      <c r="C3202" s="247"/>
      <c r="D3202" s="397"/>
      <c r="E3202" s="247"/>
      <c r="F3202" s="247"/>
      <c r="G3202" s="247"/>
      <c r="H3202" s="247"/>
      <c r="I3202" s="65"/>
      <c r="J3202" s="65"/>
      <c r="K3202" s="65"/>
      <c r="L3202" s="65"/>
    </row>
    <row r="3203" spans="1:12" ht="15" customHeight="1" x14ac:dyDescent="0.25">
      <c r="A3203" s="167">
        <v>660</v>
      </c>
      <c r="B3203" s="265"/>
      <c r="C3203" s="265" t="s">
        <v>3359</v>
      </c>
      <c r="D3203" s="95">
        <v>13706</v>
      </c>
      <c r="E3203" s="105"/>
      <c r="F3203" s="106">
        <v>527.15384615384619</v>
      </c>
      <c r="G3203" s="95">
        <v>0</v>
      </c>
      <c r="H3203" s="107">
        <v>13706</v>
      </c>
      <c r="I3203" s="85">
        <v>0</v>
      </c>
      <c r="J3203" s="85">
        <v>0</v>
      </c>
      <c r="K3203" s="85">
        <v>0</v>
      </c>
      <c r="L3203" s="85">
        <v>13706</v>
      </c>
    </row>
    <row r="3204" spans="1:12" ht="15" customHeight="1" x14ac:dyDescent="0.25">
      <c r="A3204" s="247"/>
      <c r="B3204" s="247"/>
      <c r="C3204" s="492" t="s">
        <v>3361</v>
      </c>
      <c r="D3204" s="397"/>
      <c r="E3204" s="247"/>
      <c r="F3204" s="247"/>
      <c r="G3204" s="247"/>
      <c r="H3204" s="247"/>
      <c r="I3204" s="65"/>
      <c r="J3204" s="65"/>
      <c r="K3204" s="65"/>
      <c r="L3204" s="65"/>
    </row>
    <row r="3205" spans="1:12" ht="15" customHeight="1" x14ac:dyDescent="0.25">
      <c r="A3205" s="247"/>
      <c r="B3205" s="247"/>
      <c r="C3205" s="247"/>
      <c r="D3205" s="397"/>
      <c r="E3205" s="247"/>
      <c r="F3205" s="247"/>
      <c r="G3205" s="247"/>
      <c r="H3205" s="247"/>
      <c r="I3205" s="65"/>
      <c r="J3205" s="65"/>
      <c r="K3205" s="65"/>
      <c r="L3205" s="65"/>
    </row>
    <row r="3206" spans="1:12" ht="15" customHeight="1" x14ac:dyDescent="0.25">
      <c r="A3206" s="247"/>
      <c r="B3206" s="265"/>
      <c r="C3206" s="247"/>
      <c r="D3206" s="397"/>
      <c r="E3206" s="247"/>
      <c r="F3206" s="247"/>
      <c r="G3206" s="247"/>
      <c r="H3206" s="247"/>
      <c r="I3206" s="65"/>
      <c r="J3206" s="65"/>
      <c r="K3206" s="65"/>
      <c r="L3206" s="65"/>
    </row>
    <row r="3207" spans="1:12" ht="15" customHeight="1" x14ac:dyDescent="0.25">
      <c r="A3207" s="167">
        <v>665</v>
      </c>
      <c r="B3207" s="167" t="s">
        <v>3362</v>
      </c>
      <c r="C3207" s="265" t="s">
        <v>3363</v>
      </c>
      <c r="D3207" s="60">
        <v>36132</v>
      </c>
      <c r="E3207" s="113">
        <v>17.371153846153845</v>
      </c>
      <c r="F3207" s="113">
        <v>1389.6923076923076</v>
      </c>
      <c r="G3207" s="125">
        <v>0</v>
      </c>
      <c r="H3207" s="65">
        <v>36132</v>
      </c>
      <c r="I3207" s="65"/>
      <c r="J3207" s="65"/>
      <c r="K3207" s="65"/>
      <c r="L3207" s="197">
        <v>36132</v>
      </c>
    </row>
    <row r="3208" spans="1:12" ht="15" customHeight="1" x14ac:dyDescent="0.25">
      <c r="A3208" s="167">
        <v>665</v>
      </c>
      <c r="B3208" s="167" t="s">
        <v>3366</v>
      </c>
      <c r="C3208" s="265" t="s">
        <v>3363</v>
      </c>
      <c r="D3208" s="60">
        <v>35482</v>
      </c>
      <c r="E3208" s="113">
        <v>17.058653846153845</v>
      </c>
      <c r="F3208" s="113">
        <v>1364.6923076923076</v>
      </c>
      <c r="G3208" s="125">
        <v>0</v>
      </c>
      <c r="H3208" s="65">
        <v>35482</v>
      </c>
      <c r="I3208" s="65"/>
      <c r="J3208" s="65"/>
      <c r="K3208" s="65"/>
      <c r="L3208" s="197">
        <v>35482</v>
      </c>
    </row>
    <row r="3209" spans="1:12" ht="15" customHeight="1" x14ac:dyDescent="0.25">
      <c r="A3209" s="167">
        <v>665</v>
      </c>
      <c r="B3209" s="167" t="s">
        <v>3369</v>
      </c>
      <c r="C3209" s="265" t="s">
        <v>3370</v>
      </c>
      <c r="D3209" s="60">
        <v>19746</v>
      </c>
      <c r="E3209" s="113">
        <v>9.493269230769231</v>
      </c>
      <c r="F3209" s="113">
        <v>759.46153846153845</v>
      </c>
      <c r="G3209" s="125">
        <v>0</v>
      </c>
      <c r="H3209" s="65">
        <v>19746</v>
      </c>
      <c r="I3209" s="489">
        <f>4920+1656</f>
        <v>6576</v>
      </c>
      <c r="J3209" s="65"/>
      <c r="K3209" s="60"/>
      <c r="L3209" s="197">
        <v>26322</v>
      </c>
    </row>
    <row r="3210" spans="1:12" ht="15" customHeight="1" x14ac:dyDescent="0.25">
      <c r="A3210" s="167">
        <v>665</v>
      </c>
      <c r="B3210" s="167" t="s">
        <v>3372</v>
      </c>
      <c r="C3210" s="265" t="s">
        <v>3373</v>
      </c>
      <c r="D3210" s="60">
        <v>16712</v>
      </c>
      <c r="E3210" s="113">
        <v>8.0346153846153854</v>
      </c>
      <c r="F3210" s="113">
        <v>642.76923076923072</v>
      </c>
      <c r="G3210" s="125">
        <v>0</v>
      </c>
      <c r="H3210" s="65">
        <v>16712</v>
      </c>
      <c r="I3210" s="489">
        <f>4200+1104</f>
        <v>5304</v>
      </c>
      <c r="J3210" s="65"/>
      <c r="K3210" s="60"/>
      <c r="L3210" s="197">
        <v>22016</v>
      </c>
    </row>
    <row r="3211" spans="1:12" ht="15" customHeight="1" x14ac:dyDescent="0.25">
      <c r="A3211" s="167">
        <v>665</v>
      </c>
      <c r="B3211" s="167" t="s">
        <v>3375</v>
      </c>
      <c r="C3211" s="265" t="s">
        <v>3376</v>
      </c>
      <c r="D3211" s="60">
        <v>19746</v>
      </c>
      <c r="E3211" s="103">
        <v>9.493269230769231</v>
      </c>
      <c r="F3211" s="113">
        <v>759.46153846153845</v>
      </c>
      <c r="G3211" s="61">
        <v>0</v>
      </c>
      <c r="H3211" s="65">
        <v>19746</v>
      </c>
      <c r="I3211" s="489">
        <f>4200+920</f>
        <v>5120</v>
      </c>
      <c r="J3211" s="65"/>
      <c r="K3211" s="60"/>
      <c r="L3211" s="197">
        <v>24866</v>
      </c>
    </row>
    <row r="3212" spans="1:12" ht="15" customHeight="1" x14ac:dyDescent="0.25">
      <c r="A3212" s="167">
        <v>665</v>
      </c>
      <c r="B3212" s="247"/>
      <c r="C3212" s="247"/>
      <c r="D3212" s="95">
        <v>127818</v>
      </c>
      <c r="E3212" s="107"/>
      <c r="F3212" s="95">
        <v>4916.0769230769229</v>
      </c>
      <c r="G3212" s="95">
        <v>0</v>
      </c>
      <c r="H3212" s="107">
        <v>127818</v>
      </c>
      <c r="I3212" s="95">
        <f t="shared" ref="I3212:K3212" si="1012">SUM(I3206:I3211)</f>
        <v>17000</v>
      </c>
      <c r="J3212" s="95">
        <f t="shared" si="1012"/>
        <v>0</v>
      </c>
      <c r="K3212" s="95">
        <f t="shared" si="1012"/>
        <v>0</v>
      </c>
      <c r="L3212" s="95">
        <v>144818</v>
      </c>
    </row>
    <row r="3213" spans="1:12" ht="15" customHeight="1" x14ac:dyDescent="0.25">
      <c r="A3213" s="247"/>
      <c r="B3213" s="247"/>
      <c r="C3213" s="247"/>
      <c r="D3213" s="397"/>
      <c r="E3213" s="397"/>
      <c r="F3213" s="397"/>
      <c r="G3213" s="247"/>
      <c r="H3213" s="247"/>
      <c r="I3213" s="65"/>
      <c r="J3213" s="65"/>
      <c r="K3213" s="65"/>
      <c r="L3213" s="65"/>
    </row>
    <row r="3214" spans="1:12" ht="15" customHeight="1" x14ac:dyDescent="0.25">
      <c r="A3214" s="247"/>
      <c r="B3214" s="247"/>
      <c r="C3214" s="247"/>
      <c r="D3214" s="60" t="s">
        <v>0</v>
      </c>
      <c r="E3214" s="247"/>
      <c r="F3214" s="247"/>
      <c r="G3214" s="247"/>
      <c r="H3214" s="247"/>
      <c r="I3214" s="65"/>
      <c r="J3214" s="65"/>
      <c r="K3214" s="65"/>
      <c r="L3214" s="65"/>
    </row>
    <row r="3215" spans="1:12" ht="15" customHeight="1" x14ac:dyDescent="0.25">
      <c r="A3215" s="498" t="s">
        <v>3380</v>
      </c>
      <c r="B3215" s="499"/>
      <c r="C3215" s="499"/>
      <c r="D3215" s="109">
        <v>16748677.02</v>
      </c>
      <c r="E3215" s="419"/>
      <c r="F3215" s="109">
        <v>629008.0580769229</v>
      </c>
      <c r="G3215" s="109">
        <v>18996</v>
      </c>
      <c r="H3215" s="109">
        <v>16767673.02</v>
      </c>
      <c r="I3215" s="109">
        <f>SUM(I2676+I2695+I2705+I2708+I2716+I2725+I2730+I2740+I2748+I2758+I2775+I2782+I2788+I2793+I2799+I2804+I2807+I2826+I2834+I2857+I2871+I2880+I2886+I2891+I2910+I2926+I2936+I2941+I2946+I2951+I2956+I3035+I3144+I3150+I3160+I3165+I3175+I3185+I3190+I3198+I3203+I3212)</f>
        <v>21200</v>
      </c>
      <c r="J3215" s="109">
        <f>SUM(J2676+J2695+J2705+J2708+J2716+J2725+J2730+J2740+J2748+J2758+J2775+J2782+J2788+J2793+J2799+J2804+J2807+J2826+J2834+J2857+J2871+J2880+J2886+J2891+J2910+J2926+J2936+J2941+J2946+J2951+J2956+J3035+J3144+J3150+J3160+J3165+J3175+J3185+J3190+J3198+J3203+J3212)</f>
        <v>93800</v>
      </c>
      <c r="K3215" s="109">
        <f>SUM(K2676+K2695+K2705+K2708+K2716+K2725+K2730+K2740+K2748+K2758+K2775+K2782+K2788+K2793+K2799+K2804+K2807+K2826+K2834+K2857+K2871+K2880+K2886+K2891+K2910+K2926+K2936+K2941+K2946+K2951+K2956+K3035+K3144+K3150+K3160+K3165+K3175+K3185+K3190+K3198+K3203+K3212)</f>
        <v>41500</v>
      </c>
      <c r="L3215" s="109">
        <v>16924173.02</v>
      </c>
    </row>
    <row r="3216" spans="1:12" ht="15" customHeight="1" x14ac:dyDescent="0.25">
      <c r="A3216" s="247"/>
      <c r="B3216" s="247"/>
      <c r="C3216" s="265"/>
      <c r="D3216" s="397"/>
      <c r="E3216" s="247"/>
      <c r="F3216" s="247"/>
      <c r="G3216" s="247"/>
      <c r="H3216" s="247"/>
      <c r="I3216" s="65"/>
      <c r="J3216" s="65"/>
      <c r="K3216" s="65"/>
      <c r="L3216" s="65"/>
    </row>
    <row r="3217" spans="1:12" ht="15" customHeight="1" x14ac:dyDescent="0.25">
      <c r="A3217" s="247"/>
      <c r="B3217" s="247"/>
      <c r="C3217" s="247"/>
      <c r="D3217" s="397"/>
      <c r="E3217" s="247"/>
      <c r="F3217" s="247"/>
      <c r="G3217" s="247"/>
      <c r="H3217" s="247"/>
      <c r="I3217" s="65"/>
      <c r="J3217" s="65"/>
      <c r="K3217" s="65"/>
      <c r="L3217" s="65"/>
    </row>
    <row r="3218" spans="1:12" ht="15" customHeight="1" x14ac:dyDescent="0.25">
      <c r="A3218" s="265" t="s">
        <v>3381</v>
      </c>
      <c r="B3218" s="167" t="s">
        <v>3382</v>
      </c>
      <c r="C3218" s="265" t="s">
        <v>3383</v>
      </c>
      <c r="D3218" s="60">
        <v>74745</v>
      </c>
      <c r="E3218" s="113">
        <v>35.935096153846153</v>
      </c>
      <c r="F3218" s="113">
        <v>2874.8076923076924</v>
      </c>
      <c r="G3218" s="125">
        <v>0</v>
      </c>
      <c r="H3218" s="65">
        <v>74745</v>
      </c>
      <c r="I3218" s="197">
        <v>4200</v>
      </c>
      <c r="J3218" s="65"/>
      <c r="K3218" s="65"/>
      <c r="L3218" s="197">
        <v>78945</v>
      </c>
    </row>
    <row r="3219" spans="1:12" ht="15" customHeight="1" x14ac:dyDescent="0.25">
      <c r="A3219" s="265" t="s">
        <v>3381</v>
      </c>
      <c r="B3219" s="167" t="s">
        <v>3385</v>
      </c>
      <c r="C3219" s="247" t="s">
        <v>2740</v>
      </c>
      <c r="D3219" s="60">
        <v>34843</v>
      </c>
      <c r="E3219" s="113">
        <v>16.751442307692308</v>
      </c>
      <c r="F3219" s="113">
        <v>1340.1153846153845</v>
      </c>
      <c r="G3219" s="125">
        <v>0</v>
      </c>
      <c r="H3219" s="65">
        <v>34843</v>
      </c>
      <c r="I3219" s="65"/>
      <c r="J3219" s="65"/>
      <c r="K3219" s="65"/>
      <c r="L3219" s="197">
        <v>34843</v>
      </c>
    </row>
    <row r="3220" spans="1:12" ht="15" customHeight="1" x14ac:dyDescent="0.25">
      <c r="A3220" s="265" t="s">
        <v>3381</v>
      </c>
      <c r="B3220" s="167" t="s">
        <v>3386</v>
      </c>
      <c r="C3220" s="265" t="s">
        <v>3387</v>
      </c>
      <c r="D3220" s="60">
        <v>41263</v>
      </c>
      <c r="E3220" s="113">
        <v>19.837980769230768</v>
      </c>
      <c r="F3220" s="113">
        <v>1587.0384615384614</v>
      </c>
      <c r="G3220" s="125">
        <v>0</v>
      </c>
      <c r="H3220" s="65">
        <v>41263</v>
      </c>
      <c r="I3220" s="65"/>
      <c r="J3220" s="65"/>
      <c r="K3220" s="65"/>
      <c r="L3220" s="197">
        <v>41263</v>
      </c>
    </row>
    <row r="3221" spans="1:12" ht="15" customHeight="1" x14ac:dyDescent="0.25">
      <c r="A3221" s="265" t="s">
        <v>3381</v>
      </c>
      <c r="B3221" s="167" t="s">
        <v>3389</v>
      </c>
      <c r="C3221" s="265" t="s">
        <v>3387</v>
      </c>
      <c r="D3221" s="60">
        <v>39791</v>
      </c>
      <c r="E3221" s="113">
        <v>19.130288461538463</v>
      </c>
      <c r="F3221" s="113">
        <v>1530.4230769230769</v>
      </c>
      <c r="G3221" s="125">
        <v>0</v>
      </c>
      <c r="H3221" s="65">
        <v>39791</v>
      </c>
      <c r="I3221" s="65"/>
      <c r="J3221" s="65"/>
      <c r="K3221" s="65"/>
      <c r="L3221" s="197">
        <v>39791</v>
      </c>
    </row>
    <row r="3222" spans="1:12" ht="15" customHeight="1" x14ac:dyDescent="0.25">
      <c r="A3222" s="265" t="s">
        <v>3381</v>
      </c>
      <c r="B3222" s="167" t="s">
        <v>3392</v>
      </c>
      <c r="C3222" s="265" t="s">
        <v>3387</v>
      </c>
      <c r="D3222" s="60">
        <v>39323</v>
      </c>
      <c r="E3222" s="113">
        <v>18.905288461538461</v>
      </c>
      <c r="F3222" s="113">
        <v>1512.4230769230769</v>
      </c>
      <c r="G3222" s="125">
        <v>0</v>
      </c>
      <c r="H3222" s="65">
        <v>39323</v>
      </c>
      <c r="I3222" s="65"/>
      <c r="J3222" s="65"/>
      <c r="K3222" s="65"/>
      <c r="L3222" s="197">
        <v>39323</v>
      </c>
    </row>
    <row r="3223" spans="1:12" ht="15" customHeight="1" x14ac:dyDescent="0.25">
      <c r="A3223" s="265" t="s">
        <v>3381</v>
      </c>
      <c r="B3223" s="167" t="s">
        <v>3394</v>
      </c>
      <c r="C3223" s="265" t="s">
        <v>3395</v>
      </c>
      <c r="D3223" s="60">
        <v>40044</v>
      </c>
      <c r="E3223" s="113">
        <v>19.251923076923077</v>
      </c>
      <c r="F3223" s="113">
        <v>1540.1538461538462</v>
      </c>
      <c r="G3223" s="125">
        <v>0</v>
      </c>
      <c r="H3223" s="65">
        <v>40044</v>
      </c>
      <c r="I3223" s="65"/>
      <c r="J3223" s="65"/>
      <c r="K3223" s="65"/>
      <c r="L3223" s="197">
        <v>40044</v>
      </c>
    </row>
    <row r="3224" spans="1:12" ht="15" customHeight="1" x14ac:dyDescent="0.25">
      <c r="A3224" s="265" t="s">
        <v>3381</v>
      </c>
      <c r="B3224" s="167" t="s">
        <v>3396</v>
      </c>
      <c r="C3224" s="265" t="s">
        <v>3397</v>
      </c>
      <c r="D3224" s="60">
        <v>44701</v>
      </c>
      <c r="E3224" s="113">
        <v>21.490865384615386</v>
      </c>
      <c r="F3224" s="113">
        <v>1719.2692307692307</v>
      </c>
      <c r="G3224" s="125">
        <v>0</v>
      </c>
      <c r="H3224" s="65">
        <v>44701</v>
      </c>
      <c r="I3224" s="65"/>
      <c r="J3224" s="65"/>
      <c r="K3224" s="65"/>
      <c r="L3224" s="197">
        <v>44701</v>
      </c>
    </row>
    <row r="3225" spans="1:12" ht="15" customHeight="1" x14ac:dyDescent="0.25">
      <c r="A3225" s="265" t="s">
        <v>3381</v>
      </c>
      <c r="B3225" s="167" t="s">
        <v>3400</v>
      </c>
      <c r="C3225" s="265" t="s">
        <v>3397</v>
      </c>
      <c r="D3225" s="60">
        <v>42287</v>
      </c>
      <c r="E3225" s="113">
        <v>20.330288461538462</v>
      </c>
      <c r="F3225" s="113">
        <v>1626.4230769230769</v>
      </c>
      <c r="G3225" s="125">
        <v>0</v>
      </c>
      <c r="H3225" s="65">
        <v>42287</v>
      </c>
      <c r="I3225" s="65"/>
      <c r="J3225" s="65"/>
      <c r="K3225" s="65"/>
      <c r="L3225" s="197">
        <v>42287</v>
      </c>
    </row>
    <row r="3226" spans="1:12" ht="15" customHeight="1" x14ac:dyDescent="0.25">
      <c r="A3226" s="265" t="s">
        <v>3381</v>
      </c>
      <c r="B3226" s="167" t="s">
        <v>3402</v>
      </c>
      <c r="C3226" s="265" t="s">
        <v>3403</v>
      </c>
      <c r="D3226" s="60">
        <v>43085</v>
      </c>
      <c r="E3226" s="113">
        <v>20.713942307692307</v>
      </c>
      <c r="F3226" s="113">
        <v>1657.1153846153845</v>
      </c>
      <c r="G3226" s="125">
        <v>0</v>
      </c>
      <c r="H3226" s="65">
        <v>43085</v>
      </c>
      <c r="I3226" s="65"/>
      <c r="J3226" s="65"/>
      <c r="K3226" s="65"/>
      <c r="L3226" s="197">
        <v>43085</v>
      </c>
    </row>
    <row r="3227" spans="1:12" ht="15" customHeight="1" x14ac:dyDescent="0.25">
      <c r="A3227" s="265" t="s">
        <v>3381</v>
      </c>
      <c r="B3227" s="167" t="s">
        <v>3405</v>
      </c>
      <c r="C3227" s="265" t="s">
        <v>3406</v>
      </c>
      <c r="D3227" s="60">
        <v>51438</v>
      </c>
      <c r="E3227" s="113">
        <v>24.729807692307691</v>
      </c>
      <c r="F3227" s="113">
        <v>1978.3846153846155</v>
      </c>
      <c r="G3227" s="125">
        <v>0</v>
      </c>
      <c r="H3227" s="65">
        <v>51438</v>
      </c>
      <c r="I3227" s="65"/>
      <c r="J3227" s="65"/>
      <c r="K3227" s="65"/>
      <c r="L3227" s="197">
        <v>51438</v>
      </c>
    </row>
    <row r="3228" spans="1:12" ht="15" customHeight="1" x14ac:dyDescent="0.25">
      <c r="A3228" s="265" t="s">
        <v>3381</v>
      </c>
      <c r="B3228" s="247"/>
      <c r="C3228" s="265" t="s">
        <v>1627</v>
      </c>
      <c r="D3228" s="60">
        <v>65000</v>
      </c>
      <c r="E3228" s="247"/>
      <c r="F3228" s="247"/>
      <c r="G3228" s="247">
        <v>0</v>
      </c>
      <c r="H3228" s="167">
        <v>20800</v>
      </c>
      <c r="I3228" s="65"/>
      <c r="J3228" s="65"/>
      <c r="K3228" s="65"/>
      <c r="L3228" s="197">
        <v>20800</v>
      </c>
    </row>
    <row r="3229" spans="1:12" ht="15" customHeight="1" x14ac:dyDescent="0.25">
      <c r="A3229" s="265"/>
      <c r="B3229" s="247">
        <v>611099</v>
      </c>
      <c r="C3229" s="247" t="s">
        <v>3407</v>
      </c>
      <c r="D3229" s="60"/>
      <c r="E3229" s="117"/>
      <c r="F3229" s="117"/>
      <c r="G3229" s="117"/>
      <c r="H3229" s="117"/>
      <c r="I3229" s="117"/>
      <c r="J3229" s="117"/>
      <c r="K3229" s="117"/>
      <c r="L3229" s="117"/>
    </row>
    <row r="3230" spans="1:12" ht="15" customHeight="1" x14ac:dyDescent="0.25">
      <c r="A3230" s="265" t="s">
        <v>3381</v>
      </c>
      <c r="B3230" s="247"/>
      <c r="C3230" s="247"/>
      <c r="D3230" s="95">
        <v>516520</v>
      </c>
      <c r="E3230" s="107"/>
      <c r="F3230" s="95">
        <v>17366.153846153848</v>
      </c>
      <c r="G3230" s="95">
        <v>0</v>
      </c>
      <c r="H3230" s="107">
        <v>472320</v>
      </c>
      <c r="I3230" s="95">
        <f t="shared" ref="I3230:K3230" si="1013">SUM(I3218:I3228)</f>
        <v>4200</v>
      </c>
      <c r="J3230" s="95">
        <f t="shared" si="1013"/>
        <v>0</v>
      </c>
      <c r="K3230" s="95">
        <f t="shared" si="1013"/>
        <v>0</v>
      </c>
      <c r="L3230" s="95">
        <v>476520</v>
      </c>
    </row>
    <row r="3231" spans="1:12" ht="15" customHeight="1" x14ac:dyDescent="0.25">
      <c r="A3231" s="247"/>
      <c r="B3231" s="247"/>
      <c r="C3231" s="247"/>
      <c r="D3231" s="60"/>
      <c r="E3231" s="247"/>
      <c r="F3231" s="247"/>
      <c r="G3231" s="247"/>
      <c r="H3231" s="247"/>
      <c r="I3231" s="65"/>
      <c r="J3231" s="65"/>
      <c r="K3231" s="65"/>
      <c r="L3231" s="65"/>
    </row>
    <row r="3232" spans="1:12" ht="15" customHeight="1" x14ac:dyDescent="0.25">
      <c r="A3232" s="247"/>
      <c r="B3232" s="247"/>
      <c r="C3232" s="265"/>
      <c r="D3232" s="397"/>
      <c r="E3232" s="247"/>
      <c r="F3232" s="247"/>
      <c r="G3232" s="247"/>
      <c r="H3232" s="247"/>
      <c r="I3232" s="65"/>
      <c r="J3232" s="65"/>
      <c r="K3232" s="65"/>
      <c r="L3232" s="65"/>
    </row>
    <row r="3233" spans="1:12" ht="15" customHeight="1" x14ac:dyDescent="0.25">
      <c r="A3233" s="247"/>
      <c r="B3233" s="247"/>
      <c r="C3233" s="247"/>
      <c r="D3233" s="397"/>
      <c r="E3233" s="247"/>
      <c r="F3233" s="247"/>
      <c r="G3233" s="247"/>
      <c r="H3233" s="247"/>
      <c r="I3233" s="65"/>
      <c r="J3233" s="65"/>
      <c r="K3233" s="65"/>
      <c r="L3233" s="65"/>
    </row>
    <row r="3234" spans="1:12" ht="15" customHeight="1" x14ac:dyDescent="0.25">
      <c r="A3234" s="265" t="s">
        <v>3410</v>
      </c>
      <c r="B3234" s="167" t="s">
        <v>3411</v>
      </c>
      <c r="C3234" s="265" t="s">
        <v>3412</v>
      </c>
      <c r="D3234" s="60">
        <v>74745</v>
      </c>
      <c r="E3234" s="113">
        <v>35.935096153846153</v>
      </c>
      <c r="F3234" s="113">
        <v>2874.8076923076924</v>
      </c>
      <c r="G3234" s="125">
        <v>0</v>
      </c>
      <c r="H3234" s="65">
        <v>74745</v>
      </c>
      <c r="I3234" s="197">
        <v>4200</v>
      </c>
      <c r="J3234" s="65"/>
      <c r="K3234" s="65"/>
      <c r="L3234" s="197">
        <v>78945</v>
      </c>
    </row>
    <row r="3235" spans="1:12" ht="15" customHeight="1" x14ac:dyDescent="0.25">
      <c r="A3235" s="265" t="s">
        <v>3410</v>
      </c>
      <c r="B3235" s="167" t="s">
        <v>3415</v>
      </c>
      <c r="C3235" s="265" t="s">
        <v>2740</v>
      </c>
      <c r="D3235" s="60">
        <v>41031</v>
      </c>
      <c r="E3235" s="113">
        <v>19.726442307692309</v>
      </c>
      <c r="F3235" s="113">
        <v>1578.1153846153845</v>
      </c>
      <c r="G3235" s="125">
        <v>0</v>
      </c>
      <c r="H3235" s="65">
        <v>41031</v>
      </c>
      <c r="I3235" s="65"/>
      <c r="J3235" s="65"/>
      <c r="K3235" s="65"/>
      <c r="L3235" s="197">
        <v>41031</v>
      </c>
    </row>
    <row r="3236" spans="1:12" ht="15" customHeight="1" x14ac:dyDescent="0.25">
      <c r="A3236" s="265" t="s">
        <v>3410</v>
      </c>
      <c r="B3236" s="167" t="s">
        <v>3417</v>
      </c>
      <c r="C3236" s="265" t="s">
        <v>3387</v>
      </c>
      <c r="D3236" s="60">
        <v>37003</v>
      </c>
      <c r="E3236" s="113">
        <v>17.789903846153845</v>
      </c>
      <c r="F3236" s="113">
        <v>1423.1923076923076</v>
      </c>
      <c r="G3236" s="125">
        <v>0</v>
      </c>
      <c r="H3236" s="65">
        <v>37003</v>
      </c>
      <c r="I3236" s="65"/>
      <c r="J3236" s="65"/>
      <c r="K3236" s="65"/>
      <c r="L3236" s="197">
        <v>37003</v>
      </c>
    </row>
    <row r="3237" spans="1:12" ht="15" customHeight="1" x14ac:dyDescent="0.25">
      <c r="A3237" s="265" t="s">
        <v>3410</v>
      </c>
      <c r="B3237" s="167" t="s">
        <v>3418</v>
      </c>
      <c r="C3237" s="265" t="s">
        <v>3387</v>
      </c>
      <c r="D3237" s="60">
        <v>37003</v>
      </c>
      <c r="E3237" s="113">
        <v>17.789903846153845</v>
      </c>
      <c r="F3237" s="113">
        <v>1423.1923076923076</v>
      </c>
      <c r="G3237" s="125">
        <v>0</v>
      </c>
      <c r="H3237" s="65">
        <v>37003</v>
      </c>
      <c r="I3237" s="65"/>
      <c r="J3237" s="65"/>
      <c r="K3237" s="65"/>
      <c r="L3237" s="197">
        <v>37003</v>
      </c>
    </row>
    <row r="3238" spans="1:12" ht="15" customHeight="1" x14ac:dyDescent="0.25">
      <c r="A3238" s="265" t="s">
        <v>3410</v>
      </c>
      <c r="B3238" s="167" t="s">
        <v>3419</v>
      </c>
      <c r="C3238" s="265" t="s">
        <v>3387</v>
      </c>
      <c r="D3238" s="60">
        <v>36337</v>
      </c>
      <c r="E3238" s="113">
        <v>17.469711538461539</v>
      </c>
      <c r="F3238" s="113">
        <v>1397.5769230769231</v>
      </c>
      <c r="G3238" s="125">
        <v>0</v>
      </c>
      <c r="H3238" s="65">
        <v>36337</v>
      </c>
      <c r="I3238" s="65"/>
      <c r="J3238" s="65"/>
      <c r="K3238" s="65"/>
      <c r="L3238" s="197">
        <v>36337</v>
      </c>
    </row>
    <row r="3239" spans="1:12" ht="15" customHeight="1" x14ac:dyDescent="0.25">
      <c r="A3239" s="265" t="s">
        <v>3410</v>
      </c>
      <c r="B3239" s="167" t="s">
        <v>3420</v>
      </c>
      <c r="C3239" s="265" t="s">
        <v>3387</v>
      </c>
      <c r="D3239" s="60">
        <v>36337</v>
      </c>
      <c r="E3239" s="113">
        <v>17.469711538461539</v>
      </c>
      <c r="F3239" s="113">
        <v>1397.5769230769231</v>
      </c>
      <c r="G3239" s="125">
        <v>0</v>
      </c>
      <c r="H3239" s="65">
        <v>36337</v>
      </c>
      <c r="I3239" s="65"/>
      <c r="J3239" s="65"/>
      <c r="K3239" s="65"/>
      <c r="L3239" s="197">
        <v>36337</v>
      </c>
    </row>
    <row r="3240" spans="1:12" ht="15" customHeight="1" x14ac:dyDescent="0.25">
      <c r="A3240" s="265" t="s">
        <v>3410</v>
      </c>
      <c r="B3240" s="167" t="s">
        <v>3422</v>
      </c>
      <c r="C3240" s="265" t="s">
        <v>3395</v>
      </c>
      <c r="D3240" s="60">
        <v>39323</v>
      </c>
      <c r="E3240" s="113">
        <v>18.905288461538461</v>
      </c>
      <c r="F3240" s="113">
        <v>1512.4230769230769</v>
      </c>
      <c r="G3240" s="125">
        <v>0</v>
      </c>
      <c r="H3240" s="65">
        <v>39323</v>
      </c>
      <c r="I3240" s="65"/>
      <c r="J3240" s="65"/>
      <c r="K3240" s="65"/>
      <c r="L3240" s="197">
        <v>39323</v>
      </c>
    </row>
    <row r="3241" spans="1:12" ht="15" customHeight="1" x14ac:dyDescent="0.25">
      <c r="A3241" s="265" t="s">
        <v>3410</v>
      </c>
      <c r="B3241" s="167" t="s">
        <v>3425</v>
      </c>
      <c r="C3241" s="265" t="s">
        <v>3397</v>
      </c>
      <c r="D3241" s="60">
        <v>39323</v>
      </c>
      <c r="E3241" s="113">
        <v>18.905288461538461</v>
      </c>
      <c r="F3241" s="113">
        <v>1512.4230769230769</v>
      </c>
      <c r="G3241" s="125">
        <v>0</v>
      </c>
      <c r="H3241" s="65">
        <v>39323</v>
      </c>
      <c r="I3241" s="65"/>
      <c r="J3241" s="65"/>
      <c r="K3241" s="65"/>
      <c r="L3241" s="197">
        <v>39323</v>
      </c>
    </row>
    <row r="3242" spans="1:12" ht="15" customHeight="1" x14ac:dyDescent="0.25">
      <c r="A3242" s="265" t="s">
        <v>3410</v>
      </c>
      <c r="B3242" s="167" t="s">
        <v>3427</v>
      </c>
      <c r="C3242" s="265" t="s">
        <v>3397</v>
      </c>
      <c r="D3242" s="60">
        <v>47204</v>
      </c>
      <c r="E3242" s="113">
        <v>22.694230769230771</v>
      </c>
      <c r="F3242" s="113">
        <v>1815.5384615384614</v>
      </c>
      <c r="G3242" s="125">
        <v>0</v>
      </c>
      <c r="H3242" s="65">
        <v>47204</v>
      </c>
      <c r="I3242" s="65"/>
      <c r="J3242" s="65"/>
      <c r="K3242" s="65"/>
      <c r="L3242" s="197">
        <v>47204</v>
      </c>
    </row>
    <row r="3243" spans="1:12" ht="15" customHeight="1" x14ac:dyDescent="0.25">
      <c r="A3243" s="265" t="s">
        <v>3410</v>
      </c>
      <c r="B3243" s="167" t="s">
        <v>3428</v>
      </c>
      <c r="C3243" s="265" t="s">
        <v>3397</v>
      </c>
      <c r="D3243" s="60">
        <v>46355</v>
      </c>
      <c r="E3243" s="113">
        <v>22.286057692307693</v>
      </c>
      <c r="F3243" s="113">
        <v>1782.8846153846155</v>
      </c>
      <c r="G3243" s="125">
        <v>0</v>
      </c>
      <c r="H3243" s="65">
        <v>46355</v>
      </c>
      <c r="I3243" s="65"/>
      <c r="J3243" s="65"/>
      <c r="K3243" s="65"/>
      <c r="L3243" s="197">
        <v>46355</v>
      </c>
    </row>
    <row r="3244" spans="1:12" ht="15" customHeight="1" x14ac:dyDescent="0.25">
      <c r="A3244" s="265" t="s">
        <v>3410</v>
      </c>
      <c r="B3244" s="167" t="s">
        <v>3430</v>
      </c>
      <c r="C3244" s="265" t="s">
        <v>3403</v>
      </c>
      <c r="D3244" s="60">
        <v>48046</v>
      </c>
      <c r="E3244" s="113">
        <v>23.099038461538463</v>
      </c>
      <c r="F3244" s="113">
        <v>1847.9230769230769</v>
      </c>
      <c r="G3244" s="125">
        <v>0</v>
      </c>
      <c r="H3244" s="65">
        <v>48046</v>
      </c>
      <c r="I3244" s="65"/>
      <c r="J3244" s="65"/>
      <c r="K3244" s="65"/>
      <c r="L3244" s="197">
        <v>48046</v>
      </c>
    </row>
    <row r="3245" spans="1:12" ht="15" customHeight="1" x14ac:dyDescent="0.25">
      <c r="A3245" s="265" t="s">
        <v>3410</v>
      </c>
      <c r="B3245" s="167" t="s">
        <v>3432</v>
      </c>
      <c r="C3245" s="265" t="s">
        <v>3406</v>
      </c>
      <c r="D3245" s="60">
        <v>52381</v>
      </c>
      <c r="E3245" s="113">
        <v>25.183173076923076</v>
      </c>
      <c r="F3245" s="113">
        <v>2014.6538461538462</v>
      </c>
      <c r="G3245" s="125">
        <v>0</v>
      </c>
      <c r="H3245" s="65">
        <v>52381</v>
      </c>
      <c r="I3245" s="65"/>
      <c r="J3245" s="65"/>
      <c r="K3245" s="65"/>
      <c r="L3245" s="197">
        <v>52381</v>
      </c>
    </row>
    <row r="3246" spans="1:12" ht="15" customHeight="1" x14ac:dyDescent="0.25">
      <c r="A3246" s="265" t="s">
        <v>3410</v>
      </c>
      <c r="B3246" s="247"/>
      <c r="C3246" s="265" t="s">
        <v>1627</v>
      </c>
      <c r="D3246" s="60">
        <v>40000</v>
      </c>
      <c r="E3246" s="247"/>
      <c r="F3246" s="247"/>
      <c r="G3246" s="247">
        <v>0</v>
      </c>
      <c r="H3246" s="167">
        <v>40000</v>
      </c>
      <c r="I3246" s="65"/>
      <c r="J3246" s="65"/>
      <c r="K3246" s="65"/>
      <c r="L3246" s="197">
        <v>40000</v>
      </c>
    </row>
    <row r="3247" spans="1:12" ht="15" customHeight="1" x14ac:dyDescent="0.25">
      <c r="A3247" s="265" t="s">
        <v>3410</v>
      </c>
      <c r="B3247" s="247"/>
      <c r="C3247" s="265" t="s">
        <v>2495</v>
      </c>
      <c r="D3247" s="60">
        <v>15000</v>
      </c>
      <c r="E3247" s="247"/>
      <c r="F3247" s="247"/>
      <c r="G3247" s="247">
        <v>0</v>
      </c>
      <c r="H3247" s="167">
        <v>15000</v>
      </c>
      <c r="I3247" s="65"/>
      <c r="J3247" s="65"/>
      <c r="K3247" s="65"/>
      <c r="L3247" s="197">
        <v>15000</v>
      </c>
    </row>
    <row r="3248" spans="1:12" ht="15" customHeight="1" x14ac:dyDescent="0.25">
      <c r="A3248" s="265" t="s">
        <v>3410</v>
      </c>
      <c r="B3248" s="247"/>
      <c r="C3248" s="247"/>
      <c r="D3248" s="95">
        <v>590088</v>
      </c>
      <c r="E3248" s="107"/>
      <c r="F3248" s="95">
        <v>20580.307692307695</v>
      </c>
      <c r="G3248" s="95">
        <v>0</v>
      </c>
      <c r="H3248" s="107">
        <v>590088</v>
      </c>
      <c r="I3248" s="95">
        <f t="shared" ref="I3248:K3248" si="1014">SUM(I3233:I3247)</f>
        <v>4200</v>
      </c>
      <c r="J3248" s="95">
        <f t="shared" si="1014"/>
        <v>0</v>
      </c>
      <c r="K3248" s="95">
        <f t="shared" si="1014"/>
        <v>0</v>
      </c>
      <c r="L3248" s="95">
        <v>594288</v>
      </c>
    </row>
    <row r="3249" spans="1:12" ht="15" customHeight="1" x14ac:dyDescent="0.25">
      <c r="A3249" s="247"/>
      <c r="B3249" s="247"/>
      <c r="C3249" s="247"/>
      <c r="D3249" s="60"/>
      <c r="E3249" s="247"/>
      <c r="F3249" s="247"/>
      <c r="G3249" s="247"/>
      <c r="H3249" s="247"/>
      <c r="I3249" s="65"/>
      <c r="J3249" s="65"/>
      <c r="K3249" s="65"/>
      <c r="L3249" s="65"/>
    </row>
    <row r="3250" spans="1:12" ht="15" customHeight="1" x14ac:dyDescent="0.25">
      <c r="A3250" s="247"/>
      <c r="B3250" s="247"/>
      <c r="C3250" s="247"/>
      <c r="D3250" s="397"/>
      <c r="E3250" s="247"/>
      <c r="F3250" s="247"/>
      <c r="G3250" s="247"/>
      <c r="H3250" s="247"/>
      <c r="I3250" s="65"/>
      <c r="J3250" s="65"/>
      <c r="K3250" s="65"/>
      <c r="L3250" s="65"/>
    </row>
    <row r="3251" spans="1:12" ht="15" customHeight="1" x14ac:dyDescent="0.25">
      <c r="A3251" s="247"/>
      <c r="B3251" s="247"/>
      <c r="C3251" s="247"/>
      <c r="D3251" s="397"/>
      <c r="E3251" s="247"/>
      <c r="F3251" s="247"/>
      <c r="G3251" s="247"/>
      <c r="H3251" s="247"/>
      <c r="I3251" s="65"/>
      <c r="J3251" s="65"/>
      <c r="K3251" s="65"/>
      <c r="L3251" s="65"/>
    </row>
    <row r="3252" spans="1:12" ht="15" customHeight="1" x14ac:dyDescent="0.25">
      <c r="A3252" s="265" t="s">
        <v>3434</v>
      </c>
      <c r="B3252" s="167" t="s">
        <v>3435</v>
      </c>
      <c r="C3252" s="265" t="s">
        <v>3436</v>
      </c>
      <c r="D3252" s="60">
        <v>76115</v>
      </c>
      <c r="E3252" s="113">
        <v>36.59375</v>
      </c>
      <c r="F3252" s="113">
        <v>2927.5</v>
      </c>
      <c r="G3252" s="125">
        <v>0</v>
      </c>
      <c r="H3252" s="65">
        <v>76115</v>
      </c>
      <c r="I3252" s="197">
        <v>4200</v>
      </c>
      <c r="J3252" s="65"/>
      <c r="K3252" s="65"/>
      <c r="L3252" s="197">
        <v>80315</v>
      </c>
    </row>
    <row r="3253" spans="1:12" ht="15" customHeight="1" x14ac:dyDescent="0.25">
      <c r="A3253" s="265" t="s">
        <v>3434</v>
      </c>
      <c r="B3253" s="167" t="s">
        <v>3439</v>
      </c>
      <c r="C3253" s="265" t="s">
        <v>2740</v>
      </c>
      <c r="D3253" s="60">
        <v>35482</v>
      </c>
      <c r="E3253" s="113">
        <v>17.058653846153845</v>
      </c>
      <c r="F3253" s="113">
        <v>1364.6923076923076</v>
      </c>
      <c r="G3253" s="125">
        <v>0</v>
      </c>
      <c r="H3253" s="65">
        <v>35482</v>
      </c>
      <c r="I3253" s="65"/>
      <c r="J3253" s="65"/>
      <c r="K3253" s="65"/>
      <c r="L3253" s="197">
        <v>35482</v>
      </c>
    </row>
    <row r="3254" spans="1:12" ht="15" customHeight="1" x14ac:dyDescent="0.25">
      <c r="A3254" s="265" t="s">
        <v>3434</v>
      </c>
      <c r="B3254" s="167" t="s">
        <v>3441</v>
      </c>
      <c r="C3254" s="265" t="s">
        <v>3442</v>
      </c>
      <c r="D3254" s="60">
        <v>40044</v>
      </c>
      <c r="E3254" s="113">
        <v>19.251923076923077</v>
      </c>
      <c r="F3254" s="113">
        <v>1540.1538461538462</v>
      </c>
      <c r="G3254" s="125">
        <v>0</v>
      </c>
      <c r="H3254" s="65">
        <v>40044</v>
      </c>
      <c r="I3254" s="65"/>
      <c r="J3254" s="65"/>
      <c r="K3254" s="65"/>
      <c r="L3254" s="197">
        <v>40044</v>
      </c>
    </row>
    <row r="3255" spans="1:12" ht="15" customHeight="1" x14ac:dyDescent="0.25">
      <c r="A3255" s="265" t="s">
        <v>3434</v>
      </c>
      <c r="B3255" s="167" t="s">
        <v>3444</v>
      </c>
      <c r="C3255" s="265" t="s">
        <v>3445</v>
      </c>
      <c r="D3255" s="60">
        <v>44701</v>
      </c>
      <c r="E3255" s="113">
        <v>21.490865384615386</v>
      </c>
      <c r="F3255" s="113">
        <v>1719.2692307692307</v>
      </c>
      <c r="G3255" s="125">
        <v>0</v>
      </c>
      <c r="H3255" s="65">
        <v>44701</v>
      </c>
      <c r="I3255" s="65"/>
      <c r="J3255" s="65"/>
      <c r="K3255" s="65"/>
      <c r="L3255" s="197">
        <v>44701</v>
      </c>
    </row>
    <row r="3256" spans="1:12" ht="15" customHeight="1" x14ac:dyDescent="0.25">
      <c r="A3256" s="265" t="s">
        <v>3434</v>
      </c>
      <c r="B3256" s="167" t="s">
        <v>3448</v>
      </c>
      <c r="C3256" s="265" t="s">
        <v>3445</v>
      </c>
      <c r="D3256" s="60">
        <v>43896</v>
      </c>
      <c r="E3256" s="113">
        <v>21.103846153846153</v>
      </c>
      <c r="F3256" s="113">
        <v>1688.3076923076924</v>
      </c>
      <c r="G3256" s="125">
        <v>0</v>
      </c>
      <c r="H3256" s="65">
        <v>43896</v>
      </c>
      <c r="I3256" s="65"/>
      <c r="J3256" s="65"/>
      <c r="K3256" s="65"/>
      <c r="L3256" s="197">
        <v>43896</v>
      </c>
    </row>
    <row r="3257" spans="1:12" ht="15" customHeight="1" x14ac:dyDescent="0.25">
      <c r="A3257" s="265" t="s">
        <v>3434</v>
      </c>
      <c r="B3257" s="167" t="s">
        <v>3449</v>
      </c>
      <c r="C3257" s="265" t="s">
        <v>3445</v>
      </c>
      <c r="D3257" s="60">
        <v>45520</v>
      </c>
      <c r="E3257" s="113">
        <v>21.884615384615383</v>
      </c>
      <c r="F3257" s="113">
        <v>1750.7692307692307</v>
      </c>
      <c r="G3257" s="125">
        <v>0</v>
      </c>
      <c r="H3257" s="65">
        <v>45520</v>
      </c>
      <c r="I3257" s="65"/>
      <c r="J3257" s="65"/>
      <c r="K3257" s="65"/>
      <c r="L3257" s="197">
        <v>45520</v>
      </c>
    </row>
    <row r="3258" spans="1:12" ht="15" customHeight="1" x14ac:dyDescent="0.25">
      <c r="A3258" s="265" t="s">
        <v>3434</v>
      </c>
      <c r="B3258" s="167" t="s">
        <v>3450</v>
      </c>
      <c r="C3258" s="265" t="s">
        <v>3451</v>
      </c>
      <c r="D3258" s="60">
        <v>37681</v>
      </c>
      <c r="E3258" s="113">
        <v>18.115865384615386</v>
      </c>
      <c r="F3258" s="113">
        <v>1449.2692307692307</v>
      </c>
      <c r="G3258" s="125">
        <v>0</v>
      </c>
      <c r="H3258" s="65">
        <v>37681</v>
      </c>
      <c r="I3258" s="65"/>
      <c r="J3258" s="65"/>
      <c r="K3258" s="65"/>
      <c r="L3258" s="197">
        <v>37681</v>
      </c>
    </row>
    <row r="3259" spans="1:12" ht="15" customHeight="1" x14ac:dyDescent="0.25">
      <c r="A3259" s="265" t="s">
        <v>3434</v>
      </c>
      <c r="B3259" s="167" t="s">
        <v>3454</v>
      </c>
      <c r="C3259" s="265" t="s">
        <v>3445</v>
      </c>
      <c r="D3259" s="60">
        <v>43851</v>
      </c>
      <c r="E3259" s="113">
        <v>21.082211538461539</v>
      </c>
      <c r="F3259" s="113">
        <v>1686.5769230769231</v>
      </c>
      <c r="G3259" s="125">
        <v>0</v>
      </c>
      <c r="H3259" s="65">
        <v>43851</v>
      </c>
      <c r="I3259" s="65"/>
      <c r="J3259" s="65"/>
      <c r="K3259" s="65"/>
      <c r="L3259" s="197">
        <v>43851</v>
      </c>
    </row>
    <row r="3260" spans="1:12" ht="15" customHeight="1" x14ac:dyDescent="0.25">
      <c r="A3260" s="265" t="s">
        <v>3434</v>
      </c>
      <c r="B3260" s="167" t="s">
        <v>3456</v>
      </c>
      <c r="C3260" s="265" t="s">
        <v>3403</v>
      </c>
      <c r="D3260" s="60">
        <v>43085</v>
      </c>
      <c r="E3260" s="113">
        <v>20.713942307692307</v>
      </c>
      <c r="F3260" s="113">
        <v>1657.1153846153845</v>
      </c>
      <c r="G3260" s="125">
        <v>0</v>
      </c>
      <c r="H3260" s="65">
        <v>43085</v>
      </c>
      <c r="I3260" s="65"/>
      <c r="J3260" s="65"/>
      <c r="K3260" s="65"/>
      <c r="L3260" s="197">
        <v>43085</v>
      </c>
    </row>
    <row r="3261" spans="1:12" ht="15" customHeight="1" x14ac:dyDescent="0.25">
      <c r="A3261" s="265" t="s">
        <v>3434</v>
      </c>
      <c r="B3261" s="167" t="s">
        <v>3457</v>
      </c>
      <c r="C3261" s="265" t="s">
        <v>3406</v>
      </c>
      <c r="D3261" s="60">
        <v>46972</v>
      </c>
      <c r="E3261" s="113">
        <v>22.582692307692309</v>
      </c>
      <c r="F3261" s="113">
        <v>1806.6153846153845</v>
      </c>
      <c r="G3261" s="125">
        <v>0</v>
      </c>
      <c r="H3261" s="65">
        <v>46972</v>
      </c>
      <c r="I3261" s="65"/>
      <c r="J3261" s="65"/>
      <c r="K3261" s="65"/>
      <c r="L3261" s="197">
        <v>46972</v>
      </c>
    </row>
    <row r="3262" spans="1:12" ht="15" customHeight="1" x14ac:dyDescent="0.25">
      <c r="A3262" s="265" t="s">
        <v>3434</v>
      </c>
      <c r="B3262" s="247"/>
      <c r="C3262" s="265" t="s">
        <v>1627</v>
      </c>
      <c r="D3262" s="60">
        <v>32000</v>
      </c>
      <c r="E3262" s="103">
        <v>30.76923076923077</v>
      </c>
      <c r="F3262" s="113">
        <v>1230.7692307692307</v>
      </c>
      <c r="G3262" s="61">
        <v>0</v>
      </c>
      <c r="H3262" s="167">
        <v>32000</v>
      </c>
      <c r="I3262" s="65"/>
      <c r="J3262" s="65"/>
      <c r="K3262" s="65"/>
      <c r="L3262" s="197">
        <v>32000</v>
      </c>
    </row>
    <row r="3263" spans="1:12" ht="15" customHeight="1" x14ac:dyDescent="0.25">
      <c r="A3263" s="265" t="s">
        <v>3434</v>
      </c>
      <c r="B3263" s="247"/>
      <c r="C3263" s="247"/>
      <c r="D3263" s="95">
        <v>489347</v>
      </c>
      <c r="E3263" s="107"/>
      <c r="F3263" s="95">
        <v>18821.038461538461</v>
      </c>
      <c r="G3263" s="95">
        <v>0</v>
      </c>
      <c r="H3263" s="107">
        <v>489347</v>
      </c>
      <c r="I3263" s="95">
        <f t="shared" ref="I3263:K3263" si="1015">SUM(I3251:I3262)</f>
        <v>4200</v>
      </c>
      <c r="J3263" s="95">
        <f t="shared" si="1015"/>
        <v>0</v>
      </c>
      <c r="K3263" s="95">
        <f t="shared" si="1015"/>
        <v>0</v>
      </c>
      <c r="L3263" s="95">
        <v>493547</v>
      </c>
    </row>
    <row r="3264" spans="1:12" ht="15" customHeight="1" x14ac:dyDescent="0.25">
      <c r="A3264" s="247"/>
      <c r="B3264" s="247"/>
      <c r="C3264" s="247"/>
      <c r="D3264" s="60"/>
      <c r="E3264" s="247"/>
      <c r="F3264" s="247"/>
      <c r="G3264" s="247"/>
      <c r="H3264" s="247"/>
      <c r="I3264" s="65"/>
      <c r="J3264" s="65"/>
      <c r="K3264" s="65"/>
      <c r="L3264" s="65"/>
    </row>
    <row r="3265" spans="1:12" ht="15" customHeight="1" x14ac:dyDescent="0.25">
      <c r="A3265" s="247"/>
      <c r="B3265" s="247"/>
      <c r="C3265" s="247"/>
      <c r="D3265" s="397"/>
      <c r="E3265" s="247"/>
      <c r="F3265" s="247"/>
      <c r="G3265" s="247"/>
      <c r="H3265" s="247"/>
      <c r="I3265" s="65"/>
      <c r="J3265" s="65"/>
      <c r="K3265" s="65"/>
      <c r="L3265" s="65"/>
    </row>
    <row r="3266" spans="1:12" ht="15" customHeight="1" x14ac:dyDescent="0.25">
      <c r="A3266" s="247"/>
      <c r="B3266" s="247"/>
      <c r="C3266" s="247"/>
      <c r="D3266" s="397"/>
      <c r="E3266" s="247"/>
      <c r="F3266" s="247"/>
      <c r="G3266" s="247"/>
      <c r="H3266" s="247"/>
      <c r="I3266" s="65"/>
      <c r="J3266" s="65"/>
      <c r="K3266" s="65"/>
      <c r="L3266" s="65"/>
    </row>
    <row r="3267" spans="1:12" ht="15" customHeight="1" x14ac:dyDescent="0.25">
      <c r="A3267" s="265" t="s">
        <v>3458</v>
      </c>
      <c r="B3267" s="167" t="s">
        <v>3459</v>
      </c>
      <c r="C3267" s="265" t="s">
        <v>3460</v>
      </c>
      <c r="D3267" s="60">
        <v>74745</v>
      </c>
      <c r="E3267" s="113">
        <v>35.935096153846153</v>
      </c>
      <c r="F3267" s="113">
        <v>2874.8076923076924</v>
      </c>
      <c r="G3267" s="125">
        <v>0</v>
      </c>
      <c r="H3267" s="65">
        <v>74745</v>
      </c>
      <c r="I3267" s="197">
        <v>4200</v>
      </c>
      <c r="J3267" s="65"/>
      <c r="K3267" s="65"/>
      <c r="L3267" s="197">
        <v>78945</v>
      </c>
    </row>
    <row r="3268" spans="1:12" ht="15" customHeight="1" x14ac:dyDescent="0.25">
      <c r="A3268" s="265" t="s">
        <v>3458</v>
      </c>
      <c r="B3268" s="167" t="s">
        <v>3462</v>
      </c>
      <c r="C3268" s="265" t="s">
        <v>2740</v>
      </c>
      <c r="D3268" s="60">
        <v>34843</v>
      </c>
      <c r="E3268" s="113">
        <v>16.751442307692308</v>
      </c>
      <c r="F3268" s="113">
        <v>1340.1153846153845</v>
      </c>
      <c r="G3268" s="125">
        <v>0</v>
      </c>
      <c r="H3268" s="65">
        <v>34843</v>
      </c>
      <c r="I3268" s="197"/>
      <c r="J3268" s="65"/>
      <c r="K3268" s="65"/>
      <c r="L3268" s="197">
        <v>34843</v>
      </c>
    </row>
    <row r="3269" spans="1:12" ht="15" customHeight="1" x14ac:dyDescent="0.25">
      <c r="A3269" s="265" t="s">
        <v>3458</v>
      </c>
      <c r="B3269" s="167" t="s">
        <v>3463</v>
      </c>
      <c r="C3269" s="265" t="s">
        <v>3387</v>
      </c>
      <c r="D3269" s="60">
        <v>39791</v>
      </c>
      <c r="E3269" s="113">
        <v>19.130288461538463</v>
      </c>
      <c r="F3269" s="113">
        <v>1530.4230769230769</v>
      </c>
      <c r="G3269" s="125">
        <v>0</v>
      </c>
      <c r="H3269" s="65">
        <v>39791</v>
      </c>
      <c r="I3269" s="65"/>
      <c r="J3269" s="65"/>
      <c r="K3269" s="65"/>
      <c r="L3269" s="197">
        <v>39791</v>
      </c>
    </row>
    <row r="3270" spans="1:12" ht="15" customHeight="1" x14ac:dyDescent="0.25">
      <c r="A3270" s="265" t="s">
        <v>3458</v>
      </c>
      <c r="B3270" s="167" t="s">
        <v>3465</v>
      </c>
      <c r="C3270" s="265" t="s">
        <v>3387</v>
      </c>
      <c r="D3270" s="60">
        <v>37681</v>
      </c>
      <c r="E3270" s="113">
        <v>18.115865384615386</v>
      </c>
      <c r="F3270" s="113">
        <v>1449.2692307692307</v>
      </c>
      <c r="G3270" s="125">
        <v>0</v>
      </c>
      <c r="H3270" s="65">
        <v>37681</v>
      </c>
      <c r="I3270" s="65"/>
      <c r="J3270" s="65"/>
      <c r="K3270" s="65"/>
      <c r="L3270" s="197">
        <v>37681</v>
      </c>
    </row>
    <row r="3271" spans="1:12" ht="15" customHeight="1" x14ac:dyDescent="0.25">
      <c r="A3271" s="265" t="s">
        <v>3458</v>
      </c>
      <c r="B3271" s="167" t="s">
        <v>3467</v>
      </c>
      <c r="C3271" s="265" t="s">
        <v>3395</v>
      </c>
      <c r="D3271" s="60">
        <v>40778</v>
      </c>
      <c r="E3271" s="113">
        <v>19.604807692307691</v>
      </c>
      <c r="F3271" s="113">
        <v>1568.3846153846155</v>
      </c>
      <c r="G3271" s="125">
        <v>0</v>
      </c>
      <c r="H3271" s="65">
        <v>40778</v>
      </c>
      <c r="I3271" s="65"/>
      <c r="J3271" s="65"/>
      <c r="K3271" s="65"/>
      <c r="L3271" s="197">
        <v>40778</v>
      </c>
    </row>
    <row r="3272" spans="1:12" ht="15" customHeight="1" x14ac:dyDescent="0.25">
      <c r="A3272" s="265" t="s">
        <v>3458</v>
      </c>
      <c r="B3272" s="167" t="s">
        <v>3469</v>
      </c>
      <c r="C3272" s="265" t="s">
        <v>3395</v>
      </c>
      <c r="D3272" s="60">
        <v>42287</v>
      </c>
      <c r="E3272" s="113">
        <v>20.330288461538462</v>
      </c>
      <c r="F3272" s="113">
        <v>1626.4230769230769</v>
      </c>
      <c r="G3272" s="125">
        <v>0</v>
      </c>
      <c r="H3272" s="65">
        <v>42287</v>
      </c>
      <c r="I3272" s="65"/>
      <c r="J3272" s="65"/>
      <c r="K3272" s="65"/>
      <c r="L3272" s="197">
        <v>42287</v>
      </c>
    </row>
    <row r="3273" spans="1:12" ht="15" customHeight="1" x14ac:dyDescent="0.25">
      <c r="A3273" s="265" t="s">
        <v>3458</v>
      </c>
      <c r="B3273" s="167" t="s">
        <v>3470</v>
      </c>
      <c r="C3273" s="265" t="s">
        <v>3395</v>
      </c>
      <c r="D3273" s="60">
        <v>42287</v>
      </c>
      <c r="E3273" s="113">
        <v>20.330288461538462</v>
      </c>
      <c r="F3273" s="113">
        <v>1626.4230769230769</v>
      </c>
      <c r="G3273" s="125">
        <v>0</v>
      </c>
      <c r="H3273" s="65">
        <v>42287</v>
      </c>
      <c r="I3273" s="65"/>
      <c r="J3273" s="65"/>
      <c r="K3273" s="65"/>
      <c r="L3273" s="197">
        <v>42287</v>
      </c>
    </row>
    <row r="3274" spans="1:12" ht="15" customHeight="1" x14ac:dyDescent="0.25">
      <c r="A3274" s="265" t="s">
        <v>3458</v>
      </c>
      <c r="B3274" s="167" t="s">
        <v>3472</v>
      </c>
      <c r="C3274" s="265" t="s">
        <v>3395</v>
      </c>
      <c r="D3274" s="60">
        <v>43851</v>
      </c>
      <c r="E3274" s="113">
        <v>21.082211538461539</v>
      </c>
      <c r="F3274" s="113">
        <v>1686.5769230769231</v>
      </c>
      <c r="G3274" s="125">
        <v>0</v>
      </c>
      <c r="H3274" s="65">
        <v>43851</v>
      </c>
      <c r="I3274" s="65"/>
      <c r="J3274" s="65"/>
      <c r="K3274" s="65"/>
      <c r="L3274" s="197">
        <v>43851</v>
      </c>
    </row>
    <row r="3275" spans="1:12" ht="15" customHeight="1" x14ac:dyDescent="0.25">
      <c r="A3275" s="265" t="s">
        <v>3458</v>
      </c>
      <c r="B3275" s="167" t="s">
        <v>3474</v>
      </c>
      <c r="C3275" s="265" t="s">
        <v>3397</v>
      </c>
      <c r="D3275" s="60">
        <v>44701</v>
      </c>
      <c r="E3275" s="113">
        <v>21.490865384615386</v>
      </c>
      <c r="F3275" s="113">
        <v>1719.2692307692307</v>
      </c>
      <c r="G3275" s="125">
        <v>0</v>
      </c>
      <c r="H3275" s="65">
        <v>44701</v>
      </c>
      <c r="I3275" s="65"/>
      <c r="J3275" s="65"/>
      <c r="K3275" s="65"/>
      <c r="L3275" s="197">
        <v>44701</v>
      </c>
    </row>
    <row r="3276" spans="1:12" ht="15" customHeight="1" x14ac:dyDescent="0.25">
      <c r="A3276" s="265" t="s">
        <v>3458</v>
      </c>
      <c r="B3276" s="167" t="s">
        <v>3476</v>
      </c>
      <c r="C3276" s="265" t="s">
        <v>3406</v>
      </c>
      <c r="D3276" s="60">
        <v>50512</v>
      </c>
      <c r="E3276" s="113">
        <v>24.284615384615385</v>
      </c>
      <c r="F3276" s="113">
        <v>1942.7692307692307</v>
      </c>
      <c r="G3276" s="125">
        <v>0</v>
      </c>
      <c r="H3276" s="65">
        <v>50512</v>
      </c>
      <c r="I3276" s="65"/>
      <c r="J3276" s="65"/>
      <c r="K3276" s="65"/>
      <c r="L3276" s="197">
        <v>50512</v>
      </c>
    </row>
    <row r="3277" spans="1:12" ht="15" customHeight="1" x14ac:dyDescent="0.25">
      <c r="A3277" s="265" t="s">
        <v>3458</v>
      </c>
      <c r="B3277" s="167" t="s">
        <v>3478</v>
      </c>
      <c r="C3277" s="265" t="s">
        <v>3403</v>
      </c>
      <c r="D3277" s="60">
        <v>43085</v>
      </c>
      <c r="E3277" s="113">
        <v>20.713942307692307</v>
      </c>
      <c r="F3277" s="113">
        <v>1657.1153846153845</v>
      </c>
      <c r="G3277" s="125">
        <v>0</v>
      </c>
      <c r="H3277" s="65">
        <v>43085</v>
      </c>
      <c r="I3277" s="65"/>
      <c r="J3277" s="65"/>
      <c r="K3277" s="65"/>
      <c r="L3277" s="197">
        <v>43085</v>
      </c>
    </row>
    <row r="3278" spans="1:12" ht="15" customHeight="1" x14ac:dyDescent="0.25">
      <c r="A3278" s="265" t="s">
        <v>3458</v>
      </c>
      <c r="B3278" s="167">
        <v>614099</v>
      </c>
      <c r="C3278" s="265" t="s">
        <v>3479</v>
      </c>
      <c r="D3278" s="60">
        <v>32000</v>
      </c>
      <c r="E3278" s="247"/>
      <c r="F3278" s="247"/>
      <c r="G3278" s="247">
        <v>0</v>
      </c>
      <c r="H3278" s="65">
        <v>32000</v>
      </c>
      <c r="I3278" s="65"/>
      <c r="J3278" s="65"/>
      <c r="K3278" s="65"/>
      <c r="L3278" s="197">
        <v>32000</v>
      </c>
    </row>
    <row r="3279" spans="1:12" ht="15" customHeight="1" x14ac:dyDescent="0.25">
      <c r="A3279" s="265" t="s">
        <v>3458</v>
      </c>
      <c r="B3279" s="247"/>
      <c r="C3279" s="265" t="s">
        <v>2495</v>
      </c>
      <c r="D3279" s="60">
        <v>11257</v>
      </c>
      <c r="E3279" s="247"/>
      <c r="F3279" s="247"/>
      <c r="G3279" s="247">
        <v>0</v>
      </c>
      <c r="H3279" s="167">
        <v>11257</v>
      </c>
      <c r="I3279" s="65"/>
      <c r="J3279" s="65"/>
      <c r="K3279" s="65"/>
      <c r="L3279" s="197">
        <v>11257</v>
      </c>
    </row>
    <row r="3280" spans="1:12" ht="15" customHeight="1" x14ac:dyDescent="0.25">
      <c r="A3280" s="265" t="s">
        <v>3458</v>
      </c>
      <c r="B3280" s="247"/>
      <c r="C3280" s="247"/>
      <c r="D3280" s="95">
        <v>537818</v>
      </c>
      <c r="E3280" s="107"/>
      <c r="F3280" s="95">
        <v>19021.576923076922</v>
      </c>
      <c r="G3280" s="95">
        <v>0</v>
      </c>
      <c r="H3280" s="107">
        <v>537818</v>
      </c>
      <c r="I3280" s="95">
        <f t="shared" ref="I3280:K3280" si="1016">SUM(I3266:I3279)</f>
        <v>4200</v>
      </c>
      <c r="J3280" s="95">
        <f t="shared" si="1016"/>
        <v>0</v>
      </c>
      <c r="K3280" s="95">
        <f t="shared" si="1016"/>
        <v>0</v>
      </c>
      <c r="L3280" s="95">
        <v>542018</v>
      </c>
    </row>
    <row r="3281" spans="1:12" ht="15" customHeight="1" x14ac:dyDescent="0.25">
      <c r="A3281" s="247"/>
      <c r="B3281" s="247"/>
      <c r="C3281" s="247"/>
      <c r="D3281" s="60"/>
      <c r="E3281" s="247"/>
      <c r="F3281" s="247"/>
      <c r="G3281" s="247"/>
      <c r="H3281" s="247"/>
      <c r="I3281" s="65"/>
      <c r="J3281" s="65"/>
      <c r="K3281" s="65"/>
      <c r="L3281" s="65"/>
    </row>
    <row r="3282" spans="1:12" ht="15" customHeight="1" x14ac:dyDescent="0.25">
      <c r="A3282" s="247"/>
      <c r="B3282" s="247"/>
      <c r="C3282" s="247"/>
      <c r="D3282" s="397"/>
      <c r="E3282" s="247"/>
      <c r="F3282" s="247"/>
      <c r="G3282" s="247"/>
      <c r="H3282" s="247"/>
      <c r="I3282" s="65"/>
      <c r="J3282" s="65"/>
      <c r="K3282" s="65"/>
      <c r="L3282" s="65"/>
    </row>
    <row r="3283" spans="1:12" ht="15" customHeight="1" x14ac:dyDescent="0.25">
      <c r="A3283" s="247" t="s">
        <v>3481</v>
      </c>
      <c r="B3283" s="247" t="s">
        <v>3481</v>
      </c>
      <c r="C3283" s="247" t="s">
        <v>2066</v>
      </c>
      <c r="D3283" s="397"/>
      <c r="E3283" s="247"/>
      <c r="F3283" s="247"/>
      <c r="G3283" s="247"/>
      <c r="H3283" s="247"/>
      <c r="I3283" s="65"/>
      <c r="J3283" s="65"/>
      <c r="K3283" s="65"/>
      <c r="L3283" s="65"/>
    </row>
    <row r="3284" spans="1:12" ht="15" customHeight="1" x14ac:dyDescent="0.25">
      <c r="A3284" s="265" t="s">
        <v>3481</v>
      </c>
      <c r="B3284" s="247"/>
      <c r="C3284" s="265" t="s">
        <v>1627</v>
      </c>
      <c r="D3284" s="95">
        <v>82620</v>
      </c>
      <c r="E3284" s="105"/>
      <c r="F3284" s="105"/>
      <c r="G3284" s="95">
        <v>0</v>
      </c>
      <c r="H3284" s="107">
        <v>82620</v>
      </c>
      <c r="I3284" s="85">
        <v>0</v>
      </c>
      <c r="J3284" s="85">
        <v>0</v>
      </c>
      <c r="K3284" s="85">
        <v>0</v>
      </c>
      <c r="L3284" s="85">
        <v>82620</v>
      </c>
    </row>
    <row r="3285" spans="1:12" ht="15" customHeight="1" x14ac:dyDescent="0.25">
      <c r="A3285" s="247"/>
      <c r="B3285" s="247"/>
      <c r="C3285" s="247"/>
      <c r="D3285" s="114"/>
      <c r="E3285" s="247"/>
      <c r="F3285" s="247"/>
      <c r="G3285" s="247"/>
      <c r="H3285" s="247"/>
      <c r="I3285" s="65"/>
      <c r="J3285" s="65"/>
      <c r="K3285" s="65"/>
      <c r="L3285" s="65"/>
    </row>
    <row r="3286" spans="1:12" ht="15" customHeight="1" x14ac:dyDescent="0.25">
      <c r="A3286" s="247"/>
      <c r="B3286" s="247"/>
      <c r="C3286" s="115" t="s">
        <v>0</v>
      </c>
      <c r="D3286" s="397"/>
      <c r="E3286" s="247"/>
      <c r="F3286" s="247"/>
      <c r="G3286" s="247"/>
      <c r="H3286" s="247"/>
      <c r="I3286" s="65"/>
      <c r="J3286" s="65"/>
      <c r="K3286" s="65"/>
      <c r="L3286" s="65"/>
    </row>
    <row r="3287" spans="1:12" ht="15" customHeight="1" x14ac:dyDescent="0.25">
      <c r="A3287" s="247"/>
      <c r="B3287" s="247"/>
      <c r="C3287" s="178" t="s">
        <v>0</v>
      </c>
      <c r="D3287" s="397"/>
      <c r="E3287" s="247"/>
      <c r="F3287" s="247"/>
      <c r="G3287" s="247"/>
      <c r="H3287" s="247"/>
      <c r="I3287" s="65"/>
      <c r="J3287" s="65"/>
      <c r="K3287" s="65"/>
      <c r="L3287" s="65"/>
    </row>
    <row r="3288" spans="1:12" ht="15" customHeight="1" x14ac:dyDescent="0.25">
      <c r="A3288" s="247"/>
      <c r="B3288" s="247"/>
      <c r="C3288" s="247"/>
      <c r="D3288" s="397"/>
      <c r="E3288" s="247"/>
      <c r="F3288" s="247"/>
      <c r="G3288" s="247"/>
      <c r="H3288" s="247"/>
      <c r="I3288" s="65"/>
      <c r="J3288" s="65"/>
      <c r="K3288" s="65"/>
      <c r="L3288" s="65"/>
    </row>
    <row r="3289" spans="1:12" ht="15" customHeight="1" x14ac:dyDescent="0.25">
      <c r="A3289" s="247"/>
      <c r="B3289" s="247"/>
      <c r="C3289" s="247"/>
      <c r="D3289" s="397"/>
      <c r="E3289" s="247"/>
      <c r="F3289" s="247"/>
      <c r="G3289" s="247"/>
      <c r="H3289" s="247"/>
      <c r="I3289" s="65"/>
      <c r="J3289" s="65"/>
      <c r="K3289" s="65"/>
      <c r="L3289" s="65"/>
    </row>
    <row r="3290" spans="1:12" ht="15" customHeight="1" x14ac:dyDescent="0.25">
      <c r="A3290" s="247"/>
      <c r="B3290" s="247"/>
      <c r="C3290" s="247"/>
      <c r="D3290" s="397"/>
      <c r="E3290" s="247"/>
      <c r="F3290" s="247"/>
      <c r="G3290" s="247"/>
      <c r="H3290" s="247"/>
      <c r="I3290" s="65"/>
      <c r="J3290" s="65"/>
      <c r="K3290" s="65"/>
      <c r="L3290" s="65"/>
    </row>
    <row r="3291" spans="1:12" ht="15" customHeight="1" x14ac:dyDescent="0.25">
      <c r="A3291" s="247"/>
      <c r="B3291" s="247"/>
      <c r="C3291" s="247"/>
      <c r="D3291" s="116"/>
      <c r="E3291" s="247"/>
      <c r="F3291" s="247"/>
      <c r="G3291" s="247"/>
      <c r="H3291" s="247"/>
      <c r="I3291" s="65"/>
      <c r="J3291" s="65"/>
      <c r="K3291" s="65"/>
      <c r="L3291" s="65"/>
    </row>
    <row r="3292" spans="1:12" ht="15" customHeight="1" x14ac:dyDescent="0.25">
      <c r="A3292" s="247"/>
      <c r="B3292" s="247"/>
      <c r="C3292" s="247"/>
      <c r="D3292" s="397"/>
      <c r="E3292" s="247"/>
      <c r="F3292" s="247"/>
      <c r="G3292" s="247"/>
      <c r="H3292" s="247"/>
      <c r="I3292" s="65"/>
      <c r="J3292" s="65"/>
      <c r="K3292" s="65"/>
      <c r="L3292" s="65"/>
    </row>
    <row r="3293" spans="1:12" ht="15" customHeight="1" x14ac:dyDescent="0.25">
      <c r="A3293" s="265" t="s">
        <v>3482</v>
      </c>
      <c r="B3293" s="265" t="s">
        <v>3482</v>
      </c>
      <c r="C3293" s="265" t="s">
        <v>3483</v>
      </c>
      <c r="D3293" s="397"/>
      <c r="E3293" s="247"/>
      <c r="F3293" s="247"/>
      <c r="G3293" s="247"/>
      <c r="H3293" s="247"/>
      <c r="I3293" s="65"/>
      <c r="J3293" s="65"/>
      <c r="K3293" s="65"/>
      <c r="L3293" s="65"/>
    </row>
    <row r="3294" spans="1:12" ht="15" customHeight="1" x14ac:dyDescent="0.25">
      <c r="A3294" s="265" t="s">
        <v>3482</v>
      </c>
      <c r="B3294" s="167">
        <v>475013</v>
      </c>
      <c r="C3294" s="265" t="s">
        <v>3484</v>
      </c>
      <c r="D3294" s="60">
        <v>2500</v>
      </c>
      <c r="E3294" s="103"/>
      <c r="F3294" s="103">
        <v>96.15384615384616</v>
      </c>
      <c r="G3294" s="125">
        <v>0</v>
      </c>
      <c r="H3294" s="65">
        <v>2500</v>
      </c>
      <c r="I3294" s="65"/>
      <c r="J3294" s="65"/>
      <c r="K3294" s="65"/>
      <c r="L3294" s="197">
        <v>2500</v>
      </c>
    </row>
    <row r="3295" spans="1:12" ht="15" customHeight="1" x14ac:dyDescent="0.25">
      <c r="A3295" s="265" t="s">
        <v>3482</v>
      </c>
      <c r="B3295" s="167">
        <v>475015</v>
      </c>
      <c r="C3295" s="265" t="s">
        <v>3485</v>
      </c>
      <c r="D3295" s="60">
        <v>2500</v>
      </c>
      <c r="E3295" s="103"/>
      <c r="F3295" s="103">
        <v>96.15384615384616</v>
      </c>
      <c r="G3295" s="125">
        <v>0</v>
      </c>
      <c r="H3295" s="65">
        <v>2500</v>
      </c>
      <c r="I3295" s="65"/>
      <c r="J3295" s="65"/>
      <c r="K3295" s="65"/>
      <c r="L3295" s="197">
        <v>2500</v>
      </c>
    </row>
    <row r="3296" spans="1:12" ht="15" customHeight="1" x14ac:dyDescent="0.25">
      <c r="A3296" s="265" t="s">
        <v>3482</v>
      </c>
      <c r="B3296" s="167">
        <v>475011</v>
      </c>
      <c r="C3296" s="265" t="s">
        <v>2685</v>
      </c>
      <c r="D3296" s="60">
        <v>1500</v>
      </c>
      <c r="E3296" s="103"/>
      <c r="F3296" s="103">
        <v>57.692307692307693</v>
      </c>
      <c r="G3296" s="125">
        <v>0</v>
      </c>
      <c r="H3296" s="65">
        <v>1500</v>
      </c>
      <c r="I3296" s="65"/>
      <c r="J3296" s="65"/>
      <c r="K3296" s="65"/>
      <c r="L3296" s="197">
        <v>1500</v>
      </c>
    </row>
    <row r="3297" spans="1:12" ht="15" customHeight="1" x14ac:dyDescent="0.25">
      <c r="A3297" s="265" t="s">
        <v>3482</v>
      </c>
      <c r="B3297" s="167">
        <v>475004</v>
      </c>
      <c r="C3297" s="265" t="s">
        <v>3488</v>
      </c>
      <c r="D3297" s="60">
        <v>2000</v>
      </c>
      <c r="E3297" s="103"/>
      <c r="F3297" s="103">
        <v>76.92307692307692</v>
      </c>
      <c r="G3297" s="125">
        <v>0</v>
      </c>
      <c r="H3297" s="65">
        <v>2000</v>
      </c>
      <c r="I3297" s="65"/>
      <c r="J3297" s="65"/>
      <c r="K3297" s="65"/>
      <c r="L3297" s="197">
        <v>2000</v>
      </c>
    </row>
    <row r="3298" spans="1:12" ht="15" customHeight="1" x14ac:dyDescent="0.25">
      <c r="A3298" s="265" t="s">
        <v>3482</v>
      </c>
      <c r="B3298" s="167">
        <v>475000</v>
      </c>
      <c r="C3298" s="265" t="s">
        <v>2703</v>
      </c>
      <c r="D3298" s="60">
        <v>8400</v>
      </c>
      <c r="E3298" s="103"/>
      <c r="F3298" s="103">
        <v>323.07692307692309</v>
      </c>
      <c r="G3298" s="298">
        <v>0</v>
      </c>
      <c r="H3298" s="65">
        <v>8400</v>
      </c>
      <c r="I3298" s="65"/>
      <c r="J3298" s="65"/>
      <c r="K3298" s="65"/>
      <c r="L3298" s="197">
        <v>8400</v>
      </c>
    </row>
    <row r="3299" spans="1:12" ht="15" customHeight="1" x14ac:dyDescent="0.25">
      <c r="A3299" s="265" t="s">
        <v>3482</v>
      </c>
      <c r="B3299" s="247"/>
      <c r="C3299" s="247"/>
      <c r="D3299" s="95">
        <v>16900</v>
      </c>
      <c r="E3299" s="107"/>
      <c r="F3299" s="95">
        <v>326.92307692307691</v>
      </c>
      <c r="G3299" s="95">
        <v>0</v>
      </c>
      <c r="H3299" s="107">
        <v>8500</v>
      </c>
      <c r="I3299" s="95">
        <f t="shared" ref="I3299:K3299" si="1017">SUM(I3293:I3297)</f>
        <v>0</v>
      </c>
      <c r="J3299" s="95">
        <f t="shared" si="1017"/>
        <v>0</v>
      </c>
      <c r="K3299" s="95">
        <f t="shared" si="1017"/>
        <v>0</v>
      </c>
      <c r="L3299" s="95">
        <v>16900</v>
      </c>
    </row>
    <row r="3300" spans="1:12" ht="15" customHeight="1" x14ac:dyDescent="0.25">
      <c r="A3300" s="247"/>
      <c r="B3300" s="247"/>
      <c r="C3300" s="247"/>
      <c r="D3300" s="397"/>
      <c r="E3300" s="247"/>
      <c r="F3300" s="247"/>
      <c r="G3300" s="247"/>
      <c r="H3300" s="247"/>
      <c r="I3300" s="65"/>
      <c r="J3300" s="65"/>
      <c r="K3300" s="65"/>
      <c r="L3300" s="65"/>
    </row>
    <row r="3301" spans="1:12" ht="15" customHeight="1" x14ac:dyDescent="0.25">
      <c r="A3301" s="247"/>
      <c r="B3301" s="247"/>
      <c r="C3301" s="247"/>
      <c r="D3301" s="397"/>
      <c r="E3301" s="247"/>
      <c r="F3301" s="247"/>
      <c r="G3301" s="247"/>
      <c r="H3301" s="247"/>
      <c r="I3301" s="65"/>
      <c r="J3301" s="65"/>
      <c r="K3301" s="65"/>
      <c r="L3301" s="65"/>
    </row>
    <row r="3302" spans="1:12" ht="15" customHeight="1" x14ac:dyDescent="0.25">
      <c r="A3302" s="247"/>
      <c r="B3302" s="247"/>
      <c r="C3302" s="247"/>
      <c r="D3302" s="397"/>
      <c r="E3302" s="247"/>
      <c r="F3302" s="247"/>
      <c r="G3302" s="247"/>
      <c r="H3302" s="247"/>
      <c r="I3302" s="65"/>
      <c r="J3302" s="65"/>
      <c r="K3302" s="65"/>
      <c r="L3302" s="65"/>
    </row>
    <row r="3303" spans="1:12" ht="15" customHeight="1" x14ac:dyDescent="0.25">
      <c r="A3303" s="265" t="s">
        <v>3489</v>
      </c>
      <c r="B3303" s="265" t="s">
        <v>3489</v>
      </c>
      <c r="C3303" s="265" t="s">
        <v>3490</v>
      </c>
      <c r="D3303" s="397"/>
      <c r="E3303" s="247"/>
      <c r="F3303" s="247"/>
      <c r="G3303" s="247"/>
      <c r="H3303" s="247"/>
      <c r="I3303" s="65"/>
      <c r="J3303" s="65"/>
      <c r="K3303" s="65"/>
      <c r="L3303" s="65"/>
    </row>
    <row r="3304" spans="1:12" ht="15" customHeight="1" x14ac:dyDescent="0.25">
      <c r="A3304" s="265" t="s">
        <v>3489</v>
      </c>
      <c r="B3304" s="167">
        <v>475000</v>
      </c>
      <c r="C3304" s="265" t="s">
        <v>2703</v>
      </c>
      <c r="D3304" s="60">
        <v>15000</v>
      </c>
      <c r="E3304" s="65">
        <v>7.2115384615384617</v>
      </c>
      <c r="F3304" s="197">
        <v>576.92307692307691</v>
      </c>
      <c r="G3304" s="197">
        <v>0</v>
      </c>
      <c r="H3304" s="65">
        <v>15000</v>
      </c>
      <c r="I3304" s="65"/>
      <c r="J3304" s="65"/>
      <c r="K3304" s="65"/>
      <c r="L3304" s="197">
        <v>15000</v>
      </c>
    </row>
    <row r="3305" spans="1:12" ht="15" customHeight="1" x14ac:dyDescent="0.25">
      <c r="A3305" s="265" t="s">
        <v>3489</v>
      </c>
      <c r="B3305" s="247"/>
      <c r="C3305" s="247"/>
      <c r="D3305" s="95">
        <v>15000</v>
      </c>
      <c r="E3305" s="107"/>
      <c r="F3305" s="95">
        <v>576.92307692307691</v>
      </c>
      <c r="G3305" s="95">
        <v>0</v>
      </c>
      <c r="H3305" s="107">
        <v>15000</v>
      </c>
      <c r="I3305" s="95">
        <f t="shared" ref="I3305:K3305" si="1018">SUM(I3303:I3304)</f>
        <v>0</v>
      </c>
      <c r="J3305" s="95">
        <f t="shared" si="1018"/>
        <v>0</v>
      </c>
      <c r="K3305" s="95">
        <f t="shared" si="1018"/>
        <v>0</v>
      </c>
      <c r="L3305" s="95">
        <v>15000</v>
      </c>
    </row>
    <row r="3306" spans="1:12" ht="15" customHeight="1" x14ac:dyDescent="0.25">
      <c r="A3306" s="247"/>
      <c r="B3306" s="247"/>
      <c r="C3306" s="247"/>
      <c r="D3306" s="60"/>
      <c r="E3306" s="247"/>
      <c r="F3306" s="247"/>
      <c r="G3306" s="247"/>
      <c r="H3306" s="247"/>
      <c r="I3306" s="65"/>
      <c r="J3306" s="65"/>
      <c r="K3306" s="65"/>
      <c r="L3306" s="65"/>
    </row>
    <row r="3307" spans="1:12" ht="15" customHeight="1" x14ac:dyDescent="0.25">
      <c r="A3307" s="265"/>
      <c r="B3307" s="265"/>
      <c r="C3307" s="265"/>
      <c r="D3307" s="397"/>
      <c r="E3307" s="247"/>
      <c r="F3307" s="247"/>
      <c r="G3307" s="247"/>
      <c r="H3307" s="247"/>
      <c r="I3307" s="65"/>
      <c r="J3307" s="65"/>
      <c r="K3307" s="65"/>
      <c r="L3307" s="65"/>
    </row>
    <row r="3308" spans="1:12" ht="15" customHeight="1" x14ac:dyDescent="0.25">
      <c r="A3308" s="247"/>
      <c r="B3308" s="247"/>
      <c r="C3308" s="247"/>
      <c r="D3308" s="397"/>
      <c r="E3308" s="247"/>
      <c r="F3308" s="247"/>
      <c r="G3308" s="247"/>
      <c r="H3308" s="247"/>
      <c r="I3308" s="65"/>
      <c r="J3308" s="65"/>
      <c r="K3308" s="65"/>
      <c r="L3308" s="65"/>
    </row>
    <row r="3309" spans="1:12" ht="15" customHeight="1" x14ac:dyDescent="0.25">
      <c r="A3309" s="247"/>
      <c r="B3309" s="247"/>
      <c r="C3309" s="247"/>
      <c r="D3309" s="397"/>
      <c r="E3309" s="247"/>
      <c r="F3309" s="247"/>
      <c r="G3309" s="247"/>
      <c r="H3309" s="247"/>
      <c r="I3309" s="65"/>
      <c r="J3309" s="65"/>
      <c r="K3309" s="65"/>
      <c r="L3309" s="65"/>
    </row>
    <row r="3310" spans="1:12" ht="15" customHeight="1" x14ac:dyDescent="0.25">
      <c r="A3310" s="265" t="s">
        <v>3492</v>
      </c>
      <c r="B3310" s="265" t="s">
        <v>3492</v>
      </c>
      <c r="C3310" s="265" t="s">
        <v>3493</v>
      </c>
      <c r="D3310" s="397"/>
      <c r="E3310" s="247"/>
      <c r="F3310" s="247"/>
      <c r="G3310" s="247"/>
      <c r="H3310" s="247"/>
      <c r="I3310" s="65"/>
      <c r="J3310" s="65"/>
      <c r="K3310" s="65"/>
      <c r="L3310" s="65"/>
    </row>
    <row r="3311" spans="1:12" ht="15" customHeight="1" x14ac:dyDescent="0.25">
      <c r="A3311" s="265" t="s">
        <v>3492</v>
      </c>
      <c r="B3311" s="167" t="s">
        <v>2739</v>
      </c>
      <c r="C3311" s="265" t="s">
        <v>3494</v>
      </c>
      <c r="D3311" s="60">
        <v>6000</v>
      </c>
      <c r="E3311" s="103"/>
      <c r="F3311" s="103">
        <v>230.76923076923077</v>
      </c>
      <c r="G3311" s="125">
        <v>0</v>
      </c>
      <c r="H3311" s="65">
        <v>6000</v>
      </c>
      <c r="I3311" s="65"/>
      <c r="J3311" s="65"/>
      <c r="K3311" s="65"/>
      <c r="L3311" s="197">
        <v>6000</v>
      </c>
    </row>
    <row r="3312" spans="1:12" ht="15" customHeight="1" x14ac:dyDescent="0.25">
      <c r="A3312" s="265" t="s">
        <v>3492</v>
      </c>
      <c r="B3312" s="167" t="s">
        <v>2742</v>
      </c>
      <c r="C3312" s="265" t="s">
        <v>3495</v>
      </c>
      <c r="D3312" s="60">
        <v>1000</v>
      </c>
      <c r="E3312" s="103"/>
      <c r="F3312" s="103">
        <v>38.46153846153846</v>
      </c>
      <c r="G3312" s="125">
        <v>0</v>
      </c>
      <c r="H3312" s="65">
        <v>1000</v>
      </c>
      <c r="I3312" s="65"/>
      <c r="J3312" s="65"/>
      <c r="K3312" s="65"/>
      <c r="L3312" s="197">
        <v>1000</v>
      </c>
    </row>
    <row r="3313" spans="1:12" ht="15" customHeight="1" x14ac:dyDescent="0.25">
      <c r="A3313" s="265" t="s">
        <v>3492</v>
      </c>
      <c r="B3313" s="167" t="s">
        <v>2725</v>
      </c>
      <c r="C3313" s="265" t="s">
        <v>3496</v>
      </c>
      <c r="D3313" s="60">
        <v>2500</v>
      </c>
      <c r="E3313" s="103"/>
      <c r="F3313" s="103">
        <v>96.15384615384616</v>
      </c>
      <c r="G3313" s="125">
        <v>0</v>
      </c>
      <c r="H3313" s="65">
        <v>2500</v>
      </c>
      <c r="I3313" s="65"/>
      <c r="J3313" s="65"/>
      <c r="K3313" s="65"/>
      <c r="L3313" s="197">
        <v>2500</v>
      </c>
    </row>
    <row r="3314" spans="1:12" ht="15" customHeight="1" x14ac:dyDescent="0.25">
      <c r="A3314" s="265" t="s">
        <v>3492</v>
      </c>
      <c r="B3314" s="167" t="s">
        <v>2727</v>
      </c>
      <c r="C3314" s="265" t="s">
        <v>2726</v>
      </c>
      <c r="D3314" s="60">
        <v>1372</v>
      </c>
      <c r="E3314" s="103"/>
      <c r="F3314" s="103">
        <v>52.769230769230766</v>
      </c>
      <c r="G3314" s="125">
        <v>0</v>
      </c>
      <c r="H3314" s="65">
        <v>1372</v>
      </c>
      <c r="I3314" s="65"/>
      <c r="J3314" s="65"/>
      <c r="K3314" s="65"/>
      <c r="L3314" s="197">
        <v>1372</v>
      </c>
    </row>
    <row r="3315" spans="1:12" ht="15" customHeight="1" x14ac:dyDescent="0.25">
      <c r="A3315" s="265" t="s">
        <v>3492</v>
      </c>
      <c r="B3315" s="167" t="s">
        <v>2730</v>
      </c>
      <c r="C3315" s="265" t="s">
        <v>2726</v>
      </c>
      <c r="D3315" s="60">
        <v>1423</v>
      </c>
      <c r="E3315" s="103"/>
      <c r="F3315" s="103">
        <v>54.730769230769234</v>
      </c>
      <c r="G3315" s="125">
        <v>0</v>
      </c>
      <c r="H3315" s="65">
        <v>1423</v>
      </c>
      <c r="I3315" s="65"/>
      <c r="J3315" s="65"/>
      <c r="K3315" s="65"/>
      <c r="L3315" s="197">
        <v>1423</v>
      </c>
    </row>
    <row r="3316" spans="1:12" ht="15" customHeight="1" x14ac:dyDescent="0.25">
      <c r="A3316" s="265" t="s">
        <v>3492</v>
      </c>
      <c r="B3316" s="167" t="s">
        <v>2732</v>
      </c>
      <c r="C3316" s="265" t="s">
        <v>2726</v>
      </c>
      <c r="D3316" s="60">
        <v>1396</v>
      </c>
      <c r="E3316" s="103"/>
      <c r="F3316" s="103">
        <v>53.692307692307693</v>
      </c>
      <c r="G3316" s="125">
        <v>0</v>
      </c>
      <c r="H3316" s="65">
        <v>1396</v>
      </c>
      <c r="I3316" s="65"/>
      <c r="J3316" s="65"/>
      <c r="K3316" s="65"/>
      <c r="L3316" s="197">
        <v>1396</v>
      </c>
    </row>
    <row r="3317" spans="1:12" ht="15" customHeight="1" x14ac:dyDescent="0.25">
      <c r="A3317" s="265" t="s">
        <v>3492</v>
      </c>
      <c r="B3317" s="167" t="s">
        <v>2759</v>
      </c>
      <c r="C3317" s="265" t="s">
        <v>3497</v>
      </c>
      <c r="D3317" s="60">
        <v>2000</v>
      </c>
      <c r="E3317" s="103"/>
      <c r="F3317" s="103">
        <v>76.92307692307692</v>
      </c>
      <c r="G3317" s="125">
        <v>0</v>
      </c>
      <c r="H3317" s="65">
        <v>2000</v>
      </c>
      <c r="I3317" s="65"/>
      <c r="J3317" s="65"/>
      <c r="K3317" s="65"/>
      <c r="L3317" s="197">
        <v>2000</v>
      </c>
    </row>
    <row r="3318" spans="1:12" ht="15" customHeight="1" x14ac:dyDescent="0.25">
      <c r="A3318" s="265" t="s">
        <v>3492</v>
      </c>
      <c r="B3318" s="167" t="s">
        <v>2763</v>
      </c>
      <c r="C3318" s="265" t="s">
        <v>3498</v>
      </c>
      <c r="D3318" s="60">
        <v>5000</v>
      </c>
      <c r="E3318" s="103"/>
      <c r="F3318" s="103">
        <v>192.30769230769232</v>
      </c>
      <c r="G3318" s="125">
        <v>0</v>
      </c>
      <c r="H3318" s="65">
        <v>5000</v>
      </c>
      <c r="I3318" s="65"/>
      <c r="J3318" s="65"/>
      <c r="K3318" s="65"/>
      <c r="L3318" s="197">
        <v>5000</v>
      </c>
    </row>
    <row r="3319" spans="1:12" ht="15" customHeight="1" x14ac:dyDescent="0.25">
      <c r="A3319" s="265" t="s">
        <v>3492</v>
      </c>
      <c r="B3319" s="167" t="s">
        <v>2735</v>
      </c>
      <c r="C3319" s="265" t="s">
        <v>3499</v>
      </c>
      <c r="D3319" s="60">
        <v>6000</v>
      </c>
      <c r="E3319" s="103"/>
      <c r="F3319" s="103">
        <v>230.76923076923077</v>
      </c>
      <c r="G3319" s="125">
        <v>0</v>
      </c>
      <c r="H3319" s="65">
        <v>6000</v>
      </c>
      <c r="I3319" s="65"/>
      <c r="J3319" s="65"/>
      <c r="K3319" s="65"/>
      <c r="L3319" s="197">
        <v>6000</v>
      </c>
    </row>
    <row r="3320" spans="1:12" ht="15" customHeight="1" x14ac:dyDescent="0.25">
      <c r="A3320" s="265" t="s">
        <v>3492</v>
      </c>
      <c r="B3320" s="265"/>
      <c r="C3320" s="265"/>
      <c r="D3320" s="91"/>
      <c r="E3320" s="103"/>
      <c r="F3320" s="103">
        <v>0</v>
      </c>
      <c r="G3320" s="298">
        <v>0</v>
      </c>
      <c r="H3320" s="65">
        <v>0</v>
      </c>
      <c r="I3320" s="65"/>
      <c r="J3320" s="65"/>
      <c r="K3320" s="65"/>
      <c r="L3320" s="197">
        <v>0</v>
      </c>
    </row>
    <row r="3321" spans="1:12" ht="15" customHeight="1" x14ac:dyDescent="0.25">
      <c r="A3321" s="247"/>
      <c r="B3321" s="247"/>
      <c r="C3321" s="247"/>
      <c r="D3321" s="95">
        <v>26691</v>
      </c>
      <c r="E3321" s="107"/>
      <c r="F3321" s="95">
        <v>1026.5769230769231</v>
      </c>
      <c r="G3321" s="95">
        <v>0</v>
      </c>
      <c r="H3321" s="107">
        <v>26691</v>
      </c>
      <c r="I3321" s="95">
        <f t="shared" ref="I3321:K3321" si="1019">SUM(I3310:I3320)</f>
        <v>0</v>
      </c>
      <c r="J3321" s="95">
        <f t="shared" si="1019"/>
        <v>0</v>
      </c>
      <c r="K3321" s="95">
        <f t="shared" si="1019"/>
        <v>0</v>
      </c>
      <c r="L3321" s="95">
        <v>26691</v>
      </c>
    </row>
    <row r="3322" spans="1:12" ht="15" customHeight="1" x14ac:dyDescent="0.25">
      <c r="A3322" s="247"/>
      <c r="B3322" s="247"/>
      <c r="C3322" s="247"/>
      <c r="D3322" s="397"/>
      <c r="E3322" s="247"/>
      <c r="F3322" s="247"/>
      <c r="G3322" s="247"/>
      <c r="H3322" s="247"/>
      <c r="I3322" s="65"/>
      <c r="J3322" s="65"/>
      <c r="K3322" s="65"/>
      <c r="L3322" s="65"/>
    </row>
    <row r="3323" spans="1:12" ht="15" customHeight="1" x14ac:dyDescent="0.25">
      <c r="A3323" s="247"/>
      <c r="B3323" s="247"/>
      <c r="C3323" s="247"/>
      <c r="D3323" s="397"/>
      <c r="E3323" s="247"/>
      <c r="F3323" s="247"/>
      <c r="G3323" s="247"/>
      <c r="H3323" s="247"/>
      <c r="I3323" s="65"/>
      <c r="J3323" s="65"/>
      <c r="K3323" s="65"/>
      <c r="L3323" s="65"/>
    </row>
    <row r="3324" spans="1:12" ht="15" customHeight="1" x14ac:dyDescent="0.25">
      <c r="A3324" s="247"/>
      <c r="B3324" s="247"/>
      <c r="C3324" s="247"/>
      <c r="D3324" s="397"/>
      <c r="E3324" s="247"/>
      <c r="F3324" s="247"/>
      <c r="G3324" s="247"/>
      <c r="H3324" s="247"/>
      <c r="I3324" s="65"/>
      <c r="J3324" s="65"/>
      <c r="K3324" s="65"/>
      <c r="L3324" s="65"/>
    </row>
    <row r="3325" spans="1:12" ht="15" customHeight="1" x14ac:dyDescent="0.25">
      <c r="A3325" s="265" t="s">
        <v>3500</v>
      </c>
      <c r="B3325" s="247"/>
      <c r="C3325" s="265" t="s">
        <v>3501</v>
      </c>
      <c r="D3325" s="95">
        <v>0</v>
      </c>
      <c r="E3325" s="105"/>
      <c r="F3325" s="118">
        <v>115.38</v>
      </c>
      <c r="G3325" s="119">
        <v>0</v>
      </c>
      <c r="H3325" s="119">
        <v>0</v>
      </c>
      <c r="I3325" s="79"/>
      <c r="J3325" s="79"/>
      <c r="K3325" s="79"/>
      <c r="L3325" s="85">
        <v>0</v>
      </c>
    </row>
    <row r="3326" spans="1:12" ht="15" customHeight="1" x14ac:dyDescent="0.25">
      <c r="A3326" s="247"/>
      <c r="B3326" s="247"/>
      <c r="C3326" s="247"/>
      <c r="D3326" s="397"/>
      <c r="E3326" s="247"/>
      <c r="F3326" s="247"/>
      <c r="G3326" s="247"/>
      <c r="H3326" s="247"/>
      <c r="I3326" s="65"/>
      <c r="J3326" s="65"/>
      <c r="K3326" s="65"/>
      <c r="L3326" s="65"/>
    </row>
    <row r="3327" spans="1:12" ht="15" customHeight="1" x14ac:dyDescent="0.25">
      <c r="A3327" s="247"/>
      <c r="B3327" s="247"/>
      <c r="C3327" s="247"/>
      <c r="D3327" s="397"/>
      <c r="E3327" s="247"/>
      <c r="F3327" s="247"/>
      <c r="G3327" s="247"/>
      <c r="H3327" s="247"/>
      <c r="I3327" s="65"/>
      <c r="J3327" s="65"/>
      <c r="K3327" s="65"/>
      <c r="L3327" s="65"/>
    </row>
    <row r="3328" spans="1:12" ht="15" customHeight="1" x14ac:dyDescent="0.25">
      <c r="A3328" s="247">
        <v>267</v>
      </c>
      <c r="B3328" s="247"/>
      <c r="C3328" s="247" t="s">
        <v>3504</v>
      </c>
      <c r="D3328" s="397"/>
      <c r="E3328" s="247"/>
      <c r="F3328" s="247"/>
      <c r="G3328" s="247"/>
      <c r="H3328" s="247"/>
      <c r="I3328" s="65"/>
      <c r="J3328" s="65"/>
      <c r="K3328" s="65"/>
      <c r="L3328" s="65"/>
    </row>
    <row r="3329" spans="1:12" ht="15" customHeight="1" x14ac:dyDescent="0.25">
      <c r="A3329" s="265" t="s">
        <v>3505</v>
      </c>
      <c r="B3329" s="167" t="s">
        <v>2763</v>
      </c>
      <c r="C3329" s="265" t="s">
        <v>3497</v>
      </c>
      <c r="D3329" s="60">
        <v>6000</v>
      </c>
      <c r="E3329" s="103"/>
      <c r="F3329" s="103">
        <v>230.76923076923077</v>
      </c>
      <c r="G3329" s="125">
        <v>0</v>
      </c>
      <c r="H3329" s="65">
        <v>6000</v>
      </c>
      <c r="I3329" s="65"/>
      <c r="J3329" s="65"/>
      <c r="K3329" s="65"/>
      <c r="L3329" s="197">
        <v>6000</v>
      </c>
    </row>
    <row r="3330" spans="1:12" ht="15" customHeight="1" x14ac:dyDescent="0.25">
      <c r="A3330" s="265" t="s">
        <v>3505</v>
      </c>
      <c r="B3330" s="167" t="s">
        <v>2759</v>
      </c>
      <c r="C3330" s="265" t="s">
        <v>3498</v>
      </c>
      <c r="D3330" s="60">
        <v>10000</v>
      </c>
      <c r="E3330" s="103"/>
      <c r="F3330" s="103">
        <v>384.61538461538464</v>
      </c>
      <c r="G3330" s="125">
        <v>0</v>
      </c>
      <c r="H3330" s="65">
        <v>10000</v>
      </c>
      <c r="I3330" s="65"/>
      <c r="J3330" s="65"/>
      <c r="K3330" s="65"/>
      <c r="L3330" s="197">
        <v>10000</v>
      </c>
    </row>
    <row r="3331" spans="1:12" ht="15" customHeight="1" x14ac:dyDescent="0.25">
      <c r="A3331" s="167" t="s">
        <v>3505</v>
      </c>
      <c r="B3331" s="247"/>
      <c r="C3331" s="265"/>
      <c r="D3331" s="60">
        <v>0</v>
      </c>
      <c r="E3331" s="125">
        <v>0</v>
      </c>
      <c r="F3331" s="125">
        <v>0</v>
      </c>
      <c r="G3331" s="61">
        <v>0</v>
      </c>
      <c r="H3331" s="65">
        <v>0</v>
      </c>
      <c r="I3331" s="65"/>
      <c r="J3331" s="65"/>
      <c r="K3331" s="65"/>
      <c r="L3331" s="65">
        <v>0</v>
      </c>
    </row>
    <row r="3332" spans="1:12" ht="15" customHeight="1" x14ac:dyDescent="0.25">
      <c r="A3332" s="167"/>
      <c r="B3332" s="247"/>
      <c r="C3332" s="247"/>
      <c r="D3332" s="95">
        <v>16000</v>
      </c>
      <c r="E3332" s="107"/>
      <c r="F3332" s="107">
        <v>615.38461538461547</v>
      </c>
      <c r="G3332" s="107">
        <v>0</v>
      </c>
      <c r="H3332" s="107">
        <v>16000</v>
      </c>
      <c r="I3332" s="107">
        <f t="shared" ref="I3332:K3332" si="1020">SUM(I3329:I3331)</f>
        <v>0</v>
      </c>
      <c r="J3332" s="107">
        <f t="shared" si="1020"/>
        <v>0</v>
      </c>
      <c r="K3332" s="107">
        <f t="shared" si="1020"/>
        <v>0</v>
      </c>
      <c r="L3332" s="107">
        <v>16000</v>
      </c>
    </row>
    <row r="3333" spans="1:12" ht="15" customHeight="1" x14ac:dyDescent="0.25">
      <c r="A3333" s="247"/>
      <c r="B3333" s="247"/>
      <c r="C3333" s="247"/>
      <c r="D3333" s="60"/>
      <c r="E3333" s="247"/>
      <c r="F3333" s="247"/>
      <c r="G3333" s="247"/>
      <c r="H3333" s="65"/>
      <c r="I3333" s="65"/>
      <c r="J3333" s="65"/>
      <c r="K3333" s="65"/>
      <c r="L3333" s="65"/>
    </row>
    <row r="3334" spans="1:12" ht="15" customHeight="1" x14ac:dyDescent="0.25">
      <c r="A3334" s="247"/>
      <c r="B3334" s="247"/>
      <c r="C3334" s="247"/>
      <c r="D3334" s="397"/>
      <c r="E3334" s="247"/>
      <c r="F3334" s="247"/>
      <c r="G3334" s="247"/>
      <c r="H3334" s="247"/>
      <c r="I3334" s="65"/>
      <c r="J3334" s="65"/>
      <c r="K3334" s="65"/>
      <c r="L3334" s="65"/>
    </row>
    <row r="3335" spans="1:12" ht="15" customHeight="1" x14ac:dyDescent="0.25">
      <c r="A3335" s="247"/>
      <c r="B3335" s="247"/>
      <c r="C3335" s="247"/>
      <c r="D3335" s="397"/>
      <c r="E3335" s="247"/>
      <c r="F3335" s="247"/>
      <c r="G3335" s="247"/>
      <c r="H3335" s="247"/>
      <c r="I3335" s="65"/>
      <c r="J3335" s="65"/>
      <c r="K3335" s="65"/>
      <c r="L3335" s="65"/>
    </row>
    <row r="3336" spans="1:12" ht="15" customHeight="1" x14ac:dyDescent="0.25">
      <c r="A3336" s="247"/>
      <c r="B3336" s="247"/>
      <c r="C3336" s="247"/>
      <c r="D3336" s="397"/>
      <c r="E3336" s="247"/>
      <c r="F3336" s="247"/>
      <c r="G3336" s="247"/>
      <c r="H3336" s="247"/>
      <c r="I3336" s="65"/>
      <c r="J3336" s="65"/>
      <c r="K3336" s="65"/>
      <c r="L3336" s="65"/>
    </row>
    <row r="3337" spans="1:12" ht="15" customHeight="1" x14ac:dyDescent="0.25">
      <c r="A3337" s="265" t="s">
        <v>3506</v>
      </c>
      <c r="B3337" s="167" t="s">
        <v>3507</v>
      </c>
      <c r="C3337" s="265" t="s">
        <v>3508</v>
      </c>
      <c r="D3337" s="60">
        <v>65499</v>
      </c>
      <c r="E3337" s="113">
        <v>31.489903846153847</v>
      </c>
      <c r="F3337" s="113">
        <v>2519.1923076923076</v>
      </c>
      <c r="G3337" s="125">
        <v>0</v>
      </c>
      <c r="H3337" s="65">
        <v>65499</v>
      </c>
      <c r="I3337" s="197">
        <v>9500</v>
      </c>
      <c r="J3337" s="65"/>
      <c r="K3337" s="65"/>
      <c r="L3337" s="197">
        <v>74999</v>
      </c>
    </row>
    <row r="3338" spans="1:12" ht="15" customHeight="1" x14ac:dyDescent="0.25">
      <c r="A3338" s="265" t="s">
        <v>3506</v>
      </c>
      <c r="B3338" s="167" t="s">
        <v>3511</v>
      </c>
      <c r="C3338" s="265" t="s">
        <v>3512</v>
      </c>
      <c r="D3338" s="60">
        <v>39821</v>
      </c>
      <c r="E3338" s="113">
        <v>19.144711538461539</v>
      </c>
      <c r="F3338" s="113">
        <v>1531.5769230769231</v>
      </c>
      <c r="G3338" s="125">
        <v>0</v>
      </c>
      <c r="H3338" s="65">
        <v>39821</v>
      </c>
      <c r="I3338" s="65"/>
      <c r="J3338" s="65"/>
      <c r="K3338" s="65"/>
      <c r="L3338" s="197">
        <v>39821</v>
      </c>
    </row>
    <row r="3339" spans="1:12" ht="15" customHeight="1" x14ac:dyDescent="0.25">
      <c r="A3339" s="265" t="s">
        <v>3506</v>
      </c>
      <c r="B3339" s="167" t="s">
        <v>3513</v>
      </c>
      <c r="C3339" s="265" t="s">
        <v>3514</v>
      </c>
      <c r="D3339" s="60">
        <v>34843</v>
      </c>
      <c r="E3339" s="113">
        <v>16.751442307692308</v>
      </c>
      <c r="F3339" s="113">
        <v>1340.1153846153845</v>
      </c>
      <c r="G3339" s="125">
        <v>0</v>
      </c>
      <c r="H3339" s="65">
        <v>34843</v>
      </c>
      <c r="I3339" s="65"/>
      <c r="J3339" s="65"/>
      <c r="K3339" s="65"/>
      <c r="L3339" s="197">
        <v>34843</v>
      </c>
    </row>
    <row r="3340" spans="1:12" ht="15" customHeight="1" x14ac:dyDescent="0.25">
      <c r="A3340" s="265" t="s">
        <v>3506</v>
      </c>
      <c r="B3340" s="189" t="s">
        <v>3516</v>
      </c>
      <c r="C3340" s="181" t="s">
        <v>3517</v>
      </c>
      <c r="D3340" s="60">
        <v>34843</v>
      </c>
      <c r="E3340" s="113">
        <v>16.751442307692308</v>
      </c>
      <c r="F3340" s="113">
        <v>1340.1153846153845</v>
      </c>
      <c r="G3340" s="125">
        <v>0</v>
      </c>
      <c r="H3340" s="65">
        <v>34843</v>
      </c>
      <c r="I3340" s="65"/>
      <c r="J3340" s="65"/>
      <c r="K3340" s="65"/>
      <c r="L3340" s="197">
        <v>34843</v>
      </c>
    </row>
    <row r="3341" spans="1:12" ht="15" customHeight="1" x14ac:dyDescent="0.25">
      <c r="A3341" s="265" t="s">
        <v>3506</v>
      </c>
      <c r="B3341" s="247"/>
      <c r="C3341" s="265" t="s">
        <v>1627</v>
      </c>
      <c r="D3341" s="60">
        <v>21000</v>
      </c>
      <c r="E3341" s="113">
        <v>10.096153846153847</v>
      </c>
      <c r="F3341" s="113">
        <v>807.69230769230774</v>
      </c>
      <c r="G3341" s="125">
        <v>0</v>
      </c>
      <c r="H3341" s="65">
        <v>21000</v>
      </c>
      <c r="I3341" s="65"/>
      <c r="J3341" s="65"/>
      <c r="K3341" s="65"/>
      <c r="L3341" s="197">
        <v>21000</v>
      </c>
    </row>
    <row r="3342" spans="1:12" ht="15" customHeight="1" x14ac:dyDescent="0.25">
      <c r="A3342" s="265" t="s">
        <v>3506</v>
      </c>
      <c r="B3342" s="247"/>
      <c r="C3342" s="265" t="s">
        <v>2495</v>
      </c>
      <c r="D3342" s="60">
        <v>3692</v>
      </c>
      <c r="E3342" s="247"/>
      <c r="F3342" s="247"/>
      <c r="G3342" s="247">
        <v>0</v>
      </c>
      <c r="H3342" s="65">
        <v>2000</v>
      </c>
      <c r="I3342" s="65"/>
      <c r="J3342" s="65"/>
      <c r="K3342" s="65"/>
      <c r="L3342" s="197">
        <v>2000</v>
      </c>
    </row>
    <row r="3343" spans="1:12" ht="15" customHeight="1" x14ac:dyDescent="0.25">
      <c r="A3343" s="265"/>
      <c r="B3343" s="247"/>
      <c r="C3343" s="247"/>
      <c r="D3343" s="95">
        <v>199698</v>
      </c>
      <c r="E3343" s="107"/>
      <c r="F3343" s="95">
        <v>7538.6923076923076</v>
      </c>
      <c r="G3343" s="95">
        <v>0</v>
      </c>
      <c r="H3343" s="107">
        <v>198006</v>
      </c>
      <c r="I3343" s="95">
        <f t="shared" ref="I3343:K3343" si="1021">SUM(I3336:I3342)</f>
        <v>9500</v>
      </c>
      <c r="J3343" s="95">
        <f t="shared" si="1021"/>
        <v>0</v>
      </c>
      <c r="K3343" s="95">
        <f t="shared" si="1021"/>
        <v>0</v>
      </c>
      <c r="L3343" s="95">
        <v>207506</v>
      </c>
    </row>
    <row r="3344" spans="1:12" ht="15" customHeight="1" x14ac:dyDescent="0.25">
      <c r="A3344" s="247"/>
      <c r="B3344" s="247"/>
      <c r="C3344" s="247"/>
      <c r="D3344" s="60"/>
      <c r="E3344" s="247"/>
      <c r="F3344" s="247"/>
      <c r="G3344" s="247"/>
      <c r="H3344" s="247"/>
      <c r="I3344" s="65"/>
      <c r="J3344" s="65"/>
      <c r="K3344" s="65"/>
      <c r="L3344" s="65"/>
    </row>
    <row r="3345" spans="1:12" ht="15" customHeight="1" x14ac:dyDescent="0.25">
      <c r="A3345" s="247"/>
      <c r="B3345" s="247"/>
      <c r="C3345" s="247"/>
      <c r="D3345" s="397"/>
      <c r="E3345" s="247"/>
      <c r="F3345" s="247"/>
      <c r="G3345" s="247"/>
      <c r="H3345" s="247"/>
      <c r="I3345" s="65"/>
      <c r="J3345" s="65"/>
      <c r="K3345" s="65"/>
      <c r="L3345" s="65"/>
    </row>
    <row r="3346" spans="1:12" ht="15" customHeight="1" x14ac:dyDescent="0.25">
      <c r="A3346" s="247"/>
      <c r="B3346" s="247"/>
      <c r="C3346" s="247"/>
      <c r="D3346" s="397"/>
      <c r="E3346" s="247"/>
      <c r="F3346" s="247"/>
      <c r="G3346" s="247"/>
      <c r="H3346" s="247"/>
      <c r="I3346" s="65"/>
      <c r="J3346" s="65"/>
      <c r="K3346" s="65"/>
      <c r="L3346" s="65"/>
    </row>
    <row r="3347" spans="1:12" ht="15" customHeight="1" x14ac:dyDescent="0.25">
      <c r="A3347" s="265" t="s">
        <v>3520</v>
      </c>
      <c r="B3347" s="247"/>
      <c r="C3347" s="265" t="s">
        <v>3521</v>
      </c>
      <c r="D3347" s="95">
        <v>25000</v>
      </c>
      <c r="E3347" s="105"/>
      <c r="F3347" s="106">
        <v>961.53846153846155</v>
      </c>
      <c r="G3347" s="95">
        <v>0</v>
      </c>
      <c r="H3347" s="107">
        <v>25000</v>
      </c>
      <c r="I3347" s="85">
        <v>0</v>
      </c>
      <c r="J3347" s="85">
        <v>0</v>
      </c>
      <c r="K3347" s="85">
        <v>0</v>
      </c>
      <c r="L3347" s="85">
        <v>25000</v>
      </c>
    </row>
    <row r="3348" spans="1:12" ht="15" customHeight="1" x14ac:dyDescent="0.25">
      <c r="A3348" s="247"/>
      <c r="B3348" s="247"/>
      <c r="C3348" s="247"/>
      <c r="D3348" s="397"/>
      <c r="E3348" s="247"/>
      <c r="F3348" s="247"/>
      <c r="G3348" s="247"/>
      <c r="H3348" s="247"/>
      <c r="I3348" s="65"/>
      <c r="J3348" s="65"/>
      <c r="K3348" s="65"/>
      <c r="L3348" s="65"/>
    </row>
    <row r="3349" spans="1:12" ht="15" customHeight="1" x14ac:dyDescent="0.25">
      <c r="A3349" s="247"/>
      <c r="B3349" s="247"/>
      <c r="C3349" s="247"/>
      <c r="D3349" s="397"/>
      <c r="E3349" s="247"/>
      <c r="F3349" s="247"/>
      <c r="G3349" s="247"/>
      <c r="H3349" s="247"/>
      <c r="I3349" s="65"/>
      <c r="J3349" s="65"/>
      <c r="K3349" s="65"/>
      <c r="L3349" s="65"/>
    </row>
    <row r="3350" spans="1:12" ht="15" customHeight="1" x14ac:dyDescent="0.25">
      <c r="A3350" s="247"/>
      <c r="B3350" s="247"/>
      <c r="C3350" s="247"/>
      <c r="D3350" s="397"/>
      <c r="E3350" s="247"/>
      <c r="F3350" s="247"/>
      <c r="G3350" s="247"/>
      <c r="H3350" s="247"/>
      <c r="I3350" s="65"/>
      <c r="J3350" s="65"/>
      <c r="K3350" s="65"/>
      <c r="L3350" s="65"/>
    </row>
    <row r="3351" spans="1:12" ht="15" customHeight="1" x14ac:dyDescent="0.25">
      <c r="A3351" s="247"/>
      <c r="B3351" s="247"/>
      <c r="C3351" s="247"/>
      <c r="D3351" s="397"/>
      <c r="E3351" s="247"/>
      <c r="F3351" s="247"/>
      <c r="G3351" s="247"/>
      <c r="H3351" s="247"/>
      <c r="I3351" s="65"/>
      <c r="J3351" s="65"/>
      <c r="K3351" s="65"/>
      <c r="L3351" s="65"/>
    </row>
    <row r="3352" spans="1:12" ht="15" customHeight="1" x14ac:dyDescent="0.25">
      <c r="A3352" s="247"/>
      <c r="B3352" s="247"/>
      <c r="C3352" s="265"/>
      <c r="D3352" s="122">
        <v>19264359.02</v>
      </c>
      <c r="E3352" s="123"/>
      <c r="F3352" s="122">
        <v>711750.43807692302</v>
      </c>
      <c r="G3352" s="122">
        <v>18996</v>
      </c>
      <c r="H3352" s="122">
        <v>19119652.02</v>
      </c>
      <c r="I3352" s="122">
        <f>SUM(I2676+I2695+I2705+I2708+I2716+I2725+I2730+I2740+I2748+I2758+I2775+I2782+I2788+I2793+I2799+I2804+I2807+I2826+I2834+I2857+I2871+I2880+I2886+I2910+I2926+I2930+I2936+I2941+I2946+I2951+I2956+I3035+I3144+I3150+I3160+I3165+I3175+I3185+I3190+I3198+I3203+I3212+I3230+I3248+I3263+I3280+I3284+I3299+I3305+I3321+I3325+I3343+I3347)</f>
        <v>47500</v>
      </c>
      <c r="J3352" s="122">
        <f>SUM(J2676+J2695+J2705+J2708+J2716+J2725+J2730+J2740+J2748+J2758+J2775+J2782+J2788+J2793+J2799+J2804+J2807+J2826+J2834+J2857+J2871+J2880+J2886+J2910+J2926+J2930+J2936+J2941+J2946+J2951+J2956+J3035+J3144+J3150+J3160+J3165+J3175+J3185+J3190+J3198+J3203+J3212+J3230+J3248+J3263+J3280+J3284+J3299+J3305+J3321+J3325+J3343+J3347)</f>
        <v>93800</v>
      </c>
      <c r="K3352" s="122">
        <f>SUM(K2676+K2695+K2705+K2708+K2716+K2725+K2730+K2740+K2748+K2758+K2775+K2782+K2788+K2793+K2799+K2804+K2807+K2826+K2834+K2857+K2871+K2880+K2886+K2910+K2926+K2930+K2936+K2941+K2946+K2951+K2956+K3035+K3144+K3150+K3160+K3165+K3175+K3185+K3190+K3198+K3203+K3212+K3230+K3248+K3263+K3280+K3284+K3299+K3305+K3321+K3325+K3343+K3347)</f>
        <v>41500</v>
      </c>
      <c r="L3352" s="122">
        <v>19310852.02</v>
      </c>
    </row>
  </sheetData>
  <mergeCells count="2">
    <mergeCell ref="A3215:C3215"/>
    <mergeCell ref="A1:E2"/>
  </mergeCells>
  <printOptions gridLines="1"/>
  <pageMargins left="0.25" right="0.25" top="0.75" bottom="0.75" header="0.3" footer="0.3"/>
  <pageSetup scale="46" fitToHeight="0"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J722"/>
  <sheetViews>
    <sheetView workbookViewId="0">
      <pane ySplit="8" topLeftCell="A9" activePane="bottomLeft" state="frozen"/>
      <selection pane="bottomLeft" activeCell="B10" sqref="B10"/>
    </sheetView>
  </sheetViews>
  <sheetFormatPr defaultColWidth="14.42578125" defaultRowHeight="15" customHeight="1" x14ac:dyDescent="0.25"/>
  <cols>
    <col min="1" max="1" width="7.5703125" customWidth="1"/>
    <col min="2" max="2" width="9.7109375" customWidth="1"/>
    <col min="3" max="3" width="36.85546875" customWidth="1"/>
    <col min="5" max="5" width="29.7109375" customWidth="1"/>
    <col min="29" max="29" width="18.140625" customWidth="1"/>
    <col min="31" max="31" width="9.85546875" customWidth="1"/>
    <col min="35" max="35" width="15.85546875" customWidth="1"/>
    <col min="36" max="36" width="16.85546875" customWidth="1"/>
  </cols>
  <sheetData>
    <row r="1" spans="1:36" ht="60" hidden="1" x14ac:dyDescent="0.25">
      <c r="A1" s="138"/>
      <c r="B1" s="138"/>
      <c r="C1" s="138"/>
      <c r="D1" s="138"/>
      <c r="E1" s="138"/>
      <c r="F1" s="138"/>
      <c r="G1" s="139"/>
      <c r="H1" s="140"/>
      <c r="I1" s="140"/>
      <c r="J1" s="141" t="s">
        <v>2383</v>
      </c>
      <c r="K1" s="142"/>
      <c r="L1" s="142" t="s">
        <v>3738</v>
      </c>
      <c r="M1" s="138"/>
      <c r="N1" s="138"/>
      <c r="O1" s="138"/>
      <c r="P1" s="138"/>
      <c r="Q1" s="138"/>
      <c r="R1" s="138"/>
      <c r="S1" s="138"/>
      <c r="T1" s="138"/>
      <c r="U1" s="138"/>
      <c r="V1" s="138"/>
      <c r="W1" s="138"/>
      <c r="X1" s="138"/>
      <c r="Y1" s="138"/>
      <c r="Z1" s="138"/>
      <c r="AA1" s="138"/>
      <c r="AB1" s="138"/>
      <c r="AC1" s="138"/>
      <c r="AD1" s="138"/>
      <c r="AE1" s="138"/>
      <c r="AF1" s="138"/>
      <c r="AG1" s="138"/>
      <c r="AH1" s="138"/>
      <c r="AI1" s="138"/>
      <c r="AJ1" s="138"/>
    </row>
    <row r="2" spans="1:36" hidden="1" x14ac:dyDescent="0.25">
      <c r="A2" s="138"/>
      <c r="B2" s="138"/>
      <c r="C2" s="138"/>
      <c r="D2" s="138"/>
      <c r="E2" s="138"/>
      <c r="F2" s="138"/>
      <c r="G2" s="139"/>
      <c r="H2" s="143"/>
      <c r="I2" s="143"/>
      <c r="J2" s="144">
        <v>0</v>
      </c>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row>
    <row r="3" spans="1:36" hidden="1" x14ac:dyDescent="0.25">
      <c r="A3" s="138"/>
      <c r="B3" s="138"/>
      <c r="C3" s="138"/>
      <c r="D3" s="138"/>
      <c r="E3" s="138"/>
      <c r="F3" s="138"/>
      <c r="G3" s="138"/>
      <c r="H3" s="145"/>
      <c r="I3" s="145"/>
      <c r="J3" s="146">
        <v>0</v>
      </c>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row>
    <row r="4" spans="1:36" ht="21.75" customHeight="1" x14ac:dyDescent="0.5">
      <c r="A4" s="501" t="s">
        <v>0</v>
      </c>
      <c r="B4" s="499"/>
      <c r="C4" s="499"/>
      <c r="D4" s="499"/>
      <c r="E4" s="499"/>
      <c r="F4" s="499"/>
      <c r="G4" s="499"/>
      <c r="H4" s="499"/>
      <c r="I4" s="499"/>
      <c r="J4" s="499"/>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row>
    <row r="5" spans="1:36" ht="28.5" customHeight="1" x14ac:dyDescent="0.25">
      <c r="A5" s="138"/>
      <c r="B5" s="138"/>
      <c r="C5" s="138"/>
      <c r="D5" s="138"/>
      <c r="E5" s="138"/>
      <c r="F5" s="138"/>
      <c r="G5" s="147" t="s">
        <v>2386</v>
      </c>
      <c r="H5" s="148"/>
      <c r="I5" s="148"/>
      <c r="J5" s="148"/>
      <c r="K5" s="147"/>
      <c r="L5" s="147" t="s">
        <v>2387</v>
      </c>
      <c r="M5" s="147" t="s">
        <v>2388</v>
      </c>
      <c r="N5" s="138"/>
      <c r="O5" s="147" t="s">
        <v>2389</v>
      </c>
      <c r="P5" s="147" t="s">
        <v>3739</v>
      </c>
      <c r="Q5" s="147" t="s">
        <v>2393</v>
      </c>
      <c r="R5" s="147" t="s">
        <v>2390</v>
      </c>
      <c r="S5" s="138"/>
      <c r="T5" s="147" t="s">
        <v>2391</v>
      </c>
      <c r="U5" s="147" t="s">
        <v>2392</v>
      </c>
      <c r="V5" s="147" t="s">
        <v>2393</v>
      </c>
      <c r="W5" s="502" t="s">
        <v>3740</v>
      </c>
      <c r="X5" s="499"/>
      <c r="Y5" s="499"/>
      <c r="Z5" s="499"/>
      <c r="AA5" s="499"/>
      <c r="AB5" s="499"/>
      <c r="AC5" s="499"/>
      <c r="AD5" s="499"/>
      <c r="AE5" s="149"/>
      <c r="AF5" s="150" t="s">
        <v>3741</v>
      </c>
      <c r="AG5" s="150" t="s">
        <v>3742</v>
      </c>
      <c r="AH5" s="150" t="s">
        <v>3743</v>
      </c>
      <c r="AI5" s="150" t="s">
        <v>3744</v>
      </c>
      <c r="AJ5" s="150" t="s">
        <v>3745</v>
      </c>
    </row>
    <row r="6" spans="1:36" x14ac:dyDescent="0.25">
      <c r="A6" s="151" t="s">
        <v>2394</v>
      </c>
      <c r="B6" s="151" t="s">
        <v>2395</v>
      </c>
      <c r="C6" s="151" t="s">
        <v>2396</v>
      </c>
      <c r="D6" s="151" t="s">
        <v>2397</v>
      </c>
      <c r="E6" s="151" t="s">
        <v>2398</v>
      </c>
      <c r="F6" s="147" t="s">
        <v>2399</v>
      </c>
      <c r="G6" s="147" t="s">
        <v>2400</v>
      </c>
      <c r="H6" s="152" t="s">
        <v>3746</v>
      </c>
      <c r="I6" s="153" t="s">
        <v>2401</v>
      </c>
      <c r="J6" s="153" t="s">
        <v>2401</v>
      </c>
      <c r="K6" s="147"/>
      <c r="L6" s="147" t="s">
        <v>2403</v>
      </c>
      <c r="M6" s="147" t="s">
        <v>2404</v>
      </c>
      <c r="N6" s="147" t="s">
        <v>3747</v>
      </c>
      <c r="O6" s="147" t="s">
        <v>2405</v>
      </c>
      <c r="P6" s="147" t="s">
        <v>3748</v>
      </c>
      <c r="Q6" s="147" t="s">
        <v>3748</v>
      </c>
      <c r="R6" s="147" t="s">
        <v>0</v>
      </c>
      <c r="S6" s="147" t="s">
        <v>2406</v>
      </c>
      <c r="T6" s="147" t="s">
        <v>2407</v>
      </c>
      <c r="U6" s="147" t="s">
        <v>2408</v>
      </c>
      <c r="V6" s="147" t="s">
        <v>2409</v>
      </c>
      <c r="W6" s="154" t="s">
        <v>257</v>
      </c>
      <c r="X6" s="154" t="s">
        <v>2410</v>
      </c>
      <c r="Y6" s="154" t="s">
        <v>2411</v>
      </c>
      <c r="Z6" s="154" t="s">
        <v>2412</v>
      </c>
      <c r="AA6" s="154" t="s">
        <v>2413</v>
      </c>
      <c r="AB6" s="154" t="s">
        <v>2414</v>
      </c>
      <c r="AC6" s="154" t="s">
        <v>2415</v>
      </c>
      <c r="AD6" s="154" t="s">
        <v>2416</v>
      </c>
      <c r="AE6" s="155" t="s">
        <v>2394</v>
      </c>
      <c r="AF6" s="150" t="s">
        <v>3749</v>
      </c>
      <c r="AG6" s="156" t="s">
        <v>3750</v>
      </c>
      <c r="AH6" s="156" t="s">
        <v>3751</v>
      </c>
      <c r="AI6" s="150" t="s">
        <v>3752</v>
      </c>
      <c r="AJ6" s="150" t="s">
        <v>3753</v>
      </c>
    </row>
    <row r="7" spans="1:36" ht="18" customHeight="1" x14ac:dyDescent="0.25">
      <c r="A7" s="138"/>
      <c r="B7" s="138"/>
      <c r="C7" s="138"/>
      <c r="D7" s="138"/>
      <c r="E7" s="138"/>
      <c r="F7" s="138"/>
      <c r="G7" s="138"/>
      <c r="H7" s="157">
        <v>2020</v>
      </c>
      <c r="I7" s="158">
        <v>2020</v>
      </c>
      <c r="J7" s="157">
        <v>2021</v>
      </c>
      <c r="K7" s="147"/>
      <c r="L7" s="147">
        <v>2080</v>
      </c>
      <c r="M7" s="147">
        <v>26</v>
      </c>
      <c r="N7" s="147">
        <v>264</v>
      </c>
      <c r="O7" s="138"/>
      <c r="P7" s="147">
        <v>26</v>
      </c>
      <c r="Q7" s="138"/>
      <c r="R7" s="138"/>
      <c r="S7" s="138"/>
      <c r="T7" s="138"/>
      <c r="U7" s="138"/>
      <c r="V7" s="139"/>
      <c r="W7" s="159">
        <v>6.2E-2</v>
      </c>
      <c r="X7" s="159">
        <v>1.4500000000000001E-2</v>
      </c>
      <c r="Y7" s="160">
        <v>0.14069999999999999</v>
      </c>
      <c r="Z7" s="161">
        <v>1.6000000000000001E-3</v>
      </c>
      <c r="AA7" s="162">
        <v>6.9999999999999999E-4</v>
      </c>
      <c r="AB7" s="163">
        <v>335</v>
      </c>
      <c r="AC7" s="164">
        <v>10356.36</v>
      </c>
      <c r="AD7" s="165">
        <v>0.01</v>
      </c>
      <c r="AE7" s="149"/>
      <c r="AF7" s="138"/>
      <c r="AG7" s="138"/>
      <c r="AH7" s="138"/>
      <c r="AI7" s="138"/>
      <c r="AJ7" s="138"/>
    </row>
    <row r="8" spans="1:36" ht="9.75" customHeight="1" x14ac:dyDescent="0.25">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49"/>
      <c r="AF8" s="166"/>
      <c r="AG8" s="166"/>
      <c r="AH8" s="166"/>
      <c r="AI8" s="166"/>
      <c r="AJ8" s="166"/>
    </row>
    <row r="9" spans="1:36" x14ac:dyDescent="0.25">
      <c r="A9" s="167">
        <v>401</v>
      </c>
      <c r="B9" s="92" t="s">
        <v>2417</v>
      </c>
      <c r="C9" s="168" t="s">
        <v>241</v>
      </c>
      <c r="D9" s="168" t="s">
        <v>2418</v>
      </c>
      <c r="E9" s="168" t="s">
        <v>2419</v>
      </c>
      <c r="F9" s="58">
        <v>34610</v>
      </c>
      <c r="G9" s="59">
        <f>(DATE(2021,12,30)-(F9))/365</f>
        <v>27.260273972602739</v>
      </c>
      <c r="H9" s="57"/>
      <c r="I9" s="57">
        <v>81870</v>
      </c>
      <c r="J9" s="57">
        <v>81870</v>
      </c>
      <c r="K9" s="63"/>
      <c r="L9" s="63">
        <f>SUM(J9/$L$7)</f>
        <v>39.36057692307692</v>
      </c>
      <c r="M9" s="63">
        <f>SUM(J9/$M$7)</f>
        <v>3148.8461538461538</v>
      </c>
      <c r="N9" s="63">
        <v>0</v>
      </c>
      <c r="O9" s="169"/>
      <c r="P9" s="169"/>
      <c r="Q9" s="63">
        <f t="shared" ref="Q9:Q15" si="0">IF(N9+P9&gt;5000,5000,N9+P9)</f>
        <v>0</v>
      </c>
      <c r="R9" s="63">
        <f t="shared" ref="R9:R15" si="1">Q9+J9</f>
        <v>81870</v>
      </c>
      <c r="S9" s="169"/>
      <c r="T9" s="169"/>
      <c r="U9" s="169"/>
      <c r="V9" s="63">
        <f t="shared" ref="V9:V15" si="2">SUM(R9:U9)</f>
        <v>81870</v>
      </c>
      <c r="W9" s="63">
        <f t="shared" ref="W9:W15" si="3">SUM(V9*$W$7)</f>
        <v>5075.9399999999996</v>
      </c>
      <c r="X9" s="63">
        <f t="shared" ref="X9:X15" si="4">SUM(V9*$X$7)</f>
        <v>1187.115</v>
      </c>
      <c r="Y9" s="63">
        <f t="shared" ref="Y9:Y10" si="5">SUM(V9*$Y$7)</f>
        <v>11519.108999999999</v>
      </c>
      <c r="Z9" s="63">
        <f t="shared" ref="Z9:Z10" si="6">SUM(V9*$Z$7)</f>
        <v>130.99200000000002</v>
      </c>
      <c r="AA9" s="63" t="s">
        <v>2420</v>
      </c>
      <c r="AB9" s="63">
        <f>SUM($AB$7)</f>
        <v>335</v>
      </c>
      <c r="AC9" s="63">
        <f>$AC$7</f>
        <v>10356.36</v>
      </c>
      <c r="AD9" s="63">
        <f>SUM(AB9+AC9)*$AD$7</f>
        <v>106.9136</v>
      </c>
      <c r="AE9" s="170">
        <v>401</v>
      </c>
      <c r="AF9" s="69">
        <f t="shared" ref="AF9:AF15" si="7">SUM(J9-I9)</f>
        <v>0</v>
      </c>
      <c r="AG9" s="69">
        <f t="shared" ref="AG9:AG15" si="8">SUM(W9:AD9)</f>
        <v>28711.429599999996</v>
      </c>
      <c r="AH9" s="67">
        <v>29489.19</v>
      </c>
      <c r="AI9" s="69">
        <f t="shared" ref="AI9:AI16" si="9">AG9-AH9</f>
        <v>-777.76040000000285</v>
      </c>
      <c r="AJ9" s="69">
        <f t="shared" ref="AJ9:AJ15" si="10">+AF9+AI9</f>
        <v>-777.76040000000285</v>
      </c>
    </row>
    <row r="10" spans="1:36" x14ac:dyDescent="0.25">
      <c r="A10" s="167">
        <v>401</v>
      </c>
      <c r="B10" s="92" t="s">
        <v>2417</v>
      </c>
      <c r="C10" s="168" t="s">
        <v>241</v>
      </c>
      <c r="D10" s="168" t="s">
        <v>2418</v>
      </c>
      <c r="E10" s="168" t="s">
        <v>2421</v>
      </c>
      <c r="F10" s="58">
        <v>34610</v>
      </c>
      <c r="G10" s="167" t="s">
        <v>2422</v>
      </c>
      <c r="H10" s="57"/>
      <c r="I10" s="57">
        <v>25200</v>
      </c>
      <c r="J10" s="57">
        <v>25200</v>
      </c>
      <c r="K10" s="63"/>
      <c r="L10" s="63">
        <f>SUM(J10/L7)</f>
        <v>12.115384615384615</v>
      </c>
      <c r="M10" s="63">
        <f>SUM(J10/26)</f>
        <v>969.23076923076928</v>
      </c>
      <c r="N10" s="63">
        <v>0</v>
      </c>
      <c r="O10" s="169"/>
      <c r="P10" s="169"/>
      <c r="Q10" s="63">
        <f t="shared" si="0"/>
        <v>0</v>
      </c>
      <c r="R10" s="63">
        <f t="shared" si="1"/>
        <v>25200</v>
      </c>
      <c r="S10" s="169"/>
      <c r="T10" s="169"/>
      <c r="U10" s="169"/>
      <c r="V10" s="63">
        <f t="shared" si="2"/>
        <v>25200</v>
      </c>
      <c r="W10" s="63">
        <f t="shared" si="3"/>
        <v>1562.4</v>
      </c>
      <c r="X10" s="63">
        <f t="shared" si="4"/>
        <v>365.40000000000003</v>
      </c>
      <c r="Y10" s="63">
        <f t="shared" si="5"/>
        <v>3545.64</v>
      </c>
      <c r="Z10" s="63">
        <f t="shared" si="6"/>
        <v>40.32</v>
      </c>
      <c r="AA10" s="63" t="s">
        <v>2420</v>
      </c>
      <c r="AB10" s="63" t="s">
        <v>2422</v>
      </c>
      <c r="AC10" s="63" t="s">
        <v>2422</v>
      </c>
      <c r="AD10" s="63" t="s">
        <v>2422</v>
      </c>
      <c r="AE10" s="170">
        <v>401</v>
      </c>
      <c r="AF10" s="69">
        <f t="shared" si="7"/>
        <v>0</v>
      </c>
      <c r="AG10" s="69">
        <f t="shared" si="8"/>
        <v>5513.76</v>
      </c>
      <c r="AH10" s="67">
        <v>5753.16</v>
      </c>
      <c r="AI10" s="69">
        <f t="shared" si="9"/>
        <v>-239.39999999999964</v>
      </c>
      <c r="AJ10" s="69">
        <f t="shared" si="10"/>
        <v>-239.39999999999964</v>
      </c>
    </row>
    <row r="11" spans="1:36" x14ac:dyDescent="0.25">
      <c r="A11" s="138"/>
      <c r="B11" s="167"/>
      <c r="C11" s="168" t="s">
        <v>3754</v>
      </c>
      <c r="D11" s="138"/>
      <c r="E11" s="138"/>
      <c r="F11" s="138"/>
      <c r="G11" s="59"/>
      <c r="H11" s="57"/>
      <c r="I11" s="57">
        <v>0</v>
      </c>
      <c r="J11" s="57">
        <v>0</v>
      </c>
      <c r="K11" s="169"/>
      <c r="L11" s="169"/>
      <c r="M11" s="169"/>
      <c r="N11" s="63">
        <f>IF(G11&lt;4,0,(G11-1)*$N$7)</f>
        <v>0</v>
      </c>
      <c r="O11" s="169"/>
      <c r="P11" s="169"/>
      <c r="Q11" s="63">
        <f t="shared" si="0"/>
        <v>0</v>
      </c>
      <c r="R11" s="63">
        <f t="shared" si="1"/>
        <v>0</v>
      </c>
      <c r="S11" s="169"/>
      <c r="T11" s="169"/>
      <c r="U11" s="169"/>
      <c r="V11" s="63">
        <f t="shared" si="2"/>
        <v>0</v>
      </c>
      <c r="W11" s="63">
        <f t="shared" si="3"/>
        <v>0</v>
      </c>
      <c r="X11" s="63">
        <f t="shared" si="4"/>
        <v>0</v>
      </c>
      <c r="Y11" s="63" t="s">
        <v>2420</v>
      </c>
      <c r="Z11" s="63" t="s">
        <v>2420</v>
      </c>
      <c r="AA11" s="63" t="s">
        <v>2422</v>
      </c>
      <c r="AB11" s="63" t="s">
        <v>2422</v>
      </c>
      <c r="AC11" s="63" t="s">
        <v>2422</v>
      </c>
      <c r="AD11" s="63" t="s">
        <v>2422</v>
      </c>
      <c r="AE11" s="170">
        <v>401</v>
      </c>
      <c r="AF11" s="69">
        <f t="shared" si="7"/>
        <v>0</v>
      </c>
      <c r="AG11" s="69">
        <f t="shared" si="8"/>
        <v>0</v>
      </c>
      <c r="AH11" s="67">
        <v>0</v>
      </c>
      <c r="AI11" s="69">
        <f t="shared" si="9"/>
        <v>0</v>
      </c>
      <c r="AJ11" s="69">
        <f t="shared" si="10"/>
        <v>0</v>
      </c>
    </row>
    <row r="12" spans="1:36" x14ac:dyDescent="0.25">
      <c r="A12" s="167">
        <v>401</v>
      </c>
      <c r="B12" s="92" t="s">
        <v>2423</v>
      </c>
      <c r="C12" s="168" t="s">
        <v>2424</v>
      </c>
      <c r="D12" s="168" t="s">
        <v>2425</v>
      </c>
      <c r="E12" s="168" t="s">
        <v>2426</v>
      </c>
      <c r="F12" s="58">
        <v>37278</v>
      </c>
      <c r="G12" s="59">
        <f t="shared" ref="G12:G13" si="11">(DATE(2021,12,30)-(F12))/365</f>
        <v>19.950684931506849</v>
      </c>
      <c r="H12" s="57"/>
      <c r="I12" s="66">
        <v>46202</v>
      </c>
      <c r="J12" s="66">
        <v>46202</v>
      </c>
      <c r="K12" s="63"/>
      <c r="L12" s="63">
        <f t="shared" ref="L12:L13" si="12">SUM(J12/2080)</f>
        <v>22.212499999999999</v>
      </c>
      <c r="M12" s="63">
        <f t="shared" ref="M12:M13" si="13">SUM(J12/26)</f>
        <v>1777</v>
      </c>
      <c r="N12" s="63">
        <v>0</v>
      </c>
      <c r="O12" s="169"/>
      <c r="P12" s="169"/>
      <c r="Q12" s="63">
        <f t="shared" si="0"/>
        <v>0</v>
      </c>
      <c r="R12" s="63">
        <f t="shared" si="1"/>
        <v>46202</v>
      </c>
      <c r="S12" s="169"/>
      <c r="T12" s="169"/>
      <c r="U12" s="169"/>
      <c r="V12" s="63">
        <f t="shared" si="2"/>
        <v>46202</v>
      </c>
      <c r="W12" s="63">
        <f t="shared" si="3"/>
        <v>2864.5239999999999</v>
      </c>
      <c r="X12" s="63">
        <f t="shared" si="4"/>
        <v>669.92900000000009</v>
      </c>
      <c r="Y12" s="63">
        <f t="shared" ref="Y12:Y15" si="14">SUM(V12*$Y$7)</f>
        <v>6500.6214</v>
      </c>
      <c r="Z12" s="63">
        <f t="shared" ref="Z12:Z15" si="15">SUM(V12*$Z$7)</f>
        <v>73.923200000000008</v>
      </c>
      <c r="AA12" s="63">
        <f t="shared" ref="AA12:AA15" si="16">SUM(V12*$AA$7)</f>
        <v>32.3414</v>
      </c>
      <c r="AB12" s="63">
        <f t="shared" ref="AB12:AB13" si="17">SUM($AB$7)</f>
        <v>335</v>
      </c>
      <c r="AC12" s="63">
        <f t="shared" ref="AC12:AC13" si="18">$AC$7</f>
        <v>10356.36</v>
      </c>
      <c r="AD12" s="63">
        <f t="shared" ref="AD12:AD13" si="19">SUM(AB12+AC12)*$AD$7</f>
        <v>106.9136</v>
      </c>
      <c r="AE12" s="170">
        <v>401</v>
      </c>
      <c r="AF12" s="69">
        <f t="shared" si="7"/>
        <v>0</v>
      </c>
      <c r="AG12" s="69">
        <f t="shared" si="8"/>
        <v>20939.6126</v>
      </c>
      <c r="AH12" s="67">
        <v>21188.23</v>
      </c>
      <c r="AI12" s="69">
        <f t="shared" si="9"/>
        <v>-248.61739999999918</v>
      </c>
      <c r="AJ12" s="69">
        <f t="shared" si="10"/>
        <v>-248.61739999999918</v>
      </c>
    </row>
    <row r="13" spans="1:36" x14ac:dyDescent="0.25">
      <c r="A13" s="167">
        <v>401</v>
      </c>
      <c r="B13" s="92" t="s">
        <v>2427</v>
      </c>
      <c r="C13" s="168" t="s">
        <v>2428</v>
      </c>
      <c r="D13" s="168" t="s">
        <v>2429</v>
      </c>
      <c r="E13" s="168" t="s">
        <v>2430</v>
      </c>
      <c r="F13" s="58">
        <v>41694</v>
      </c>
      <c r="G13" s="59">
        <f t="shared" si="11"/>
        <v>7.8520547945205479</v>
      </c>
      <c r="H13" s="57"/>
      <c r="I13" s="57">
        <v>38873</v>
      </c>
      <c r="J13" s="57">
        <v>38873</v>
      </c>
      <c r="K13" s="63"/>
      <c r="L13" s="63">
        <f t="shared" si="12"/>
        <v>18.688942307692308</v>
      </c>
      <c r="M13" s="63">
        <f t="shared" si="13"/>
        <v>1495.1153846153845</v>
      </c>
      <c r="N13" s="63">
        <v>0</v>
      </c>
      <c r="O13" s="169"/>
      <c r="P13" s="169"/>
      <c r="Q13" s="63">
        <f t="shared" si="0"/>
        <v>0</v>
      </c>
      <c r="R13" s="63">
        <f t="shared" si="1"/>
        <v>38873</v>
      </c>
      <c r="S13" s="169"/>
      <c r="T13" s="169"/>
      <c r="U13" s="169"/>
      <c r="V13" s="63">
        <f t="shared" si="2"/>
        <v>38873</v>
      </c>
      <c r="W13" s="63">
        <f t="shared" si="3"/>
        <v>2410.1260000000002</v>
      </c>
      <c r="X13" s="63">
        <f t="shared" si="4"/>
        <v>563.6585</v>
      </c>
      <c r="Y13" s="63">
        <f t="shared" si="14"/>
        <v>5469.4310999999998</v>
      </c>
      <c r="Z13" s="63">
        <f t="shared" si="15"/>
        <v>62.196800000000003</v>
      </c>
      <c r="AA13" s="63">
        <f t="shared" si="16"/>
        <v>27.211099999999998</v>
      </c>
      <c r="AB13" s="63">
        <f t="shared" si="17"/>
        <v>335</v>
      </c>
      <c r="AC13" s="63">
        <f t="shared" si="18"/>
        <v>10356.36</v>
      </c>
      <c r="AD13" s="63">
        <f t="shared" si="19"/>
        <v>106.9136</v>
      </c>
      <c r="AE13" s="170">
        <v>401</v>
      </c>
      <c r="AF13" s="69">
        <f t="shared" si="7"/>
        <v>0</v>
      </c>
      <c r="AG13" s="69">
        <f t="shared" si="8"/>
        <v>19330.897100000002</v>
      </c>
      <c r="AH13" s="67">
        <v>19700.189999999999</v>
      </c>
      <c r="AI13" s="69">
        <f t="shared" si="9"/>
        <v>-369.29289999999673</v>
      </c>
      <c r="AJ13" s="69">
        <f t="shared" si="10"/>
        <v>-369.29289999999673</v>
      </c>
    </row>
    <row r="14" spans="1:36" x14ac:dyDescent="0.25">
      <c r="A14" s="167">
        <v>401</v>
      </c>
      <c r="B14" s="138"/>
      <c r="C14" s="168" t="s">
        <v>2431</v>
      </c>
      <c r="D14" s="138"/>
      <c r="E14" s="138"/>
      <c r="F14" s="138"/>
      <c r="G14" s="138"/>
      <c r="H14" s="57"/>
      <c r="I14" s="57">
        <v>1000</v>
      </c>
      <c r="J14" s="57">
        <v>1000</v>
      </c>
      <c r="K14" s="169"/>
      <c r="L14" s="169"/>
      <c r="M14" s="169"/>
      <c r="N14" s="63">
        <f t="shared" ref="N14:N15" si="20">IF(G14&lt;4,0,(G14-1)*$N$7)</f>
        <v>0</v>
      </c>
      <c r="O14" s="169"/>
      <c r="P14" s="169"/>
      <c r="Q14" s="63">
        <f t="shared" si="0"/>
        <v>0</v>
      </c>
      <c r="R14" s="63">
        <f t="shared" si="1"/>
        <v>1000</v>
      </c>
      <c r="S14" s="169"/>
      <c r="T14" s="169"/>
      <c r="U14" s="169"/>
      <c r="V14" s="63">
        <f t="shared" si="2"/>
        <v>1000</v>
      </c>
      <c r="W14" s="63">
        <f t="shared" si="3"/>
        <v>62</v>
      </c>
      <c r="X14" s="63">
        <f t="shared" si="4"/>
        <v>14.5</v>
      </c>
      <c r="Y14" s="63">
        <f t="shared" si="14"/>
        <v>140.69999999999999</v>
      </c>
      <c r="Z14" s="63">
        <f t="shared" si="15"/>
        <v>1.6</v>
      </c>
      <c r="AA14" s="63">
        <f t="shared" si="16"/>
        <v>0.7</v>
      </c>
      <c r="AB14" s="63" t="s">
        <v>2422</v>
      </c>
      <c r="AC14" s="63" t="s">
        <v>2422</v>
      </c>
      <c r="AD14" s="63" t="s">
        <v>2422</v>
      </c>
      <c r="AE14" s="170">
        <v>401</v>
      </c>
      <c r="AF14" s="69">
        <f t="shared" si="7"/>
        <v>0</v>
      </c>
      <c r="AG14" s="69">
        <f t="shared" si="8"/>
        <v>219.49999999999997</v>
      </c>
      <c r="AH14" s="67">
        <v>229</v>
      </c>
      <c r="AI14" s="69">
        <f t="shared" si="9"/>
        <v>-9.5000000000000284</v>
      </c>
      <c r="AJ14" s="69">
        <f t="shared" si="10"/>
        <v>-9.5000000000000284</v>
      </c>
    </row>
    <row r="15" spans="1:36" x14ac:dyDescent="0.25">
      <c r="A15" s="167">
        <v>401</v>
      </c>
      <c r="B15" s="167">
        <v>440007</v>
      </c>
      <c r="C15" s="168" t="s">
        <v>253</v>
      </c>
      <c r="D15" s="138"/>
      <c r="E15" s="138"/>
      <c r="F15" s="138"/>
      <c r="G15" s="138"/>
      <c r="H15" s="57"/>
      <c r="I15" s="57">
        <v>9000</v>
      </c>
      <c r="J15" s="171">
        <v>9000</v>
      </c>
      <c r="K15" s="172"/>
      <c r="L15" s="172">
        <f>SUM(J15/2080)</f>
        <v>4.3269230769230766</v>
      </c>
      <c r="M15" s="172">
        <f>SUM(J15/26)</f>
        <v>346.15384615384613</v>
      </c>
      <c r="N15" s="172">
        <f t="shared" si="20"/>
        <v>0</v>
      </c>
      <c r="O15" s="173"/>
      <c r="P15" s="173"/>
      <c r="Q15" s="172">
        <f t="shared" si="0"/>
        <v>0</v>
      </c>
      <c r="R15" s="172">
        <f t="shared" si="1"/>
        <v>9000</v>
      </c>
      <c r="S15" s="173"/>
      <c r="T15" s="173"/>
      <c r="U15" s="173"/>
      <c r="V15" s="172">
        <f t="shared" si="2"/>
        <v>9000</v>
      </c>
      <c r="W15" s="172">
        <f t="shared" si="3"/>
        <v>558</v>
      </c>
      <c r="X15" s="172">
        <f t="shared" si="4"/>
        <v>130.5</v>
      </c>
      <c r="Y15" s="172">
        <f t="shared" si="14"/>
        <v>1266.3</v>
      </c>
      <c r="Z15" s="172">
        <f t="shared" si="15"/>
        <v>14.4</v>
      </c>
      <c r="AA15" s="172">
        <f t="shared" si="16"/>
        <v>6.3</v>
      </c>
      <c r="AB15" s="172" t="s">
        <v>2422</v>
      </c>
      <c r="AC15" s="172" t="s">
        <v>2422</v>
      </c>
      <c r="AD15" s="172" t="s">
        <v>2422</v>
      </c>
      <c r="AE15" s="170">
        <v>401</v>
      </c>
      <c r="AF15" s="69">
        <f t="shared" si="7"/>
        <v>0</v>
      </c>
      <c r="AG15" s="69">
        <f t="shared" si="8"/>
        <v>1975.5</v>
      </c>
      <c r="AH15" s="67">
        <v>2061</v>
      </c>
      <c r="AI15" s="69">
        <f t="shared" si="9"/>
        <v>-85.5</v>
      </c>
      <c r="AJ15" s="69">
        <f t="shared" si="10"/>
        <v>-85.5</v>
      </c>
    </row>
    <row r="16" spans="1:36" x14ac:dyDescent="0.25">
      <c r="A16" s="167">
        <v>401</v>
      </c>
      <c r="B16" s="138"/>
      <c r="C16" s="138"/>
      <c r="D16" s="138"/>
      <c r="E16" s="138"/>
      <c r="F16" s="138"/>
      <c r="G16" s="138"/>
      <c r="H16" s="68"/>
      <c r="I16" s="174">
        <f t="shared" ref="I16:J16" si="21">SUM(I9:I15)</f>
        <v>202145</v>
      </c>
      <c r="J16" s="174">
        <f t="shared" si="21"/>
        <v>202145</v>
      </c>
      <c r="K16" s="175"/>
      <c r="L16" s="175">
        <f t="shared" ref="L16:AD16" si="22">SUM(L9:L15)</f>
        <v>96.70432692307692</v>
      </c>
      <c r="M16" s="175">
        <f t="shared" si="22"/>
        <v>7736.3461538461534</v>
      </c>
      <c r="N16" s="175">
        <f t="shared" si="22"/>
        <v>0</v>
      </c>
      <c r="O16" s="175">
        <f t="shared" si="22"/>
        <v>0</v>
      </c>
      <c r="P16" s="175">
        <f t="shared" si="22"/>
        <v>0</v>
      </c>
      <c r="Q16" s="175">
        <f t="shared" si="22"/>
        <v>0</v>
      </c>
      <c r="R16" s="175">
        <f t="shared" si="22"/>
        <v>202145</v>
      </c>
      <c r="S16" s="175">
        <f t="shared" si="22"/>
        <v>0</v>
      </c>
      <c r="T16" s="175">
        <f t="shared" si="22"/>
        <v>0</v>
      </c>
      <c r="U16" s="175">
        <f t="shared" si="22"/>
        <v>0</v>
      </c>
      <c r="V16" s="175">
        <f t="shared" si="22"/>
        <v>202145</v>
      </c>
      <c r="W16" s="175">
        <f t="shared" si="22"/>
        <v>12532.99</v>
      </c>
      <c r="X16" s="175">
        <f t="shared" si="22"/>
        <v>2931.1025000000004</v>
      </c>
      <c r="Y16" s="175">
        <f t="shared" si="22"/>
        <v>28441.801500000001</v>
      </c>
      <c r="Z16" s="175">
        <f t="shared" si="22"/>
        <v>323.43200000000002</v>
      </c>
      <c r="AA16" s="175">
        <f t="shared" si="22"/>
        <v>66.552499999999995</v>
      </c>
      <c r="AB16" s="175">
        <f t="shared" si="22"/>
        <v>1005</v>
      </c>
      <c r="AC16" s="175">
        <f t="shared" si="22"/>
        <v>31069.08</v>
      </c>
      <c r="AD16" s="175">
        <f t="shared" si="22"/>
        <v>320.74080000000004</v>
      </c>
      <c r="AE16" s="170">
        <v>401</v>
      </c>
      <c r="AF16" s="176">
        <f t="shared" ref="AF16:AG16" si="23">SUM(AF9:AF15)</f>
        <v>0</v>
      </c>
      <c r="AG16" s="176">
        <f t="shared" si="23"/>
        <v>76690.699300000007</v>
      </c>
      <c r="AH16" s="177">
        <v>78420.78</v>
      </c>
      <c r="AI16" s="176">
        <f t="shared" si="9"/>
        <v>-1730.0806999999913</v>
      </c>
      <c r="AJ16" s="176">
        <f>AF16+AI16</f>
        <v>-1730.0806999999913</v>
      </c>
    </row>
    <row r="17" spans="1:36" hidden="1" x14ac:dyDescent="0.25">
      <c r="A17" s="138"/>
      <c r="B17" s="138"/>
      <c r="C17" s="138"/>
      <c r="D17" s="138"/>
      <c r="E17" s="138"/>
      <c r="F17" s="138"/>
      <c r="G17" s="138"/>
      <c r="H17" s="78"/>
      <c r="I17" s="78">
        <v>84244</v>
      </c>
      <c r="J17" s="78">
        <f>SUM(J12:J13)</f>
        <v>85075</v>
      </c>
      <c r="K17" s="69"/>
      <c r="L17" s="69">
        <v>164744</v>
      </c>
      <c r="M17" s="169"/>
      <c r="N17" s="169"/>
      <c r="O17" s="169"/>
      <c r="P17" s="169"/>
      <c r="Q17" s="169"/>
      <c r="R17" s="69">
        <f>R16-R15-R14-R10-R11</f>
        <v>166945</v>
      </c>
      <c r="S17" s="169"/>
      <c r="T17" s="169"/>
      <c r="U17" s="169"/>
      <c r="V17" s="169"/>
      <c r="W17" s="63">
        <f>SUM(W16+X16)</f>
        <v>15464.092500000001</v>
      </c>
      <c r="X17" s="169"/>
      <c r="Y17" s="169"/>
      <c r="Z17" s="169"/>
      <c r="AA17" s="169"/>
      <c r="AB17" s="169"/>
      <c r="AC17" s="63">
        <f>SUM(AC16+AD16)</f>
        <v>31389.820800000001</v>
      </c>
      <c r="AD17" s="169"/>
      <c r="AE17" s="149"/>
      <c r="AF17" s="69">
        <f>SUM(AF9:AF15)</f>
        <v>0</v>
      </c>
      <c r="AG17" s="178"/>
      <c r="AH17" s="65"/>
      <c r="AI17" s="69">
        <f t="shared" ref="AI17:AJ17" si="24">SUM(AI9:AI15)</f>
        <v>-1730.0706999999984</v>
      </c>
      <c r="AJ17" s="69">
        <f t="shared" si="24"/>
        <v>-1730.0706999999984</v>
      </c>
    </row>
    <row r="18" spans="1:36" x14ac:dyDescent="0.25">
      <c r="A18" s="138"/>
      <c r="B18" s="138"/>
      <c r="C18" s="138"/>
      <c r="D18" s="138"/>
      <c r="E18" s="138"/>
      <c r="F18" s="138"/>
      <c r="G18" s="138"/>
      <c r="H18" s="179"/>
      <c r="I18" s="179"/>
      <c r="J18" s="179"/>
      <c r="K18" s="169"/>
      <c r="L18" s="169"/>
      <c r="M18" s="169"/>
      <c r="N18" s="169"/>
      <c r="O18" s="169"/>
      <c r="P18" s="169"/>
      <c r="Q18" s="169"/>
      <c r="R18" s="169"/>
      <c r="S18" s="169"/>
      <c r="T18" s="169"/>
      <c r="U18" s="169"/>
      <c r="V18" s="69"/>
      <c r="W18" s="63"/>
      <c r="X18" s="63"/>
      <c r="Y18" s="63"/>
      <c r="Z18" s="63"/>
      <c r="AA18" s="63"/>
      <c r="AB18" s="63"/>
      <c r="AC18" s="63"/>
      <c r="AD18" s="63"/>
      <c r="AE18" s="149"/>
      <c r="AF18" s="178"/>
      <c r="AG18" s="178"/>
      <c r="AH18" s="65"/>
      <c r="AI18" s="178"/>
      <c r="AJ18" s="178"/>
    </row>
    <row r="19" spans="1:36" x14ac:dyDescent="0.25">
      <c r="A19" s="138"/>
      <c r="B19" s="138"/>
      <c r="C19" s="138"/>
      <c r="D19" s="138"/>
      <c r="E19" s="138"/>
      <c r="F19" s="138"/>
      <c r="G19" s="138"/>
      <c r="H19" s="179"/>
      <c r="I19" s="179"/>
      <c r="J19" s="179"/>
      <c r="K19" s="169"/>
      <c r="L19" s="169"/>
      <c r="M19" s="169"/>
      <c r="N19" s="169"/>
      <c r="O19" s="169"/>
      <c r="P19" s="169"/>
      <c r="Q19" s="169"/>
      <c r="R19" s="169"/>
      <c r="S19" s="169"/>
      <c r="T19" s="169"/>
      <c r="U19" s="169"/>
      <c r="V19" s="69"/>
      <c r="W19" s="69"/>
      <c r="X19" s="69"/>
      <c r="Y19" s="69"/>
      <c r="Z19" s="69"/>
      <c r="AA19" s="69"/>
      <c r="AB19" s="69"/>
      <c r="AC19" s="69"/>
      <c r="AD19" s="69"/>
      <c r="AE19" s="180"/>
      <c r="AF19" s="178"/>
      <c r="AG19" s="178"/>
      <c r="AH19" s="65"/>
      <c r="AI19" s="178"/>
      <c r="AJ19" s="178"/>
    </row>
    <row r="20" spans="1:36" x14ac:dyDescent="0.25">
      <c r="A20" s="167">
        <v>410</v>
      </c>
      <c r="B20" s="92" t="s">
        <v>2432</v>
      </c>
      <c r="C20" s="168" t="s">
        <v>435</v>
      </c>
      <c r="D20" s="168" t="s">
        <v>2433</v>
      </c>
      <c r="E20" s="168" t="s">
        <v>2434</v>
      </c>
      <c r="F20" s="58">
        <v>41792</v>
      </c>
      <c r="G20" s="59">
        <f t="shared" ref="G20:G33" si="25">(DATE(2021,12,30)-(F20))/365</f>
        <v>7.5835616438356164</v>
      </c>
      <c r="H20" s="57"/>
      <c r="I20" s="57">
        <v>57393</v>
      </c>
      <c r="J20" s="57">
        <v>57393</v>
      </c>
      <c r="K20" s="63"/>
      <c r="L20" s="63">
        <f t="shared" ref="L20:L35" si="26">SUM(J20/2080)</f>
        <v>27.592788461538461</v>
      </c>
      <c r="M20" s="63">
        <f t="shared" ref="M20:M35" si="27">SUM(J20/26)</f>
        <v>2207.4230769230771</v>
      </c>
      <c r="N20" s="63">
        <v>0</v>
      </c>
      <c r="O20" s="169"/>
      <c r="P20" s="169"/>
      <c r="Q20" s="63">
        <f t="shared" ref="Q20:Q35" si="28">IF(N20+P20&gt;5000,5000,N20+P20)</f>
        <v>0</v>
      </c>
      <c r="R20" s="63">
        <f t="shared" ref="R20:R35" si="29">Q20+J20</f>
        <v>57393</v>
      </c>
      <c r="S20" s="169"/>
      <c r="T20" s="169"/>
      <c r="U20" s="169"/>
      <c r="V20" s="63">
        <f t="shared" ref="V20:V35" si="30">SUM(R20:U20)</f>
        <v>57393</v>
      </c>
      <c r="W20" s="63">
        <f t="shared" ref="W20:W35" si="31">SUM(V20*$W$7)</f>
        <v>3558.366</v>
      </c>
      <c r="X20" s="63">
        <f t="shared" ref="X20:X35" si="32">SUM(V20*$X$7)</f>
        <v>832.19850000000008</v>
      </c>
      <c r="Y20" s="63">
        <f t="shared" ref="Y20:Y35" si="33">SUM(V20*$Y$7)</f>
        <v>8075.1950999999999</v>
      </c>
      <c r="Z20" s="63">
        <f t="shared" ref="Z20:Z35" si="34">SUM(V20*$Z$7)</f>
        <v>91.828800000000001</v>
      </c>
      <c r="AA20" s="63">
        <f t="shared" ref="AA20:AA35" si="35">SUM(V20*$AA$7)</f>
        <v>40.1751</v>
      </c>
      <c r="AB20" s="63">
        <f t="shared" ref="AB20:AB33" si="36">SUM($AB$7)</f>
        <v>335</v>
      </c>
      <c r="AC20" s="63">
        <f t="shared" ref="AC20:AC33" si="37">$AC$7</f>
        <v>10356.36</v>
      </c>
      <c r="AD20" s="63">
        <f t="shared" ref="AD20:AD33" si="38">SUM(AB20+AC20)*$AD$7</f>
        <v>106.9136</v>
      </c>
      <c r="AE20" s="170">
        <v>410</v>
      </c>
      <c r="AF20" s="69">
        <f t="shared" ref="AF20:AF33" si="39">SUM(J20-I20)</f>
        <v>0</v>
      </c>
      <c r="AG20" s="69">
        <f t="shared" ref="AG20:AG36" si="40">SUM(W20:AD20)</f>
        <v>23396.037100000001</v>
      </c>
      <c r="AH20" s="67">
        <v>23941.27</v>
      </c>
      <c r="AI20" s="69">
        <f t="shared" ref="AI20:AI36" si="41">AG20-AH20</f>
        <v>-545.23289999999906</v>
      </c>
      <c r="AJ20" s="69">
        <f t="shared" ref="AJ20:AJ35" si="42">+AF20+AI20</f>
        <v>-545.23289999999906</v>
      </c>
    </row>
    <row r="21" spans="1:36" x14ac:dyDescent="0.25">
      <c r="A21" s="167">
        <v>410</v>
      </c>
      <c r="B21" s="92" t="s">
        <v>2435</v>
      </c>
      <c r="C21" s="168" t="s">
        <v>2436</v>
      </c>
      <c r="D21" s="181" t="s">
        <v>3755</v>
      </c>
      <c r="E21" s="168" t="s">
        <v>2541</v>
      </c>
      <c r="F21" s="58">
        <v>40200</v>
      </c>
      <c r="G21" s="59">
        <f t="shared" si="25"/>
        <v>11.945205479452055</v>
      </c>
      <c r="H21" s="57"/>
      <c r="I21" s="57">
        <v>41802</v>
      </c>
      <c r="J21" s="57">
        <v>41802</v>
      </c>
      <c r="K21" s="63"/>
      <c r="L21" s="63">
        <f t="shared" si="26"/>
        <v>20.097115384615385</v>
      </c>
      <c r="M21" s="63">
        <f t="shared" si="27"/>
        <v>1607.7692307692307</v>
      </c>
      <c r="N21" s="63">
        <v>0</v>
      </c>
      <c r="O21" s="169"/>
      <c r="P21" s="63">
        <v>0</v>
      </c>
      <c r="Q21" s="63">
        <f t="shared" si="28"/>
        <v>0</v>
      </c>
      <c r="R21" s="63">
        <f t="shared" si="29"/>
        <v>41802</v>
      </c>
      <c r="S21" s="169"/>
      <c r="T21" s="169"/>
      <c r="U21" s="169"/>
      <c r="V21" s="63">
        <f t="shared" si="30"/>
        <v>41802</v>
      </c>
      <c r="W21" s="63">
        <f t="shared" si="31"/>
        <v>2591.7240000000002</v>
      </c>
      <c r="X21" s="63">
        <f t="shared" si="32"/>
        <v>606.12900000000002</v>
      </c>
      <c r="Y21" s="63">
        <f t="shared" si="33"/>
        <v>5881.5414000000001</v>
      </c>
      <c r="Z21" s="63">
        <f t="shared" si="34"/>
        <v>66.883200000000002</v>
      </c>
      <c r="AA21" s="63">
        <f t="shared" si="35"/>
        <v>29.261399999999998</v>
      </c>
      <c r="AB21" s="63">
        <f t="shared" si="36"/>
        <v>335</v>
      </c>
      <c r="AC21" s="63">
        <f t="shared" si="37"/>
        <v>10356.36</v>
      </c>
      <c r="AD21" s="63">
        <f t="shared" si="38"/>
        <v>106.9136</v>
      </c>
      <c r="AE21" s="170">
        <v>410</v>
      </c>
      <c r="AF21" s="69">
        <f t="shared" si="39"/>
        <v>0</v>
      </c>
      <c r="AG21" s="69">
        <f t="shared" si="40"/>
        <v>19973.812600000001</v>
      </c>
      <c r="AH21" s="67">
        <v>20370.93</v>
      </c>
      <c r="AI21" s="69">
        <f t="shared" si="41"/>
        <v>-397.11739999999918</v>
      </c>
      <c r="AJ21" s="69">
        <f t="shared" si="42"/>
        <v>-397.11739999999918</v>
      </c>
    </row>
    <row r="22" spans="1:36" x14ac:dyDescent="0.25">
      <c r="A22" s="167">
        <v>410</v>
      </c>
      <c r="B22" s="92" t="s">
        <v>2439</v>
      </c>
      <c r="C22" s="71" t="s">
        <v>2440</v>
      </c>
      <c r="D22" s="181" t="s">
        <v>3756</v>
      </c>
      <c r="E22" s="168" t="s">
        <v>2694</v>
      </c>
      <c r="F22" s="58">
        <v>43437</v>
      </c>
      <c r="G22" s="59">
        <f t="shared" si="25"/>
        <v>3.0767123287671234</v>
      </c>
      <c r="H22" s="57"/>
      <c r="I22" s="57">
        <v>32008</v>
      </c>
      <c r="J22" s="57">
        <v>32008</v>
      </c>
      <c r="K22" s="63"/>
      <c r="L22" s="63">
        <f t="shared" si="26"/>
        <v>15.388461538461538</v>
      </c>
      <c r="M22" s="63">
        <f t="shared" si="27"/>
        <v>1231.0769230769231</v>
      </c>
      <c r="N22" s="63">
        <v>0</v>
      </c>
      <c r="O22" s="169"/>
      <c r="P22" s="169"/>
      <c r="Q22" s="63">
        <f t="shared" si="28"/>
        <v>0</v>
      </c>
      <c r="R22" s="63">
        <f t="shared" si="29"/>
        <v>32008</v>
      </c>
      <c r="S22" s="169"/>
      <c r="T22" s="169"/>
      <c r="U22" s="169"/>
      <c r="V22" s="63">
        <f t="shared" si="30"/>
        <v>32008</v>
      </c>
      <c r="W22" s="63">
        <f t="shared" si="31"/>
        <v>1984.4960000000001</v>
      </c>
      <c r="X22" s="63">
        <f t="shared" si="32"/>
        <v>464.11600000000004</v>
      </c>
      <c r="Y22" s="63">
        <f t="shared" si="33"/>
        <v>4503.5255999999999</v>
      </c>
      <c r="Z22" s="63">
        <f t="shared" si="34"/>
        <v>51.212800000000001</v>
      </c>
      <c r="AA22" s="63">
        <f t="shared" si="35"/>
        <v>22.4056</v>
      </c>
      <c r="AB22" s="63">
        <f t="shared" si="36"/>
        <v>335</v>
      </c>
      <c r="AC22" s="63">
        <f t="shared" si="37"/>
        <v>10356.36</v>
      </c>
      <c r="AD22" s="63">
        <f t="shared" si="38"/>
        <v>106.9136</v>
      </c>
      <c r="AE22" s="170">
        <v>410</v>
      </c>
      <c r="AF22" s="69">
        <f t="shared" si="39"/>
        <v>0</v>
      </c>
      <c r="AG22" s="69">
        <f t="shared" si="40"/>
        <v>17824.029600000002</v>
      </c>
      <c r="AH22" s="67">
        <v>18128.11</v>
      </c>
      <c r="AI22" s="69">
        <f t="shared" si="41"/>
        <v>-304.08039999999892</v>
      </c>
      <c r="AJ22" s="69">
        <f t="shared" si="42"/>
        <v>-304.08039999999892</v>
      </c>
    </row>
    <row r="23" spans="1:36" x14ac:dyDescent="0.25">
      <c r="A23" s="167">
        <v>410</v>
      </c>
      <c r="B23" s="92" t="s">
        <v>2443</v>
      </c>
      <c r="C23" s="71" t="s">
        <v>2440</v>
      </c>
      <c r="D23" s="181" t="s">
        <v>2444</v>
      </c>
      <c r="E23" s="168" t="s">
        <v>2445</v>
      </c>
      <c r="F23" s="74">
        <v>42247</v>
      </c>
      <c r="G23" s="59">
        <f t="shared" si="25"/>
        <v>6.3369863013698629</v>
      </c>
      <c r="H23" s="57"/>
      <c r="I23" s="57">
        <v>33192</v>
      </c>
      <c r="J23" s="182">
        <v>33800</v>
      </c>
      <c r="K23" s="63"/>
      <c r="L23" s="63">
        <f t="shared" si="26"/>
        <v>16.25</v>
      </c>
      <c r="M23" s="63">
        <f t="shared" si="27"/>
        <v>1300</v>
      </c>
      <c r="N23" s="63">
        <v>0</v>
      </c>
      <c r="O23" s="169"/>
      <c r="P23" s="169"/>
      <c r="Q23" s="63">
        <f t="shared" si="28"/>
        <v>0</v>
      </c>
      <c r="R23" s="63">
        <f t="shared" si="29"/>
        <v>33800</v>
      </c>
      <c r="S23" s="169"/>
      <c r="T23" s="169"/>
      <c r="U23" s="169"/>
      <c r="V23" s="63">
        <f t="shared" si="30"/>
        <v>33800</v>
      </c>
      <c r="W23" s="63">
        <f t="shared" si="31"/>
        <v>2095.6</v>
      </c>
      <c r="X23" s="63">
        <f t="shared" si="32"/>
        <v>490.1</v>
      </c>
      <c r="Y23" s="63">
        <f t="shared" si="33"/>
        <v>4755.66</v>
      </c>
      <c r="Z23" s="63">
        <f t="shared" si="34"/>
        <v>54.080000000000005</v>
      </c>
      <c r="AA23" s="63">
        <f t="shared" si="35"/>
        <v>23.66</v>
      </c>
      <c r="AB23" s="63">
        <f t="shared" si="36"/>
        <v>335</v>
      </c>
      <c r="AC23" s="63">
        <f t="shared" si="37"/>
        <v>10356.36</v>
      </c>
      <c r="AD23" s="63">
        <f t="shared" si="38"/>
        <v>106.9136</v>
      </c>
      <c r="AE23" s="170">
        <v>410</v>
      </c>
      <c r="AF23" s="69">
        <f t="shared" si="39"/>
        <v>608</v>
      </c>
      <c r="AG23" s="69">
        <f t="shared" si="40"/>
        <v>18217.373599999999</v>
      </c>
      <c r="AH23" s="67">
        <v>18399.240000000002</v>
      </c>
      <c r="AI23" s="69">
        <f t="shared" si="41"/>
        <v>-181.86640000000261</v>
      </c>
      <c r="AJ23" s="69">
        <f t="shared" si="42"/>
        <v>426.13359999999739</v>
      </c>
    </row>
    <row r="24" spans="1:36" x14ac:dyDescent="0.25">
      <c r="A24" s="167">
        <v>410</v>
      </c>
      <c r="B24" s="92" t="s">
        <v>2446</v>
      </c>
      <c r="C24" s="71" t="s">
        <v>2440</v>
      </c>
      <c r="D24" s="183" t="s">
        <v>2461</v>
      </c>
      <c r="E24" s="183" t="s">
        <v>2462</v>
      </c>
      <c r="F24" s="184">
        <v>43549</v>
      </c>
      <c r="G24" s="59">
        <f t="shared" si="25"/>
        <v>2.7698630136986302</v>
      </c>
      <c r="H24" s="57"/>
      <c r="I24" s="66">
        <v>32008</v>
      </c>
      <c r="J24" s="182">
        <v>32594</v>
      </c>
      <c r="K24" s="63"/>
      <c r="L24" s="63">
        <f t="shared" si="26"/>
        <v>15.670192307692307</v>
      </c>
      <c r="M24" s="63">
        <f t="shared" si="27"/>
        <v>1253.6153846153845</v>
      </c>
      <c r="N24" s="63">
        <v>0</v>
      </c>
      <c r="O24" s="169"/>
      <c r="P24" s="169"/>
      <c r="Q24" s="63">
        <f t="shared" si="28"/>
        <v>0</v>
      </c>
      <c r="R24" s="63">
        <f t="shared" si="29"/>
        <v>32594</v>
      </c>
      <c r="S24" s="169"/>
      <c r="T24" s="169"/>
      <c r="U24" s="169"/>
      <c r="V24" s="63">
        <f t="shared" si="30"/>
        <v>32594</v>
      </c>
      <c r="W24" s="63">
        <f t="shared" si="31"/>
        <v>2020.828</v>
      </c>
      <c r="X24" s="63">
        <f t="shared" si="32"/>
        <v>472.613</v>
      </c>
      <c r="Y24" s="63">
        <f t="shared" si="33"/>
        <v>4585.9758000000002</v>
      </c>
      <c r="Z24" s="63">
        <f t="shared" si="34"/>
        <v>52.150400000000005</v>
      </c>
      <c r="AA24" s="63">
        <f t="shared" si="35"/>
        <v>22.815799999999999</v>
      </c>
      <c r="AB24" s="63">
        <f t="shared" si="36"/>
        <v>335</v>
      </c>
      <c r="AC24" s="63">
        <f t="shared" si="37"/>
        <v>10356.36</v>
      </c>
      <c r="AD24" s="63">
        <f t="shared" si="38"/>
        <v>106.9136</v>
      </c>
      <c r="AE24" s="170">
        <v>410</v>
      </c>
      <c r="AF24" s="69">
        <f t="shared" si="39"/>
        <v>586</v>
      </c>
      <c r="AG24" s="69">
        <f t="shared" si="40"/>
        <v>17952.656600000002</v>
      </c>
      <c r="AH24" s="67">
        <v>18397.41</v>
      </c>
      <c r="AI24" s="69">
        <f t="shared" si="41"/>
        <v>-444.75339999999778</v>
      </c>
      <c r="AJ24" s="69">
        <f t="shared" si="42"/>
        <v>141.24660000000222</v>
      </c>
    </row>
    <row r="25" spans="1:36" x14ac:dyDescent="0.25">
      <c r="A25" s="167">
        <v>410</v>
      </c>
      <c r="B25" s="92" t="s">
        <v>2449</v>
      </c>
      <c r="C25" s="71" t="s">
        <v>2440</v>
      </c>
      <c r="D25" s="168" t="s">
        <v>3757</v>
      </c>
      <c r="E25" s="168" t="s">
        <v>2831</v>
      </c>
      <c r="F25" s="74">
        <v>39237</v>
      </c>
      <c r="G25" s="59">
        <f t="shared" si="25"/>
        <v>14.583561643835617</v>
      </c>
      <c r="H25" s="57"/>
      <c r="I25" s="66">
        <v>36348</v>
      </c>
      <c r="J25" s="182">
        <v>37004</v>
      </c>
      <c r="K25" s="63"/>
      <c r="L25" s="63">
        <f t="shared" si="26"/>
        <v>17.790384615384614</v>
      </c>
      <c r="M25" s="63">
        <f t="shared" si="27"/>
        <v>1423.2307692307693</v>
      </c>
      <c r="N25" s="63">
        <v>0</v>
      </c>
      <c r="O25" s="169"/>
      <c r="P25" s="169"/>
      <c r="Q25" s="63">
        <f t="shared" si="28"/>
        <v>0</v>
      </c>
      <c r="R25" s="63">
        <f t="shared" si="29"/>
        <v>37004</v>
      </c>
      <c r="S25" s="169"/>
      <c r="T25" s="169"/>
      <c r="U25" s="169"/>
      <c r="V25" s="63">
        <f t="shared" si="30"/>
        <v>37004</v>
      </c>
      <c r="W25" s="63">
        <f t="shared" si="31"/>
        <v>2294.248</v>
      </c>
      <c r="X25" s="63">
        <f t="shared" si="32"/>
        <v>536.55799999999999</v>
      </c>
      <c r="Y25" s="63">
        <f t="shared" si="33"/>
        <v>5206.4627999999993</v>
      </c>
      <c r="Z25" s="63">
        <f t="shared" si="34"/>
        <v>59.206400000000002</v>
      </c>
      <c r="AA25" s="63">
        <f t="shared" si="35"/>
        <v>25.902799999999999</v>
      </c>
      <c r="AB25" s="63">
        <f t="shared" si="36"/>
        <v>335</v>
      </c>
      <c r="AC25" s="63">
        <f t="shared" si="37"/>
        <v>10356.36</v>
      </c>
      <c r="AD25" s="63">
        <f t="shared" si="38"/>
        <v>106.9136</v>
      </c>
      <c r="AE25" s="170">
        <v>410</v>
      </c>
      <c r="AF25" s="69">
        <f t="shared" si="39"/>
        <v>656</v>
      </c>
      <c r="AG25" s="69">
        <f t="shared" si="40"/>
        <v>18920.651600000001</v>
      </c>
      <c r="AH25" s="67">
        <v>18397.41</v>
      </c>
      <c r="AI25" s="69">
        <f t="shared" si="41"/>
        <v>523.2416000000012</v>
      </c>
      <c r="AJ25" s="69">
        <f t="shared" si="42"/>
        <v>1179.2416000000012</v>
      </c>
    </row>
    <row r="26" spans="1:36" x14ac:dyDescent="0.25">
      <c r="A26" s="167">
        <v>410</v>
      </c>
      <c r="B26" s="92" t="s">
        <v>2451</v>
      </c>
      <c r="C26" s="71" t="s">
        <v>2440</v>
      </c>
      <c r="D26" s="185" t="s">
        <v>2452</v>
      </c>
      <c r="E26" s="185" t="s">
        <v>2453</v>
      </c>
      <c r="F26" s="74">
        <v>36307</v>
      </c>
      <c r="G26" s="59">
        <f t="shared" si="25"/>
        <v>22.610958904109587</v>
      </c>
      <c r="H26" s="57"/>
      <c r="I26" s="66">
        <v>37004</v>
      </c>
      <c r="J26" s="182">
        <v>37682</v>
      </c>
      <c r="K26" s="63"/>
      <c r="L26" s="63">
        <f t="shared" si="26"/>
        <v>18.116346153846155</v>
      </c>
      <c r="M26" s="63">
        <f t="shared" si="27"/>
        <v>1449.3076923076924</v>
      </c>
      <c r="N26" s="63">
        <v>0</v>
      </c>
      <c r="O26" s="169"/>
      <c r="P26" s="169"/>
      <c r="Q26" s="63">
        <f t="shared" si="28"/>
        <v>0</v>
      </c>
      <c r="R26" s="63">
        <f t="shared" si="29"/>
        <v>37682</v>
      </c>
      <c r="S26" s="169"/>
      <c r="T26" s="169"/>
      <c r="U26" s="169"/>
      <c r="V26" s="63">
        <f t="shared" si="30"/>
        <v>37682</v>
      </c>
      <c r="W26" s="63">
        <f t="shared" si="31"/>
        <v>2336.2840000000001</v>
      </c>
      <c r="X26" s="63">
        <f t="shared" si="32"/>
        <v>546.38900000000001</v>
      </c>
      <c r="Y26" s="63">
        <f t="shared" si="33"/>
        <v>5301.8573999999999</v>
      </c>
      <c r="Z26" s="63">
        <f t="shared" si="34"/>
        <v>60.291200000000003</v>
      </c>
      <c r="AA26" s="63">
        <f t="shared" si="35"/>
        <v>26.377399999999998</v>
      </c>
      <c r="AB26" s="63">
        <f t="shared" si="36"/>
        <v>335</v>
      </c>
      <c r="AC26" s="63">
        <f t="shared" si="37"/>
        <v>10356.36</v>
      </c>
      <c r="AD26" s="63">
        <f t="shared" si="38"/>
        <v>106.9136</v>
      </c>
      <c r="AE26" s="170">
        <v>410</v>
      </c>
      <c r="AF26" s="69">
        <f t="shared" si="39"/>
        <v>678</v>
      </c>
      <c r="AG26" s="69">
        <f t="shared" si="40"/>
        <v>19069.472600000001</v>
      </c>
      <c r="AH26" s="67">
        <v>18823.12</v>
      </c>
      <c r="AI26" s="69">
        <f t="shared" si="41"/>
        <v>246.35260000000198</v>
      </c>
      <c r="AJ26" s="69">
        <f t="shared" si="42"/>
        <v>924.35260000000198</v>
      </c>
    </row>
    <row r="27" spans="1:36" x14ac:dyDescent="0.25">
      <c r="A27" s="167">
        <v>410</v>
      </c>
      <c r="B27" s="92" t="s">
        <v>2454</v>
      </c>
      <c r="C27" s="71" t="s">
        <v>2455</v>
      </c>
      <c r="D27" s="181" t="s">
        <v>2588</v>
      </c>
      <c r="E27" s="168" t="s">
        <v>2589</v>
      </c>
      <c r="F27" s="58">
        <v>43199</v>
      </c>
      <c r="G27" s="59">
        <f t="shared" si="25"/>
        <v>3.7287671232876711</v>
      </c>
      <c r="H27" s="57"/>
      <c r="I27" s="66">
        <v>33184</v>
      </c>
      <c r="J27" s="66">
        <v>33184</v>
      </c>
      <c r="K27" s="63"/>
      <c r="L27" s="63">
        <f t="shared" si="26"/>
        <v>15.953846153846154</v>
      </c>
      <c r="M27" s="63">
        <f t="shared" si="27"/>
        <v>1276.3076923076924</v>
      </c>
      <c r="N27" s="63">
        <v>0</v>
      </c>
      <c r="O27" s="169"/>
      <c r="P27" s="169"/>
      <c r="Q27" s="63">
        <f t="shared" si="28"/>
        <v>0</v>
      </c>
      <c r="R27" s="63">
        <f t="shared" si="29"/>
        <v>33184</v>
      </c>
      <c r="S27" s="169"/>
      <c r="T27" s="169"/>
      <c r="U27" s="169"/>
      <c r="V27" s="63">
        <f t="shared" si="30"/>
        <v>33184</v>
      </c>
      <c r="W27" s="63">
        <f t="shared" si="31"/>
        <v>2057.4079999999999</v>
      </c>
      <c r="X27" s="63">
        <f t="shared" si="32"/>
        <v>481.16800000000001</v>
      </c>
      <c r="Y27" s="63">
        <f t="shared" si="33"/>
        <v>4668.9888000000001</v>
      </c>
      <c r="Z27" s="63">
        <f t="shared" si="34"/>
        <v>53.0944</v>
      </c>
      <c r="AA27" s="63">
        <f t="shared" si="35"/>
        <v>23.2288</v>
      </c>
      <c r="AB27" s="63">
        <f t="shared" si="36"/>
        <v>335</v>
      </c>
      <c r="AC27" s="63">
        <f t="shared" si="37"/>
        <v>10356.36</v>
      </c>
      <c r="AD27" s="63">
        <f t="shared" si="38"/>
        <v>106.9136</v>
      </c>
      <c r="AE27" s="170">
        <v>410</v>
      </c>
      <c r="AF27" s="69">
        <f t="shared" si="39"/>
        <v>0</v>
      </c>
      <c r="AG27" s="69">
        <f t="shared" si="40"/>
        <v>18082.161599999999</v>
      </c>
      <c r="AH27" s="67">
        <v>18823.12</v>
      </c>
      <c r="AI27" s="69">
        <f t="shared" si="41"/>
        <v>-740.95839999999953</v>
      </c>
      <c r="AJ27" s="69">
        <f t="shared" si="42"/>
        <v>-740.95839999999953</v>
      </c>
    </row>
    <row r="28" spans="1:36" x14ac:dyDescent="0.25">
      <c r="A28" s="167">
        <v>410</v>
      </c>
      <c r="B28" s="92" t="s">
        <v>2457</v>
      </c>
      <c r="C28" s="71" t="s">
        <v>2455</v>
      </c>
      <c r="D28" s="181" t="s">
        <v>2458</v>
      </c>
      <c r="E28" s="168" t="s">
        <v>2459</v>
      </c>
      <c r="F28" s="74">
        <v>42069</v>
      </c>
      <c r="G28" s="59">
        <f t="shared" si="25"/>
        <v>6.8246575342465752</v>
      </c>
      <c r="H28" s="57"/>
      <c r="I28" s="66">
        <v>33184</v>
      </c>
      <c r="J28" s="182">
        <v>33792</v>
      </c>
      <c r="K28" s="63"/>
      <c r="L28" s="63">
        <f t="shared" si="26"/>
        <v>16.246153846153845</v>
      </c>
      <c r="M28" s="63">
        <f t="shared" si="27"/>
        <v>1299.6923076923076</v>
      </c>
      <c r="N28" s="63">
        <v>0</v>
      </c>
      <c r="O28" s="169"/>
      <c r="P28" s="169"/>
      <c r="Q28" s="63">
        <f t="shared" si="28"/>
        <v>0</v>
      </c>
      <c r="R28" s="63">
        <f t="shared" si="29"/>
        <v>33792</v>
      </c>
      <c r="S28" s="169"/>
      <c r="T28" s="169"/>
      <c r="U28" s="169"/>
      <c r="V28" s="63">
        <f t="shared" si="30"/>
        <v>33792</v>
      </c>
      <c r="W28" s="63">
        <f t="shared" si="31"/>
        <v>2095.1039999999998</v>
      </c>
      <c r="X28" s="63">
        <f t="shared" si="32"/>
        <v>489.98400000000004</v>
      </c>
      <c r="Y28" s="63">
        <f t="shared" si="33"/>
        <v>4754.5343999999996</v>
      </c>
      <c r="Z28" s="63">
        <f t="shared" si="34"/>
        <v>54.0672</v>
      </c>
      <c r="AA28" s="63">
        <f t="shared" si="35"/>
        <v>23.654399999999999</v>
      </c>
      <c r="AB28" s="63">
        <f t="shared" si="36"/>
        <v>335</v>
      </c>
      <c r="AC28" s="63">
        <f t="shared" si="37"/>
        <v>10356.36</v>
      </c>
      <c r="AD28" s="63">
        <f t="shared" si="38"/>
        <v>106.9136</v>
      </c>
      <c r="AE28" s="170">
        <v>410</v>
      </c>
      <c r="AF28" s="69">
        <f t="shared" si="39"/>
        <v>608</v>
      </c>
      <c r="AG28" s="69">
        <f t="shared" si="40"/>
        <v>18215.617600000001</v>
      </c>
      <c r="AH28" s="67">
        <v>18970.14</v>
      </c>
      <c r="AI28" s="69">
        <f t="shared" si="41"/>
        <v>-754.52239999999802</v>
      </c>
      <c r="AJ28" s="69">
        <f t="shared" si="42"/>
        <v>-146.52239999999802</v>
      </c>
    </row>
    <row r="29" spans="1:36" x14ac:dyDescent="0.25">
      <c r="A29" s="167">
        <v>410</v>
      </c>
      <c r="B29" s="92" t="s">
        <v>2460</v>
      </c>
      <c r="C29" s="71" t="s">
        <v>2455</v>
      </c>
      <c r="D29" s="168" t="s">
        <v>2472</v>
      </c>
      <c r="E29" s="168" t="s">
        <v>2473</v>
      </c>
      <c r="F29" s="58">
        <v>39652</v>
      </c>
      <c r="G29" s="59">
        <f t="shared" si="25"/>
        <v>13.446575342465753</v>
      </c>
      <c r="H29" s="57"/>
      <c r="I29" s="66">
        <v>35043</v>
      </c>
      <c r="J29" s="66">
        <v>35043</v>
      </c>
      <c r="K29" s="63"/>
      <c r="L29" s="63">
        <f t="shared" si="26"/>
        <v>16.847596153846155</v>
      </c>
      <c r="M29" s="63">
        <f t="shared" si="27"/>
        <v>1347.8076923076924</v>
      </c>
      <c r="N29" s="63">
        <v>0</v>
      </c>
      <c r="O29" s="169"/>
      <c r="P29" s="169"/>
      <c r="Q29" s="63">
        <f t="shared" si="28"/>
        <v>0</v>
      </c>
      <c r="R29" s="63">
        <f t="shared" si="29"/>
        <v>35043</v>
      </c>
      <c r="S29" s="169"/>
      <c r="T29" s="169"/>
      <c r="U29" s="169"/>
      <c r="V29" s="63">
        <f t="shared" si="30"/>
        <v>35043</v>
      </c>
      <c r="W29" s="63">
        <f t="shared" si="31"/>
        <v>2172.6660000000002</v>
      </c>
      <c r="X29" s="63">
        <f t="shared" si="32"/>
        <v>508.12350000000004</v>
      </c>
      <c r="Y29" s="63">
        <f t="shared" si="33"/>
        <v>4930.5500999999995</v>
      </c>
      <c r="Z29" s="63">
        <f t="shared" si="34"/>
        <v>56.068800000000003</v>
      </c>
      <c r="AA29" s="63">
        <f t="shared" si="35"/>
        <v>24.530100000000001</v>
      </c>
      <c r="AB29" s="63">
        <f t="shared" si="36"/>
        <v>335</v>
      </c>
      <c r="AC29" s="63">
        <f t="shared" si="37"/>
        <v>10356.36</v>
      </c>
      <c r="AD29" s="63">
        <f t="shared" si="38"/>
        <v>106.9136</v>
      </c>
      <c r="AE29" s="170">
        <v>410</v>
      </c>
      <c r="AF29" s="69">
        <f t="shared" si="39"/>
        <v>0</v>
      </c>
      <c r="AG29" s="69">
        <f t="shared" si="40"/>
        <v>18490.212100000001</v>
      </c>
      <c r="AH29" s="67">
        <v>19773.7</v>
      </c>
      <c r="AI29" s="69">
        <f t="shared" si="41"/>
        <v>-1283.4879000000001</v>
      </c>
      <c r="AJ29" s="69">
        <f t="shared" si="42"/>
        <v>-1283.4879000000001</v>
      </c>
    </row>
    <row r="30" spans="1:36" x14ac:dyDescent="0.25">
      <c r="A30" s="167">
        <v>410</v>
      </c>
      <c r="B30" s="92" t="s">
        <v>2463</v>
      </c>
      <c r="C30" s="71" t="s">
        <v>2455</v>
      </c>
      <c r="D30" s="168" t="s">
        <v>2437</v>
      </c>
      <c r="E30" s="168" t="s">
        <v>2438</v>
      </c>
      <c r="F30" s="58">
        <v>41869</v>
      </c>
      <c r="G30" s="59">
        <f t="shared" si="25"/>
        <v>7.3726027397260276</v>
      </c>
      <c r="H30" s="57"/>
      <c r="I30" s="66">
        <v>33184</v>
      </c>
      <c r="J30" s="66">
        <v>33184</v>
      </c>
      <c r="K30" s="63"/>
      <c r="L30" s="63">
        <f t="shared" si="26"/>
        <v>15.953846153846154</v>
      </c>
      <c r="M30" s="63">
        <f t="shared" si="27"/>
        <v>1276.3076923076924</v>
      </c>
      <c r="N30" s="63">
        <v>0</v>
      </c>
      <c r="O30" s="169"/>
      <c r="P30" s="169"/>
      <c r="Q30" s="63">
        <f t="shared" si="28"/>
        <v>0</v>
      </c>
      <c r="R30" s="63">
        <f t="shared" si="29"/>
        <v>33184</v>
      </c>
      <c r="S30" s="169"/>
      <c r="T30" s="169"/>
      <c r="U30" s="169"/>
      <c r="V30" s="63">
        <f t="shared" si="30"/>
        <v>33184</v>
      </c>
      <c r="W30" s="63">
        <f t="shared" si="31"/>
        <v>2057.4079999999999</v>
      </c>
      <c r="X30" s="63">
        <f t="shared" si="32"/>
        <v>481.16800000000001</v>
      </c>
      <c r="Y30" s="63">
        <f t="shared" si="33"/>
        <v>4668.9888000000001</v>
      </c>
      <c r="Z30" s="63">
        <f t="shared" si="34"/>
        <v>53.0944</v>
      </c>
      <c r="AA30" s="63">
        <f t="shared" si="35"/>
        <v>23.2288</v>
      </c>
      <c r="AB30" s="63">
        <f t="shared" si="36"/>
        <v>335</v>
      </c>
      <c r="AC30" s="63">
        <f t="shared" si="37"/>
        <v>10356.36</v>
      </c>
      <c r="AD30" s="63">
        <f t="shared" si="38"/>
        <v>106.9136</v>
      </c>
      <c r="AE30" s="170">
        <v>410</v>
      </c>
      <c r="AF30" s="69">
        <f t="shared" si="39"/>
        <v>0</v>
      </c>
      <c r="AG30" s="69">
        <f t="shared" si="40"/>
        <v>18082.161599999999</v>
      </c>
      <c r="AH30" s="67">
        <v>18128.11</v>
      </c>
      <c r="AI30" s="69">
        <f t="shared" si="41"/>
        <v>-45.948400000001129</v>
      </c>
      <c r="AJ30" s="69">
        <f t="shared" si="42"/>
        <v>-45.948400000001129</v>
      </c>
    </row>
    <row r="31" spans="1:36" x14ac:dyDescent="0.25">
      <c r="A31" s="167">
        <v>410</v>
      </c>
      <c r="B31" s="92" t="s">
        <v>2464</v>
      </c>
      <c r="C31" s="71" t="s">
        <v>2455</v>
      </c>
      <c r="D31" s="168" t="s">
        <v>2465</v>
      </c>
      <c r="E31" s="168" t="s">
        <v>2466</v>
      </c>
      <c r="F31" s="58">
        <v>38915</v>
      </c>
      <c r="G31" s="59">
        <f t="shared" si="25"/>
        <v>15.465753424657533</v>
      </c>
      <c r="H31" s="57"/>
      <c r="I31" s="66">
        <v>35685</v>
      </c>
      <c r="J31" s="66">
        <v>35685</v>
      </c>
      <c r="K31" s="63"/>
      <c r="L31" s="63">
        <f t="shared" si="26"/>
        <v>17.15625</v>
      </c>
      <c r="M31" s="63">
        <f t="shared" si="27"/>
        <v>1372.5</v>
      </c>
      <c r="N31" s="63">
        <v>0</v>
      </c>
      <c r="O31" s="169"/>
      <c r="P31" s="169"/>
      <c r="Q31" s="63">
        <f t="shared" si="28"/>
        <v>0</v>
      </c>
      <c r="R31" s="63">
        <f t="shared" si="29"/>
        <v>35685</v>
      </c>
      <c r="S31" s="169"/>
      <c r="T31" s="169"/>
      <c r="U31" s="169"/>
      <c r="V31" s="63">
        <f t="shared" si="30"/>
        <v>35685</v>
      </c>
      <c r="W31" s="63">
        <f t="shared" si="31"/>
        <v>2212.4699999999998</v>
      </c>
      <c r="X31" s="63">
        <f t="shared" si="32"/>
        <v>517.4325</v>
      </c>
      <c r="Y31" s="63">
        <f t="shared" si="33"/>
        <v>5020.8795</v>
      </c>
      <c r="Z31" s="63">
        <f t="shared" si="34"/>
        <v>57.096000000000004</v>
      </c>
      <c r="AA31" s="63">
        <f t="shared" si="35"/>
        <v>24.979499999999998</v>
      </c>
      <c r="AB31" s="63">
        <f t="shared" si="36"/>
        <v>335</v>
      </c>
      <c r="AC31" s="63">
        <f t="shared" si="37"/>
        <v>10356.36</v>
      </c>
      <c r="AD31" s="63">
        <f t="shared" si="38"/>
        <v>106.9136</v>
      </c>
      <c r="AE31" s="170">
        <v>410</v>
      </c>
      <c r="AF31" s="69">
        <f t="shared" si="39"/>
        <v>0</v>
      </c>
      <c r="AG31" s="69">
        <f t="shared" si="40"/>
        <v>18631.131099999999</v>
      </c>
      <c r="AH31" s="67">
        <v>19272.189999999999</v>
      </c>
      <c r="AI31" s="69">
        <f t="shared" si="41"/>
        <v>-641.05889999999999</v>
      </c>
      <c r="AJ31" s="69">
        <f t="shared" si="42"/>
        <v>-641.05889999999999</v>
      </c>
    </row>
    <row r="32" spans="1:36" x14ac:dyDescent="0.25">
      <c r="A32" s="167">
        <v>410</v>
      </c>
      <c r="B32" s="92" t="s">
        <v>2467</v>
      </c>
      <c r="C32" s="71" t="s">
        <v>2455</v>
      </c>
      <c r="D32" s="168" t="s">
        <v>2468</v>
      </c>
      <c r="E32" s="168" t="s">
        <v>2469</v>
      </c>
      <c r="F32" s="58">
        <v>39793</v>
      </c>
      <c r="G32" s="59">
        <f t="shared" si="25"/>
        <v>13.06027397260274</v>
      </c>
      <c r="H32" s="57"/>
      <c r="I32" s="66">
        <v>35043</v>
      </c>
      <c r="J32" s="66">
        <v>35043</v>
      </c>
      <c r="K32" s="63"/>
      <c r="L32" s="63">
        <f t="shared" si="26"/>
        <v>16.847596153846155</v>
      </c>
      <c r="M32" s="63">
        <f t="shared" si="27"/>
        <v>1347.8076923076924</v>
      </c>
      <c r="N32" s="63">
        <v>0</v>
      </c>
      <c r="O32" s="169"/>
      <c r="P32" s="169"/>
      <c r="Q32" s="63">
        <f t="shared" si="28"/>
        <v>0</v>
      </c>
      <c r="R32" s="63">
        <f t="shared" si="29"/>
        <v>35043</v>
      </c>
      <c r="S32" s="169"/>
      <c r="T32" s="169"/>
      <c r="U32" s="169"/>
      <c r="V32" s="63">
        <f t="shared" si="30"/>
        <v>35043</v>
      </c>
      <c r="W32" s="63">
        <f t="shared" si="31"/>
        <v>2172.6660000000002</v>
      </c>
      <c r="X32" s="63">
        <f t="shared" si="32"/>
        <v>508.12350000000004</v>
      </c>
      <c r="Y32" s="63">
        <f t="shared" si="33"/>
        <v>4930.5500999999995</v>
      </c>
      <c r="Z32" s="63">
        <f t="shared" si="34"/>
        <v>56.068800000000003</v>
      </c>
      <c r="AA32" s="63">
        <f t="shared" si="35"/>
        <v>24.530100000000001</v>
      </c>
      <c r="AB32" s="63">
        <f t="shared" si="36"/>
        <v>335</v>
      </c>
      <c r="AC32" s="63">
        <f t="shared" si="37"/>
        <v>10356.36</v>
      </c>
      <c r="AD32" s="63">
        <f t="shared" si="38"/>
        <v>106.9136</v>
      </c>
      <c r="AE32" s="170">
        <v>410</v>
      </c>
      <c r="AF32" s="69">
        <f t="shared" si="39"/>
        <v>0</v>
      </c>
      <c r="AG32" s="69">
        <f t="shared" si="40"/>
        <v>18490.212100000001</v>
      </c>
      <c r="AH32" s="67">
        <v>18397.41</v>
      </c>
      <c r="AI32" s="69">
        <f t="shared" si="41"/>
        <v>92.802100000000792</v>
      </c>
      <c r="AJ32" s="69">
        <f t="shared" si="42"/>
        <v>92.802100000000792</v>
      </c>
    </row>
    <row r="33" spans="1:36" x14ac:dyDescent="0.25">
      <c r="A33" s="167">
        <v>410</v>
      </c>
      <c r="B33" s="92" t="s">
        <v>2470</v>
      </c>
      <c r="C33" s="71" t="s">
        <v>2471</v>
      </c>
      <c r="D33" s="71" t="s">
        <v>3758</v>
      </c>
      <c r="E33" s="168" t="s">
        <v>3759</v>
      </c>
      <c r="F33" s="74">
        <v>36416</v>
      </c>
      <c r="G33" s="59">
        <f t="shared" si="25"/>
        <v>22.312328767123287</v>
      </c>
      <c r="H33" s="57"/>
      <c r="I33" s="66">
        <v>39194</v>
      </c>
      <c r="J33" s="182">
        <v>39913</v>
      </c>
      <c r="K33" s="63"/>
      <c r="L33" s="63">
        <f t="shared" si="26"/>
        <v>19.188942307692308</v>
      </c>
      <c r="M33" s="63">
        <f t="shared" si="27"/>
        <v>1535.1153846153845</v>
      </c>
      <c r="N33" s="63">
        <v>0</v>
      </c>
      <c r="O33" s="169"/>
      <c r="P33" s="169"/>
      <c r="Q33" s="63">
        <f t="shared" si="28"/>
        <v>0</v>
      </c>
      <c r="R33" s="63">
        <f t="shared" si="29"/>
        <v>39913</v>
      </c>
      <c r="S33" s="169"/>
      <c r="T33" s="169"/>
      <c r="U33" s="169"/>
      <c r="V33" s="63">
        <f t="shared" si="30"/>
        <v>39913</v>
      </c>
      <c r="W33" s="63">
        <f t="shared" si="31"/>
        <v>2474.6059999999998</v>
      </c>
      <c r="X33" s="63">
        <f t="shared" si="32"/>
        <v>578.73850000000004</v>
      </c>
      <c r="Y33" s="63">
        <f t="shared" si="33"/>
        <v>5615.7590999999993</v>
      </c>
      <c r="Z33" s="63">
        <f t="shared" si="34"/>
        <v>63.860800000000005</v>
      </c>
      <c r="AA33" s="63">
        <f t="shared" si="35"/>
        <v>27.9391</v>
      </c>
      <c r="AB33" s="63">
        <f t="shared" si="36"/>
        <v>335</v>
      </c>
      <c r="AC33" s="63">
        <f t="shared" si="37"/>
        <v>10356.36</v>
      </c>
      <c r="AD33" s="63">
        <f t="shared" si="38"/>
        <v>106.9136</v>
      </c>
      <c r="AE33" s="170">
        <v>410</v>
      </c>
      <c r="AF33" s="69">
        <f t="shared" si="39"/>
        <v>719</v>
      </c>
      <c r="AG33" s="69">
        <f t="shared" si="40"/>
        <v>19559.177100000001</v>
      </c>
      <c r="AH33" s="67">
        <v>19121.97</v>
      </c>
      <c r="AI33" s="69">
        <f t="shared" si="41"/>
        <v>437.20709999999963</v>
      </c>
      <c r="AJ33" s="69">
        <f t="shared" si="42"/>
        <v>1156.2070999999996</v>
      </c>
    </row>
    <row r="34" spans="1:36" x14ac:dyDescent="0.25">
      <c r="A34" s="167">
        <v>410</v>
      </c>
      <c r="B34" s="138"/>
      <c r="C34" s="168" t="s">
        <v>2474</v>
      </c>
      <c r="G34" s="167" t="s">
        <v>2422</v>
      </c>
      <c r="H34" s="57"/>
      <c r="I34" s="57">
        <v>6000</v>
      </c>
      <c r="J34" s="57">
        <v>6000</v>
      </c>
      <c r="K34" s="63"/>
      <c r="L34" s="63">
        <f t="shared" si="26"/>
        <v>2.8846153846153846</v>
      </c>
      <c r="M34" s="63">
        <f t="shared" si="27"/>
        <v>230.76923076923077</v>
      </c>
      <c r="N34" s="63">
        <v>0</v>
      </c>
      <c r="O34" s="169"/>
      <c r="P34" s="169"/>
      <c r="Q34" s="63">
        <f t="shared" si="28"/>
        <v>0</v>
      </c>
      <c r="R34" s="63">
        <f t="shared" si="29"/>
        <v>6000</v>
      </c>
      <c r="S34" s="169"/>
      <c r="T34" s="169"/>
      <c r="U34" s="169"/>
      <c r="V34" s="63">
        <f t="shared" si="30"/>
        <v>6000</v>
      </c>
      <c r="W34" s="63">
        <f t="shared" si="31"/>
        <v>372</v>
      </c>
      <c r="X34" s="63">
        <f t="shared" si="32"/>
        <v>87</v>
      </c>
      <c r="Y34" s="63">
        <f t="shared" si="33"/>
        <v>844.19999999999993</v>
      </c>
      <c r="Z34" s="63">
        <f t="shared" si="34"/>
        <v>9.6</v>
      </c>
      <c r="AA34" s="63">
        <f t="shared" si="35"/>
        <v>4.2</v>
      </c>
      <c r="AB34" s="63" t="s">
        <v>2422</v>
      </c>
      <c r="AC34" s="63" t="s">
        <v>2422</v>
      </c>
      <c r="AD34" s="63" t="s">
        <v>2422</v>
      </c>
      <c r="AE34" s="170">
        <v>410</v>
      </c>
      <c r="AF34" s="69">
        <f t="shared" ref="AF34:AF35" si="43">SUM(J34-J34)</f>
        <v>0</v>
      </c>
      <c r="AG34" s="69">
        <f t="shared" si="40"/>
        <v>1316.9999999999998</v>
      </c>
      <c r="AH34" s="67">
        <v>1374</v>
      </c>
      <c r="AI34" s="69">
        <f t="shared" si="41"/>
        <v>-57.000000000000227</v>
      </c>
      <c r="AJ34" s="69">
        <f t="shared" si="42"/>
        <v>-57.000000000000227</v>
      </c>
    </row>
    <row r="35" spans="1:36" x14ac:dyDescent="0.25">
      <c r="A35" s="167">
        <v>410</v>
      </c>
      <c r="B35" s="138"/>
      <c r="C35" s="168" t="s">
        <v>2475</v>
      </c>
      <c r="G35" s="167" t="s">
        <v>2422</v>
      </c>
      <c r="H35" s="57"/>
      <c r="I35" s="57">
        <v>6000</v>
      </c>
      <c r="J35" s="171">
        <v>6000</v>
      </c>
      <c r="K35" s="172"/>
      <c r="L35" s="172">
        <f t="shared" si="26"/>
        <v>2.8846153846153846</v>
      </c>
      <c r="M35" s="172">
        <f t="shared" si="27"/>
        <v>230.76923076923077</v>
      </c>
      <c r="N35" s="172">
        <v>0</v>
      </c>
      <c r="O35" s="173"/>
      <c r="P35" s="173"/>
      <c r="Q35" s="172">
        <f t="shared" si="28"/>
        <v>0</v>
      </c>
      <c r="R35" s="172">
        <f t="shared" si="29"/>
        <v>6000</v>
      </c>
      <c r="S35" s="173"/>
      <c r="T35" s="173"/>
      <c r="U35" s="173"/>
      <c r="V35" s="172">
        <f t="shared" si="30"/>
        <v>6000</v>
      </c>
      <c r="W35" s="172">
        <f t="shared" si="31"/>
        <v>372</v>
      </c>
      <c r="X35" s="172">
        <f t="shared" si="32"/>
        <v>87</v>
      </c>
      <c r="Y35" s="172">
        <f t="shared" si="33"/>
        <v>844.19999999999993</v>
      </c>
      <c r="Z35" s="172">
        <f t="shared" si="34"/>
        <v>9.6</v>
      </c>
      <c r="AA35" s="172">
        <f t="shared" si="35"/>
        <v>4.2</v>
      </c>
      <c r="AB35" s="172" t="s">
        <v>2422</v>
      </c>
      <c r="AC35" s="172" t="s">
        <v>2422</v>
      </c>
      <c r="AD35" s="172" t="s">
        <v>2422</v>
      </c>
      <c r="AE35" s="170">
        <v>410</v>
      </c>
      <c r="AF35" s="69">
        <f t="shared" si="43"/>
        <v>0</v>
      </c>
      <c r="AG35" s="69">
        <f t="shared" si="40"/>
        <v>1316.9999999999998</v>
      </c>
      <c r="AH35" s="67">
        <v>1374</v>
      </c>
      <c r="AI35" s="69">
        <f t="shared" si="41"/>
        <v>-57.000000000000227</v>
      </c>
      <c r="AJ35" s="69">
        <f t="shared" si="42"/>
        <v>-57.000000000000227</v>
      </c>
    </row>
    <row r="36" spans="1:36" x14ac:dyDescent="0.25">
      <c r="A36" s="138"/>
      <c r="B36" s="138"/>
      <c r="C36" s="138"/>
      <c r="G36" s="138"/>
      <c r="H36" s="68"/>
      <c r="I36" s="174">
        <f t="shared" ref="I36:J36" si="44">SUM(I20:I35)</f>
        <v>526272</v>
      </c>
      <c r="J36" s="174">
        <f t="shared" si="44"/>
        <v>530127</v>
      </c>
      <c r="K36" s="175"/>
      <c r="L36" s="175">
        <f t="shared" ref="L36:AD36" si="45">SUM(L19:L35)</f>
        <v>254.86874999999998</v>
      </c>
      <c r="M36" s="175">
        <f t="shared" si="45"/>
        <v>20389.499999999996</v>
      </c>
      <c r="N36" s="175">
        <f t="shared" si="45"/>
        <v>0</v>
      </c>
      <c r="O36" s="175">
        <f t="shared" si="45"/>
        <v>0</v>
      </c>
      <c r="P36" s="175">
        <f t="shared" si="45"/>
        <v>0</v>
      </c>
      <c r="Q36" s="175">
        <f t="shared" si="45"/>
        <v>0</v>
      </c>
      <c r="R36" s="175">
        <f t="shared" si="45"/>
        <v>530127</v>
      </c>
      <c r="S36" s="175">
        <f t="shared" si="45"/>
        <v>0</v>
      </c>
      <c r="T36" s="175">
        <f t="shared" si="45"/>
        <v>0</v>
      </c>
      <c r="U36" s="175">
        <f t="shared" si="45"/>
        <v>0</v>
      </c>
      <c r="V36" s="175">
        <f t="shared" si="45"/>
        <v>530127</v>
      </c>
      <c r="W36" s="175">
        <f t="shared" si="45"/>
        <v>32867.873999999996</v>
      </c>
      <c r="X36" s="175">
        <f t="shared" si="45"/>
        <v>7686.8414999999995</v>
      </c>
      <c r="Y36" s="175">
        <f t="shared" si="45"/>
        <v>74588.868899999987</v>
      </c>
      <c r="Z36" s="175">
        <f t="shared" si="45"/>
        <v>848.20320000000004</v>
      </c>
      <c r="AA36" s="175">
        <f t="shared" si="45"/>
        <v>371.08889999999991</v>
      </c>
      <c r="AB36" s="175">
        <f t="shared" si="45"/>
        <v>4690</v>
      </c>
      <c r="AC36" s="175">
        <f t="shared" si="45"/>
        <v>144989.03999999998</v>
      </c>
      <c r="AD36" s="175">
        <f t="shared" si="45"/>
        <v>1496.7904000000003</v>
      </c>
      <c r="AE36" s="170">
        <v>410</v>
      </c>
      <c r="AF36" s="186">
        <f>SUM(AF20:AF35)</f>
        <v>3855</v>
      </c>
      <c r="AG36" s="187">
        <f t="shared" si="40"/>
        <v>267538.70689999999</v>
      </c>
      <c r="AH36" s="67">
        <v>271692.12</v>
      </c>
      <c r="AI36" s="187">
        <f t="shared" si="41"/>
        <v>-4153.4131000000052</v>
      </c>
      <c r="AJ36" s="187">
        <f>AF36+AI36</f>
        <v>-298.41310000000522</v>
      </c>
    </row>
    <row r="37" spans="1:36" ht="14.25" customHeight="1" x14ac:dyDescent="0.25">
      <c r="A37" s="138"/>
      <c r="B37" s="138"/>
      <c r="C37" s="138"/>
      <c r="D37" s="138"/>
      <c r="E37" s="138"/>
      <c r="F37" s="138"/>
      <c r="G37" s="138"/>
      <c r="H37" s="78"/>
      <c r="I37" s="78">
        <v>456879</v>
      </c>
      <c r="J37" s="78">
        <f>SUM(J21:J33)</f>
        <v>460734</v>
      </c>
      <c r="K37" s="169"/>
      <c r="L37" s="169"/>
      <c r="M37" s="169"/>
      <c r="N37" s="169"/>
      <c r="O37" s="169"/>
      <c r="P37" s="169"/>
      <c r="Q37" s="169"/>
      <c r="R37" s="169"/>
      <c r="S37" s="169"/>
      <c r="T37" s="169"/>
      <c r="U37" s="169"/>
      <c r="V37" s="169"/>
      <c r="W37" s="63">
        <f>SUM(W36+X36)</f>
        <v>40554.715499999998</v>
      </c>
      <c r="X37" s="169"/>
      <c r="Y37" s="169"/>
      <c r="Z37" s="169"/>
      <c r="AA37" s="169"/>
      <c r="AB37" s="169"/>
      <c r="AC37" s="63">
        <f>SUM(AC36+AD36)</f>
        <v>146485.83039999998</v>
      </c>
      <c r="AD37" s="169"/>
      <c r="AE37" s="149"/>
      <c r="AF37" s="69">
        <f t="shared" ref="AF37:AG37" si="46">SUM(AF20:AF35)</f>
        <v>3855</v>
      </c>
      <c r="AG37" s="69">
        <f t="shared" si="46"/>
        <v>267538.70689999999</v>
      </c>
      <c r="AH37" s="67">
        <v>271692.12</v>
      </c>
      <c r="AI37" s="69">
        <f t="shared" ref="AI37:AJ37" si="47">SUM(AI20:AI35)</f>
        <v>-4153.4230999999927</v>
      </c>
      <c r="AJ37" s="69">
        <f t="shared" si="47"/>
        <v>-298.42309999999316</v>
      </c>
    </row>
    <row r="38" spans="1:36" x14ac:dyDescent="0.25">
      <c r="A38" s="138"/>
      <c r="B38" s="138"/>
      <c r="C38" s="138"/>
      <c r="D38" s="138"/>
      <c r="E38" s="138"/>
      <c r="F38" s="138"/>
      <c r="G38" s="138"/>
      <c r="H38" s="179"/>
      <c r="I38" s="179"/>
      <c r="J38" s="179"/>
      <c r="K38" s="169"/>
      <c r="L38" s="169"/>
      <c r="M38" s="169"/>
      <c r="N38" s="169"/>
      <c r="O38" s="169"/>
      <c r="P38" s="169"/>
      <c r="Q38" s="169"/>
      <c r="R38" s="169"/>
      <c r="S38" s="169"/>
      <c r="T38" s="169"/>
      <c r="U38" s="169"/>
      <c r="V38" s="169"/>
      <c r="W38" s="169"/>
      <c r="X38" s="169"/>
      <c r="Y38" s="169"/>
      <c r="Z38" s="169"/>
      <c r="AA38" s="169"/>
      <c r="AB38" s="169"/>
      <c r="AC38" s="169"/>
      <c r="AD38" s="169"/>
      <c r="AE38" s="149"/>
      <c r="AF38" s="178"/>
      <c r="AG38" s="178"/>
      <c r="AH38" s="65"/>
      <c r="AI38" s="178"/>
      <c r="AJ38" s="178"/>
    </row>
    <row r="39" spans="1:36" x14ac:dyDescent="0.25">
      <c r="A39" s="138"/>
      <c r="B39" s="138"/>
      <c r="C39" s="138"/>
      <c r="D39" s="138"/>
      <c r="E39" s="138"/>
      <c r="F39" s="138"/>
      <c r="G39" s="138"/>
      <c r="H39" s="179"/>
      <c r="I39" s="179"/>
      <c r="J39" s="179"/>
      <c r="K39" s="169"/>
      <c r="L39" s="169"/>
      <c r="M39" s="169"/>
      <c r="N39" s="169"/>
      <c r="O39" s="169"/>
      <c r="P39" s="169"/>
      <c r="Q39" s="169"/>
      <c r="R39" s="169"/>
      <c r="S39" s="169"/>
      <c r="T39" s="169"/>
      <c r="U39" s="169"/>
      <c r="V39" s="169"/>
      <c r="W39" s="169"/>
      <c r="X39" s="169"/>
      <c r="Y39" s="169"/>
      <c r="Z39" s="169"/>
      <c r="AA39" s="169"/>
      <c r="AB39" s="169"/>
      <c r="AC39" s="169"/>
      <c r="AD39" s="169"/>
      <c r="AE39" s="149"/>
      <c r="AF39" s="178"/>
      <c r="AG39" s="178"/>
      <c r="AH39" s="65"/>
      <c r="AI39" s="178"/>
      <c r="AJ39" s="178"/>
    </row>
    <row r="40" spans="1:36" x14ac:dyDescent="0.25">
      <c r="A40" s="167">
        <v>412</v>
      </c>
      <c r="B40" s="92" t="s">
        <v>2476</v>
      </c>
      <c r="C40" s="168" t="s">
        <v>2477</v>
      </c>
      <c r="D40" s="168" t="s">
        <v>3175</v>
      </c>
      <c r="E40" s="168" t="s">
        <v>3760</v>
      </c>
      <c r="F40" s="74">
        <v>36388</v>
      </c>
      <c r="G40" s="59">
        <f t="shared" ref="G40:G44" si="48">(DATE(2021,12,30)-(F40))/365</f>
        <v>22.389041095890413</v>
      </c>
      <c r="H40" s="57"/>
      <c r="I40" s="57">
        <v>56586</v>
      </c>
      <c r="J40" s="182">
        <v>57623</v>
      </c>
      <c r="K40" s="63"/>
      <c r="L40" s="63">
        <f t="shared" ref="L40:L44" si="49">SUM(J40/2080)</f>
        <v>27.703365384615385</v>
      </c>
      <c r="M40" s="63">
        <f t="shared" ref="M40:M44" si="50">SUM(J40/26)</f>
        <v>2216.2692307692309</v>
      </c>
      <c r="N40" s="63">
        <v>0</v>
      </c>
      <c r="O40" s="169"/>
      <c r="P40" s="169"/>
      <c r="Q40" s="63">
        <f t="shared" ref="Q40:Q46" si="51">IF(N40+P40&gt;5000,5000,N40+P40)</f>
        <v>0</v>
      </c>
      <c r="R40" s="63">
        <f t="shared" ref="R40:R46" si="52">Q40+J40</f>
        <v>57623</v>
      </c>
      <c r="S40" s="169"/>
      <c r="T40" s="169"/>
      <c r="U40" s="169"/>
      <c r="V40" s="63">
        <f t="shared" ref="V40:V46" si="53">SUM(R40:U40)</f>
        <v>57623</v>
      </c>
      <c r="W40" s="63">
        <f t="shared" ref="W40:W46" si="54">SUM(V40*$W$7)</f>
        <v>3572.6259999999997</v>
      </c>
      <c r="X40" s="63">
        <f t="shared" ref="X40:X46" si="55">SUM(V40*$X$7)</f>
        <v>835.5335</v>
      </c>
      <c r="Y40" s="63">
        <f t="shared" ref="Y40:Y44" si="56">SUM(V40*$Y$7)</f>
        <v>8107.5560999999998</v>
      </c>
      <c r="Z40" s="63">
        <f t="shared" ref="Z40:Z44" si="57">SUM(V40*$Z$7)</f>
        <v>92.19680000000001</v>
      </c>
      <c r="AA40" s="63">
        <f t="shared" ref="AA40:AA44" si="58">SUM(V40*$AA$7)</f>
        <v>40.336100000000002</v>
      </c>
      <c r="AB40" s="63">
        <f t="shared" ref="AB40:AB44" si="59">SUM($AB$7)</f>
        <v>335</v>
      </c>
      <c r="AC40" s="63">
        <f t="shared" ref="AC40:AC44" si="60">$AC$7</f>
        <v>10356.36</v>
      </c>
      <c r="AD40" s="63">
        <f t="shared" ref="AD40:AD44" si="61">SUM(AB40+AC40)*$AD$7</f>
        <v>106.9136</v>
      </c>
      <c r="AE40" s="170">
        <v>412</v>
      </c>
      <c r="AF40" s="69">
        <f t="shared" ref="AF40:AF47" si="62">SUM(J40-I40)</f>
        <v>1037</v>
      </c>
      <c r="AG40" s="69">
        <f t="shared" ref="AG40:AG47" si="63">SUM(W40:AD40)</f>
        <v>23446.522100000002</v>
      </c>
      <c r="AH40" s="67">
        <v>23756.47</v>
      </c>
      <c r="AI40" s="69">
        <f t="shared" ref="AI40:AI46" si="64">SUM(AG40-AH40)</f>
        <v>-309.94789999999921</v>
      </c>
      <c r="AJ40" s="69">
        <f t="shared" ref="AJ40:AJ46" si="65">SUM(AF40+AI40)</f>
        <v>727.05210000000079</v>
      </c>
    </row>
    <row r="41" spans="1:36" x14ac:dyDescent="0.25">
      <c r="A41" s="167">
        <v>412</v>
      </c>
      <c r="B41" s="92" t="s">
        <v>2480</v>
      </c>
      <c r="C41" s="168" t="s">
        <v>2481</v>
      </c>
      <c r="D41" s="181" t="s">
        <v>2540</v>
      </c>
      <c r="E41" s="181" t="s">
        <v>2492</v>
      </c>
      <c r="F41" s="73">
        <v>43599</v>
      </c>
      <c r="G41" s="59">
        <f t="shared" si="48"/>
        <v>2.6328767123287671</v>
      </c>
      <c r="H41" s="57"/>
      <c r="I41" s="57">
        <v>36503</v>
      </c>
      <c r="J41" s="182">
        <v>37172</v>
      </c>
      <c r="K41" s="63"/>
      <c r="L41" s="63">
        <f t="shared" si="49"/>
        <v>17.871153846153845</v>
      </c>
      <c r="M41" s="63">
        <f t="shared" si="50"/>
        <v>1429.6923076923076</v>
      </c>
      <c r="N41" s="63">
        <v>0</v>
      </c>
      <c r="O41" s="169"/>
      <c r="P41" s="169"/>
      <c r="Q41" s="63">
        <f t="shared" si="51"/>
        <v>0</v>
      </c>
      <c r="R41" s="63">
        <f t="shared" si="52"/>
        <v>37172</v>
      </c>
      <c r="S41" s="169"/>
      <c r="T41" s="169"/>
      <c r="U41" s="169"/>
      <c r="V41" s="63">
        <f t="shared" si="53"/>
        <v>37172</v>
      </c>
      <c r="W41" s="63">
        <f t="shared" si="54"/>
        <v>2304.6639999999998</v>
      </c>
      <c r="X41" s="63">
        <f t="shared" si="55"/>
        <v>538.99400000000003</v>
      </c>
      <c r="Y41" s="63">
        <f t="shared" si="56"/>
        <v>5230.1003999999994</v>
      </c>
      <c r="Z41" s="63">
        <f t="shared" si="57"/>
        <v>59.475200000000001</v>
      </c>
      <c r="AA41" s="63">
        <f t="shared" si="58"/>
        <v>26.020399999999999</v>
      </c>
      <c r="AB41" s="63">
        <f t="shared" si="59"/>
        <v>335</v>
      </c>
      <c r="AC41" s="63">
        <f t="shared" si="60"/>
        <v>10356.36</v>
      </c>
      <c r="AD41" s="63">
        <f t="shared" si="61"/>
        <v>106.9136</v>
      </c>
      <c r="AE41" s="170">
        <v>412</v>
      </c>
      <c r="AF41" s="69">
        <f t="shared" si="62"/>
        <v>669</v>
      </c>
      <c r="AG41" s="69">
        <f t="shared" si="63"/>
        <v>18957.527600000001</v>
      </c>
      <c r="AH41" s="67">
        <v>19157.46</v>
      </c>
      <c r="AI41" s="69">
        <f t="shared" si="64"/>
        <v>-199.93239999999787</v>
      </c>
      <c r="AJ41" s="69">
        <f t="shared" si="65"/>
        <v>469.06760000000213</v>
      </c>
    </row>
    <row r="42" spans="1:36" x14ac:dyDescent="0.25">
      <c r="A42" s="167">
        <v>412</v>
      </c>
      <c r="B42" s="92" t="s">
        <v>2484</v>
      </c>
      <c r="C42" s="71" t="s">
        <v>2485</v>
      </c>
      <c r="D42" s="168" t="s">
        <v>3335</v>
      </c>
      <c r="E42" s="168" t="s">
        <v>3336</v>
      </c>
      <c r="F42" s="58">
        <v>43269</v>
      </c>
      <c r="G42" s="59">
        <f t="shared" si="48"/>
        <v>3.536986301369863</v>
      </c>
      <c r="H42" s="57"/>
      <c r="I42" s="57">
        <v>32947</v>
      </c>
      <c r="J42" s="57">
        <v>32947</v>
      </c>
      <c r="K42" s="63"/>
      <c r="L42" s="63">
        <f t="shared" si="49"/>
        <v>15.839903846153845</v>
      </c>
      <c r="M42" s="63">
        <f t="shared" si="50"/>
        <v>1267.1923076923076</v>
      </c>
      <c r="N42" s="63">
        <v>0</v>
      </c>
      <c r="O42" s="169"/>
      <c r="P42" s="169"/>
      <c r="Q42" s="63">
        <f t="shared" si="51"/>
        <v>0</v>
      </c>
      <c r="R42" s="63">
        <f t="shared" si="52"/>
        <v>32947</v>
      </c>
      <c r="S42" s="169"/>
      <c r="T42" s="169"/>
      <c r="U42" s="169"/>
      <c r="V42" s="63">
        <f t="shared" si="53"/>
        <v>32947</v>
      </c>
      <c r="W42" s="63">
        <f t="shared" si="54"/>
        <v>2042.7139999999999</v>
      </c>
      <c r="X42" s="63">
        <f t="shared" si="55"/>
        <v>477.73150000000004</v>
      </c>
      <c r="Y42" s="63">
        <f t="shared" si="56"/>
        <v>4635.6428999999998</v>
      </c>
      <c r="Z42" s="63">
        <f t="shared" si="57"/>
        <v>52.715200000000003</v>
      </c>
      <c r="AA42" s="63">
        <f t="shared" si="58"/>
        <v>23.062899999999999</v>
      </c>
      <c r="AB42" s="63">
        <f t="shared" si="59"/>
        <v>335</v>
      </c>
      <c r="AC42" s="63">
        <f t="shared" si="60"/>
        <v>10356.36</v>
      </c>
      <c r="AD42" s="63">
        <f t="shared" si="61"/>
        <v>106.9136</v>
      </c>
      <c r="AE42" s="170">
        <v>412</v>
      </c>
      <c r="AF42" s="69">
        <f t="shared" si="62"/>
        <v>0</v>
      </c>
      <c r="AG42" s="69">
        <f t="shared" si="63"/>
        <v>18030.140100000001</v>
      </c>
      <c r="AH42" s="67">
        <v>18343.14</v>
      </c>
      <c r="AI42" s="69">
        <f t="shared" si="64"/>
        <v>-312.99989999999889</v>
      </c>
      <c r="AJ42" s="69">
        <f t="shared" si="65"/>
        <v>-312.99989999999889</v>
      </c>
    </row>
    <row r="43" spans="1:36" x14ac:dyDescent="0.25">
      <c r="A43" s="167">
        <v>412</v>
      </c>
      <c r="B43" s="92" t="s">
        <v>2487</v>
      </c>
      <c r="C43" s="71" t="s">
        <v>2485</v>
      </c>
      <c r="D43" s="126" t="s">
        <v>2488</v>
      </c>
      <c r="E43" s="126" t="s">
        <v>2489</v>
      </c>
      <c r="F43" s="188">
        <v>43836</v>
      </c>
      <c r="G43" s="59">
        <f t="shared" si="48"/>
        <v>1.9835616438356165</v>
      </c>
      <c r="H43" s="57"/>
      <c r="I43" s="57">
        <v>32947</v>
      </c>
      <c r="J43" s="57">
        <v>32947</v>
      </c>
      <c r="K43" s="63"/>
      <c r="L43" s="63">
        <f t="shared" si="49"/>
        <v>15.839903846153845</v>
      </c>
      <c r="M43" s="63">
        <f t="shared" si="50"/>
        <v>1267.1923076923076</v>
      </c>
      <c r="N43" s="63">
        <v>0</v>
      </c>
      <c r="O43" s="169"/>
      <c r="P43" s="169"/>
      <c r="Q43" s="63">
        <f t="shared" si="51"/>
        <v>0</v>
      </c>
      <c r="R43" s="63">
        <f t="shared" si="52"/>
        <v>32947</v>
      </c>
      <c r="S43" s="169"/>
      <c r="T43" s="169"/>
      <c r="U43" s="169"/>
      <c r="V43" s="63">
        <f t="shared" si="53"/>
        <v>32947</v>
      </c>
      <c r="W43" s="63">
        <f t="shared" si="54"/>
        <v>2042.7139999999999</v>
      </c>
      <c r="X43" s="63">
        <f t="shared" si="55"/>
        <v>477.73150000000004</v>
      </c>
      <c r="Y43" s="63">
        <f t="shared" si="56"/>
        <v>4635.6428999999998</v>
      </c>
      <c r="Z43" s="63">
        <f t="shared" si="57"/>
        <v>52.715200000000003</v>
      </c>
      <c r="AA43" s="63">
        <f t="shared" si="58"/>
        <v>23.062899999999999</v>
      </c>
      <c r="AB43" s="63">
        <f t="shared" si="59"/>
        <v>335</v>
      </c>
      <c r="AC43" s="63">
        <f t="shared" si="60"/>
        <v>10356.36</v>
      </c>
      <c r="AD43" s="63">
        <f t="shared" si="61"/>
        <v>106.9136</v>
      </c>
      <c r="AE43" s="170">
        <v>412</v>
      </c>
      <c r="AF43" s="69">
        <f t="shared" si="62"/>
        <v>0</v>
      </c>
      <c r="AG43" s="69">
        <f t="shared" si="63"/>
        <v>18030.140100000001</v>
      </c>
      <c r="AH43" s="67">
        <v>18343.14</v>
      </c>
      <c r="AI43" s="69">
        <f t="shared" si="64"/>
        <v>-312.99989999999889</v>
      </c>
      <c r="AJ43" s="69">
        <f t="shared" si="65"/>
        <v>-312.99989999999889</v>
      </c>
    </row>
    <row r="44" spans="1:36" x14ac:dyDescent="0.25">
      <c r="A44" s="189">
        <v>412</v>
      </c>
      <c r="B44" s="92" t="s">
        <v>2490</v>
      </c>
      <c r="C44" s="70" t="s">
        <v>2491</v>
      </c>
      <c r="D44" s="70" t="s">
        <v>2482</v>
      </c>
      <c r="E44" s="70" t="s">
        <v>2483</v>
      </c>
      <c r="F44" s="72">
        <v>43857</v>
      </c>
      <c r="G44" s="59">
        <f t="shared" si="48"/>
        <v>1.9260273972602739</v>
      </c>
      <c r="H44" s="57"/>
      <c r="I44" s="57">
        <v>32947</v>
      </c>
      <c r="J44" s="57">
        <v>32947</v>
      </c>
      <c r="K44" s="190"/>
      <c r="L44" s="190">
        <f t="shared" si="49"/>
        <v>15.839903846153845</v>
      </c>
      <c r="M44" s="190">
        <f t="shared" si="50"/>
        <v>1267.1923076923076</v>
      </c>
      <c r="N44" s="190">
        <v>0</v>
      </c>
      <c r="O44" s="179"/>
      <c r="P44" s="179"/>
      <c r="Q44" s="190">
        <f t="shared" si="51"/>
        <v>0</v>
      </c>
      <c r="R44" s="190">
        <f t="shared" si="52"/>
        <v>32947</v>
      </c>
      <c r="S44" s="179"/>
      <c r="T44" s="179"/>
      <c r="U44" s="179"/>
      <c r="V44" s="190">
        <f t="shared" si="53"/>
        <v>32947</v>
      </c>
      <c r="W44" s="190">
        <f t="shared" si="54"/>
        <v>2042.7139999999999</v>
      </c>
      <c r="X44" s="190">
        <f t="shared" si="55"/>
        <v>477.73150000000004</v>
      </c>
      <c r="Y44" s="190">
        <f t="shared" si="56"/>
        <v>4635.6428999999998</v>
      </c>
      <c r="Z44" s="190">
        <f t="shared" si="57"/>
        <v>52.715200000000003</v>
      </c>
      <c r="AA44" s="190">
        <f t="shared" si="58"/>
        <v>23.062899999999999</v>
      </c>
      <c r="AB44" s="190">
        <f t="shared" si="59"/>
        <v>335</v>
      </c>
      <c r="AC44" s="190">
        <f t="shared" si="60"/>
        <v>10356.36</v>
      </c>
      <c r="AD44" s="190">
        <f t="shared" si="61"/>
        <v>106.9136</v>
      </c>
      <c r="AE44" s="191">
        <v>412</v>
      </c>
      <c r="AF44" s="69">
        <f t="shared" si="62"/>
        <v>0</v>
      </c>
      <c r="AG44" s="69">
        <f t="shared" si="63"/>
        <v>18030.140100000001</v>
      </c>
      <c r="AH44" s="67">
        <v>18343.14</v>
      </c>
      <c r="AI44" s="69">
        <f t="shared" si="64"/>
        <v>-312.99989999999889</v>
      </c>
      <c r="AJ44" s="69">
        <f t="shared" si="65"/>
        <v>-312.99989999999889</v>
      </c>
    </row>
    <row r="45" spans="1:36" x14ac:dyDescent="0.25">
      <c r="A45" s="167">
        <v>412</v>
      </c>
      <c r="B45" s="92" t="s">
        <v>2493</v>
      </c>
      <c r="C45" s="192" t="s">
        <v>2494</v>
      </c>
      <c r="D45" s="193" t="s">
        <v>3761</v>
      </c>
      <c r="E45" s="193" t="s">
        <v>2486</v>
      </c>
      <c r="F45" s="72">
        <v>43724</v>
      </c>
      <c r="G45" s="167" t="s">
        <v>2422</v>
      </c>
      <c r="H45" s="57"/>
      <c r="I45" s="57">
        <v>60000</v>
      </c>
      <c r="J45" s="57">
        <v>60000</v>
      </c>
      <c r="K45" s="63"/>
      <c r="L45" s="63" t="s">
        <v>0</v>
      </c>
      <c r="M45" s="63" t="s">
        <v>0</v>
      </c>
      <c r="N45" s="63">
        <v>0</v>
      </c>
      <c r="O45" s="169"/>
      <c r="P45" s="169"/>
      <c r="Q45" s="63">
        <f t="shared" si="51"/>
        <v>0</v>
      </c>
      <c r="R45" s="63">
        <f t="shared" si="52"/>
        <v>60000</v>
      </c>
      <c r="S45" s="169"/>
      <c r="T45" s="169"/>
      <c r="U45" s="169"/>
      <c r="V45" s="63">
        <f t="shared" si="53"/>
        <v>60000</v>
      </c>
      <c r="W45" s="63">
        <f t="shared" si="54"/>
        <v>3720</v>
      </c>
      <c r="X45" s="63">
        <f t="shared" si="55"/>
        <v>870</v>
      </c>
      <c r="Y45" s="63" t="s">
        <v>2420</v>
      </c>
      <c r="Z45" s="63" t="s">
        <v>2420</v>
      </c>
      <c r="AA45" s="63" t="s">
        <v>2420</v>
      </c>
      <c r="AB45" s="63" t="s">
        <v>2422</v>
      </c>
      <c r="AC45" s="63" t="s">
        <v>2422</v>
      </c>
      <c r="AD45" s="63" t="s">
        <v>2422</v>
      </c>
      <c r="AE45" s="170">
        <v>412</v>
      </c>
      <c r="AF45" s="69">
        <f t="shared" si="62"/>
        <v>0</v>
      </c>
      <c r="AG45" s="69">
        <f t="shared" si="63"/>
        <v>4590</v>
      </c>
      <c r="AH45" s="67">
        <v>4590</v>
      </c>
      <c r="AI45" s="69">
        <f t="shared" si="64"/>
        <v>0</v>
      </c>
      <c r="AJ45" s="69">
        <f t="shared" si="65"/>
        <v>0</v>
      </c>
    </row>
    <row r="46" spans="1:36" x14ac:dyDescent="0.25">
      <c r="A46" s="167">
        <v>412</v>
      </c>
      <c r="B46" s="138"/>
      <c r="C46" s="168" t="s">
        <v>2495</v>
      </c>
      <c r="G46" s="167" t="s">
        <v>2422</v>
      </c>
      <c r="H46" s="57"/>
      <c r="I46" s="57">
        <v>15000</v>
      </c>
      <c r="J46" s="171">
        <v>15000</v>
      </c>
      <c r="K46" s="172"/>
      <c r="L46" s="172" t="s">
        <v>0</v>
      </c>
      <c r="M46" s="172" t="s">
        <v>0</v>
      </c>
      <c r="N46" s="172">
        <v>0</v>
      </c>
      <c r="O46" s="173"/>
      <c r="P46" s="173"/>
      <c r="Q46" s="172">
        <f t="shared" si="51"/>
        <v>0</v>
      </c>
      <c r="R46" s="172">
        <f t="shared" si="52"/>
        <v>15000</v>
      </c>
      <c r="S46" s="173"/>
      <c r="T46" s="173"/>
      <c r="U46" s="173"/>
      <c r="V46" s="172">
        <f t="shared" si="53"/>
        <v>15000</v>
      </c>
      <c r="W46" s="172">
        <f t="shared" si="54"/>
        <v>930</v>
      </c>
      <c r="X46" s="172">
        <f t="shared" si="55"/>
        <v>217.5</v>
      </c>
      <c r="Y46" s="172">
        <f>SUM(V46*$Y$7)</f>
        <v>2110.5</v>
      </c>
      <c r="Z46" s="172">
        <f>SUM(V46*$Z$7)</f>
        <v>24</v>
      </c>
      <c r="AA46" s="172">
        <f>SUM(V46*$AA$7)</f>
        <v>10.5</v>
      </c>
      <c r="AB46" s="172" t="s">
        <v>2422</v>
      </c>
      <c r="AC46" s="172" t="s">
        <v>2422</v>
      </c>
      <c r="AD46" s="172" t="s">
        <v>2422</v>
      </c>
      <c r="AE46" s="170">
        <v>412</v>
      </c>
      <c r="AF46" s="69">
        <f t="shared" si="62"/>
        <v>0</v>
      </c>
      <c r="AG46" s="69">
        <f t="shared" si="63"/>
        <v>3292.5</v>
      </c>
      <c r="AH46" s="67">
        <v>3435</v>
      </c>
      <c r="AI46" s="69">
        <f t="shared" si="64"/>
        <v>-142.5</v>
      </c>
      <c r="AJ46" s="69">
        <f t="shared" si="65"/>
        <v>-142.5</v>
      </c>
    </row>
    <row r="47" spans="1:36" x14ac:dyDescent="0.25">
      <c r="A47" s="167">
        <v>412</v>
      </c>
      <c r="B47" s="138"/>
      <c r="C47" s="138"/>
      <c r="D47" s="138"/>
      <c r="E47" s="138"/>
      <c r="F47" s="138"/>
      <c r="G47" s="138"/>
      <c r="H47" s="68"/>
      <c r="I47" s="174">
        <f t="shared" ref="I47:J47" si="66">SUM(I40:I46)</f>
        <v>266930</v>
      </c>
      <c r="J47" s="174">
        <f t="shared" si="66"/>
        <v>268636</v>
      </c>
      <c r="K47" s="175"/>
      <c r="L47" s="175">
        <f t="shared" ref="L47:AD47" si="67">SUM(L39:L46)</f>
        <v>93.094230769230762</v>
      </c>
      <c r="M47" s="175">
        <f t="shared" si="67"/>
        <v>7447.538461538461</v>
      </c>
      <c r="N47" s="175">
        <f t="shared" si="67"/>
        <v>0</v>
      </c>
      <c r="O47" s="175">
        <f t="shared" si="67"/>
        <v>0</v>
      </c>
      <c r="P47" s="175">
        <f t="shared" si="67"/>
        <v>0</v>
      </c>
      <c r="Q47" s="175">
        <f t="shared" si="67"/>
        <v>0</v>
      </c>
      <c r="R47" s="175">
        <f t="shared" si="67"/>
        <v>268636</v>
      </c>
      <c r="S47" s="175">
        <f t="shared" si="67"/>
        <v>0</v>
      </c>
      <c r="T47" s="175">
        <f t="shared" si="67"/>
        <v>0</v>
      </c>
      <c r="U47" s="175">
        <f t="shared" si="67"/>
        <v>0</v>
      </c>
      <c r="V47" s="175">
        <f t="shared" si="67"/>
        <v>268636</v>
      </c>
      <c r="W47" s="175">
        <f t="shared" si="67"/>
        <v>16655.432000000001</v>
      </c>
      <c r="X47" s="175">
        <f t="shared" si="67"/>
        <v>3895.2220000000002</v>
      </c>
      <c r="Y47" s="175">
        <f t="shared" si="67"/>
        <v>29355.085199999998</v>
      </c>
      <c r="Z47" s="175">
        <f t="shared" si="67"/>
        <v>333.81760000000003</v>
      </c>
      <c r="AA47" s="175">
        <f t="shared" si="67"/>
        <v>146.04519999999999</v>
      </c>
      <c r="AB47" s="175">
        <f t="shared" si="67"/>
        <v>1675</v>
      </c>
      <c r="AC47" s="175">
        <f t="shared" si="67"/>
        <v>51781.8</v>
      </c>
      <c r="AD47" s="175">
        <f t="shared" si="67"/>
        <v>534.56799999999998</v>
      </c>
      <c r="AE47" s="170">
        <v>412</v>
      </c>
      <c r="AF47" s="69">
        <f t="shared" si="62"/>
        <v>1706</v>
      </c>
      <c r="AG47" s="69">
        <f t="shared" si="63"/>
        <v>104376.97</v>
      </c>
      <c r="AH47" s="67">
        <v>105968.34</v>
      </c>
      <c r="AI47" s="176">
        <f>AG47-AH47</f>
        <v>-1591.3699999999953</v>
      </c>
      <c r="AJ47" s="176">
        <f>AF47+AI47</f>
        <v>114.63000000000466</v>
      </c>
    </row>
    <row r="48" spans="1:36" hidden="1" x14ac:dyDescent="0.25">
      <c r="A48" s="138"/>
      <c r="B48" s="138"/>
      <c r="C48" s="138"/>
      <c r="D48" s="138"/>
      <c r="E48" s="138"/>
      <c r="F48" s="138"/>
      <c r="G48" s="138"/>
      <c r="H48" s="78"/>
      <c r="I48" s="78">
        <v>191930</v>
      </c>
      <c r="J48" s="78">
        <f>SUM(J40:J44)</f>
        <v>193636</v>
      </c>
      <c r="K48" s="169"/>
      <c r="L48" s="169"/>
      <c r="M48" s="169"/>
      <c r="N48" s="169"/>
      <c r="O48" s="169"/>
      <c r="P48" s="169"/>
      <c r="Q48" s="169"/>
      <c r="R48" s="169"/>
      <c r="S48" s="169"/>
      <c r="T48" s="169"/>
      <c r="U48" s="169"/>
      <c r="V48" s="169"/>
      <c r="W48" s="63">
        <f>SUM(W47+X47)</f>
        <v>20550.654000000002</v>
      </c>
      <c r="X48" s="169"/>
      <c r="Y48" s="169"/>
      <c r="Z48" s="169"/>
      <c r="AA48" s="169"/>
      <c r="AB48" s="169"/>
      <c r="AC48" s="63">
        <f>SUM(AC47+AD47)</f>
        <v>52316.368000000002</v>
      </c>
      <c r="AD48" s="169"/>
      <c r="AE48" s="149"/>
      <c r="AF48" s="69">
        <f>SUM(AF40:AF46)</f>
        <v>1706</v>
      </c>
      <c r="AG48" s="178"/>
      <c r="AH48" s="65"/>
      <c r="AI48" s="69">
        <f t="shared" ref="AI48:AJ48" si="68">SUM(AI40:AI46)</f>
        <v>-1591.3799999999937</v>
      </c>
      <c r="AJ48" s="69">
        <f t="shared" si="68"/>
        <v>114.62000000000626</v>
      </c>
    </row>
    <row r="49" spans="1:36" x14ac:dyDescent="0.25">
      <c r="A49" s="138"/>
      <c r="B49" s="138"/>
      <c r="C49" s="138"/>
      <c r="D49" s="138"/>
      <c r="E49" s="138"/>
      <c r="F49" s="138"/>
      <c r="G49" s="138"/>
      <c r="H49" s="179"/>
      <c r="I49" s="179"/>
      <c r="J49" s="179"/>
      <c r="K49" s="169"/>
      <c r="L49" s="169"/>
      <c r="M49" s="169"/>
      <c r="N49" s="169"/>
      <c r="O49" s="169"/>
      <c r="P49" s="169"/>
      <c r="Q49" s="169"/>
      <c r="R49" s="169"/>
      <c r="S49" s="169"/>
      <c r="T49" s="169"/>
      <c r="U49" s="169"/>
      <c r="V49" s="169"/>
      <c r="W49" s="169"/>
      <c r="X49" s="169"/>
      <c r="Y49" s="169"/>
      <c r="Z49" s="169"/>
      <c r="AA49" s="169"/>
      <c r="AB49" s="169"/>
      <c r="AC49" s="169"/>
      <c r="AD49" s="169"/>
      <c r="AE49" s="149"/>
      <c r="AF49" s="178"/>
      <c r="AG49" s="178"/>
      <c r="AH49" s="65"/>
      <c r="AI49" s="178"/>
      <c r="AJ49" s="178"/>
    </row>
    <row r="50" spans="1:36" x14ac:dyDescent="0.25">
      <c r="A50" s="138"/>
      <c r="B50" s="138"/>
      <c r="C50" s="138"/>
      <c r="D50" s="138"/>
      <c r="E50" s="138"/>
      <c r="F50" s="138"/>
      <c r="G50" s="138"/>
      <c r="H50" s="179"/>
      <c r="I50" s="179"/>
      <c r="J50" s="194"/>
      <c r="K50" s="173"/>
      <c r="L50" s="173"/>
      <c r="M50" s="173"/>
      <c r="N50" s="173"/>
      <c r="O50" s="173"/>
      <c r="P50" s="173"/>
      <c r="Q50" s="173"/>
      <c r="R50" s="173"/>
      <c r="S50" s="173"/>
      <c r="T50" s="173"/>
      <c r="U50" s="173"/>
      <c r="V50" s="173"/>
      <c r="W50" s="173"/>
      <c r="X50" s="173"/>
      <c r="Y50" s="173"/>
      <c r="Z50" s="173"/>
      <c r="AA50" s="173"/>
      <c r="AB50" s="173"/>
      <c r="AC50" s="173"/>
      <c r="AD50" s="173"/>
      <c r="AE50" s="149"/>
      <c r="AF50" s="178"/>
      <c r="AG50" s="178"/>
      <c r="AH50" s="65"/>
      <c r="AI50" s="178"/>
      <c r="AJ50" s="178"/>
    </row>
    <row r="51" spans="1:36" x14ac:dyDescent="0.25">
      <c r="A51" s="167">
        <v>413</v>
      </c>
      <c r="B51" s="167">
        <v>413001</v>
      </c>
      <c r="C51" s="71" t="s">
        <v>2496</v>
      </c>
      <c r="D51" s="71" t="s">
        <v>2497</v>
      </c>
      <c r="E51" s="71" t="s">
        <v>2498</v>
      </c>
      <c r="F51" s="72">
        <v>43748</v>
      </c>
      <c r="G51" s="167" t="s">
        <v>2422</v>
      </c>
      <c r="H51" s="68"/>
      <c r="I51" s="174">
        <v>16500</v>
      </c>
      <c r="J51" s="175">
        <v>16500</v>
      </c>
      <c r="K51" s="175"/>
      <c r="L51" s="175">
        <f>SUM(J51/2080)</f>
        <v>7.9326923076923075</v>
      </c>
      <c r="M51" s="175">
        <v>1153.8499999999999</v>
      </c>
      <c r="N51" s="175">
        <v>0</v>
      </c>
      <c r="O51" s="175">
        <v>0</v>
      </c>
      <c r="P51" s="175">
        <v>0</v>
      </c>
      <c r="Q51" s="175">
        <v>0</v>
      </c>
      <c r="R51" s="175">
        <v>0</v>
      </c>
      <c r="S51" s="175">
        <v>0</v>
      </c>
      <c r="T51" s="175">
        <v>0</v>
      </c>
      <c r="U51" s="175">
        <v>0</v>
      </c>
      <c r="V51" s="175">
        <f>SUM(R51:U51)</f>
        <v>0</v>
      </c>
      <c r="W51" s="175">
        <f>SUM(V51*$W$7)</f>
        <v>0</v>
      </c>
      <c r="X51" s="175">
        <f>SUM(V51*$X$7)</f>
        <v>0</v>
      </c>
      <c r="Y51" s="175">
        <f>SUM(V51*$Y$7)</f>
        <v>0</v>
      </c>
      <c r="Z51" s="175">
        <f>SUM(V51*$Z$7)</f>
        <v>0</v>
      </c>
      <c r="AA51" s="175">
        <f>SUM(V51*$AA$7)</f>
        <v>0</v>
      </c>
      <c r="AB51" s="175">
        <v>0</v>
      </c>
      <c r="AC51" s="175">
        <v>0</v>
      </c>
      <c r="AD51" s="175">
        <v>0</v>
      </c>
      <c r="AE51" s="170">
        <v>413</v>
      </c>
      <c r="AF51" s="176">
        <f>SUM(J51-I51)</f>
        <v>0</v>
      </c>
      <c r="AG51" s="178"/>
      <c r="AH51" s="65"/>
      <c r="AI51" s="176">
        <f>AG51-AH51</f>
        <v>0</v>
      </c>
      <c r="AJ51" s="176">
        <f>AF51+AI51</f>
        <v>0</v>
      </c>
    </row>
    <row r="52" spans="1:36" x14ac:dyDescent="0.25">
      <c r="A52" s="138"/>
      <c r="B52" s="138"/>
      <c r="C52" s="138"/>
      <c r="D52" s="138"/>
      <c r="E52" s="138"/>
      <c r="F52" s="138"/>
      <c r="G52" s="138"/>
      <c r="H52" s="179"/>
      <c r="I52" s="179"/>
      <c r="J52" s="179"/>
      <c r="K52" s="169"/>
      <c r="L52" s="169"/>
      <c r="M52" s="169"/>
      <c r="N52" s="169"/>
      <c r="O52" s="169"/>
      <c r="P52" s="169"/>
      <c r="Q52" s="169"/>
      <c r="R52" s="169"/>
      <c r="S52" s="169"/>
      <c r="T52" s="169"/>
      <c r="U52" s="169"/>
      <c r="V52" s="169"/>
      <c r="W52" s="63">
        <f>SUM(W51+X51)</f>
        <v>0</v>
      </c>
      <c r="X52" s="169"/>
      <c r="Y52" s="169"/>
      <c r="Z52" s="169"/>
      <c r="AA52" s="169"/>
      <c r="AB52" s="169"/>
      <c r="AC52" s="63" t="s">
        <v>0</v>
      </c>
      <c r="AD52" s="169"/>
      <c r="AE52" s="149"/>
      <c r="AF52" s="178"/>
      <c r="AG52" s="178"/>
      <c r="AH52" s="65"/>
      <c r="AI52" s="178"/>
      <c r="AJ52" s="178"/>
    </row>
    <row r="53" spans="1:36" x14ac:dyDescent="0.25">
      <c r="A53" s="138"/>
      <c r="B53" s="138"/>
      <c r="C53" s="138"/>
      <c r="D53" s="138"/>
      <c r="E53" s="138"/>
      <c r="F53" s="138"/>
      <c r="G53" s="138"/>
      <c r="H53" s="179"/>
      <c r="I53" s="179"/>
      <c r="J53" s="179"/>
      <c r="K53" s="169"/>
      <c r="L53" s="169"/>
      <c r="M53" s="169"/>
      <c r="N53" s="169"/>
      <c r="O53" s="169"/>
      <c r="P53" s="169"/>
      <c r="Q53" s="169"/>
      <c r="R53" s="169"/>
      <c r="S53" s="169"/>
      <c r="T53" s="169"/>
      <c r="U53" s="169"/>
      <c r="V53" s="169"/>
      <c r="W53" s="169"/>
      <c r="X53" s="169"/>
      <c r="Y53" s="169"/>
      <c r="Z53" s="169"/>
      <c r="AA53" s="169"/>
      <c r="AB53" s="169"/>
      <c r="AC53" s="169"/>
      <c r="AD53" s="169"/>
      <c r="AE53" s="149"/>
      <c r="AF53" s="178"/>
      <c r="AG53" s="178"/>
      <c r="AH53" s="65"/>
      <c r="AI53" s="178"/>
      <c r="AJ53" s="178"/>
    </row>
    <row r="54" spans="1:36" x14ac:dyDescent="0.25">
      <c r="A54" s="138"/>
      <c r="B54" s="138"/>
      <c r="C54" s="138"/>
      <c r="D54" s="138"/>
      <c r="E54" s="138"/>
      <c r="F54" s="138"/>
      <c r="G54" s="138"/>
      <c r="H54" s="179"/>
      <c r="I54" s="179"/>
      <c r="J54" s="179"/>
      <c r="K54" s="169"/>
      <c r="L54" s="169"/>
      <c r="M54" s="169"/>
      <c r="N54" s="169"/>
      <c r="O54" s="169"/>
      <c r="P54" s="169"/>
      <c r="Q54" s="169"/>
      <c r="R54" s="169"/>
      <c r="S54" s="169"/>
      <c r="T54" s="169"/>
      <c r="U54" s="169"/>
      <c r="V54" s="169"/>
      <c r="W54" s="169"/>
      <c r="X54" s="169"/>
      <c r="Y54" s="169"/>
      <c r="Z54" s="169"/>
      <c r="AA54" s="169"/>
      <c r="AB54" s="169"/>
      <c r="AC54" s="169"/>
      <c r="AD54" s="169"/>
      <c r="AE54" s="149"/>
      <c r="AF54" s="178"/>
      <c r="AG54" s="178"/>
      <c r="AH54" s="65"/>
      <c r="AI54" s="178"/>
      <c r="AJ54" s="178"/>
    </row>
    <row r="55" spans="1:36" x14ac:dyDescent="0.25">
      <c r="A55" s="167">
        <v>425</v>
      </c>
      <c r="B55" s="92" t="s">
        <v>2499</v>
      </c>
      <c r="C55" s="181" t="s">
        <v>541</v>
      </c>
      <c r="D55" s="181" t="s">
        <v>2500</v>
      </c>
      <c r="E55" s="181" t="s">
        <v>2501</v>
      </c>
      <c r="F55" s="87">
        <v>42005</v>
      </c>
      <c r="G55" s="189" t="s">
        <v>2422</v>
      </c>
      <c r="H55" s="57"/>
      <c r="I55" s="57">
        <v>94500</v>
      </c>
      <c r="J55" s="57">
        <v>94500</v>
      </c>
      <c r="K55" s="63"/>
      <c r="L55" s="63">
        <f t="shared" ref="L55:L58" si="69">SUM(J55/2080)</f>
        <v>45.432692307692307</v>
      </c>
      <c r="M55" s="63">
        <f t="shared" ref="M55:M58" si="70">SUM(J55/26)</f>
        <v>3634.6153846153848</v>
      </c>
      <c r="N55" s="63">
        <v>0</v>
      </c>
      <c r="O55" s="169"/>
      <c r="P55" s="169"/>
      <c r="Q55" s="63">
        <f t="shared" ref="Q55:Q59" si="71">IF(N55+P55&gt;5000,5000,N55+P55)</f>
        <v>0</v>
      </c>
      <c r="R55" s="63">
        <f t="shared" ref="R55:R59" si="72">Q55+J55</f>
        <v>94500</v>
      </c>
      <c r="S55" s="169"/>
      <c r="T55" s="169"/>
      <c r="U55" s="169"/>
      <c r="V55" s="63">
        <f t="shared" ref="V55:V59" si="73">SUM(R55:U55)</f>
        <v>94500</v>
      </c>
      <c r="W55" s="63">
        <f t="shared" ref="W55:W59" si="74">SUM(V55*$W$7)</f>
        <v>5859</v>
      </c>
      <c r="X55" s="63">
        <f t="shared" ref="X55:X59" si="75">SUM(V55*$X$7)</f>
        <v>1370.25</v>
      </c>
      <c r="Y55" s="63">
        <f t="shared" ref="Y55:Y59" si="76">SUM(V55*$Y$7)</f>
        <v>13296.15</v>
      </c>
      <c r="Z55" s="63">
        <f t="shared" ref="Z55:Z59" si="77">SUM(V55*$Z$7)</f>
        <v>151.20000000000002</v>
      </c>
      <c r="AA55" s="63">
        <f>SUM(V55*$AA$7)</f>
        <v>66.150000000000006</v>
      </c>
      <c r="AB55" s="63">
        <f>SUM($AB$7)</f>
        <v>335</v>
      </c>
      <c r="AC55" s="63">
        <f>$AC$7</f>
        <v>10356.36</v>
      </c>
      <c r="AD55" s="63">
        <f>SUM(AB55+AC55)*$AD$7</f>
        <v>106.9136</v>
      </c>
      <c r="AE55" s="170">
        <v>425</v>
      </c>
      <c r="AF55" s="69">
        <f t="shared" ref="AF55:AF59" si="78">SUM(J55-I55)</f>
        <v>0</v>
      </c>
      <c r="AG55" s="69">
        <f t="shared" ref="AG55:AG60" si="79">SUM(W55:AD55)</f>
        <v>31541.023600000004</v>
      </c>
      <c r="AH55" s="67">
        <v>32438.77</v>
      </c>
      <c r="AI55" s="69">
        <f t="shared" ref="AI55:AI59" si="80">SUM(AG55-AH55)</f>
        <v>-897.74639999999636</v>
      </c>
      <c r="AJ55" s="69">
        <f>SUM(AG55-AH55)</f>
        <v>-897.74639999999636</v>
      </c>
    </row>
    <row r="56" spans="1:36" x14ac:dyDescent="0.25">
      <c r="A56" s="167">
        <v>425</v>
      </c>
      <c r="B56" s="92" t="s">
        <v>2499</v>
      </c>
      <c r="C56" s="168" t="s">
        <v>541</v>
      </c>
      <c r="D56" s="168" t="s">
        <v>2500</v>
      </c>
      <c r="E56" s="168" t="s">
        <v>2502</v>
      </c>
      <c r="F56" s="58">
        <v>42005</v>
      </c>
      <c r="G56" s="167" t="s">
        <v>2422</v>
      </c>
      <c r="H56" s="57"/>
      <c r="I56" s="57">
        <v>85500</v>
      </c>
      <c r="J56" s="57">
        <v>85500</v>
      </c>
      <c r="K56" s="63"/>
      <c r="L56" s="63">
        <f t="shared" si="69"/>
        <v>41.105769230769234</v>
      </c>
      <c r="M56" s="63">
        <f t="shared" si="70"/>
        <v>3288.4615384615386</v>
      </c>
      <c r="N56" s="63">
        <v>0</v>
      </c>
      <c r="O56" s="169"/>
      <c r="P56" s="169"/>
      <c r="Q56" s="63">
        <f t="shared" si="71"/>
        <v>0</v>
      </c>
      <c r="R56" s="63">
        <f t="shared" si="72"/>
        <v>85500</v>
      </c>
      <c r="S56" s="169"/>
      <c r="T56" s="169"/>
      <c r="U56" s="169"/>
      <c r="V56" s="63">
        <f t="shared" si="73"/>
        <v>85500</v>
      </c>
      <c r="W56" s="63">
        <f t="shared" si="74"/>
        <v>5301</v>
      </c>
      <c r="X56" s="63">
        <f t="shared" si="75"/>
        <v>1239.75</v>
      </c>
      <c r="Y56" s="63">
        <f t="shared" si="76"/>
        <v>12029.849999999999</v>
      </c>
      <c r="Z56" s="63">
        <f t="shared" si="77"/>
        <v>136.80000000000001</v>
      </c>
      <c r="AA56" s="63" t="s">
        <v>2422</v>
      </c>
      <c r="AB56" s="63" t="s">
        <v>2422</v>
      </c>
      <c r="AC56" s="63" t="s">
        <v>2422</v>
      </c>
      <c r="AD56" s="63" t="s">
        <v>2422</v>
      </c>
      <c r="AE56" s="170">
        <v>425</v>
      </c>
      <c r="AF56" s="69">
        <f t="shared" si="78"/>
        <v>0</v>
      </c>
      <c r="AG56" s="69">
        <f t="shared" si="79"/>
        <v>18707.399999999998</v>
      </c>
      <c r="AH56" s="67">
        <v>19519.650000000001</v>
      </c>
      <c r="AI56" s="69">
        <f t="shared" si="80"/>
        <v>-812.25000000000364</v>
      </c>
      <c r="AJ56" s="69">
        <f t="shared" ref="AJ56:AJ59" si="81">SUM(AF56+AI56)</f>
        <v>-812.25000000000364</v>
      </c>
    </row>
    <row r="57" spans="1:36" x14ac:dyDescent="0.25">
      <c r="A57" s="167">
        <v>425</v>
      </c>
      <c r="B57" s="92" t="s">
        <v>2503</v>
      </c>
      <c r="C57" s="168" t="s">
        <v>2504</v>
      </c>
      <c r="D57" s="168" t="s">
        <v>2505</v>
      </c>
      <c r="E57" s="168" t="s">
        <v>2506</v>
      </c>
      <c r="F57" s="87">
        <v>41122</v>
      </c>
      <c r="G57" s="59">
        <f t="shared" ref="G57:G58" si="82">(DATE(2021,12,30)-(F57))/365</f>
        <v>9.419178082191781</v>
      </c>
      <c r="H57" s="57"/>
      <c r="I57" s="57">
        <v>83401</v>
      </c>
      <c r="J57" s="66">
        <v>83401</v>
      </c>
      <c r="K57" s="63"/>
      <c r="L57" s="63">
        <f t="shared" si="69"/>
        <v>40.096634615384616</v>
      </c>
      <c r="M57" s="63">
        <f t="shared" si="70"/>
        <v>3207.7307692307691</v>
      </c>
      <c r="N57" s="63">
        <v>0</v>
      </c>
      <c r="O57" s="169"/>
      <c r="P57" s="169"/>
      <c r="Q57" s="63">
        <f t="shared" si="71"/>
        <v>0</v>
      </c>
      <c r="R57" s="63">
        <f t="shared" si="72"/>
        <v>83401</v>
      </c>
      <c r="S57" s="169"/>
      <c r="T57" s="169"/>
      <c r="U57" s="169"/>
      <c r="V57" s="63">
        <f t="shared" si="73"/>
        <v>83401</v>
      </c>
      <c r="W57" s="63">
        <f t="shared" si="74"/>
        <v>5170.8620000000001</v>
      </c>
      <c r="X57" s="63">
        <f t="shared" si="75"/>
        <v>1209.3145</v>
      </c>
      <c r="Y57" s="63">
        <f t="shared" si="76"/>
        <v>11734.520699999999</v>
      </c>
      <c r="Z57" s="63">
        <f t="shared" si="77"/>
        <v>133.44159999999999</v>
      </c>
      <c r="AA57" s="63">
        <f t="shared" ref="AA57:AA59" si="83">SUM(V57*$AA$7)</f>
        <v>58.380699999999997</v>
      </c>
      <c r="AB57" s="63">
        <f t="shared" ref="AB57:AB58" si="84">SUM($AB$7)</f>
        <v>335</v>
      </c>
      <c r="AC57" s="63">
        <f t="shared" ref="AC57:AC58" si="85">$AC$7</f>
        <v>10356.36</v>
      </c>
      <c r="AD57" s="63">
        <f t="shared" ref="AD57:AD58" si="86">SUM(AB57+AC57)*$AD$7</f>
        <v>106.9136</v>
      </c>
      <c r="AE57" s="170">
        <v>425</v>
      </c>
      <c r="AF57" s="69">
        <f t="shared" si="78"/>
        <v>0</v>
      </c>
      <c r="AG57" s="69">
        <f t="shared" si="79"/>
        <v>29104.793099999999</v>
      </c>
      <c r="AH57" s="67">
        <v>29897.1</v>
      </c>
      <c r="AI57" s="69">
        <f t="shared" si="80"/>
        <v>-792.30689999999959</v>
      </c>
      <c r="AJ57" s="69">
        <f t="shared" si="81"/>
        <v>-792.30689999999959</v>
      </c>
    </row>
    <row r="58" spans="1:36" x14ac:dyDescent="0.25">
      <c r="A58" s="167">
        <v>425</v>
      </c>
      <c r="B58" s="92" t="s">
        <v>2507</v>
      </c>
      <c r="C58" s="168" t="s">
        <v>2508</v>
      </c>
      <c r="D58" s="168" t="s">
        <v>2509</v>
      </c>
      <c r="E58" s="168" t="s">
        <v>2510</v>
      </c>
      <c r="F58" s="58">
        <v>39503</v>
      </c>
      <c r="G58" s="59">
        <f t="shared" si="82"/>
        <v>13.854794520547944</v>
      </c>
      <c r="H58" s="57"/>
      <c r="I58" s="57">
        <v>45371</v>
      </c>
      <c r="J58" s="57">
        <v>45371</v>
      </c>
      <c r="K58" s="63"/>
      <c r="L58" s="63">
        <f t="shared" si="69"/>
        <v>21.812980769230769</v>
      </c>
      <c r="M58" s="63">
        <f t="shared" si="70"/>
        <v>1745.0384615384614</v>
      </c>
      <c r="N58" s="63">
        <v>0</v>
      </c>
      <c r="O58" s="169"/>
      <c r="P58" s="169"/>
      <c r="Q58" s="63">
        <f t="shared" si="71"/>
        <v>0</v>
      </c>
      <c r="R58" s="63">
        <f t="shared" si="72"/>
        <v>45371</v>
      </c>
      <c r="S58" s="169"/>
      <c r="T58" s="169"/>
      <c r="U58" s="169"/>
      <c r="V58" s="63">
        <f t="shared" si="73"/>
        <v>45371</v>
      </c>
      <c r="W58" s="63">
        <f t="shared" si="74"/>
        <v>2813.002</v>
      </c>
      <c r="X58" s="63">
        <f t="shared" si="75"/>
        <v>657.87950000000001</v>
      </c>
      <c r="Y58" s="63">
        <f t="shared" si="76"/>
        <v>6383.6996999999992</v>
      </c>
      <c r="Z58" s="63">
        <f t="shared" si="77"/>
        <v>72.593600000000009</v>
      </c>
      <c r="AA58" s="63">
        <f t="shared" si="83"/>
        <v>31.759699999999999</v>
      </c>
      <c r="AB58" s="63">
        <f t="shared" si="84"/>
        <v>335</v>
      </c>
      <c r="AC58" s="63">
        <f t="shared" si="85"/>
        <v>10356.36</v>
      </c>
      <c r="AD58" s="63">
        <f t="shared" si="86"/>
        <v>106.9136</v>
      </c>
      <c r="AE58" s="170">
        <v>425</v>
      </c>
      <c r="AF58" s="69">
        <f t="shared" si="78"/>
        <v>0</v>
      </c>
      <c r="AG58" s="69">
        <f t="shared" si="79"/>
        <v>20757.2081</v>
      </c>
      <c r="AH58" s="67">
        <v>21188.23</v>
      </c>
      <c r="AI58" s="69">
        <f t="shared" si="80"/>
        <v>-431.02189999999973</v>
      </c>
      <c r="AJ58" s="69">
        <f t="shared" si="81"/>
        <v>-431.02189999999973</v>
      </c>
    </row>
    <row r="59" spans="1:36" x14ac:dyDescent="0.25">
      <c r="A59" s="167">
        <v>425</v>
      </c>
      <c r="B59" s="167">
        <v>440004</v>
      </c>
      <c r="C59" s="168" t="s">
        <v>253</v>
      </c>
      <c r="D59" s="138"/>
      <c r="E59" s="138"/>
      <c r="F59" s="138"/>
      <c r="G59" s="167" t="s">
        <v>2422</v>
      </c>
      <c r="H59" s="57"/>
      <c r="I59" s="57">
        <v>9000</v>
      </c>
      <c r="J59" s="171">
        <v>9000</v>
      </c>
      <c r="K59" s="172"/>
      <c r="L59" s="172" t="s">
        <v>0</v>
      </c>
      <c r="M59" s="172" t="s">
        <v>0</v>
      </c>
      <c r="N59" s="172">
        <v>0</v>
      </c>
      <c r="O59" s="173"/>
      <c r="P59" s="173"/>
      <c r="Q59" s="172">
        <f t="shared" si="71"/>
        <v>0</v>
      </c>
      <c r="R59" s="172">
        <f t="shared" si="72"/>
        <v>9000</v>
      </c>
      <c r="S59" s="173"/>
      <c r="T59" s="173"/>
      <c r="U59" s="173"/>
      <c r="V59" s="172">
        <f t="shared" si="73"/>
        <v>9000</v>
      </c>
      <c r="W59" s="172">
        <f t="shared" si="74"/>
        <v>558</v>
      </c>
      <c r="X59" s="172">
        <f t="shared" si="75"/>
        <v>130.5</v>
      </c>
      <c r="Y59" s="172">
        <f t="shared" si="76"/>
        <v>1266.3</v>
      </c>
      <c r="Z59" s="172">
        <f t="shared" si="77"/>
        <v>14.4</v>
      </c>
      <c r="AA59" s="172">
        <f t="shared" si="83"/>
        <v>6.3</v>
      </c>
      <c r="AB59" s="172" t="s">
        <v>2422</v>
      </c>
      <c r="AC59" s="172" t="s">
        <v>2422</v>
      </c>
      <c r="AD59" s="172" t="s">
        <v>2422</v>
      </c>
      <c r="AE59" s="170">
        <v>425</v>
      </c>
      <c r="AF59" s="69">
        <f t="shared" si="78"/>
        <v>0</v>
      </c>
      <c r="AG59" s="69">
        <f t="shared" si="79"/>
        <v>1975.5</v>
      </c>
      <c r="AH59" s="67">
        <v>2061</v>
      </c>
      <c r="AI59" s="69">
        <f t="shared" si="80"/>
        <v>-85.5</v>
      </c>
      <c r="AJ59" s="69">
        <f t="shared" si="81"/>
        <v>-85.5</v>
      </c>
    </row>
    <row r="60" spans="1:36" x14ac:dyDescent="0.25">
      <c r="A60" s="167">
        <v>425</v>
      </c>
      <c r="B60" s="138"/>
      <c r="C60" s="138"/>
      <c r="D60" s="138"/>
      <c r="E60" s="138"/>
      <c r="F60" s="138"/>
      <c r="G60" s="138"/>
      <c r="H60" s="68"/>
      <c r="I60" s="174">
        <f t="shared" ref="I60:J60" si="87">SUM(I55:I59)</f>
        <v>317772</v>
      </c>
      <c r="J60" s="174">
        <f t="shared" si="87"/>
        <v>317772</v>
      </c>
      <c r="K60" s="175"/>
      <c r="L60" s="175">
        <f t="shared" ref="L60:AD60" si="88">SUM(L55:L59)</f>
        <v>148.44807692307694</v>
      </c>
      <c r="M60" s="175">
        <f t="shared" si="88"/>
        <v>11875.846153846154</v>
      </c>
      <c r="N60" s="175">
        <f t="shared" si="88"/>
        <v>0</v>
      </c>
      <c r="O60" s="175">
        <f t="shared" si="88"/>
        <v>0</v>
      </c>
      <c r="P60" s="175">
        <f t="shared" si="88"/>
        <v>0</v>
      </c>
      <c r="Q60" s="175">
        <f t="shared" si="88"/>
        <v>0</v>
      </c>
      <c r="R60" s="175">
        <f t="shared" si="88"/>
        <v>317772</v>
      </c>
      <c r="S60" s="175">
        <f t="shared" si="88"/>
        <v>0</v>
      </c>
      <c r="T60" s="175">
        <f t="shared" si="88"/>
        <v>0</v>
      </c>
      <c r="U60" s="175">
        <f t="shared" si="88"/>
        <v>0</v>
      </c>
      <c r="V60" s="175">
        <f t="shared" si="88"/>
        <v>317772</v>
      </c>
      <c r="W60" s="175">
        <f t="shared" si="88"/>
        <v>19701.864000000001</v>
      </c>
      <c r="X60" s="175">
        <f t="shared" si="88"/>
        <v>4607.6939999999995</v>
      </c>
      <c r="Y60" s="175">
        <f t="shared" si="88"/>
        <v>44710.520400000001</v>
      </c>
      <c r="Z60" s="175">
        <f t="shared" si="88"/>
        <v>508.43520000000001</v>
      </c>
      <c r="AA60" s="175">
        <f t="shared" si="88"/>
        <v>162.59040000000002</v>
      </c>
      <c r="AB60" s="175">
        <f t="shared" si="88"/>
        <v>1005</v>
      </c>
      <c r="AC60" s="175">
        <f t="shared" si="88"/>
        <v>31069.08</v>
      </c>
      <c r="AD60" s="175">
        <f t="shared" si="88"/>
        <v>320.74080000000004</v>
      </c>
      <c r="AE60" s="170">
        <v>425</v>
      </c>
      <c r="AF60" s="195">
        <f>SUM(AF55:AF59)</f>
        <v>0</v>
      </c>
      <c r="AG60" s="69">
        <f t="shared" si="79"/>
        <v>102085.92480000001</v>
      </c>
      <c r="AH60" s="67">
        <v>105104.76</v>
      </c>
      <c r="AI60" s="176">
        <f>AG60-AH60</f>
        <v>-3018.8351999999868</v>
      </c>
      <c r="AJ60" s="176">
        <f>AF60+AI60</f>
        <v>-3018.8351999999868</v>
      </c>
    </row>
    <row r="61" spans="1:36" hidden="1" x14ac:dyDescent="0.25">
      <c r="A61" s="138"/>
      <c r="B61" s="138"/>
      <c r="C61" s="138"/>
      <c r="D61" s="138"/>
      <c r="E61" s="138"/>
      <c r="F61" s="138"/>
      <c r="G61" s="138"/>
      <c r="H61" s="78"/>
      <c r="I61" s="78">
        <v>128772</v>
      </c>
      <c r="J61" s="78">
        <f>SUM(J57:J58)</f>
        <v>128772</v>
      </c>
      <c r="K61" s="169"/>
      <c r="L61" s="169"/>
      <c r="M61" s="169"/>
      <c r="N61" s="169"/>
      <c r="O61" s="169"/>
      <c r="P61" s="169"/>
      <c r="Q61" s="169"/>
      <c r="R61" s="169"/>
      <c r="S61" s="169"/>
      <c r="T61" s="169"/>
      <c r="U61" s="169"/>
      <c r="V61" s="169"/>
      <c r="W61" s="63">
        <f>SUM(W60:X60)</f>
        <v>24309.558000000001</v>
      </c>
      <c r="X61" s="169"/>
      <c r="Y61" s="169"/>
      <c r="Z61" s="169"/>
      <c r="AA61" s="169"/>
      <c r="AB61" s="169"/>
      <c r="AC61" s="63">
        <f>SUM(AC60:AD60)</f>
        <v>31389.820800000001</v>
      </c>
      <c r="AD61" s="169"/>
      <c r="AE61" s="149"/>
      <c r="AF61" s="69">
        <f>SUM(AF55:AF59)</f>
        <v>0</v>
      </c>
      <c r="AG61" s="178"/>
      <c r="AH61" s="65"/>
      <c r="AI61" s="69">
        <f t="shared" ref="AI61:AJ61" si="89">SUM(AI55:AI59)</f>
        <v>-3018.8251999999993</v>
      </c>
      <c r="AJ61" s="69">
        <f t="shared" si="89"/>
        <v>-3018.8251999999993</v>
      </c>
    </row>
    <row r="62" spans="1:36" x14ac:dyDescent="0.25">
      <c r="A62" s="138"/>
      <c r="B62" s="138"/>
      <c r="C62" s="138"/>
      <c r="D62" s="138"/>
      <c r="E62" s="138"/>
      <c r="F62" s="138"/>
      <c r="G62" s="138"/>
      <c r="H62" s="179"/>
      <c r="I62" s="179"/>
      <c r="J62" s="179"/>
      <c r="K62" s="169"/>
      <c r="L62" s="169"/>
      <c r="M62" s="169"/>
      <c r="N62" s="169"/>
      <c r="O62" s="169"/>
      <c r="P62" s="169"/>
      <c r="Q62" s="169"/>
      <c r="R62" s="169"/>
      <c r="S62" s="169"/>
      <c r="T62" s="169"/>
      <c r="U62" s="169"/>
      <c r="V62" s="169"/>
      <c r="W62" s="169"/>
      <c r="X62" s="169"/>
      <c r="Y62" s="169"/>
      <c r="Z62" s="169"/>
      <c r="AA62" s="169"/>
      <c r="AB62" s="169"/>
      <c r="AC62" s="169"/>
      <c r="AD62" s="169"/>
      <c r="AE62" s="149"/>
      <c r="AF62" s="178"/>
      <c r="AG62" s="178"/>
      <c r="AH62" s="65"/>
      <c r="AI62" s="178"/>
      <c r="AJ62" s="178"/>
    </row>
    <row r="63" spans="1:36" x14ac:dyDescent="0.25">
      <c r="A63" s="138"/>
      <c r="B63" s="138"/>
      <c r="C63" s="138"/>
      <c r="D63" s="138"/>
      <c r="E63" s="138"/>
      <c r="F63" s="138"/>
      <c r="G63" s="138"/>
      <c r="H63" s="179"/>
      <c r="I63" s="179"/>
      <c r="J63" s="179"/>
      <c r="K63" s="169"/>
      <c r="L63" s="169"/>
      <c r="M63" s="169"/>
      <c r="N63" s="169"/>
      <c r="O63" s="169"/>
      <c r="P63" s="169"/>
      <c r="Q63" s="169"/>
      <c r="R63" s="169"/>
      <c r="S63" s="169"/>
      <c r="T63" s="169"/>
      <c r="U63" s="169"/>
      <c r="V63" s="169"/>
      <c r="W63" s="169"/>
      <c r="X63" s="169"/>
      <c r="Y63" s="169"/>
      <c r="Z63" s="169"/>
      <c r="AA63" s="169"/>
      <c r="AB63" s="169"/>
      <c r="AC63" s="169"/>
      <c r="AD63" s="169"/>
      <c r="AE63" s="149"/>
      <c r="AF63" s="178"/>
      <c r="AG63" s="178"/>
      <c r="AH63" s="65"/>
      <c r="AI63" s="178"/>
      <c r="AJ63" s="178"/>
    </row>
    <row r="64" spans="1:36" x14ac:dyDescent="0.25">
      <c r="A64" s="167">
        <v>426</v>
      </c>
      <c r="B64" s="92" t="s">
        <v>2511</v>
      </c>
      <c r="C64" s="181" t="s">
        <v>2512</v>
      </c>
      <c r="D64" s="181" t="s">
        <v>2513</v>
      </c>
      <c r="E64" s="181" t="s">
        <v>2514</v>
      </c>
      <c r="F64" s="87">
        <v>38357</v>
      </c>
      <c r="G64" s="189" t="s">
        <v>2422</v>
      </c>
      <c r="H64" s="57"/>
      <c r="I64" s="57">
        <v>91900</v>
      </c>
      <c r="J64" s="57">
        <v>91900</v>
      </c>
      <c r="K64" s="63"/>
      <c r="L64" s="63">
        <f t="shared" ref="L64:L67" si="90">SUM(J64/2080)</f>
        <v>44.182692307692307</v>
      </c>
      <c r="M64" s="63">
        <f t="shared" ref="M64:M68" si="91">SUM(J64/26)</f>
        <v>3534.6153846153848</v>
      </c>
      <c r="N64" s="63" t="s">
        <v>2420</v>
      </c>
      <c r="O64" s="169"/>
      <c r="P64" s="169"/>
      <c r="Q64" s="63">
        <v>0</v>
      </c>
      <c r="R64" s="63">
        <f t="shared" ref="R64:R69" si="92">Q64+J64</f>
        <v>91900</v>
      </c>
      <c r="S64" s="169"/>
      <c r="T64" s="169"/>
      <c r="U64" s="169"/>
      <c r="V64" s="63">
        <f t="shared" ref="V64:V69" si="93">SUM(R64:U64)</f>
        <v>91900</v>
      </c>
      <c r="W64" s="63">
        <f t="shared" ref="W64:W69" si="94">SUM(V64*$W$7)</f>
        <v>5697.8</v>
      </c>
      <c r="X64" s="63">
        <f t="shared" ref="X64:X69" si="95">SUM(V64*$X$7)</f>
        <v>1332.55</v>
      </c>
      <c r="Y64" s="63">
        <f t="shared" ref="Y64:Y69" si="96">SUM(V64*$Y$7)</f>
        <v>12930.33</v>
      </c>
      <c r="Z64" s="63">
        <f t="shared" ref="Z64:Z69" si="97">SUM(V64*$Z$7)</f>
        <v>147.04000000000002</v>
      </c>
      <c r="AA64" s="63">
        <f>SUM(V64*$AA$7)</f>
        <v>64.33</v>
      </c>
      <c r="AB64" s="63">
        <f>SUM($AB$7)</f>
        <v>335</v>
      </c>
      <c r="AC64" s="63">
        <f>$AC$7</f>
        <v>10356.36</v>
      </c>
      <c r="AD64" s="63">
        <f>SUM(AB64+AC64)*$AD$7</f>
        <v>106.9136</v>
      </c>
      <c r="AE64" s="170">
        <v>426</v>
      </c>
      <c r="AF64" s="69">
        <f t="shared" ref="AF64:AF69" si="98">SUM(J64-I64)</f>
        <v>0</v>
      </c>
      <c r="AG64" s="69">
        <f t="shared" ref="AG64:AG70" si="99">SUM(W64:AD64)</f>
        <v>30970.323600000003</v>
      </c>
      <c r="AH64" s="67">
        <v>31843.37</v>
      </c>
      <c r="AI64" s="69">
        <f t="shared" ref="AI64:AI69" si="100">SUM(AG64-AH64)</f>
        <v>-873.04639999999563</v>
      </c>
      <c r="AJ64" s="69">
        <f t="shared" ref="AJ64:AJ65" si="101">SUM(AG64-AH64)</f>
        <v>-873.04639999999563</v>
      </c>
    </row>
    <row r="65" spans="1:36" x14ac:dyDescent="0.25">
      <c r="A65" s="167">
        <v>426</v>
      </c>
      <c r="B65" s="92" t="s">
        <v>2511</v>
      </c>
      <c r="C65" s="168" t="s">
        <v>2512</v>
      </c>
      <c r="D65" s="168" t="s">
        <v>2513</v>
      </c>
      <c r="E65" s="168" t="s">
        <v>2515</v>
      </c>
      <c r="F65" s="58">
        <v>38357</v>
      </c>
      <c r="G65" s="167" t="s">
        <v>2422</v>
      </c>
      <c r="H65" s="57"/>
      <c r="I65" s="57">
        <v>92500</v>
      </c>
      <c r="J65" s="57">
        <v>92500</v>
      </c>
      <c r="K65" s="63"/>
      <c r="L65" s="63">
        <f t="shared" si="90"/>
        <v>44.471153846153847</v>
      </c>
      <c r="M65" s="63">
        <f t="shared" si="91"/>
        <v>3557.6923076923076</v>
      </c>
      <c r="N65" s="63" t="s">
        <v>27</v>
      </c>
      <c r="O65" s="169"/>
      <c r="P65" s="169"/>
      <c r="Q65" s="63">
        <v>0</v>
      </c>
      <c r="R65" s="63">
        <f t="shared" si="92"/>
        <v>92500</v>
      </c>
      <c r="S65" s="169"/>
      <c r="T65" s="169"/>
      <c r="U65" s="169"/>
      <c r="V65" s="63">
        <f t="shared" si="93"/>
        <v>92500</v>
      </c>
      <c r="W65" s="63">
        <f t="shared" si="94"/>
        <v>5735</v>
      </c>
      <c r="X65" s="63">
        <f t="shared" si="95"/>
        <v>1341.25</v>
      </c>
      <c r="Y65" s="63">
        <f t="shared" si="96"/>
        <v>13014.75</v>
      </c>
      <c r="Z65" s="63">
        <f t="shared" si="97"/>
        <v>148</v>
      </c>
      <c r="AA65" s="63" t="s">
        <v>2422</v>
      </c>
      <c r="AB65" s="63" t="s">
        <v>2422</v>
      </c>
      <c r="AC65" s="63" t="s">
        <v>2422</v>
      </c>
      <c r="AD65" s="63" t="s">
        <v>2422</v>
      </c>
      <c r="AE65" s="170">
        <v>426</v>
      </c>
      <c r="AF65" s="69">
        <f t="shared" si="98"/>
        <v>0</v>
      </c>
      <c r="AG65" s="69">
        <f t="shared" si="99"/>
        <v>20239</v>
      </c>
      <c r="AH65" s="67">
        <v>21117.75</v>
      </c>
      <c r="AI65" s="69">
        <f t="shared" si="100"/>
        <v>-878.75</v>
      </c>
      <c r="AJ65" s="69">
        <f t="shared" si="101"/>
        <v>-878.75</v>
      </c>
    </row>
    <row r="66" spans="1:36" x14ac:dyDescent="0.25">
      <c r="A66" s="167">
        <v>426</v>
      </c>
      <c r="B66" s="92" t="s">
        <v>2516</v>
      </c>
      <c r="C66" s="168" t="s">
        <v>2517</v>
      </c>
      <c r="D66" s="168" t="s">
        <v>2518</v>
      </c>
      <c r="E66" s="168" t="s">
        <v>2519</v>
      </c>
      <c r="F66" s="74">
        <v>42828</v>
      </c>
      <c r="G66" s="59">
        <f t="shared" ref="G66:G68" si="102">(DATE(2021,12,30)-(F66))/365</f>
        <v>4.7452054794520544</v>
      </c>
      <c r="H66" s="57"/>
      <c r="I66" s="57">
        <v>81900</v>
      </c>
      <c r="J66" s="182">
        <v>83401</v>
      </c>
      <c r="K66" s="63"/>
      <c r="L66" s="63">
        <f t="shared" si="90"/>
        <v>40.096634615384616</v>
      </c>
      <c r="M66" s="63">
        <f t="shared" si="91"/>
        <v>3207.7307692307691</v>
      </c>
      <c r="N66" s="63">
        <f>IF(G66&lt;4,0,(G66-1)*$N$7)</f>
        <v>988.73424657534235</v>
      </c>
      <c r="O66" s="169"/>
      <c r="P66" s="169"/>
      <c r="Q66" s="63">
        <f t="shared" ref="Q66:Q67" si="103">IF(N66+P66&gt;5000,5000,N66+P66)</f>
        <v>988.73424657534235</v>
      </c>
      <c r="R66" s="63">
        <f t="shared" si="92"/>
        <v>84389.734246575346</v>
      </c>
      <c r="S66" s="169"/>
      <c r="T66" s="169"/>
      <c r="U66" s="169"/>
      <c r="V66" s="63">
        <f t="shared" si="93"/>
        <v>84389.734246575346</v>
      </c>
      <c r="W66" s="63">
        <f t="shared" si="94"/>
        <v>5232.1635232876715</v>
      </c>
      <c r="X66" s="63">
        <f t="shared" si="95"/>
        <v>1223.6511465753426</v>
      </c>
      <c r="Y66" s="63">
        <f t="shared" si="96"/>
        <v>11873.63560849315</v>
      </c>
      <c r="Z66" s="63">
        <f t="shared" si="97"/>
        <v>135.02357479452056</v>
      </c>
      <c r="AA66" s="63">
        <f t="shared" ref="AA66:AA69" si="104">SUM(V66*$AA$7)</f>
        <v>59.072813972602745</v>
      </c>
      <c r="AB66" s="63">
        <f t="shared" ref="AB66:AB67" si="105">SUM($AB$7)</f>
        <v>335</v>
      </c>
      <c r="AC66" s="63">
        <f t="shared" ref="AC66:AC67" si="106">$AC$7</f>
        <v>10356.36</v>
      </c>
      <c r="AD66" s="63">
        <f t="shared" ref="AD66:AD67" si="107">SUM(AB66+AC66)*$AD$7</f>
        <v>106.9136</v>
      </c>
      <c r="AE66" s="170">
        <v>426</v>
      </c>
      <c r="AF66" s="69">
        <f t="shared" si="98"/>
        <v>1501</v>
      </c>
      <c r="AG66" s="69">
        <f t="shared" si="99"/>
        <v>29321.820267123287</v>
      </c>
      <c r="AH66" s="67">
        <v>29553.37</v>
      </c>
      <c r="AI66" s="69">
        <f t="shared" si="100"/>
        <v>-231.54973287671237</v>
      </c>
      <c r="AJ66" s="69">
        <f t="shared" ref="AJ66:AJ69" si="108">SUM(AF66+AI66)</f>
        <v>1269.4502671232876</v>
      </c>
    </row>
    <row r="67" spans="1:36" x14ac:dyDescent="0.25">
      <c r="A67" s="167">
        <v>426</v>
      </c>
      <c r="B67" s="92" t="s">
        <v>2520</v>
      </c>
      <c r="C67" s="168" t="s">
        <v>2521</v>
      </c>
      <c r="D67" s="168" t="s">
        <v>2522</v>
      </c>
      <c r="E67" s="168" t="s">
        <v>2523</v>
      </c>
      <c r="F67" s="74">
        <v>38384</v>
      </c>
      <c r="G67" s="59">
        <f t="shared" si="102"/>
        <v>16.920547945205481</v>
      </c>
      <c r="H67" s="57"/>
      <c r="I67" s="57">
        <v>46202</v>
      </c>
      <c r="J67" s="182">
        <v>47049</v>
      </c>
      <c r="K67" s="63"/>
      <c r="L67" s="63">
        <f t="shared" si="90"/>
        <v>22.619711538461537</v>
      </c>
      <c r="M67" s="63">
        <f t="shared" si="91"/>
        <v>1809.5769230769231</v>
      </c>
      <c r="N67" s="63">
        <v>0</v>
      </c>
      <c r="O67" s="169"/>
      <c r="P67" s="169"/>
      <c r="Q67" s="63">
        <f t="shared" si="103"/>
        <v>0</v>
      </c>
      <c r="R67" s="63">
        <f t="shared" si="92"/>
        <v>47049</v>
      </c>
      <c r="S67" s="169"/>
      <c r="T67" s="169"/>
      <c r="U67" s="169"/>
      <c r="V67" s="63">
        <f t="shared" si="93"/>
        <v>47049</v>
      </c>
      <c r="W67" s="63">
        <f t="shared" si="94"/>
        <v>2917.038</v>
      </c>
      <c r="X67" s="63">
        <f t="shared" si="95"/>
        <v>682.21050000000002</v>
      </c>
      <c r="Y67" s="63">
        <f t="shared" si="96"/>
        <v>6619.7942999999996</v>
      </c>
      <c r="Z67" s="63">
        <f t="shared" si="97"/>
        <v>75.278400000000005</v>
      </c>
      <c r="AA67" s="63">
        <f t="shared" si="104"/>
        <v>32.9343</v>
      </c>
      <c r="AB67" s="63">
        <f t="shared" si="105"/>
        <v>335</v>
      </c>
      <c r="AC67" s="63">
        <f t="shared" si="106"/>
        <v>10356.36</v>
      </c>
      <c r="AD67" s="63">
        <f t="shared" si="107"/>
        <v>106.9136</v>
      </c>
      <c r="AE67" s="170">
        <v>426</v>
      </c>
      <c r="AF67" s="69">
        <f t="shared" si="98"/>
        <v>847</v>
      </c>
      <c r="AG67" s="69">
        <f t="shared" si="99"/>
        <v>21125.5291</v>
      </c>
      <c r="AH67" s="67">
        <v>21378.53</v>
      </c>
      <c r="AI67" s="69">
        <f t="shared" si="100"/>
        <v>-253.00089999999909</v>
      </c>
      <c r="AJ67" s="69">
        <f t="shared" si="108"/>
        <v>593.99910000000091</v>
      </c>
    </row>
    <row r="68" spans="1:36" x14ac:dyDescent="0.25">
      <c r="A68" s="167">
        <v>426</v>
      </c>
      <c r="B68" s="92" t="s">
        <v>2524</v>
      </c>
      <c r="C68" s="168" t="s">
        <v>2525</v>
      </c>
      <c r="D68" s="168" t="s">
        <v>2526</v>
      </c>
      <c r="E68" s="168" t="s">
        <v>2527</v>
      </c>
      <c r="F68" s="58">
        <v>43262</v>
      </c>
      <c r="G68" s="59">
        <f t="shared" si="102"/>
        <v>3.5561643835616437</v>
      </c>
      <c r="H68" s="57"/>
      <c r="I68" s="57">
        <v>15600</v>
      </c>
      <c r="J68" s="57">
        <v>15600</v>
      </c>
      <c r="K68" s="63"/>
      <c r="L68" s="63">
        <f>SUM(J68/1040)</f>
        <v>15</v>
      </c>
      <c r="M68" s="63">
        <f t="shared" si="91"/>
        <v>600</v>
      </c>
      <c r="N68" s="63">
        <v>0</v>
      </c>
      <c r="O68" s="169"/>
      <c r="P68" s="169"/>
      <c r="Q68" s="63">
        <v>0</v>
      </c>
      <c r="R68" s="63">
        <f t="shared" si="92"/>
        <v>15600</v>
      </c>
      <c r="S68" s="169"/>
      <c r="T68" s="63">
        <v>200</v>
      </c>
      <c r="U68" s="169"/>
      <c r="V68" s="63">
        <f t="shared" si="93"/>
        <v>15800</v>
      </c>
      <c r="W68" s="63">
        <f t="shared" si="94"/>
        <v>979.6</v>
      </c>
      <c r="X68" s="63">
        <f t="shared" si="95"/>
        <v>229.10000000000002</v>
      </c>
      <c r="Y68" s="63">
        <f t="shared" si="96"/>
        <v>2223.06</v>
      </c>
      <c r="Z68" s="63">
        <f t="shared" si="97"/>
        <v>25.28</v>
      </c>
      <c r="AA68" s="63">
        <f t="shared" si="104"/>
        <v>11.06</v>
      </c>
      <c r="AB68" s="63" t="s">
        <v>2422</v>
      </c>
      <c r="AC68" s="63" t="s">
        <v>2422</v>
      </c>
      <c r="AD68" s="63" t="s">
        <v>2422</v>
      </c>
      <c r="AE68" s="170">
        <v>426</v>
      </c>
      <c r="AF68" s="69">
        <f t="shared" si="98"/>
        <v>0</v>
      </c>
      <c r="AG68" s="69">
        <f t="shared" si="99"/>
        <v>3468.1000000000004</v>
      </c>
      <c r="AH68" s="67">
        <v>3618.2</v>
      </c>
      <c r="AI68" s="69">
        <f t="shared" si="100"/>
        <v>-150.09999999999945</v>
      </c>
      <c r="AJ68" s="69">
        <f t="shared" si="108"/>
        <v>-150.09999999999945</v>
      </c>
    </row>
    <row r="69" spans="1:36" x14ac:dyDescent="0.25">
      <c r="A69" s="167">
        <v>426</v>
      </c>
      <c r="B69" s="167">
        <v>440005</v>
      </c>
      <c r="C69" s="168" t="s">
        <v>253</v>
      </c>
      <c r="D69" s="138"/>
      <c r="E69" s="138"/>
      <c r="F69" s="138"/>
      <c r="G69" s="59"/>
      <c r="H69" s="57"/>
      <c r="I69" s="57">
        <v>9000</v>
      </c>
      <c r="J69" s="171">
        <v>9000</v>
      </c>
      <c r="K69" s="172"/>
      <c r="L69" s="172">
        <v>4.33</v>
      </c>
      <c r="M69" s="172">
        <v>346.15</v>
      </c>
      <c r="N69" s="172">
        <v>0</v>
      </c>
      <c r="O69" s="173"/>
      <c r="P69" s="173"/>
      <c r="Q69" s="172">
        <v>0</v>
      </c>
      <c r="R69" s="172">
        <f t="shared" si="92"/>
        <v>9000</v>
      </c>
      <c r="S69" s="173"/>
      <c r="T69" s="173"/>
      <c r="U69" s="173"/>
      <c r="V69" s="172">
        <f t="shared" si="93"/>
        <v>9000</v>
      </c>
      <c r="W69" s="172">
        <f t="shared" si="94"/>
        <v>558</v>
      </c>
      <c r="X69" s="172">
        <f t="shared" si="95"/>
        <v>130.5</v>
      </c>
      <c r="Y69" s="172">
        <f t="shared" si="96"/>
        <v>1266.3</v>
      </c>
      <c r="Z69" s="172">
        <f t="shared" si="97"/>
        <v>14.4</v>
      </c>
      <c r="AA69" s="172">
        <f t="shared" si="104"/>
        <v>6.3</v>
      </c>
      <c r="AB69" s="172" t="s">
        <v>2422</v>
      </c>
      <c r="AC69" s="172" t="s">
        <v>2422</v>
      </c>
      <c r="AD69" s="172" t="s">
        <v>2422</v>
      </c>
      <c r="AE69" s="170">
        <v>426</v>
      </c>
      <c r="AF69" s="69">
        <f t="shared" si="98"/>
        <v>0</v>
      </c>
      <c r="AG69" s="69">
        <f t="shared" si="99"/>
        <v>1975.5</v>
      </c>
      <c r="AH69" s="67">
        <v>2061</v>
      </c>
      <c r="AI69" s="69">
        <f t="shared" si="100"/>
        <v>-85.5</v>
      </c>
      <c r="AJ69" s="69">
        <f t="shared" si="108"/>
        <v>-85.5</v>
      </c>
    </row>
    <row r="70" spans="1:36" x14ac:dyDescent="0.25">
      <c r="A70" s="167">
        <v>426</v>
      </c>
      <c r="B70" s="138"/>
      <c r="C70" s="138"/>
      <c r="D70" s="138"/>
      <c r="E70" s="138"/>
      <c r="F70" s="138"/>
      <c r="G70" s="138"/>
      <c r="H70" s="68"/>
      <c r="I70" s="174">
        <f t="shared" ref="I70:J70" si="109">SUM(I64:I69)</f>
        <v>337102</v>
      </c>
      <c r="J70" s="174">
        <f t="shared" si="109"/>
        <v>339450</v>
      </c>
      <c r="K70" s="175"/>
      <c r="L70" s="175">
        <f t="shared" ref="L70:AD70" si="110">SUM(L63:L69)</f>
        <v>170.7001923076923</v>
      </c>
      <c r="M70" s="175">
        <f t="shared" si="110"/>
        <v>13055.765384615384</v>
      </c>
      <c r="N70" s="175">
        <f t="shared" si="110"/>
        <v>988.73424657534235</v>
      </c>
      <c r="O70" s="175">
        <f t="shared" si="110"/>
        <v>0</v>
      </c>
      <c r="P70" s="175">
        <f t="shared" si="110"/>
        <v>0</v>
      </c>
      <c r="Q70" s="175">
        <f t="shared" si="110"/>
        <v>988.73424657534235</v>
      </c>
      <c r="R70" s="175">
        <f t="shared" si="110"/>
        <v>340438.73424657533</v>
      </c>
      <c r="S70" s="175">
        <f t="shared" si="110"/>
        <v>0</v>
      </c>
      <c r="T70" s="175">
        <f t="shared" si="110"/>
        <v>200</v>
      </c>
      <c r="U70" s="175">
        <f t="shared" si="110"/>
        <v>0</v>
      </c>
      <c r="V70" s="175">
        <f t="shared" si="110"/>
        <v>340638.73424657533</v>
      </c>
      <c r="W70" s="175">
        <f t="shared" si="110"/>
        <v>21119.601523287671</v>
      </c>
      <c r="X70" s="175">
        <f t="shared" si="110"/>
        <v>4939.2616465753435</v>
      </c>
      <c r="Y70" s="175">
        <f t="shared" si="110"/>
        <v>47927.86990849315</v>
      </c>
      <c r="Z70" s="175">
        <f t="shared" si="110"/>
        <v>545.02197479452059</v>
      </c>
      <c r="AA70" s="175">
        <f t="shared" si="110"/>
        <v>173.69711397260275</v>
      </c>
      <c r="AB70" s="175">
        <f t="shared" si="110"/>
        <v>1005</v>
      </c>
      <c r="AC70" s="175">
        <f t="shared" si="110"/>
        <v>31069.08</v>
      </c>
      <c r="AD70" s="175">
        <f t="shared" si="110"/>
        <v>320.74080000000004</v>
      </c>
      <c r="AE70" s="170">
        <v>426</v>
      </c>
      <c r="AF70" s="176">
        <f>SUM(AF64:AF69)</f>
        <v>2348</v>
      </c>
      <c r="AG70" s="69">
        <f t="shared" si="99"/>
        <v>107100.2729671233</v>
      </c>
      <c r="AH70" s="67">
        <v>109572.23</v>
      </c>
      <c r="AI70" s="176">
        <f>AG70-AH70</f>
        <v>-2471.9570328767004</v>
      </c>
      <c r="AJ70" s="176">
        <f>AF70+AI70</f>
        <v>-123.9570328767004</v>
      </c>
    </row>
    <row r="71" spans="1:36" hidden="1" x14ac:dyDescent="0.25">
      <c r="A71" s="138"/>
      <c r="B71" s="138"/>
      <c r="C71" s="138"/>
      <c r="D71" s="138"/>
      <c r="E71" s="138"/>
      <c r="F71" s="138"/>
      <c r="G71" s="138"/>
      <c r="H71" s="78"/>
      <c r="I71" s="78">
        <v>128102</v>
      </c>
      <c r="J71" s="78">
        <f>SUM(J66:J67)</f>
        <v>130450</v>
      </c>
      <c r="K71" s="169"/>
      <c r="L71" s="169"/>
      <c r="M71" s="169"/>
      <c r="N71" s="169"/>
      <c r="O71" s="169"/>
      <c r="P71" s="169"/>
      <c r="Q71" s="169"/>
      <c r="R71" s="169"/>
      <c r="S71" s="169"/>
      <c r="T71" s="169"/>
      <c r="U71" s="169"/>
      <c r="V71" s="169"/>
      <c r="W71" s="63">
        <f>SUM(W70:X70)</f>
        <v>26058.863169863012</v>
      </c>
      <c r="X71" s="169"/>
      <c r="Y71" s="169"/>
      <c r="Z71" s="169"/>
      <c r="AA71" s="169"/>
      <c r="AB71" s="169"/>
      <c r="AC71" s="63">
        <f>SUM(AC70:AD70)</f>
        <v>31389.820800000001</v>
      </c>
      <c r="AD71" s="169"/>
      <c r="AE71" s="149"/>
      <c r="AF71" s="69">
        <f>SUM(AF64:AF69)</f>
        <v>2348</v>
      </c>
      <c r="AG71" s="178"/>
      <c r="AH71" s="65"/>
      <c r="AI71" s="69">
        <f t="shared" ref="AI71:AJ71" si="111">SUM(AI64:AI69)</f>
        <v>-2471.9470328767065</v>
      </c>
      <c r="AJ71" s="69">
        <f t="shared" si="111"/>
        <v>-123.94703287670654</v>
      </c>
    </row>
    <row r="72" spans="1:36" x14ac:dyDescent="0.25">
      <c r="A72" s="138"/>
      <c r="B72" s="138"/>
      <c r="C72" s="138"/>
      <c r="D72" s="138"/>
      <c r="E72" s="138"/>
      <c r="F72" s="138"/>
      <c r="G72" s="138"/>
      <c r="H72" s="179"/>
      <c r="I72" s="179"/>
      <c r="J72" s="179"/>
      <c r="K72" s="169"/>
      <c r="L72" s="169"/>
      <c r="M72" s="169"/>
      <c r="N72" s="169"/>
      <c r="O72" s="169"/>
      <c r="P72" s="169"/>
      <c r="Q72" s="169"/>
      <c r="R72" s="169"/>
      <c r="S72" s="169"/>
      <c r="T72" s="169"/>
      <c r="U72" s="169"/>
      <c r="V72" s="169"/>
      <c r="W72" s="169"/>
      <c r="X72" s="169"/>
      <c r="Y72" s="169"/>
      <c r="Z72" s="169"/>
      <c r="AA72" s="169"/>
      <c r="AB72" s="169"/>
      <c r="AC72" s="169"/>
      <c r="AD72" s="169"/>
      <c r="AE72" s="149"/>
      <c r="AF72" s="178"/>
      <c r="AG72" s="178"/>
      <c r="AH72" s="65"/>
      <c r="AI72" s="178"/>
      <c r="AJ72" s="178"/>
    </row>
    <row r="73" spans="1:36" x14ac:dyDescent="0.25">
      <c r="A73" s="168"/>
      <c r="B73" s="168"/>
      <c r="C73" s="168"/>
      <c r="D73" s="168"/>
      <c r="E73" s="168"/>
      <c r="F73" s="196"/>
      <c r="G73" s="59"/>
      <c r="H73" s="57"/>
      <c r="I73" s="57"/>
      <c r="J73" s="57"/>
      <c r="K73" s="63"/>
      <c r="L73" s="63"/>
      <c r="M73" s="63"/>
      <c r="N73" s="169"/>
      <c r="O73" s="169"/>
      <c r="P73" s="169"/>
      <c r="Q73" s="169"/>
      <c r="R73" s="169"/>
      <c r="S73" s="169"/>
      <c r="T73" s="169"/>
      <c r="U73" s="169"/>
      <c r="V73" s="169"/>
      <c r="W73" s="63"/>
      <c r="X73" s="63"/>
      <c r="Y73" s="63"/>
      <c r="Z73" s="63"/>
      <c r="AA73" s="63"/>
      <c r="AB73" s="63"/>
      <c r="AC73" s="63"/>
      <c r="AD73" s="63"/>
      <c r="AE73" s="149"/>
      <c r="AF73" s="178"/>
      <c r="AG73" s="178"/>
      <c r="AH73" s="65"/>
      <c r="AI73" s="178"/>
      <c r="AJ73" s="178"/>
    </row>
    <row r="74" spans="1:36" x14ac:dyDescent="0.25">
      <c r="A74" s="167">
        <v>431</v>
      </c>
      <c r="B74" s="92" t="s">
        <v>2528</v>
      </c>
      <c r="C74" s="71" t="s">
        <v>2529</v>
      </c>
      <c r="D74" s="71" t="s">
        <v>2530</v>
      </c>
      <c r="E74" s="168" t="s">
        <v>2531</v>
      </c>
      <c r="F74" s="74">
        <v>39876</v>
      </c>
      <c r="G74" s="59">
        <f t="shared" ref="G74:G75" si="112">(DATE(2021,12,30)-(F74))/365</f>
        <v>12.832876712328767</v>
      </c>
      <c r="H74" s="57"/>
      <c r="I74" s="57">
        <v>40311</v>
      </c>
      <c r="J74" s="182">
        <v>41050</v>
      </c>
      <c r="K74" s="63"/>
      <c r="L74" s="63">
        <f t="shared" ref="L74:L75" si="113">SUM(J74/2080)</f>
        <v>19.735576923076923</v>
      </c>
      <c r="M74" s="63">
        <f t="shared" ref="M74:M75" si="114">SUM(J74/26)</f>
        <v>1578.8461538461538</v>
      </c>
      <c r="N74" s="63">
        <v>0</v>
      </c>
      <c r="O74" s="169"/>
      <c r="P74" s="169"/>
      <c r="Q74" s="63">
        <f t="shared" ref="Q74:Q75" si="115">IF(N74+P74&gt;5000,5000,N74+P74)</f>
        <v>0</v>
      </c>
      <c r="R74" s="63">
        <f t="shared" ref="R74:R75" si="116">Q74+J74</f>
        <v>41050</v>
      </c>
      <c r="S74" s="169"/>
      <c r="T74" s="169"/>
      <c r="U74" s="169"/>
      <c r="V74" s="63">
        <f t="shared" ref="V74:V75" si="117">SUM(R74:U74)</f>
        <v>41050</v>
      </c>
      <c r="W74" s="197">
        <f t="shared" ref="W74:W75" si="118">SUM(V74*$W$7)</f>
        <v>2545.1</v>
      </c>
      <c r="X74" s="197">
        <f t="shared" ref="X74:X75" si="119">SUM(V74*$X$7)</f>
        <v>595.22500000000002</v>
      </c>
      <c r="Y74" s="197">
        <f t="shared" ref="Y74:Y75" si="120">SUM(V74*$Y$7)</f>
        <v>5775.7349999999997</v>
      </c>
      <c r="Z74" s="197">
        <f t="shared" ref="Z74:Z75" si="121">SUM(V74*$Z$7)</f>
        <v>65.680000000000007</v>
      </c>
      <c r="AA74" s="197">
        <f t="shared" ref="AA74:AA75" si="122">SUM(V74*$AA$7)</f>
        <v>28.734999999999999</v>
      </c>
      <c r="AB74" s="197">
        <f>SUM($AB$7)</f>
        <v>335</v>
      </c>
      <c r="AC74" s="197">
        <f>$AC$7</f>
        <v>10356.36</v>
      </c>
      <c r="AD74" s="63">
        <f t="shared" ref="AD74:AD75" si="123">SUM(AB74+AC74)*$AD$7</f>
        <v>106.9136</v>
      </c>
      <c r="AE74" s="149"/>
      <c r="AF74" s="198">
        <f t="shared" ref="AF74:AF75" si="124">SUM(J74-I74)</f>
        <v>739</v>
      </c>
      <c r="AG74" s="69">
        <f t="shared" ref="AG74:AG76" si="125">SUM(W74:AD74)</f>
        <v>19808.748599999999</v>
      </c>
      <c r="AH74" s="67">
        <v>20029.490000000002</v>
      </c>
      <c r="AI74" s="69">
        <f t="shared" ref="AI74:AI75" si="126">SUM(AG74-AH74)</f>
        <v>-220.74140000000261</v>
      </c>
      <c r="AJ74" s="69">
        <f t="shared" ref="AJ74:AJ76" si="127">AF74+AI74</f>
        <v>518.25859999999739</v>
      </c>
    </row>
    <row r="75" spans="1:36" x14ac:dyDescent="0.25">
      <c r="A75" s="167">
        <v>431</v>
      </c>
      <c r="B75" s="92" t="s">
        <v>2532</v>
      </c>
      <c r="C75" s="71" t="s">
        <v>2529</v>
      </c>
      <c r="D75" s="94" t="s">
        <v>2533</v>
      </c>
      <c r="E75" s="168"/>
      <c r="F75" s="58">
        <v>39876</v>
      </c>
      <c r="G75" s="59">
        <f t="shared" si="112"/>
        <v>12.832876712328767</v>
      </c>
      <c r="H75" s="57"/>
      <c r="I75" s="66">
        <v>38873</v>
      </c>
      <c r="J75" s="199">
        <v>0</v>
      </c>
      <c r="K75" s="172"/>
      <c r="L75" s="172">
        <f t="shared" si="113"/>
        <v>0</v>
      </c>
      <c r="M75" s="172">
        <f t="shared" si="114"/>
        <v>0</v>
      </c>
      <c r="N75" s="172">
        <v>0</v>
      </c>
      <c r="O75" s="173"/>
      <c r="P75" s="173"/>
      <c r="Q75" s="172">
        <f t="shared" si="115"/>
        <v>0</v>
      </c>
      <c r="R75" s="172">
        <f t="shared" si="116"/>
        <v>0</v>
      </c>
      <c r="S75" s="173"/>
      <c r="T75" s="173"/>
      <c r="U75" s="173"/>
      <c r="V75" s="172">
        <f t="shared" si="117"/>
        <v>0</v>
      </c>
      <c r="W75" s="172">
        <f t="shared" si="118"/>
        <v>0</v>
      </c>
      <c r="X75" s="172">
        <f t="shared" si="119"/>
        <v>0</v>
      </c>
      <c r="Y75" s="172">
        <f t="shared" si="120"/>
        <v>0</v>
      </c>
      <c r="Z75" s="172">
        <f t="shared" si="121"/>
        <v>0</v>
      </c>
      <c r="AA75" s="172">
        <f t="shared" si="122"/>
        <v>0</v>
      </c>
      <c r="AB75" s="200">
        <v>0</v>
      </c>
      <c r="AC75" s="200">
        <v>0</v>
      </c>
      <c r="AD75" s="172">
        <f t="shared" si="123"/>
        <v>0</v>
      </c>
      <c r="AE75" s="149"/>
      <c r="AF75" s="198">
        <f t="shared" si="124"/>
        <v>-38873</v>
      </c>
      <c r="AG75" s="69">
        <f t="shared" si="125"/>
        <v>0</v>
      </c>
      <c r="AH75" s="67">
        <v>19700.189999999999</v>
      </c>
      <c r="AI75" s="69">
        <f t="shared" si="126"/>
        <v>-19700.189999999999</v>
      </c>
      <c r="AJ75" s="69">
        <f t="shared" si="127"/>
        <v>-58573.19</v>
      </c>
    </row>
    <row r="76" spans="1:36" x14ac:dyDescent="0.25">
      <c r="A76" s="138"/>
      <c r="B76" s="168" t="s">
        <v>0</v>
      </c>
      <c r="C76" s="168" t="s">
        <v>0</v>
      </c>
      <c r="D76" s="168" t="s">
        <v>0</v>
      </c>
      <c r="E76" s="168" t="s">
        <v>0</v>
      </c>
      <c r="F76" s="168" t="s">
        <v>0</v>
      </c>
      <c r="G76" s="59" t="s">
        <v>0</v>
      </c>
      <c r="H76" s="68"/>
      <c r="I76" s="174">
        <f t="shared" ref="I76:J76" si="128">SUM(I74:I75)</f>
        <v>79184</v>
      </c>
      <c r="J76" s="174">
        <f t="shared" si="128"/>
        <v>41050</v>
      </c>
      <c r="K76" s="175"/>
      <c r="L76" s="175">
        <f t="shared" ref="L76:AD76" si="129">SUM(L72:L75)</f>
        <v>19.735576923076923</v>
      </c>
      <c r="M76" s="175">
        <f t="shared" si="129"/>
        <v>1578.8461538461538</v>
      </c>
      <c r="N76" s="175">
        <f t="shared" si="129"/>
        <v>0</v>
      </c>
      <c r="O76" s="175">
        <f t="shared" si="129"/>
        <v>0</v>
      </c>
      <c r="P76" s="175">
        <f t="shared" si="129"/>
        <v>0</v>
      </c>
      <c r="Q76" s="175">
        <f t="shared" si="129"/>
        <v>0</v>
      </c>
      <c r="R76" s="175">
        <f t="shared" si="129"/>
        <v>41050</v>
      </c>
      <c r="S76" s="175">
        <f t="shared" si="129"/>
        <v>0</v>
      </c>
      <c r="T76" s="175">
        <f t="shared" si="129"/>
        <v>0</v>
      </c>
      <c r="U76" s="175">
        <f t="shared" si="129"/>
        <v>0</v>
      </c>
      <c r="V76" s="175">
        <f t="shared" si="129"/>
        <v>41050</v>
      </c>
      <c r="W76" s="175">
        <f t="shared" si="129"/>
        <v>2545.1</v>
      </c>
      <c r="X76" s="175">
        <f t="shared" si="129"/>
        <v>595.22500000000002</v>
      </c>
      <c r="Y76" s="175">
        <f t="shared" si="129"/>
        <v>5775.7349999999997</v>
      </c>
      <c r="Z76" s="175">
        <f t="shared" si="129"/>
        <v>65.680000000000007</v>
      </c>
      <c r="AA76" s="175">
        <f t="shared" si="129"/>
        <v>28.734999999999999</v>
      </c>
      <c r="AB76" s="175">
        <f t="shared" si="129"/>
        <v>335</v>
      </c>
      <c r="AC76" s="175">
        <f t="shared" si="129"/>
        <v>10356.36</v>
      </c>
      <c r="AD76" s="175">
        <f t="shared" si="129"/>
        <v>106.9136</v>
      </c>
      <c r="AE76" s="170">
        <v>431</v>
      </c>
      <c r="AF76" s="195">
        <f>SUM(AF74:AF75)</f>
        <v>-38134</v>
      </c>
      <c r="AG76" s="69">
        <f t="shared" si="125"/>
        <v>19808.748599999999</v>
      </c>
      <c r="AH76" s="67">
        <v>39729.68</v>
      </c>
      <c r="AI76" s="176">
        <f>AG76-AH76</f>
        <v>-19920.931400000001</v>
      </c>
      <c r="AJ76" s="176">
        <f t="shared" si="127"/>
        <v>-58054.931400000001</v>
      </c>
    </row>
    <row r="77" spans="1:36" hidden="1" x14ac:dyDescent="0.25">
      <c r="A77" s="138"/>
      <c r="B77" s="138"/>
      <c r="C77" s="138"/>
      <c r="D77" s="138"/>
      <c r="E77" s="138"/>
      <c r="F77" s="138"/>
      <c r="G77" s="138"/>
      <c r="H77" s="179"/>
      <c r="I77" s="179">
        <v>79184</v>
      </c>
      <c r="J77" s="179">
        <f>SUM(J74:J75)</f>
        <v>41050</v>
      </c>
      <c r="K77" s="169"/>
      <c r="L77" s="169"/>
      <c r="M77" s="169"/>
      <c r="N77" s="169"/>
      <c r="O77" s="169"/>
      <c r="P77" s="169"/>
      <c r="Q77" s="169"/>
      <c r="R77" s="169"/>
      <c r="S77" s="169"/>
      <c r="T77" s="169"/>
      <c r="U77" s="169"/>
      <c r="V77" s="169"/>
      <c r="W77" s="63">
        <f>SUM(W76:X76)</f>
        <v>3140.3249999999998</v>
      </c>
      <c r="X77" s="169"/>
      <c r="Y77" s="169"/>
      <c r="Z77" s="169"/>
      <c r="AA77" s="169"/>
      <c r="AB77" s="169"/>
      <c r="AC77" s="63">
        <f>SUM(AC76:AD76)</f>
        <v>10463.2736</v>
      </c>
      <c r="AD77" s="169"/>
      <c r="AE77" s="149"/>
      <c r="AF77" s="178"/>
      <c r="AG77" s="178"/>
      <c r="AH77" s="65"/>
      <c r="AI77" s="178"/>
      <c r="AJ77" s="178"/>
    </row>
    <row r="78" spans="1:36" x14ac:dyDescent="0.25">
      <c r="A78" s="138"/>
      <c r="B78" s="138"/>
      <c r="C78" s="138"/>
      <c r="D78" s="138"/>
      <c r="E78" s="138"/>
      <c r="F78" s="138"/>
      <c r="G78" s="138"/>
      <c r="H78" s="179"/>
      <c r="I78" s="179"/>
      <c r="J78" s="179"/>
      <c r="K78" s="169"/>
      <c r="L78" s="169"/>
      <c r="M78" s="169"/>
      <c r="N78" s="169"/>
      <c r="O78" s="169"/>
      <c r="P78" s="169"/>
      <c r="Q78" s="169"/>
      <c r="R78" s="169"/>
      <c r="S78" s="169"/>
      <c r="T78" s="169"/>
      <c r="U78" s="169"/>
      <c r="V78" s="169"/>
      <c r="W78" s="169"/>
      <c r="X78" s="169"/>
      <c r="Y78" s="169"/>
      <c r="Z78" s="169"/>
      <c r="AA78" s="169"/>
      <c r="AB78" s="169"/>
      <c r="AC78" s="169"/>
      <c r="AD78" s="169"/>
      <c r="AE78" s="149"/>
      <c r="AF78" s="178"/>
      <c r="AG78" s="178"/>
      <c r="AH78" s="65"/>
      <c r="AI78" s="178"/>
      <c r="AJ78" s="178"/>
    </row>
    <row r="79" spans="1:36" x14ac:dyDescent="0.25">
      <c r="A79" s="138"/>
      <c r="B79" s="138"/>
      <c r="C79" s="138"/>
      <c r="D79" s="138"/>
      <c r="E79" s="138"/>
      <c r="F79" s="138"/>
      <c r="G79" s="138"/>
      <c r="H79" s="179"/>
      <c r="I79" s="179"/>
      <c r="J79" s="179"/>
      <c r="K79" s="169"/>
      <c r="L79" s="169"/>
      <c r="M79" s="169"/>
      <c r="N79" s="169"/>
      <c r="O79" s="169"/>
      <c r="P79" s="169"/>
      <c r="Q79" s="169"/>
      <c r="R79" s="169"/>
      <c r="S79" s="169"/>
      <c r="T79" s="169"/>
      <c r="U79" s="169"/>
      <c r="V79" s="169"/>
      <c r="W79" s="169"/>
      <c r="X79" s="169"/>
      <c r="Y79" s="169"/>
      <c r="Z79" s="169"/>
      <c r="AA79" s="169"/>
      <c r="AB79" s="169"/>
      <c r="AC79" s="169"/>
      <c r="AD79" s="169"/>
      <c r="AE79" s="149"/>
      <c r="AF79" s="178"/>
      <c r="AG79" s="178"/>
      <c r="AH79" s="65"/>
      <c r="AI79" s="178"/>
      <c r="AJ79" s="178"/>
    </row>
    <row r="80" spans="1:36" hidden="1" x14ac:dyDescent="0.25">
      <c r="A80" s="138"/>
      <c r="B80" s="138"/>
      <c r="C80" s="138"/>
      <c r="D80" s="138"/>
      <c r="E80" s="138"/>
      <c r="F80" s="138"/>
      <c r="G80" s="138"/>
      <c r="H80" s="179"/>
      <c r="I80" s="179"/>
      <c r="J80" s="179"/>
      <c r="K80" s="169"/>
      <c r="L80" s="169"/>
      <c r="M80" s="169"/>
      <c r="N80" s="169"/>
      <c r="O80" s="169"/>
      <c r="P80" s="169"/>
      <c r="Q80" s="169"/>
      <c r="R80" s="169"/>
      <c r="S80" s="169"/>
      <c r="T80" s="169"/>
      <c r="U80" s="169"/>
      <c r="V80" s="169"/>
      <c r="W80" s="169"/>
      <c r="X80" s="169"/>
      <c r="Y80" s="169"/>
      <c r="Z80" s="169"/>
      <c r="AA80" s="169"/>
      <c r="AB80" s="169"/>
      <c r="AC80" s="169"/>
      <c r="AD80" s="169"/>
      <c r="AE80" s="149"/>
      <c r="AF80" s="178"/>
      <c r="AG80" s="178"/>
      <c r="AH80" s="65"/>
      <c r="AI80" s="178"/>
      <c r="AJ80" s="178"/>
    </row>
    <row r="81" spans="1:36" x14ac:dyDescent="0.25">
      <c r="A81" s="138"/>
      <c r="B81" s="138"/>
      <c r="C81" s="138"/>
      <c r="D81" s="138"/>
      <c r="E81" s="138"/>
      <c r="F81" s="138"/>
      <c r="G81" s="138"/>
      <c r="H81" s="179"/>
      <c r="I81" s="179"/>
      <c r="J81" s="179"/>
      <c r="K81" s="169"/>
      <c r="L81" s="169"/>
      <c r="M81" s="169"/>
      <c r="N81" s="169"/>
      <c r="O81" s="169"/>
      <c r="P81" s="169"/>
      <c r="Q81" s="169"/>
      <c r="R81" s="169"/>
      <c r="S81" s="169"/>
      <c r="T81" s="169"/>
      <c r="U81" s="169"/>
      <c r="V81" s="169"/>
      <c r="W81" s="169"/>
      <c r="X81" s="169"/>
      <c r="Y81" s="169"/>
      <c r="Z81" s="169"/>
      <c r="AA81" s="169"/>
      <c r="AB81" s="169"/>
      <c r="AC81" s="169"/>
      <c r="AD81" s="169"/>
      <c r="AE81" s="149"/>
      <c r="AF81" s="178"/>
      <c r="AG81" s="178"/>
      <c r="AH81" s="65"/>
      <c r="AI81" s="178"/>
      <c r="AJ81" s="178"/>
    </row>
    <row r="82" spans="1:36" x14ac:dyDescent="0.25">
      <c r="A82" s="167">
        <v>433</v>
      </c>
      <c r="B82" s="92" t="s">
        <v>2534</v>
      </c>
      <c r="C82" s="168" t="s">
        <v>2535</v>
      </c>
      <c r="D82" s="168" t="s">
        <v>2536</v>
      </c>
      <c r="E82" s="168" t="s">
        <v>2537</v>
      </c>
      <c r="F82" s="74">
        <v>39297</v>
      </c>
      <c r="G82" s="59">
        <f t="shared" ref="G82:G83" si="130">(DATE(2021,12,30)-(F82))/365</f>
        <v>14.419178082191781</v>
      </c>
      <c r="H82" s="57"/>
      <c r="I82" s="57">
        <v>45571</v>
      </c>
      <c r="J82" s="182">
        <v>46712</v>
      </c>
      <c r="K82" s="63"/>
      <c r="L82" s="63">
        <f t="shared" ref="L82:L83" si="131">SUM(J82/2080)</f>
        <v>22.457692307692309</v>
      </c>
      <c r="M82" s="63">
        <f t="shared" ref="M82:M83" si="132">SUM(J82/26)</f>
        <v>1796.6153846153845</v>
      </c>
      <c r="N82" s="63">
        <v>0</v>
      </c>
      <c r="O82" s="169"/>
      <c r="P82" s="63">
        <f>-SUM(N82*0.46)</f>
        <v>0</v>
      </c>
      <c r="Q82" s="63">
        <f t="shared" ref="Q82:Q83" si="133">IF(N82+P82&gt;5000,5000,N82+P82)</f>
        <v>0</v>
      </c>
      <c r="R82" s="63">
        <f t="shared" ref="R82:R83" si="134">Q82+J82</f>
        <v>46712</v>
      </c>
      <c r="S82" s="169"/>
      <c r="T82" s="169"/>
      <c r="U82" s="169"/>
      <c r="V82" s="63">
        <f t="shared" ref="V82:V86" si="135">SUM(R82:U82)</f>
        <v>46712</v>
      </c>
      <c r="W82" s="63">
        <f t="shared" ref="W82:W86" si="136">SUM(V82*$W$7)</f>
        <v>2896.1439999999998</v>
      </c>
      <c r="X82" s="63">
        <f t="shared" ref="X82:X86" si="137">SUM(V82*$X$7)</f>
        <v>677.32400000000007</v>
      </c>
      <c r="Y82" s="63">
        <f t="shared" ref="Y82:Y86" si="138">SUM(V82*$Y$7)</f>
        <v>6572.3783999999996</v>
      </c>
      <c r="Z82" s="63">
        <f t="shared" ref="Z82:Z86" si="139">SUM(V82*$Z$7)</f>
        <v>74.739199999999997</v>
      </c>
      <c r="AA82" s="63">
        <f t="shared" ref="AA82:AA83" si="140">SUM(V82*$AA$7)</f>
        <v>32.698399999999999</v>
      </c>
      <c r="AB82" s="63">
        <f t="shared" ref="AB82:AB83" si="141">SUM($AB$7)</f>
        <v>335</v>
      </c>
      <c r="AC82" s="63">
        <f t="shared" ref="AC82:AC83" si="142">$AC$7</f>
        <v>10356.36</v>
      </c>
      <c r="AD82" s="63">
        <f t="shared" ref="AD82:AD83" si="143">SUM(AB82+AC82)*$AD$7</f>
        <v>106.9136</v>
      </c>
      <c r="AE82" s="170">
        <v>433</v>
      </c>
      <c r="AF82" s="69">
        <f t="shared" ref="AF82:AF86" si="144">SUM(J82-I82)</f>
        <v>1141</v>
      </c>
      <c r="AG82" s="69">
        <f t="shared" ref="AG82:AG87" si="145">SUM(W82:AD82)</f>
        <v>21051.5576</v>
      </c>
      <c r="AH82" s="67">
        <v>21234.03</v>
      </c>
      <c r="AI82" s="69">
        <f t="shared" ref="AI82:AI87" si="146">AG82-AH82</f>
        <v>-182.47239999999874</v>
      </c>
      <c r="AJ82" s="69">
        <f t="shared" ref="AJ82:AJ87" si="147">AF82+AI82</f>
        <v>958.52760000000126</v>
      </c>
    </row>
    <row r="83" spans="1:36" x14ac:dyDescent="0.25">
      <c r="A83" s="167">
        <v>433</v>
      </c>
      <c r="B83" s="92" t="s">
        <v>2538</v>
      </c>
      <c r="C83" s="168" t="s">
        <v>2539</v>
      </c>
      <c r="D83" s="185" t="s">
        <v>3762</v>
      </c>
      <c r="E83" s="185" t="s">
        <v>3763</v>
      </c>
      <c r="F83" s="87">
        <v>33100</v>
      </c>
      <c r="G83" s="59">
        <f t="shared" si="130"/>
        <v>31.397260273972602</v>
      </c>
      <c r="H83" s="57"/>
      <c r="I83" s="57">
        <v>47049</v>
      </c>
      <c r="J83" s="57">
        <v>47049</v>
      </c>
      <c r="K83" s="63"/>
      <c r="L83" s="63">
        <f t="shared" si="131"/>
        <v>22.619711538461537</v>
      </c>
      <c r="M83" s="63">
        <f t="shared" si="132"/>
        <v>1809.5769230769231</v>
      </c>
      <c r="N83" s="63">
        <v>0</v>
      </c>
      <c r="O83" s="169"/>
      <c r="P83" s="169"/>
      <c r="Q83" s="63">
        <f t="shared" si="133"/>
        <v>0</v>
      </c>
      <c r="R83" s="63">
        <f t="shared" si="134"/>
        <v>47049</v>
      </c>
      <c r="S83" s="169"/>
      <c r="T83" s="169"/>
      <c r="U83" s="169"/>
      <c r="V83" s="63">
        <f t="shared" si="135"/>
        <v>47049</v>
      </c>
      <c r="W83" s="63">
        <f t="shared" si="136"/>
        <v>2917.038</v>
      </c>
      <c r="X83" s="63">
        <f t="shared" si="137"/>
        <v>682.21050000000002</v>
      </c>
      <c r="Y83" s="63">
        <f t="shared" si="138"/>
        <v>6619.7942999999996</v>
      </c>
      <c r="Z83" s="63">
        <f t="shared" si="139"/>
        <v>75.278400000000005</v>
      </c>
      <c r="AA83" s="63">
        <f t="shared" si="140"/>
        <v>32.9343</v>
      </c>
      <c r="AB83" s="63">
        <f t="shared" si="141"/>
        <v>335</v>
      </c>
      <c r="AC83" s="63">
        <f t="shared" si="142"/>
        <v>10356.36</v>
      </c>
      <c r="AD83" s="63">
        <f t="shared" si="143"/>
        <v>106.9136</v>
      </c>
      <c r="AE83" s="170">
        <v>433</v>
      </c>
      <c r="AF83" s="69">
        <f t="shared" si="144"/>
        <v>0</v>
      </c>
      <c r="AG83" s="69">
        <f t="shared" si="145"/>
        <v>21125.5291</v>
      </c>
      <c r="AH83" s="67">
        <v>21572.49</v>
      </c>
      <c r="AI83" s="69">
        <f t="shared" si="146"/>
        <v>-446.96090000000186</v>
      </c>
      <c r="AJ83" s="69">
        <f t="shared" si="147"/>
        <v>-446.96090000000186</v>
      </c>
    </row>
    <row r="84" spans="1:36" x14ac:dyDescent="0.25">
      <c r="A84" s="167">
        <v>433</v>
      </c>
      <c r="B84" s="92" t="s">
        <v>2542</v>
      </c>
      <c r="C84" s="168" t="s">
        <v>2543</v>
      </c>
      <c r="D84" s="168" t="s">
        <v>2544</v>
      </c>
      <c r="E84" s="168" t="s">
        <v>2527</v>
      </c>
      <c r="F84" s="58">
        <v>39269</v>
      </c>
      <c r="G84" s="167" t="s">
        <v>2422</v>
      </c>
      <c r="H84" s="57"/>
      <c r="I84" s="57">
        <v>9000</v>
      </c>
      <c r="J84" s="57">
        <v>9000</v>
      </c>
      <c r="K84" s="63"/>
      <c r="L84" s="63">
        <v>4.33</v>
      </c>
      <c r="M84" s="63">
        <v>346.15</v>
      </c>
      <c r="N84" s="63" t="s">
        <v>27</v>
      </c>
      <c r="O84" s="169"/>
      <c r="P84" s="169"/>
      <c r="Q84" s="63">
        <v>0</v>
      </c>
      <c r="R84" s="63">
        <v>9000</v>
      </c>
      <c r="S84" s="169"/>
      <c r="T84" s="169"/>
      <c r="U84" s="169"/>
      <c r="V84" s="63">
        <f t="shared" si="135"/>
        <v>9000</v>
      </c>
      <c r="W84" s="63">
        <f t="shared" si="136"/>
        <v>558</v>
      </c>
      <c r="X84" s="63">
        <f t="shared" si="137"/>
        <v>130.5</v>
      </c>
      <c r="Y84" s="63">
        <f t="shared" si="138"/>
        <v>1266.3</v>
      </c>
      <c r="Z84" s="63">
        <f t="shared" si="139"/>
        <v>14.4</v>
      </c>
      <c r="AA84" s="82" t="s">
        <v>2420</v>
      </c>
      <c r="AB84" s="82" t="s">
        <v>2420</v>
      </c>
      <c r="AC84" s="82" t="s">
        <v>2420</v>
      </c>
      <c r="AD84" s="82" t="s">
        <v>2420</v>
      </c>
      <c r="AE84" s="170">
        <v>433</v>
      </c>
      <c r="AF84" s="69">
        <f t="shared" si="144"/>
        <v>0</v>
      </c>
      <c r="AG84" s="69">
        <f t="shared" si="145"/>
        <v>1969.2</v>
      </c>
      <c r="AH84" s="67">
        <v>2054.6999999999998</v>
      </c>
      <c r="AI84" s="69">
        <f t="shared" si="146"/>
        <v>-85.499999999999773</v>
      </c>
      <c r="AJ84" s="69">
        <f t="shared" si="147"/>
        <v>-85.499999999999773</v>
      </c>
    </row>
    <row r="85" spans="1:36" x14ac:dyDescent="0.25">
      <c r="A85" s="167">
        <v>433</v>
      </c>
      <c r="B85" s="92" t="s">
        <v>2542</v>
      </c>
      <c r="C85" s="181" t="s">
        <v>2545</v>
      </c>
      <c r="D85" s="181" t="s">
        <v>2544</v>
      </c>
      <c r="E85" s="181" t="s">
        <v>2546</v>
      </c>
      <c r="F85" s="87">
        <v>39269</v>
      </c>
      <c r="G85" s="189" t="s">
        <v>2422</v>
      </c>
      <c r="H85" s="57"/>
      <c r="I85" s="57">
        <v>1405.07</v>
      </c>
      <c r="J85" s="57">
        <v>1405.07</v>
      </c>
      <c r="K85" s="63"/>
      <c r="L85" s="63">
        <v>0.52</v>
      </c>
      <c r="M85" s="63">
        <v>41.62</v>
      </c>
      <c r="N85" s="63" t="s">
        <v>27</v>
      </c>
      <c r="O85" s="169"/>
      <c r="P85" s="169"/>
      <c r="Q85" s="63">
        <v>0</v>
      </c>
      <c r="R85" s="63">
        <f>Q85+J85</f>
        <v>1405.07</v>
      </c>
      <c r="S85" s="169"/>
      <c r="T85" s="169"/>
      <c r="U85" s="169"/>
      <c r="V85" s="63">
        <f t="shared" si="135"/>
        <v>1405.07</v>
      </c>
      <c r="W85" s="63">
        <f t="shared" si="136"/>
        <v>87.114339999999999</v>
      </c>
      <c r="X85" s="63">
        <f t="shared" si="137"/>
        <v>20.373515000000001</v>
      </c>
      <c r="Y85" s="63">
        <f t="shared" si="138"/>
        <v>197.69334899999998</v>
      </c>
      <c r="Z85" s="63">
        <f t="shared" si="139"/>
        <v>2.2481119999999999</v>
      </c>
      <c r="AA85" s="82" t="s">
        <v>2420</v>
      </c>
      <c r="AB85" s="82" t="s">
        <v>2420</v>
      </c>
      <c r="AC85" s="82" t="s">
        <v>2420</v>
      </c>
      <c r="AD85" s="82" t="s">
        <v>2420</v>
      </c>
      <c r="AE85" s="170">
        <v>433</v>
      </c>
      <c r="AF85" s="69">
        <f t="shared" si="144"/>
        <v>0</v>
      </c>
      <c r="AG85" s="69">
        <f t="shared" si="145"/>
        <v>307.42931599999997</v>
      </c>
      <c r="AH85" s="67">
        <v>320.77999999999997</v>
      </c>
      <c r="AI85" s="69">
        <f t="shared" si="146"/>
        <v>-13.350684000000001</v>
      </c>
      <c r="AJ85" s="69">
        <f t="shared" si="147"/>
        <v>-13.350684000000001</v>
      </c>
    </row>
    <row r="86" spans="1:36" x14ac:dyDescent="0.25">
      <c r="A86" s="167">
        <v>433</v>
      </c>
      <c r="B86" s="167">
        <v>433003</v>
      </c>
      <c r="C86" s="168" t="s">
        <v>2525</v>
      </c>
      <c r="D86" s="138"/>
      <c r="E86" s="138"/>
      <c r="F86" s="138"/>
      <c r="G86" s="138"/>
      <c r="H86" s="57"/>
      <c r="I86" s="57">
        <v>8320</v>
      </c>
      <c r="J86" s="171">
        <v>8320</v>
      </c>
      <c r="K86" s="173"/>
      <c r="L86" s="173"/>
      <c r="M86" s="173"/>
      <c r="N86" s="172" t="s">
        <v>27</v>
      </c>
      <c r="O86" s="173"/>
      <c r="P86" s="173"/>
      <c r="Q86" s="172">
        <v>0</v>
      </c>
      <c r="R86" s="172">
        <v>8320</v>
      </c>
      <c r="S86" s="173"/>
      <c r="T86" s="173"/>
      <c r="U86" s="173"/>
      <c r="V86" s="172">
        <f t="shared" si="135"/>
        <v>8320</v>
      </c>
      <c r="W86" s="172">
        <f t="shared" si="136"/>
        <v>515.84</v>
      </c>
      <c r="X86" s="172">
        <f t="shared" si="137"/>
        <v>120.64</v>
      </c>
      <c r="Y86" s="172">
        <f t="shared" si="138"/>
        <v>1170.624</v>
      </c>
      <c r="Z86" s="172">
        <f t="shared" si="139"/>
        <v>13.312000000000001</v>
      </c>
      <c r="AA86" s="172">
        <f>SUM(V86*$AA$7)</f>
        <v>5.8239999999999998</v>
      </c>
      <c r="AB86" s="172" t="s">
        <v>2422</v>
      </c>
      <c r="AC86" s="172" t="s">
        <v>2422</v>
      </c>
      <c r="AD86" s="172" t="s">
        <v>2422</v>
      </c>
      <c r="AE86" s="170">
        <v>433</v>
      </c>
      <c r="AF86" s="69">
        <f t="shared" si="144"/>
        <v>0</v>
      </c>
      <c r="AG86" s="69">
        <f t="shared" si="145"/>
        <v>1826.24</v>
      </c>
      <c r="AH86" s="67">
        <v>1905.28</v>
      </c>
      <c r="AI86" s="69">
        <f t="shared" si="146"/>
        <v>-79.039999999999964</v>
      </c>
      <c r="AJ86" s="69">
        <f t="shared" si="147"/>
        <v>-79.039999999999964</v>
      </c>
    </row>
    <row r="87" spans="1:36" x14ac:dyDescent="0.25">
      <c r="A87" s="167">
        <v>433</v>
      </c>
      <c r="B87" s="138"/>
      <c r="C87" s="138"/>
      <c r="D87" s="138"/>
      <c r="E87" s="138"/>
      <c r="F87" s="138"/>
      <c r="G87" s="138"/>
      <c r="H87" s="68"/>
      <c r="I87" s="174">
        <f t="shared" ref="I87:J87" si="148">SUM(I82:I86)</f>
        <v>111345.07</v>
      </c>
      <c r="J87" s="174">
        <f t="shared" si="148"/>
        <v>112486.07</v>
      </c>
      <c r="K87" s="175"/>
      <c r="L87" s="175">
        <f t="shared" ref="L87:AD87" si="149">SUM(L81:L86)</f>
        <v>49.927403846153844</v>
      </c>
      <c r="M87" s="175">
        <f t="shared" si="149"/>
        <v>3993.9623076923076</v>
      </c>
      <c r="N87" s="175">
        <f t="shared" si="149"/>
        <v>0</v>
      </c>
      <c r="O87" s="175">
        <f t="shared" si="149"/>
        <v>0</v>
      </c>
      <c r="P87" s="175">
        <f t="shared" si="149"/>
        <v>0</v>
      </c>
      <c r="Q87" s="175">
        <f t="shared" si="149"/>
        <v>0</v>
      </c>
      <c r="R87" s="175">
        <f t="shared" si="149"/>
        <v>112486.07</v>
      </c>
      <c r="S87" s="175">
        <f t="shared" si="149"/>
        <v>0</v>
      </c>
      <c r="T87" s="175">
        <f t="shared" si="149"/>
        <v>0</v>
      </c>
      <c r="U87" s="175">
        <f t="shared" si="149"/>
        <v>0</v>
      </c>
      <c r="V87" s="175">
        <f t="shared" si="149"/>
        <v>112486.07</v>
      </c>
      <c r="W87" s="175">
        <f t="shared" si="149"/>
        <v>6974.13634</v>
      </c>
      <c r="X87" s="175">
        <f t="shared" si="149"/>
        <v>1631.0480150000003</v>
      </c>
      <c r="Y87" s="175">
        <f t="shared" si="149"/>
        <v>15826.790048999997</v>
      </c>
      <c r="Z87" s="175">
        <f t="shared" si="149"/>
        <v>179.97771200000003</v>
      </c>
      <c r="AA87" s="175">
        <f t="shared" si="149"/>
        <v>71.456699999999998</v>
      </c>
      <c r="AB87" s="175">
        <f t="shared" si="149"/>
        <v>670</v>
      </c>
      <c r="AC87" s="175">
        <f t="shared" si="149"/>
        <v>20712.72</v>
      </c>
      <c r="AD87" s="175">
        <f t="shared" si="149"/>
        <v>213.8272</v>
      </c>
      <c r="AE87" s="170">
        <v>433</v>
      </c>
      <c r="AF87" s="195">
        <f>SUM(AF82:AF86)</f>
        <v>1141</v>
      </c>
      <c r="AG87" s="69">
        <f t="shared" si="145"/>
        <v>46279.956015999996</v>
      </c>
      <c r="AH87" s="67">
        <v>47087.28</v>
      </c>
      <c r="AI87" s="176">
        <f t="shared" si="146"/>
        <v>-807.32398400000238</v>
      </c>
      <c r="AJ87" s="176">
        <f t="shared" si="147"/>
        <v>333.67601599999762</v>
      </c>
    </row>
    <row r="88" spans="1:36" hidden="1" x14ac:dyDescent="0.25">
      <c r="A88" s="138"/>
      <c r="B88" s="138"/>
      <c r="C88" s="138"/>
      <c r="D88" s="138"/>
      <c r="E88" s="138"/>
      <c r="F88" s="138"/>
      <c r="G88" s="138"/>
      <c r="H88" s="78"/>
      <c r="I88" s="78">
        <v>92620</v>
      </c>
      <c r="J88" s="78">
        <f>SUM(J82:J83)</f>
        <v>93761</v>
      </c>
      <c r="K88" s="169"/>
      <c r="L88" s="169"/>
      <c r="M88" s="169"/>
      <c r="N88" s="169"/>
      <c r="O88" s="169"/>
      <c r="P88" s="169"/>
      <c r="Q88" s="169"/>
      <c r="R88" s="169"/>
      <c r="S88" s="169"/>
      <c r="T88" s="169"/>
      <c r="U88" s="169"/>
      <c r="V88" s="169"/>
      <c r="W88" s="63">
        <f>SUM(W87:X87)</f>
        <v>8605.1843550000012</v>
      </c>
      <c r="X88" s="169"/>
      <c r="Y88" s="169"/>
      <c r="Z88" s="169"/>
      <c r="AA88" s="169"/>
      <c r="AB88" s="169"/>
      <c r="AC88" s="63">
        <f>SUM(AC87:AD87)</f>
        <v>20926.547200000001</v>
      </c>
      <c r="AD88" s="169"/>
      <c r="AE88" s="149"/>
      <c r="AF88" s="69">
        <f>SUM(AF82:AF86)</f>
        <v>1141</v>
      </c>
      <c r="AG88" s="178"/>
      <c r="AH88" s="65"/>
      <c r="AI88" s="69">
        <f t="shared" ref="AI88:AJ88" si="150">SUM(AI82:AI86)</f>
        <v>-807.32398400000034</v>
      </c>
      <c r="AJ88" s="69">
        <f t="shared" si="150"/>
        <v>333.67601599999966</v>
      </c>
    </row>
    <row r="89" spans="1:36" x14ac:dyDescent="0.25">
      <c r="A89" s="138"/>
      <c r="B89" s="138"/>
      <c r="C89" s="138"/>
      <c r="D89" s="138"/>
      <c r="E89" s="138"/>
      <c r="F89" s="138"/>
      <c r="G89" s="138"/>
      <c r="H89" s="179"/>
      <c r="I89" s="179"/>
      <c r="J89" s="179"/>
      <c r="K89" s="169"/>
      <c r="L89" s="169"/>
      <c r="M89" s="169"/>
      <c r="N89" s="169"/>
      <c r="O89" s="169"/>
      <c r="P89" s="169"/>
      <c r="Q89" s="169"/>
      <c r="R89" s="169"/>
      <c r="S89" s="169"/>
      <c r="T89" s="169"/>
      <c r="U89" s="169"/>
      <c r="V89" s="169"/>
      <c r="W89" s="169"/>
      <c r="X89" s="169"/>
      <c r="Y89" s="169"/>
      <c r="Z89" s="169"/>
      <c r="AA89" s="169"/>
      <c r="AB89" s="169"/>
      <c r="AC89" s="169"/>
      <c r="AD89" s="169"/>
      <c r="AE89" s="149"/>
      <c r="AF89" s="178"/>
      <c r="AG89" s="178"/>
      <c r="AH89" s="65"/>
      <c r="AI89" s="178"/>
      <c r="AJ89" s="178"/>
    </row>
    <row r="90" spans="1:36" x14ac:dyDescent="0.25">
      <c r="A90" s="138"/>
      <c r="B90" s="138"/>
      <c r="C90" s="138"/>
      <c r="D90" s="138"/>
      <c r="E90" s="138"/>
      <c r="F90" s="138"/>
      <c r="G90" s="138"/>
      <c r="H90" s="179"/>
      <c r="I90" s="179"/>
      <c r="J90" s="179"/>
      <c r="K90" s="169"/>
      <c r="L90" s="169"/>
      <c r="M90" s="169"/>
      <c r="N90" s="169"/>
      <c r="O90" s="169"/>
      <c r="P90" s="169"/>
      <c r="Q90" s="169"/>
      <c r="R90" s="169"/>
      <c r="S90" s="169"/>
      <c r="T90" s="169"/>
      <c r="U90" s="169"/>
      <c r="V90" s="169"/>
      <c r="W90" s="169"/>
      <c r="X90" s="169"/>
      <c r="Y90" s="169"/>
      <c r="Z90" s="169"/>
      <c r="AA90" s="169"/>
      <c r="AB90" s="169"/>
      <c r="AC90" s="169"/>
      <c r="AD90" s="169"/>
      <c r="AE90" s="149"/>
      <c r="AF90" s="178"/>
      <c r="AG90" s="178"/>
      <c r="AH90" s="65"/>
      <c r="AI90" s="178"/>
      <c r="AJ90" s="178"/>
    </row>
    <row r="91" spans="1:36" x14ac:dyDescent="0.25">
      <c r="A91" s="167">
        <v>434</v>
      </c>
      <c r="B91" s="92">
        <v>17301</v>
      </c>
      <c r="C91" s="168" t="s">
        <v>2547</v>
      </c>
      <c r="D91" s="168" t="s">
        <v>2548</v>
      </c>
      <c r="E91" s="168" t="s">
        <v>2549</v>
      </c>
      <c r="F91" s="74">
        <v>42891</v>
      </c>
      <c r="G91" s="59">
        <f t="shared" ref="G91:G93" si="151">(DATE(2021,12,30)-(F91))/365</f>
        <v>4.5726027397260278</v>
      </c>
      <c r="H91" s="57"/>
      <c r="I91" s="57">
        <v>81900</v>
      </c>
      <c r="J91" s="182">
        <v>83401</v>
      </c>
      <c r="K91" s="63"/>
      <c r="L91" s="63">
        <f t="shared" ref="L91:L93" si="152">SUM(J91/2080)</f>
        <v>40.096634615384616</v>
      </c>
      <c r="M91" s="63">
        <f t="shared" ref="M91:M93" si="153">SUM(J91/26)</f>
        <v>3207.7307692307691</v>
      </c>
      <c r="N91" s="63">
        <f>IF(G91&lt;4,0,(G91-1)*$N$7)</f>
        <v>943.1671232876713</v>
      </c>
      <c r="O91" s="169"/>
      <c r="P91" s="169"/>
      <c r="Q91" s="63">
        <f t="shared" ref="Q91:Q93" si="154">IF(N91+P91&gt;5000,5000,N91+P91)</f>
        <v>943.1671232876713</v>
      </c>
      <c r="R91" s="63">
        <f t="shared" ref="R91:R95" si="155">Q91+J91</f>
        <v>84344.167123287669</v>
      </c>
      <c r="S91" s="169"/>
      <c r="T91" s="169"/>
      <c r="U91" s="169"/>
      <c r="V91" s="63">
        <f t="shared" ref="V91:V95" si="156">SUM(R91:U91)</f>
        <v>84344.167123287669</v>
      </c>
      <c r="W91" s="63">
        <f t="shared" ref="W91:W95" si="157">SUM(V91*$W$7)</f>
        <v>5229.338361643835</v>
      </c>
      <c r="X91" s="63">
        <f t="shared" ref="X91:X95" si="158">SUM(V91*$X$7)</f>
        <v>1222.9904232876713</v>
      </c>
      <c r="Y91" s="63">
        <f t="shared" ref="Y91:Y95" si="159">SUM(V91*$Y$7)</f>
        <v>11867.224314246574</v>
      </c>
      <c r="Z91" s="63">
        <f t="shared" ref="Z91:Z95" si="160">SUM(V91*$Z$7)</f>
        <v>134.95066739726028</v>
      </c>
      <c r="AA91" s="63">
        <f t="shared" ref="AA91:AA95" si="161">SUM(V91*$AA$7)</f>
        <v>59.040916986301369</v>
      </c>
      <c r="AB91" s="63">
        <f t="shared" ref="AB91:AB93" si="162">SUM($AB$7)</f>
        <v>335</v>
      </c>
      <c r="AC91" s="63">
        <f t="shared" ref="AC91:AC93" si="163">$AC$7</f>
        <v>10356.36</v>
      </c>
      <c r="AD91" s="63">
        <f t="shared" ref="AD91:AD93" si="164">SUM(AB91+AC91)*$AD$7</f>
        <v>106.9136</v>
      </c>
      <c r="AE91" s="170">
        <v>434</v>
      </c>
      <c r="AF91" s="69">
        <f t="shared" ref="AF91:AF95" si="165">SUM(J91-I91)</f>
        <v>1501</v>
      </c>
      <c r="AG91" s="69">
        <f t="shared" ref="AG91:AG96" si="166">SUM(W91:AD91)</f>
        <v>29311.818283561643</v>
      </c>
      <c r="AH91" s="67">
        <v>29553.37</v>
      </c>
      <c r="AI91" s="69">
        <f t="shared" ref="AI91:AI96" si="167">AG91-AH91</f>
        <v>-241.55171643835638</v>
      </c>
      <c r="AJ91" s="69">
        <f t="shared" ref="AJ91:AJ96" si="168">AF91+AI91</f>
        <v>1259.4482835616436</v>
      </c>
    </row>
    <row r="92" spans="1:36" x14ac:dyDescent="0.25">
      <c r="A92" s="167">
        <v>434</v>
      </c>
      <c r="B92" s="92">
        <v>17302</v>
      </c>
      <c r="C92" s="168" t="s">
        <v>2550</v>
      </c>
      <c r="D92" s="168" t="s">
        <v>2551</v>
      </c>
      <c r="E92" s="168" t="s">
        <v>2552</v>
      </c>
      <c r="F92" s="58">
        <v>41831</v>
      </c>
      <c r="G92" s="59">
        <f t="shared" si="151"/>
        <v>7.4767123287671229</v>
      </c>
      <c r="H92" s="57"/>
      <c r="I92" s="57">
        <v>38683</v>
      </c>
      <c r="J92" s="57">
        <v>38683</v>
      </c>
      <c r="K92" s="63"/>
      <c r="L92" s="63">
        <f t="shared" si="152"/>
        <v>18.597596153846155</v>
      </c>
      <c r="M92" s="63">
        <f t="shared" si="153"/>
        <v>1487.8076923076924</v>
      </c>
      <c r="N92" s="63">
        <v>0</v>
      </c>
      <c r="O92" s="169"/>
      <c r="P92" s="169"/>
      <c r="Q92" s="63">
        <f t="shared" si="154"/>
        <v>0</v>
      </c>
      <c r="R92" s="63">
        <f t="shared" si="155"/>
        <v>38683</v>
      </c>
      <c r="S92" s="169"/>
      <c r="T92" s="169"/>
      <c r="U92" s="169"/>
      <c r="V92" s="63">
        <f t="shared" si="156"/>
        <v>38683</v>
      </c>
      <c r="W92" s="63">
        <f t="shared" si="157"/>
        <v>2398.346</v>
      </c>
      <c r="X92" s="63">
        <f t="shared" si="158"/>
        <v>560.90350000000001</v>
      </c>
      <c r="Y92" s="63">
        <f t="shared" si="159"/>
        <v>5442.6980999999996</v>
      </c>
      <c r="Z92" s="63">
        <f t="shared" si="160"/>
        <v>61.892800000000001</v>
      </c>
      <c r="AA92" s="63">
        <f t="shared" si="161"/>
        <v>27.078099999999999</v>
      </c>
      <c r="AB92" s="63">
        <f t="shared" si="162"/>
        <v>335</v>
      </c>
      <c r="AC92" s="63">
        <f t="shared" si="163"/>
        <v>10356.36</v>
      </c>
      <c r="AD92" s="63">
        <f t="shared" si="164"/>
        <v>106.9136</v>
      </c>
      <c r="AE92" s="170">
        <v>434</v>
      </c>
      <c r="AF92" s="69">
        <f t="shared" si="165"/>
        <v>0</v>
      </c>
      <c r="AG92" s="69">
        <f t="shared" si="166"/>
        <v>19289.1921</v>
      </c>
      <c r="AH92" s="67">
        <v>19656.68</v>
      </c>
      <c r="AI92" s="69">
        <f t="shared" si="167"/>
        <v>-367.48790000000008</v>
      </c>
      <c r="AJ92" s="69">
        <f t="shared" si="168"/>
        <v>-367.48790000000008</v>
      </c>
    </row>
    <row r="93" spans="1:36" x14ac:dyDescent="0.25">
      <c r="A93" s="167">
        <v>434</v>
      </c>
      <c r="B93" s="92">
        <v>17303</v>
      </c>
      <c r="C93" s="168" t="s">
        <v>2553</v>
      </c>
      <c r="D93" s="168" t="s">
        <v>2554</v>
      </c>
      <c r="E93" s="168" t="s">
        <v>2555</v>
      </c>
      <c r="F93" s="58">
        <v>42588</v>
      </c>
      <c r="G93" s="59">
        <f t="shared" si="151"/>
        <v>5.4027397260273968</v>
      </c>
      <c r="H93" s="57"/>
      <c r="I93" s="57">
        <v>42965</v>
      </c>
      <c r="J93" s="57">
        <v>42965</v>
      </c>
      <c r="K93" s="63"/>
      <c r="L93" s="63">
        <f t="shared" si="152"/>
        <v>20.65625</v>
      </c>
      <c r="M93" s="63">
        <f t="shared" si="153"/>
        <v>1652.5</v>
      </c>
      <c r="N93" s="63">
        <v>0</v>
      </c>
      <c r="O93" s="169"/>
      <c r="P93" s="169"/>
      <c r="Q93" s="63">
        <f t="shared" si="154"/>
        <v>0</v>
      </c>
      <c r="R93" s="63">
        <f t="shared" si="155"/>
        <v>42965</v>
      </c>
      <c r="S93" s="169"/>
      <c r="T93" s="169"/>
      <c r="U93" s="169"/>
      <c r="V93" s="63">
        <f t="shared" si="156"/>
        <v>42965</v>
      </c>
      <c r="W93" s="63">
        <f t="shared" si="157"/>
        <v>2663.83</v>
      </c>
      <c r="X93" s="63">
        <f t="shared" si="158"/>
        <v>622.99250000000006</v>
      </c>
      <c r="Y93" s="63">
        <f t="shared" si="159"/>
        <v>6045.1754999999994</v>
      </c>
      <c r="Z93" s="63">
        <f t="shared" si="160"/>
        <v>68.744</v>
      </c>
      <c r="AA93" s="63">
        <f t="shared" si="161"/>
        <v>30.075499999999998</v>
      </c>
      <c r="AB93" s="63">
        <f t="shared" si="162"/>
        <v>335</v>
      </c>
      <c r="AC93" s="63">
        <f t="shared" si="163"/>
        <v>10356.36</v>
      </c>
      <c r="AD93" s="63">
        <f t="shared" si="164"/>
        <v>106.9136</v>
      </c>
      <c r="AE93" s="170">
        <v>434</v>
      </c>
      <c r="AF93" s="69">
        <f t="shared" si="165"/>
        <v>0</v>
      </c>
      <c r="AG93" s="69">
        <f t="shared" si="166"/>
        <v>20229.091100000001</v>
      </c>
      <c r="AH93" s="67">
        <v>20637.259999999998</v>
      </c>
      <c r="AI93" s="69">
        <f t="shared" si="167"/>
        <v>-408.16889999999694</v>
      </c>
      <c r="AJ93" s="69">
        <f t="shared" si="168"/>
        <v>-408.16889999999694</v>
      </c>
    </row>
    <row r="94" spans="1:36" x14ac:dyDescent="0.25">
      <c r="A94" s="167">
        <v>434</v>
      </c>
      <c r="B94" s="92">
        <v>17304</v>
      </c>
      <c r="C94" s="168" t="s">
        <v>2556</v>
      </c>
      <c r="D94" s="168" t="s">
        <v>2557</v>
      </c>
      <c r="E94" s="168" t="s">
        <v>2558</v>
      </c>
      <c r="F94" s="58">
        <v>38530</v>
      </c>
      <c r="G94" s="167" t="s">
        <v>2422</v>
      </c>
      <c r="H94" s="57"/>
      <c r="I94" s="57">
        <v>9000</v>
      </c>
      <c r="J94" s="57">
        <v>9000</v>
      </c>
      <c r="K94" s="63"/>
      <c r="L94" s="63">
        <v>4.33</v>
      </c>
      <c r="M94" s="63">
        <v>346.15</v>
      </c>
      <c r="N94" s="63">
        <v>0</v>
      </c>
      <c r="O94" s="169"/>
      <c r="P94" s="169"/>
      <c r="Q94" s="63">
        <v>0</v>
      </c>
      <c r="R94" s="63">
        <f t="shared" si="155"/>
        <v>9000</v>
      </c>
      <c r="S94" s="169"/>
      <c r="T94" s="169"/>
      <c r="U94" s="169"/>
      <c r="V94" s="63">
        <f t="shared" si="156"/>
        <v>9000</v>
      </c>
      <c r="W94" s="63">
        <f t="shared" si="157"/>
        <v>558</v>
      </c>
      <c r="X94" s="63">
        <f t="shared" si="158"/>
        <v>130.5</v>
      </c>
      <c r="Y94" s="63">
        <f t="shared" si="159"/>
        <v>1266.3</v>
      </c>
      <c r="Z94" s="63">
        <f t="shared" si="160"/>
        <v>14.4</v>
      </c>
      <c r="AA94" s="63">
        <f t="shared" si="161"/>
        <v>6.3</v>
      </c>
      <c r="AB94" s="63" t="s">
        <v>2422</v>
      </c>
      <c r="AC94" s="63" t="s">
        <v>2422</v>
      </c>
      <c r="AD94" s="63" t="s">
        <v>2422</v>
      </c>
      <c r="AE94" s="170">
        <v>434</v>
      </c>
      <c r="AF94" s="69">
        <f t="shared" si="165"/>
        <v>0</v>
      </c>
      <c r="AG94" s="69">
        <f t="shared" si="166"/>
        <v>1975.5</v>
      </c>
      <c r="AH94" s="67">
        <v>2061</v>
      </c>
      <c r="AI94" s="69">
        <f t="shared" si="167"/>
        <v>-85.5</v>
      </c>
      <c r="AJ94" s="69">
        <f t="shared" si="168"/>
        <v>-85.5</v>
      </c>
    </row>
    <row r="95" spans="1:36" x14ac:dyDescent="0.25">
      <c r="A95" s="167">
        <v>434</v>
      </c>
      <c r="B95" s="167">
        <v>440002</v>
      </c>
      <c r="C95" s="181" t="s">
        <v>2559</v>
      </c>
      <c r="D95" s="181" t="s">
        <v>2557</v>
      </c>
      <c r="E95" s="181" t="s">
        <v>2560</v>
      </c>
      <c r="F95" s="87">
        <v>38530</v>
      </c>
      <c r="G95" s="189" t="s">
        <v>2422</v>
      </c>
      <c r="H95" s="57"/>
      <c r="I95" s="57">
        <v>9000</v>
      </c>
      <c r="J95" s="171">
        <v>9000</v>
      </c>
      <c r="K95" s="172"/>
      <c r="L95" s="172">
        <v>3.1</v>
      </c>
      <c r="M95" s="172">
        <v>247.98</v>
      </c>
      <c r="N95" s="172">
        <v>0</v>
      </c>
      <c r="O95" s="173"/>
      <c r="P95" s="173"/>
      <c r="Q95" s="172">
        <v>0</v>
      </c>
      <c r="R95" s="172">
        <f t="shared" si="155"/>
        <v>9000</v>
      </c>
      <c r="S95" s="173"/>
      <c r="T95" s="173"/>
      <c r="U95" s="173"/>
      <c r="V95" s="172">
        <f t="shared" si="156"/>
        <v>9000</v>
      </c>
      <c r="W95" s="172">
        <f t="shared" si="157"/>
        <v>558</v>
      </c>
      <c r="X95" s="172">
        <f t="shared" si="158"/>
        <v>130.5</v>
      </c>
      <c r="Y95" s="172">
        <f t="shared" si="159"/>
        <v>1266.3</v>
      </c>
      <c r="Z95" s="172">
        <f t="shared" si="160"/>
        <v>14.4</v>
      </c>
      <c r="AA95" s="172">
        <f t="shared" si="161"/>
        <v>6.3</v>
      </c>
      <c r="AB95" s="172" t="s">
        <v>2422</v>
      </c>
      <c r="AC95" s="172" t="s">
        <v>2422</v>
      </c>
      <c r="AD95" s="172" t="s">
        <v>2422</v>
      </c>
      <c r="AE95" s="170">
        <v>434</v>
      </c>
      <c r="AF95" s="69">
        <f t="shared" si="165"/>
        <v>0</v>
      </c>
      <c r="AG95" s="69">
        <f t="shared" si="166"/>
        <v>1975.5</v>
      </c>
      <c r="AH95" s="67">
        <v>2061</v>
      </c>
      <c r="AI95" s="69">
        <f t="shared" si="167"/>
        <v>-85.5</v>
      </c>
      <c r="AJ95" s="69">
        <f t="shared" si="168"/>
        <v>-85.5</v>
      </c>
    </row>
    <row r="96" spans="1:36" x14ac:dyDescent="0.25">
      <c r="A96" s="167">
        <v>434</v>
      </c>
      <c r="B96" s="138"/>
      <c r="C96" s="138"/>
      <c r="D96" s="138"/>
      <c r="E96" s="138"/>
      <c r="F96" s="138"/>
      <c r="G96" s="138"/>
      <c r="H96" s="68"/>
      <c r="I96" s="174">
        <f t="shared" ref="I96:J96" si="169">SUM(I91:I95)</f>
        <v>181548</v>
      </c>
      <c r="J96" s="174">
        <f t="shared" si="169"/>
        <v>183049</v>
      </c>
      <c r="K96" s="175"/>
      <c r="L96" s="175">
        <f t="shared" ref="L96:AD96" si="170">SUM(L91:L95)</f>
        <v>86.780480769230763</v>
      </c>
      <c r="M96" s="175">
        <f t="shared" si="170"/>
        <v>6942.1684615384602</v>
      </c>
      <c r="N96" s="175">
        <f t="shared" si="170"/>
        <v>943.1671232876713</v>
      </c>
      <c r="O96" s="175">
        <f t="shared" si="170"/>
        <v>0</v>
      </c>
      <c r="P96" s="175">
        <f t="shared" si="170"/>
        <v>0</v>
      </c>
      <c r="Q96" s="175">
        <f t="shared" si="170"/>
        <v>943.1671232876713</v>
      </c>
      <c r="R96" s="175">
        <f t="shared" si="170"/>
        <v>183992.16712328768</v>
      </c>
      <c r="S96" s="175">
        <f t="shared" si="170"/>
        <v>0</v>
      </c>
      <c r="T96" s="175">
        <f t="shared" si="170"/>
        <v>0</v>
      </c>
      <c r="U96" s="175">
        <f t="shared" si="170"/>
        <v>0</v>
      </c>
      <c r="V96" s="175">
        <f t="shared" si="170"/>
        <v>183992.16712328768</v>
      </c>
      <c r="W96" s="175">
        <f t="shared" si="170"/>
        <v>11407.514361643834</v>
      </c>
      <c r="X96" s="175">
        <f t="shared" si="170"/>
        <v>2667.8864232876713</v>
      </c>
      <c r="Y96" s="175">
        <f t="shared" si="170"/>
        <v>25887.697914246572</v>
      </c>
      <c r="Z96" s="175">
        <f t="shared" si="170"/>
        <v>294.38746739726025</v>
      </c>
      <c r="AA96" s="175">
        <f t="shared" si="170"/>
        <v>128.79451698630137</v>
      </c>
      <c r="AB96" s="175">
        <f t="shared" si="170"/>
        <v>1005</v>
      </c>
      <c r="AC96" s="175">
        <f t="shared" si="170"/>
        <v>31069.08</v>
      </c>
      <c r="AD96" s="175">
        <f t="shared" si="170"/>
        <v>320.74080000000004</v>
      </c>
      <c r="AE96" s="170">
        <v>434</v>
      </c>
      <c r="AF96" s="195">
        <f>SUM(AF91:AF95)</f>
        <v>1501</v>
      </c>
      <c r="AG96" s="69">
        <f t="shared" si="166"/>
        <v>72781.101483561652</v>
      </c>
      <c r="AH96" s="67">
        <v>73969.31</v>
      </c>
      <c r="AI96" s="176">
        <f t="shared" si="167"/>
        <v>-1188.2085164383461</v>
      </c>
      <c r="AJ96" s="176">
        <f t="shared" si="168"/>
        <v>312.79148356165388</v>
      </c>
    </row>
    <row r="97" spans="1:36" hidden="1" x14ac:dyDescent="0.25">
      <c r="A97" s="138"/>
      <c r="B97" s="138"/>
      <c r="C97" s="138"/>
      <c r="D97" s="138"/>
      <c r="E97" s="168"/>
      <c r="F97" s="168"/>
      <c r="G97" s="168"/>
      <c r="H97" s="57"/>
      <c r="I97" s="57">
        <v>163548</v>
      </c>
      <c r="J97" s="57">
        <f>SUM(J91:J93)</f>
        <v>165049</v>
      </c>
      <c r="K97" s="168"/>
      <c r="L97" s="168"/>
      <c r="M97" s="169"/>
      <c r="N97" s="169"/>
      <c r="O97" s="169"/>
      <c r="P97" s="169"/>
      <c r="Q97" s="169"/>
      <c r="R97" s="169"/>
      <c r="S97" s="169"/>
      <c r="T97" s="169"/>
      <c r="U97" s="169"/>
      <c r="V97" s="169"/>
      <c r="W97" s="63">
        <f>SUM(W96:X96)</f>
        <v>14075.400784931506</v>
      </c>
      <c r="X97" s="169"/>
      <c r="Y97" s="169"/>
      <c r="Z97" s="169"/>
      <c r="AA97" s="169"/>
      <c r="AB97" s="169"/>
      <c r="AC97" s="63">
        <f>SUM(AC96:AD96)</f>
        <v>31389.820800000001</v>
      </c>
      <c r="AD97" s="169"/>
      <c r="AE97" s="149"/>
      <c r="AF97" s="69">
        <f>SUM(AF91:AF95)</f>
        <v>1501</v>
      </c>
      <c r="AG97" s="178"/>
      <c r="AH97" s="65"/>
      <c r="AI97" s="69">
        <f t="shared" ref="AI97:AJ97" si="171">SUM(AI91:AI95)</f>
        <v>-1188.2085164383534</v>
      </c>
      <c r="AJ97" s="69">
        <f t="shared" si="171"/>
        <v>312.7914835616466</v>
      </c>
    </row>
    <row r="98" spans="1:36" hidden="1" x14ac:dyDescent="0.25">
      <c r="A98" s="138"/>
      <c r="B98" s="201" t="s">
        <v>3764</v>
      </c>
      <c r="C98" s="138"/>
      <c r="D98" s="138"/>
      <c r="E98" s="138"/>
      <c r="F98" s="202"/>
      <c r="G98" s="203"/>
      <c r="H98" s="181"/>
      <c r="I98" s="181"/>
      <c r="J98" s="181"/>
      <c r="K98" s="181"/>
      <c r="L98" s="181"/>
      <c r="M98" s="169"/>
      <c r="N98" s="169"/>
      <c r="O98" s="169"/>
      <c r="P98" s="169"/>
      <c r="Q98" s="169"/>
      <c r="R98" s="169"/>
      <c r="S98" s="169"/>
      <c r="T98" s="169"/>
      <c r="U98" s="169"/>
      <c r="V98" s="169"/>
      <c r="W98" s="63">
        <f>SUM(W96:X96)</f>
        <v>14075.400784931506</v>
      </c>
      <c r="X98" s="169"/>
      <c r="Y98" s="169"/>
      <c r="Z98" s="169"/>
      <c r="AA98" s="169"/>
      <c r="AB98" s="169"/>
      <c r="AC98" s="63">
        <f>SUM(AC96:AD96)</f>
        <v>31389.820800000001</v>
      </c>
      <c r="AD98" s="169"/>
      <c r="AE98" s="149"/>
      <c r="AF98" s="178"/>
      <c r="AG98" s="178"/>
      <c r="AH98" s="65"/>
      <c r="AI98" s="178"/>
      <c r="AJ98" s="178"/>
    </row>
    <row r="99" spans="1:36" x14ac:dyDescent="0.25">
      <c r="A99" s="138"/>
      <c r="B99" s="138"/>
      <c r="C99" s="138"/>
      <c r="D99" s="138"/>
      <c r="E99" s="138"/>
      <c r="F99" s="138"/>
      <c r="G99" s="138"/>
      <c r="H99" s="179"/>
      <c r="I99" s="179"/>
      <c r="J99" s="179"/>
      <c r="K99" s="169"/>
      <c r="L99" s="169"/>
      <c r="M99" s="169"/>
      <c r="N99" s="169"/>
      <c r="O99" s="169"/>
      <c r="P99" s="169"/>
      <c r="Q99" s="169"/>
      <c r="R99" s="169"/>
      <c r="S99" s="169"/>
      <c r="T99" s="169"/>
      <c r="U99" s="169"/>
      <c r="V99" s="169"/>
      <c r="W99" s="169"/>
      <c r="X99" s="169"/>
      <c r="Y99" s="169"/>
      <c r="Z99" s="169"/>
      <c r="AA99" s="169"/>
      <c r="AB99" s="169"/>
      <c r="AC99" s="169"/>
      <c r="AD99" s="169"/>
      <c r="AE99" s="149"/>
      <c r="AF99" s="178"/>
      <c r="AG99" s="178"/>
      <c r="AH99" s="65"/>
      <c r="AI99" s="178"/>
      <c r="AJ99" s="178"/>
    </row>
    <row r="100" spans="1:36" x14ac:dyDescent="0.25">
      <c r="A100" s="138"/>
      <c r="B100" s="138"/>
      <c r="C100" s="138"/>
      <c r="D100" s="138"/>
      <c r="E100" s="138"/>
      <c r="F100" s="138"/>
      <c r="G100" s="138"/>
      <c r="H100" s="179"/>
      <c r="I100" s="179"/>
      <c r="J100" s="179"/>
      <c r="K100" s="169"/>
      <c r="L100" s="169"/>
      <c r="M100" s="169"/>
      <c r="N100" s="169"/>
      <c r="O100" s="169"/>
      <c r="P100" s="169"/>
      <c r="Q100" s="169"/>
      <c r="R100" s="169"/>
      <c r="S100" s="169"/>
      <c r="T100" s="169"/>
      <c r="U100" s="169"/>
      <c r="V100" s="169"/>
      <c r="W100" s="169"/>
      <c r="X100" s="169"/>
      <c r="Y100" s="169"/>
      <c r="Z100" s="169"/>
      <c r="AA100" s="169"/>
      <c r="AB100" s="169"/>
      <c r="AC100" s="169"/>
      <c r="AD100" s="169"/>
      <c r="AE100" s="149"/>
      <c r="AF100" s="178"/>
      <c r="AG100" s="178"/>
      <c r="AH100" s="65"/>
      <c r="AI100" s="178"/>
      <c r="AJ100" s="178"/>
    </row>
    <row r="101" spans="1:36" x14ac:dyDescent="0.25">
      <c r="A101" s="138"/>
      <c r="B101" s="138"/>
      <c r="C101" s="138"/>
      <c r="D101" s="138"/>
      <c r="E101" s="138"/>
      <c r="F101" s="138"/>
      <c r="G101" s="138"/>
      <c r="H101" s="179"/>
      <c r="I101" s="179"/>
      <c r="J101" s="179"/>
      <c r="K101" s="169"/>
      <c r="L101" s="169"/>
      <c r="M101" s="169"/>
      <c r="N101" s="169"/>
      <c r="O101" s="169"/>
      <c r="P101" s="169"/>
      <c r="Q101" s="169"/>
      <c r="R101" s="169"/>
      <c r="S101" s="169"/>
      <c r="T101" s="169"/>
      <c r="U101" s="169"/>
      <c r="V101" s="169"/>
      <c r="W101" s="169"/>
      <c r="X101" s="169"/>
      <c r="Y101" s="169"/>
      <c r="Z101" s="169"/>
      <c r="AA101" s="169"/>
      <c r="AB101" s="169"/>
      <c r="AC101" s="169"/>
      <c r="AD101" s="169"/>
      <c r="AE101" s="149"/>
      <c r="AF101" s="178"/>
      <c r="AG101" s="178"/>
      <c r="AH101" s="65"/>
      <c r="AI101" s="178"/>
      <c r="AJ101" s="178"/>
    </row>
    <row r="102" spans="1:36" x14ac:dyDescent="0.25">
      <c r="A102" s="167">
        <v>435</v>
      </c>
      <c r="B102" s="92">
        <v>39201</v>
      </c>
      <c r="C102" s="168" t="s">
        <v>2561</v>
      </c>
      <c r="D102" s="81" t="s">
        <v>2562</v>
      </c>
      <c r="E102" s="185" t="s">
        <v>2563</v>
      </c>
      <c r="F102" s="74">
        <v>35044</v>
      </c>
      <c r="G102" s="59">
        <f t="shared" ref="G102:G104" si="172">(DATE(2021,12,30)-(F102))/365</f>
        <v>26.07123287671233</v>
      </c>
      <c r="H102" s="57"/>
      <c r="I102" s="57">
        <v>86487</v>
      </c>
      <c r="J102" s="182">
        <v>88072</v>
      </c>
      <c r="K102" s="63"/>
      <c r="L102" s="63">
        <f t="shared" ref="L102:L104" si="173">SUM(J102/2080)</f>
        <v>42.342307692307692</v>
      </c>
      <c r="M102" s="63">
        <f t="shared" ref="M102:M104" si="174">SUM(J102/26)</f>
        <v>3387.3846153846152</v>
      </c>
      <c r="N102" s="63">
        <v>0</v>
      </c>
      <c r="O102" s="169"/>
      <c r="P102" s="169"/>
      <c r="Q102" s="63">
        <f t="shared" ref="Q102:Q104" si="175">IF(N102+P102&gt;5000,5000,N102+P102)</f>
        <v>0</v>
      </c>
      <c r="R102" s="63">
        <f t="shared" ref="R102:R106" si="176">Q102+J102</f>
        <v>88072</v>
      </c>
      <c r="S102" s="169"/>
      <c r="T102" s="169"/>
      <c r="U102" s="169"/>
      <c r="V102" s="63">
        <f t="shared" ref="V102:V106" si="177">SUM(R102:U102)</f>
        <v>88072</v>
      </c>
      <c r="W102" s="63">
        <f t="shared" ref="W102:W106" si="178">SUM(V102*$W$7)</f>
        <v>5460.4639999999999</v>
      </c>
      <c r="X102" s="63">
        <f t="shared" ref="X102:X106" si="179">SUM(V102*$X$7)</f>
        <v>1277.0440000000001</v>
      </c>
      <c r="Y102" s="63">
        <f t="shared" ref="Y102:Y106" si="180">SUM(V102*$Y$7)</f>
        <v>12391.730399999999</v>
      </c>
      <c r="Z102" s="63">
        <f t="shared" ref="Z102:Z106" si="181">SUM(V102*$Z$7)</f>
        <v>140.9152</v>
      </c>
      <c r="AA102" s="63">
        <f t="shared" ref="AA102:AA106" si="182">SUM(V102*$AA$7)</f>
        <v>61.650399999999998</v>
      </c>
      <c r="AB102" s="63">
        <f t="shared" ref="AB102:AB104" si="183">SUM($AB$7)</f>
        <v>335</v>
      </c>
      <c r="AC102" s="63">
        <f t="shared" ref="AC102:AC104" si="184">$AC$7</f>
        <v>10356.36</v>
      </c>
      <c r="AD102" s="63">
        <f t="shared" ref="AD102:AD104" si="185">SUM(AB102+AC102)*$AD$7</f>
        <v>106.9136</v>
      </c>
      <c r="AE102" s="170">
        <v>435</v>
      </c>
      <c r="AF102" s="69">
        <f t="shared" ref="AF102:AF106" si="186">SUM(J102-I102)</f>
        <v>1585</v>
      </c>
      <c r="AG102" s="69">
        <f t="shared" ref="AG102:AG107" si="187">SUM(W102:AD102)</f>
        <v>30130.077599999997</v>
      </c>
      <c r="AH102" s="67">
        <v>30603.8</v>
      </c>
      <c r="AI102" s="69">
        <f t="shared" ref="AI102:AI107" si="188">AG102-AH102</f>
        <v>-473.72240000000238</v>
      </c>
      <c r="AJ102" s="69">
        <f t="shared" ref="AJ102:AJ107" si="189">AF102+AI102</f>
        <v>1111.2775999999976</v>
      </c>
    </row>
    <row r="103" spans="1:36" x14ac:dyDescent="0.25">
      <c r="A103" s="167">
        <v>435</v>
      </c>
      <c r="B103" s="92">
        <v>39202</v>
      </c>
      <c r="C103" s="168" t="s">
        <v>2564</v>
      </c>
      <c r="D103" s="185" t="s">
        <v>2565</v>
      </c>
      <c r="E103" s="185" t="s">
        <v>2566</v>
      </c>
      <c r="F103" s="74">
        <v>35439</v>
      </c>
      <c r="G103" s="59">
        <f t="shared" si="172"/>
        <v>24.989041095890411</v>
      </c>
      <c r="H103" s="57"/>
      <c r="I103" s="57">
        <v>42361</v>
      </c>
      <c r="J103" s="182">
        <v>43137</v>
      </c>
      <c r="K103" s="63"/>
      <c r="L103" s="63">
        <f t="shared" si="173"/>
        <v>20.738942307692309</v>
      </c>
      <c r="M103" s="63">
        <f t="shared" si="174"/>
        <v>1659.1153846153845</v>
      </c>
      <c r="N103" s="63">
        <v>0</v>
      </c>
      <c r="O103" s="169"/>
      <c r="P103" s="169"/>
      <c r="Q103" s="63">
        <f t="shared" si="175"/>
        <v>0</v>
      </c>
      <c r="R103" s="63">
        <f t="shared" si="176"/>
        <v>43137</v>
      </c>
      <c r="S103" s="169"/>
      <c r="T103" s="169"/>
      <c r="U103" s="63">
        <v>1000</v>
      </c>
      <c r="V103" s="63">
        <f t="shared" si="177"/>
        <v>44137</v>
      </c>
      <c r="W103" s="63">
        <f t="shared" si="178"/>
        <v>2736.4940000000001</v>
      </c>
      <c r="X103" s="63">
        <f t="shared" si="179"/>
        <v>639.98649999999998</v>
      </c>
      <c r="Y103" s="63">
        <f t="shared" si="180"/>
        <v>6210.0758999999998</v>
      </c>
      <c r="Z103" s="63">
        <f t="shared" si="181"/>
        <v>70.619200000000006</v>
      </c>
      <c r="AA103" s="63">
        <f t="shared" si="182"/>
        <v>30.895900000000001</v>
      </c>
      <c r="AB103" s="63">
        <f t="shared" si="183"/>
        <v>335</v>
      </c>
      <c r="AC103" s="63">
        <f t="shared" si="184"/>
        <v>10356.36</v>
      </c>
      <c r="AD103" s="63">
        <f t="shared" si="185"/>
        <v>106.9136</v>
      </c>
      <c r="AE103" s="170">
        <v>435</v>
      </c>
      <c r="AF103" s="69">
        <f t="shared" si="186"/>
        <v>776</v>
      </c>
      <c r="AG103" s="69">
        <f t="shared" si="187"/>
        <v>20486.345099999999</v>
      </c>
      <c r="AH103" s="67">
        <v>20727.939999999999</v>
      </c>
      <c r="AI103" s="69">
        <f t="shared" si="188"/>
        <v>-241.59490000000005</v>
      </c>
      <c r="AJ103" s="69">
        <f t="shared" si="189"/>
        <v>534.40509999999995</v>
      </c>
    </row>
    <row r="104" spans="1:36" x14ac:dyDescent="0.25">
      <c r="A104" s="167">
        <v>435</v>
      </c>
      <c r="B104" s="92">
        <v>39203</v>
      </c>
      <c r="C104" s="168" t="s">
        <v>2567</v>
      </c>
      <c r="D104" s="168" t="s">
        <v>2568</v>
      </c>
      <c r="E104" s="168" t="s">
        <v>2569</v>
      </c>
      <c r="F104" s="74">
        <v>42212</v>
      </c>
      <c r="G104" s="59">
        <f t="shared" si="172"/>
        <v>6.4328767123287669</v>
      </c>
      <c r="H104" s="57"/>
      <c r="I104" s="57">
        <v>42965</v>
      </c>
      <c r="J104" s="182">
        <v>43752</v>
      </c>
      <c r="K104" s="63"/>
      <c r="L104" s="63">
        <f t="shared" si="173"/>
        <v>21.034615384615385</v>
      </c>
      <c r="M104" s="63">
        <f t="shared" si="174"/>
        <v>1682.7692307692307</v>
      </c>
      <c r="N104" s="63">
        <v>0</v>
      </c>
      <c r="O104" s="169"/>
      <c r="P104" s="169"/>
      <c r="Q104" s="63">
        <f t="shared" si="175"/>
        <v>0</v>
      </c>
      <c r="R104" s="63">
        <f t="shared" si="176"/>
        <v>43752</v>
      </c>
      <c r="S104" s="169"/>
      <c r="T104" s="169"/>
      <c r="U104" s="169"/>
      <c r="V104" s="63">
        <f t="shared" si="177"/>
        <v>43752</v>
      </c>
      <c r="W104" s="63">
        <f t="shared" si="178"/>
        <v>2712.6239999999998</v>
      </c>
      <c r="X104" s="63">
        <f t="shared" si="179"/>
        <v>634.404</v>
      </c>
      <c r="Y104" s="63">
        <f t="shared" si="180"/>
        <v>6155.9063999999998</v>
      </c>
      <c r="Z104" s="63">
        <f t="shared" si="181"/>
        <v>70.003200000000007</v>
      </c>
      <c r="AA104" s="63">
        <f t="shared" si="182"/>
        <v>30.6264</v>
      </c>
      <c r="AB104" s="63">
        <f t="shared" si="183"/>
        <v>335</v>
      </c>
      <c r="AC104" s="63">
        <f t="shared" si="184"/>
        <v>10356.36</v>
      </c>
      <c r="AD104" s="63">
        <f t="shared" si="185"/>
        <v>106.9136</v>
      </c>
      <c r="AE104" s="170">
        <v>435</v>
      </c>
      <c r="AF104" s="69">
        <f t="shared" si="186"/>
        <v>787</v>
      </c>
      <c r="AG104" s="69">
        <f t="shared" si="187"/>
        <v>20401.837599999999</v>
      </c>
      <c r="AH104" s="67">
        <v>20637.259999999998</v>
      </c>
      <c r="AI104" s="69">
        <f t="shared" si="188"/>
        <v>-235.42239999999947</v>
      </c>
      <c r="AJ104" s="69">
        <f t="shared" si="189"/>
        <v>551.57760000000053</v>
      </c>
    </row>
    <row r="105" spans="1:36" x14ac:dyDescent="0.25">
      <c r="A105" s="167">
        <v>435</v>
      </c>
      <c r="B105" s="92">
        <v>39204</v>
      </c>
      <c r="C105" s="168" t="s">
        <v>2570</v>
      </c>
      <c r="D105" s="181" t="s">
        <v>2571</v>
      </c>
      <c r="E105" s="181" t="s">
        <v>2572</v>
      </c>
      <c r="F105" s="58">
        <v>39815</v>
      </c>
      <c r="G105" s="167" t="s">
        <v>2422</v>
      </c>
      <c r="H105" s="57"/>
      <c r="I105" s="57">
        <v>9000</v>
      </c>
      <c r="J105" s="57">
        <v>9000</v>
      </c>
      <c r="K105" s="63"/>
      <c r="L105" s="63">
        <v>4.33</v>
      </c>
      <c r="M105" s="63">
        <v>346.15</v>
      </c>
      <c r="N105" s="63">
        <v>0</v>
      </c>
      <c r="O105" s="169"/>
      <c r="P105" s="169"/>
      <c r="Q105" s="63">
        <v>0</v>
      </c>
      <c r="R105" s="63">
        <f t="shared" si="176"/>
        <v>9000</v>
      </c>
      <c r="S105" s="169"/>
      <c r="T105" s="169"/>
      <c r="U105" s="169"/>
      <c r="V105" s="63">
        <f t="shared" si="177"/>
        <v>9000</v>
      </c>
      <c r="W105" s="63">
        <f t="shared" si="178"/>
        <v>558</v>
      </c>
      <c r="X105" s="63">
        <f t="shared" si="179"/>
        <v>130.5</v>
      </c>
      <c r="Y105" s="63">
        <f t="shared" si="180"/>
        <v>1266.3</v>
      </c>
      <c r="Z105" s="63">
        <f t="shared" si="181"/>
        <v>14.4</v>
      </c>
      <c r="AA105" s="63">
        <f t="shared" si="182"/>
        <v>6.3</v>
      </c>
      <c r="AB105" s="63" t="s">
        <v>2422</v>
      </c>
      <c r="AC105" s="63" t="s">
        <v>2422</v>
      </c>
      <c r="AD105" s="63" t="s">
        <v>2422</v>
      </c>
      <c r="AE105" s="170">
        <v>435</v>
      </c>
      <c r="AF105" s="69">
        <f t="shared" si="186"/>
        <v>0</v>
      </c>
      <c r="AG105" s="69">
        <f t="shared" si="187"/>
        <v>1975.5</v>
      </c>
      <c r="AH105" s="67">
        <v>2061</v>
      </c>
      <c r="AI105" s="69">
        <f t="shared" si="188"/>
        <v>-85.5</v>
      </c>
      <c r="AJ105" s="69">
        <f t="shared" si="189"/>
        <v>-85.5</v>
      </c>
    </row>
    <row r="106" spans="1:36" x14ac:dyDescent="0.25">
      <c r="A106" s="167">
        <v>435</v>
      </c>
      <c r="B106" s="167">
        <v>440003</v>
      </c>
      <c r="C106" s="181" t="s">
        <v>2573</v>
      </c>
      <c r="D106" s="181" t="s">
        <v>2571</v>
      </c>
      <c r="E106" s="181" t="s">
        <v>2574</v>
      </c>
      <c r="F106" s="87">
        <v>39815</v>
      </c>
      <c r="G106" s="189" t="s">
        <v>2422</v>
      </c>
      <c r="H106" s="57"/>
      <c r="I106" s="57">
        <v>9000</v>
      </c>
      <c r="J106" s="171">
        <v>9000</v>
      </c>
      <c r="K106" s="172"/>
      <c r="L106" s="172">
        <v>3.1</v>
      </c>
      <c r="M106" s="172">
        <v>247.98</v>
      </c>
      <c r="N106" s="172" t="s">
        <v>27</v>
      </c>
      <c r="O106" s="173"/>
      <c r="P106" s="173"/>
      <c r="Q106" s="172">
        <v>0</v>
      </c>
      <c r="R106" s="172">
        <f t="shared" si="176"/>
        <v>9000</v>
      </c>
      <c r="S106" s="173"/>
      <c r="T106" s="173"/>
      <c r="U106" s="173"/>
      <c r="V106" s="172">
        <f t="shared" si="177"/>
        <v>9000</v>
      </c>
      <c r="W106" s="172">
        <f t="shared" si="178"/>
        <v>558</v>
      </c>
      <c r="X106" s="172">
        <f t="shared" si="179"/>
        <v>130.5</v>
      </c>
      <c r="Y106" s="172">
        <f t="shared" si="180"/>
        <v>1266.3</v>
      </c>
      <c r="Z106" s="172">
        <f t="shared" si="181"/>
        <v>14.4</v>
      </c>
      <c r="AA106" s="172">
        <f t="shared" si="182"/>
        <v>6.3</v>
      </c>
      <c r="AB106" s="172" t="s">
        <v>2422</v>
      </c>
      <c r="AC106" s="172" t="s">
        <v>2422</v>
      </c>
      <c r="AD106" s="172" t="s">
        <v>2422</v>
      </c>
      <c r="AE106" s="170">
        <v>435</v>
      </c>
      <c r="AF106" s="69">
        <f t="shared" si="186"/>
        <v>0</v>
      </c>
      <c r="AG106" s="69">
        <f t="shared" si="187"/>
        <v>1975.5</v>
      </c>
      <c r="AH106" s="67">
        <v>2061</v>
      </c>
      <c r="AI106" s="69">
        <f t="shared" si="188"/>
        <v>-85.5</v>
      </c>
      <c r="AJ106" s="69">
        <f t="shared" si="189"/>
        <v>-85.5</v>
      </c>
    </row>
    <row r="107" spans="1:36" x14ac:dyDescent="0.25">
      <c r="A107" s="167">
        <v>435</v>
      </c>
      <c r="B107" s="138"/>
      <c r="C107" s="138"/>
      <c r="D107" s="138"/>
      <c r="E107" s="138"/>
      <c r="F107" s="138"/>
      <c r="G107" s="138"/>
      <c r="H107" s="68"/>
      <c r="I107" s="174">
        <f t="shared" ref="I107:J107" si="190">SUM(I102:I106)</f>
        <v>189813</v>
      </c>
      <c r="J107" s="174">
        <f t="shared" si="190"/>
        <v>192961</v>
      </c>
      <c r="K107" s="175"/>
      <c r="L107" s="175">
        <f t="shared" ref="L107:AD107" si="191">SUM(L102:L106)</f>
        <v>91.545865384615368</v>
      </c>
      <c r="M107" s="175">
        <f t="shared" si="191"/>
        <v>7323.3992307692297</v>
      </c>
      <c r="N107" s="175">
        <f t="shared" si="191"/>
        <v>0</v>
      </c>
      <c r="O107" s="175">
        <f t="shared" si="191"/>
        <v>0</v>
      </c>
      <c r="P107" s="175">
        <f t="shared" si="191"/>
        <v>0</v>
      </c>
      <c r="Q107" s="175">
        <f t="shared" si="191"/>
        <v>0</v>
      </c>
      <c r="R107" s="175">
        <f t="shared" si="191"/>
        <v>192961</v>
      </c>
      <c r="S107" s="175">
        <f t="shared" si="191"/>
        <v>0</v>
      </c>
      <c r="T107" s="175">
        <f t="shared" si="191"/>
        <v>0</v>
      </c>
      <c r="U107" s="175">
        <f t="shared" si="191"/>
        <v>1000</v>
      </c>
      <c r="V107" s="175">
        <f t="shared" si="191"/>
        <v>193961</v>
      </c>
      <c r="W107" s="175">
        <f t="shared" si="191"/>
        <v>12025.582</v>
      </c>
      <c r="X107" s="175">
        <f t="shared" si="191"/>
        <v>2812.4345000000003</v>
      </c>
      <c r="Y107" s="175">
        <f t="shared" si="191"/>
        <v>27290.312699999995</v>
      </c>
      <c r="Z107" s="175">
        <f t="shared" si="191"/>
        <v>310.33759999999995</v>
      </c>
      <c r="AA107" s="175">
        <f t="shared" si="191"/>
        <v>135.77270000000001</v>
      </c>
      <c r="AB107" s="175">
        <f t="shared" si="191"/>
        <v>1005</v>
      </c>
      <c r="AC107" s="175">
        <f t="shared" si="191"/>
        <v>31069.08</v>
      </c>
      <c r="AD107" s="175">
        <f t="shared" si="191"/>
        <v>320.74080000000004</v>
      </c>
      <c r="AE107" s="170">
        <v>435</v>
      </c>
      <c r="AF107" s="195">
        <f>SUM(AF102:AF106)</f>
        <v>3148</v>
      </c>
      <c r="AG107" s="69">
        <f t="shared" si="187"/>
        <v>74969.260299999994</v>
      </c>
      <c r="AH107" s="67">
        <v>76091</v>
      </c>
      <c r="AI107" s="176">
        <f t="shared" si="188"/>
        <v>-1121.7397000000055</v>
      </c>
      <c r="AJ107" s="176">
        <f t="shared" si="189"/>
        <v>2026.2602999999945</v>
      </c>
    </row>
    <row r="108" spans="1:36" hidden="1" x14ac:dyDescent="0.25">
      <c r="A108" s="148"/>
      <c r="B108" s="148"/>
      <c r="C108" s="148"/>
      <c r="D108" s="148"/>
      <c r="E108" s="148"/>
      <c r="F108" s="148"/>
      <c r="G108" s="148"/>
      <c r="H108" s="179"/>
      <c r="I108" s="179">
        <v>171813</v>
      </c>
      <c r="J108" s="179">
        <f>SUM(J102:J104)</f>
        <v>174961</v>
      </c>
      <c r="K108" s="179"/>
      <c r="L108" s="179"/>
      <c r="M108" s="179"/>
      <c r="N108" s="179"/>
      <c r="O108" s="179"/>
      <c r="P108" s="179"/>
      <c r="Q108" s="179"/>
      <c r="R108" s="179"/>
      <c r="S108" s="179"/>
      <c r="T108" s="179"/>
      <c r="U108" s="179"/>
      <c r="V108" s="179"/>
      <c r="W108" s="57">
        <f>SUM(W107:X107)</f>
        <v>14838.016500000002</v>
      </c>
      <c r="X108" s="179"/>
      <c r="Y108" s="179"/>
      <c r="Z108" s="179"/>
      <c r="AA108" s="179"/>
      <c r="AB108" s="179"/>
      <c r="AC108" s="57">
        <f>SUM(AC107:AD107)</f>
        <v>31389.820800000001</v>
      </c>
      <c r="AD108" s="179"/>
      <c r="AE108" s="204"/>
      <c r="AF108" s="78">
        <f>SUM(AF102:AF106)</f>
        <v>3148</v>
      </c>
      <c r="AG108" s="205"/>
      <c r="AH108" s="56"/>
      <c r="AI108" s="78">
        <f t="shared" ref="AI108:AJ108" si="192">SUM(AI102:AI106)</f>
        <v>-1121.7397000000019</v>
      </c>
      <c r="AJ108" s="78">
        <f t="shared" si="192"/>
        <v>2026.2602999999981</v>
      </c>
    </row>
    <row r="109" spans="1:36" x14ac:dyDescent="0.25">
      <c r="A109" s="138"/>
      <c r="B109" s="138"/>
      <c r="C109" s="138"/>
      <c r="D109" s="138"/>
      <c r="E109" s="138"/>
      <c r="F109" s="138"/>
      <c r="G109" s="138"/>
      <c r="H109" s="179"/>
      <c r="I109" s="179"/>
      <c r="J109" s="179"/>
      <c r="K109" s="169"/>
      <c r="L109" s="169"/>
      <c r="M109" s="169"/>
      <c r="N109" s="169"/>
      <c r="O109" s="169"/>
      <c r="P109" s="169"/>
      <c r="Q109" s="169"/>
      <c r="R109" s="169"/>
      <c r="S109" s="169"/>
      <c r="T109" s="169"/>
      <c r="U109" s="169"/>
      <c r="V109" s="169"/>
      <c r="W109" s="169"/>
      <c r="X109" s="169"/>
      <c r="Y109" s="169"/>
      <c r="Z109" s="169"/>
      <c r="AA109" s="169"/>
      <c r="AB109" s="169"/>
      <c r="AC109" s="169"/>
      <c r="AD109" s="169"/>
      <c r="AE109" s="149"/>
      <c r="AF109" s="178"/>
      <c r="AG109" s="178"/>
      <c r="AH109" s="65"/>
      <c r="AI109" s="178"/>
      <c r="AJ109" s="178"/>
    </row>
    <row r="110" spans="1:36" x14ac:dyDescent="0.25">
      <c r="A110" s="138"/>
      <c r="B110" s="138"/>
      <c r="C110" s="138"/>
      <c r="D110" s="138"/>
      <c r="E110" s="138"/>
      <c r="F110" s="138"/>
      <c r="G110" s="138"/>
      <c r="H110" s="179"/>
      <c r="I110" s="179"/>
      <c r="J110" s="179"/>
      <c r="K110" s="169"/>
      <c r="L110" s="169"/>
      <c r="M110" s="169"/>
      <c r="N110" s="169"/>
      <c r="O110" s="169"/>
      <c r="P110" s="169"/>
      <c r="Q110" s="169"/>
      <c r="R110" s="169"/>
      <c r="S110" s="169"/>
      <c r="T110" s="169"/>
      <c r="U110" s="169"/>
      <c r="V110" s="169"/>
      <c r="W110" s="169"/>
      <c r="X110" s="169"/>
      <c r="Y110" s="169"/>
      <c r="Z110" s="169"/>
      <c r="AA110" s="169"/>
      <c r="AB110" s="169"/>
      <c r="AC110" s="169"/>
      <c r="AD110" s="169"/>
      <c r="AE110" s="149"/>
      <c r="AF110" s="178"/>
      <c r="AG110" s="178"/>
      <c r="AH110" s="65"/>
      <c r="AI110" s="178"/>
      <c r="AJ110" s="178"/>
    </row>
    <row r="111" spans="1:36" x14ac:dyDescent="0.25">
      <c r="A111" s="167">
        <v>445</v>
      </c>
      <c r="B111" s="92" t="s">
        <v>2575</v>
      </c>
      <c r="C111" s="168" t="s">
        <v>697</v>
      </c>
      <c r="D111" s="168" t="s">
        <v>2576</v>
      </c>
      <c r="E111" s="168" t="s">
        <v>2577</v>
      </c>
      <c r="F111" s="58">
        <v>35178</v>
      </c>
      <c r="G111" s="59">
        <f t="shared" ref="G111:G122" si="193">(DATE(2021,12,30)-(F111))/365</f>
        <v>25.704109589041096</v>
      </c>
      <c r="H111" s="57"/>
      <c r="I111" s="57">
        <v>60607</v>
      </c>
      <c r="J111" s="57">
        <v>60607</v>
      </c>
      <c r="K111" s="63"/>
      <c r="L111" s="63">
        <f t="shared" ref="L111:L122" si="194">SUM(J111/2080)</f>
        <v>29.137980769230769</v>
      </c>
      <c r="M111" s="63">
        <f t="shared" ref="M111:M122" si="195">SUM(J111/26)</f>
        <v>2331.0384615384614</v>
      </c>
      <c r="N111" s="63">
        <v>0</v>
      </c>
      <c r="O111" s="169"/>
      <c r="P111" s="169"/>
      <c r="Q111" s="63">
        <f t="shared" ref="Q111:Q122" si="196">IF(N111+P111&gt;5000,5000,N111+P111)</f>
        <v>0</v>
      </c>
      <c r="R111" s="63">
        <f t="shared" ref="R111:R122" si="197">Q111+J111</f>
        <v>60607</v>
      </c>
      <c r="S111" s="169"/>
      <c r="T111" s="169"/>
      <c r="U111" s="169"/>
      <c r="V111" s="63">
        <f t="shared" ref="V111:V124" si="198">SUM(R111:U111)</f>
        <v>60607</v>
      </c>
      <c r="W111" s="63">
        <f t="shared" ref="W111:W124" si="199">SUM(V111*$W$7)</f>
        <v>3757.634</v>
      </c>
      <c r="X111" s="63">
        <f t="shared" ref="X111:X124" si="200">SUM(V111*$X$7)</f>
        <v>878.80150000000003</v>
      </c>
      <c r="Y111" s="63">
        <f t="shared" ref="Y111:Y124" si="201">SUM(V111*$Y$7)</f>
        <v>8527.4048999999995</v>
      </c>
      <c r="Z111" s="63">
        <f t="shared" ref="Z111:Z124" si="202">SUM(V111*$Z$7)</f>
        <v>96.97120000000001</v>
      </c>
      <c r="AA111" s="63">
        <f t="shared" ref="AA111:AA124" si="203">SUM(V111*$AA$7)</f>
        <v>42.424900000000001</v>
      </c>
      <c r="AB111" s="63">
        <f t="shared" ref="AB111:AB122" si="204">SUM($AB$7)</f>
        <v>335</v>
      </c>
      <c r="AC111" s="63">
        <f t="shared" ref="AC111:AC122" si="205">$AC$7</f>
        <v>10356.36</v>
      </c>
      <c r="AD111" s="63">
        <f t="shared" ref="AD111:AD122" si="206">SUM(AB111+AC111)*$AD$7</f>
        <v>106.9136</v>
      </c>
      <c r="AE111" s="170">
        <v>445</v>
      </c>
      <c r="AF111" s="69">
        <f t="shared" ref="AF111:AF124" si="207">SUM(J111-I111)</f>
        <v>0</v>
      </c>
      <c r="AG111" s="69">
        <f t="shared" ref="AG111:AG125" si="208">SUM(W111:AD111)</f>
        <v>24101.5101</v>
      </c>
      <c r="AH111" s="67">
        <v>24677.279999999999</v>
      </c>
      <c r="AI111" s="69">
        <f t="shared" ref="AI111:AI125" si="209">AG111-AH111</f>
        <v>-575.76989999999932</v>
      </c>
      <c r="AJ111" s="69">
        <f t="shared" ref="AJ111:AJ125" si="210">AF111+AI111</f>
        <v>-575.76989999999932</v>
      </c>
    </row>
    <row r="112" spans="1:36" x14ac:dyDescent="0.25">
      <c r="A112" s="167">
        <v>445</v>
      </c>
      <c r="B112" s="92" t="s">
        <v>2578</v>
      </c>
      <c r="C112" s="71" t="s">
        <v>2579</v>
      </c>
      <c r="D112" s="168" t="s">
        <v>2580</v>
      </c>
      <c r="E112" s="168" t="s">
        <v>2581</v>
      </c>
      <c r="F112" s="58">
        <v>42550</v>
      </c>
      <c r="G112" s="59">
        <f t="shared" si="193"/>
        <v>5.506849315068493</v>
      </c>
      <c r="H112" s="57"/>
      <c r="I112" s="57">
        <v>40311</v>
      </c>
      <c r="J112" s="57">
        <v>40311</v>
      </c>
      <c r="K112" s="63"/>
      <c r="L112" s="63">
        <f t="shared" si="194"/>
        <v>19.380288461538463</v>
      </c>
      <c r="M112" s="63">
        <f t="shared" si="195"/>
        <v>1550.4230769230769</v>
      </c>
      <c r="N112" s="63">
        <v>0</v>
      </c>
      <c r="O112" s="169"/>
      <c r="P112" s="63"/>
      <c r="Q112" s="63">
        <f t="shared" si="196"/>
        <v>0</v>
      </c>
      <c r="R112" s="63">
        <f t="shared" si="197"/>
        <v>40311</v>
      </c>
      <c r="S112" s="169"/>
      <c r="T112" s="169"/>
      <c r="U112" s="169"/>
      <c r="V112" s="63">
        <f t="shared" si="198"/>
        <v>40311</v>
      </c>
      <c r="W112" s="63">
        <f t="shared" si="199"/>
        <v>2499.2820000000002</v>
      </c>
      <c r="X112" s="63">
        <f t="shared" si="200"/>
        <v>584.5095</v>
      </c>
      <c r="Y112" s="63">
        <f t="shared" si="201"/>
        <v>5671.7577000000001</v>
      </c>
      <c r="Z112" s="63">
        <f t="shared" si="202"/>
        <v>64.497600000000006</v>
      </c>
      <c r="AA112" s="63">
        <f t="shared" si="203"/>
        <v>28.217700000000001</v>
      </c>
      <c r="AB112" s="63">
        <f t="shared" si="204"/>
        <v>335</v>
      </c>
      <c r="AC112" s="63">
        <f t="shared" si="205"/>
        <v>10356.36</v>
      </c>
      <c r="AD112" s="63">
        <f t="shared" si="206"/>
        <v>106.9136</v>
      </c>
      <c r="AE112" s="170">
        <v>445</v>
      </c>
      <c r="AF112" s="69">
        <f t="shared" si="207"/>
        <v>0</v>
      </c>
      <c r="AG112" s="69">
        <f t="shared" si="208"/>
        <v>19646.538100000002</v>
      </c>
      <c r="AH112" s="67">
        <v>20029.490000000002</v>
      </c>
      <c r="AI112" s="69">
        <f t="shared" si="209"/>
        <v>-382.95190000000002</v>
      </c>
      <c r="AJ112" s="69">
        <f t="shared" si="210"/>
        <v>-382.95190000000002</v>
      </c>
    </row>
    <row r="113" spans="1:36" x14ac:dyDescent="0.25">
      <c r="A113" s="167">
        <v>445</v>
      </c>
      <c r="B113" s="92" t="s">
        <v>2582</v>
      </c>
      <c r="C113" s="71" t="s">
        <v>2583</v>
      </c>
      <c r="D113" s="168" t="s">
        <v>2584</v>
      </c>
      <c r="E113" s="168" t="s">
        <v>2555</v>
      </c>
      <c r="F113" s="58">
        <v>38936</v>
      </c>
      <c r="G113" s="59">
        <f t="shared" si="193"/>
        <v>15.408219178082192</v>
      </c>
      <c r="H113" s="57"/>
      <c r="I113" s="57">
        <v>35685</v>
      </c>
      <c r="J113" s="57">
        <v>35685</v>
      </c>
      <c r="K113" s="63"/>
      <c r="L113" s="63">
        <f t="shared" si="194"/>
        <v>17.15625</v>
      </c>
      <c r="M113" s="63">
        <f t="shared" si="195"/>
        <v>1372.5</v>
      </c>
      <c r="N113" s="63">
        <v>0</v>
      </c>
      <c r="O113" s="169"/>
      <c r="P113" s="169"/>
      <c r="Q113" s="63">
        <f t="shared" si="196"/>
        <v>0</v>
      </c>
      <c r="R113" s="63">
        <f t="shared" si="197"/>
        <v>35685</v>
      </c>
      <c r="S113" s="169"/>
      <c r="T113" s="169"/>
      <c r="U113" s="169"/>
      <c r="V113" s="63">
        <f t="shared" si="198"/>
        <v>35685</v>
      </c>
      <c r="W113" s="63">
        <f t="shared" si="199"/>
        <v>2212.4699999999998</v>
      </c>
      <c r="X113" s="63">
        <f t="shared" si="200"/>
        <v>517.4325</v>
      </c>
      <c r="Y113" s="63">
        <f t="shared" si="201"/>
        <v>5020.8795</v>
      </c>
      <c r="Z113" s="63">
        <f t="shared" si="202"/>
        <v>57.096000000000004</v>
      </c>
      <c r="AA113" s="63">
        <f t="shared" si="203"/>
        <v>24.979499999999998</v>
      </c>
      <c r="AB113" s="63">
        <f t="shared" si="204"/>
        <v>335</v>
      </c>
      <c r="AC113" s="63">
        <f t="shared" si="205"/>
        <v>10356.36</v>
      </c>
      <c r="AD113" s="63">
        <f t="shared" si="206"/>
        <v>106.9136</v>
      </c>
      <c r="AE113" s="170">
        <v>445</v>
      </c>
      <c r="AF113" s="69">
        <f t="shared" si="207"/>
        <v>0</v>
      </c>
      <c r="AG113" s="69">
        <f t="shared" si="208"/>
        <v>18631.131099999999</v>
      </c>
      <c r="AH113" s="67">
        <v>18970.14</v>
      </c>
      <c r="AI113" s="69">
        <f t="shared" si="209"/>
        <v>-339.00890000000072</v>
      </c>
      <c r="AJ113" s="69">
        <f t="shared" si="210"/>
        <v>-339.00890000000072</v>
      </c>
    </row>
    <row r="114" spans="1:36" x14ac:dyDescent="0.25">
      <c r="A114" s="167">
        <v>445</v>
      </c>
      <c r="B114" s="92" t="s">
        <v>2585</v>
      </c>
      <c r="C114" s="71" t="s">
        <v>2440</v>
      </c>
      <c r="D114" s="168" t="s">
        <v>3765</v>
      </c>
      <c r="E114" s="168" t="s">
        <v>2586</v>
      </c>
      <c r="F114" s="73">
        <v>43682</v>
      </c>
      <c r="G114" s="59">
        <f t="shared" si="193"/>
        <v>2.4054794520547946</v>
      </c>
      <c r="H114" s="66">
        <v>31525</v>
      </c>
      <c r="I114" s="66">
        <v>32103</v>
      </c>
      <c r="J114" s="182">
        <v>32103</v>
      </c>
      <c r="K114" s="63"/>
      <c r="L114" s="63">
        <f t="shared" si="194"/>
        <v>15.434134615384615</v>
      </c>
      <c r="M114" s="63">
        <f t="shared" si="195"/>
        <v>1234.7307692307693</v>
      </c>
      <c r="N114" s="63">
        <v>0</v>
      </c>
      <c r="O114" s="169"/>
      <c r="P114" s="169"/>
      <c r="Q114" s="63">
        <f t="shared" si="196"/>
        <v>0</v>
      </c>
      <c r="R114" s="63">
        <f t="shared" si="197"/>
        <v>32103</v>
      </c>
      <c r="S114" s="169"/>
      <c r="T114" s="169"/>
      <c r="U114" s="169"/>
      <c r="V114" s="63">
        <f t="shared" si="198"/>
        <v>32103</v>
      </c>
      <c r="W114" s="63">
        <f t="shared" si="199"/>
        <v>1990.386</v>
      </c>
      <c r="X114" s="63">
        <f t="shared" si="200"/>
        <v>465.49350000000004</v>
      </c>
      <c r="Y114" s="63">
        <f t="shared" si="201"/>
        <v>4516.8921</v>
      </c>
      <c r="Z114" s="63">
        <f t="shared" si="202"/>
        <v>51.364800000000002</v>
      </c>
      <c r="AA114" s="63">
        <f t="shared" si="203"/>
        <v>22.472100000000001</v>
      </c>
      <c r="AB114" s="63">
        <f t="shared" si="204"/>
        <v>335</v>
      </c>
      <c r="AC114" s="63">
        <f t="shared" si="205"/>
        <v>10356.36</v>
      </c>
      <c r="AD114" s="63">
        <f t="shared" si="206"/>
        <v>106.9136</v>
      </c>
      <c r="AE114" s="170">
        <v>445</v>
      </c>
      <c r="AF114" s="69">
        <f t="shared" si="207"/>
        <v>0</v>
      </c>
      <c r="AG114" s="69">
        <f t="shared" si="208"/>
        <v>17844.882100000003</v>
      </c>
      <c r="AH114" s="67">
        <v>18397.41</v>
      </c>
      <c r="AI114" s="69">
        <f t="shared" si="209"/>
        <v>-552.52789999999732</v>
      </c>
      <c r="AJ114" s="69">
        <f t="shared" si="210"/>
        <v>-552.52789999999732</v>
      </c>
    </row>
    <row r="115" spans="1:36" x14ac:dyDescent="0.25">
      <c r="A115" s="167">
        <v>445</v>
      </c>
      <c r="B115" s="92" t="s">
        <v>2587</v>
      </c>
      <c r="C115" s="71" t="s">
        <v>2455</v>
      </c>
      <c r="D115" s="168" t="s">
        <v>3181</v>
      </c>
      <c r="E115" s="168" t="s">
        <v>3766</v>
      </c>
      <c r="F115" s="74">
        <v>43466</v>
      </c>
      <c r="G115" s="59">
        <f t="shared" si="193"/>
        <v>2.9972602739726026</v>
      </c>
      <c r="H115" s="57"/>
      <c r="I115" s="66">
        <v>31999</v>
      </c>
      <c r="J115" s="182">
        <v>32586</v>
      </c>
      <c r="K115" s="63"/>
      <c r="L115" s="63">
        <f t="shared" si="194"/>
        <v>15.666346153846154</v>
      </c>
      <c r="M115" s="63">
        <f t="shared" si="195"/>
        <v>1253.3076923076924</v>
      </c>
      <c r="N115" s="63">
        <v>0</v>
      </c>
      <c r="O115" s="169"/>
      <c r="P115" s="169"/>
      <c r="Q115" s="63">
        <f t="shared" si="196"/>
        <v>0</v>
      </c>
      <c r="R115" s="63">
        <f t="shared" si="197"/>
        <v>32586</v>
      </c>
      <c r="S115" s="169"/>
      <c r="T115" s="169"/>
      <c r="U115" s="169"/>
      <c r="V115" s="63">
        <f t="shared" si="198"/>
        <v>32586</v>
      </c>
      <c r="W115" s="63">
        <f t="shared" si="199"/>
        <v>2020.3319999999999</v>
      </c>
      <c r="X115" s="63">
        <f t="shared" si="200"/>
        <v>472.49700000000001</v>
      </c>
      <c r="Y115" s="63">
        <f t="shared" si="201"/>
        <v>4584.8501999999999</v>
      </c>
      <c r="Z115" s="63">
        <f t="shared" si="202"/>
        <v>52.137599999999999</v>
      </c>
      <c r="AA115" s="63">
        <f t="shared" si="203"/>
        <v>22.810199999999998</v>
      </c>
      <c r="AB115" s="63">
        <f t="shared" si="204"/>
        <v>335</v>
      </c>
      <c r="AC115" s="63">
        <f t="shared" si="205"/>
        <v>10356.36</v>
      </c>
      <c r="AD115" s="63">
        <f t="shared" si="206"/>
        <v>106.9136</v>
      </c>
      <c r="AE115" s="170">
        <v>445</v>
      </c>
      <c r="AF115" s="69">
        <f t="shared" si="207"/>
        <v>587</v>
      </c>
      <c r="AG115" s="69">
        <f t="shared" si="208"/>
        <v>17950.900600000001</v>
      </c>
      <c r="AH115" s="67">
        <v>18397.18</v>
      </c>
      <c r="AI115" s="69">
        <f t="shared" si="209"/>
        <v>-446.27939999999944</v>
      </c>
      <c r="AJ115" s="69">
        <f t="shared" si="210"/>
        <v>140.72060000000056</v>
      </c>
    </row>
    <row r="116" spans="1:36" x14ac:dyDescent="0.25">
      <c r="A116" s="167">
        <v>445</v>
      </c>
      <c r="B116" s="92" t="s">
        <v>2590</v>
      </c>
      <c r="C116" s="71" t="s">
        <v>2455</v>
      </c>
      <c r="D116" s="71" t="s">
        <v>2591</v>
      </c>
      <c r="E116" s="71" t="s">
        <v>2592</v>
      </c>
      <c r="F116" s="97">
        <v>43892</v>
      </c>
      <c r="G116" s="59">
        <f t="shared" si="193"/>
        <v>1.8301369863013699</v>
      </c>
      <c r="H116" s="66"/>
      <c r="I116" s="66">
        <v>31999</v>
      </c>
      <c r="J116" s="66">
        <v>31999</v>
      </c>
      <c r="K116" s="63"/>
      <c r="L116" s="63">
        <f t="shared" si="194"/>
        <v>15.384134615384616</v>
      </c>
      <c r="M116" s="63">
        <f t="shared" si="195"/>
        <v>1230.7307692307693</v>
      </c>
      <c r="N116" s="63">
        <v>0</v>
      </c>
      <c r="O116" s="169"/>
      <c r="P116" s="169"/>
      <c r="Q116" s="63">
        <f t="shared" si="196"/>
        <v>0</v>
      </c>
      <c r="R116" s="63">
        <f t="shared" si="197"/>
        <v>31999</v>
      </c>
      <c r="S116" s="169"/>
      <c r="T116" s="169"/>
      <c r="U116" s="169"/>
      <c r="V116" s="63">
        <f t="shared" si="198"/>
        <v>31999</v>
      </c>
      <c r="W116" s="63">
        <f t="shared" si="199"/>
        <v>1983.9379999999999</v>
      </c>
      <c r="X116" s="63">
        <f t="shared" si="200"/>
        <v>463.9855</v>
      </c>
      <c r="Y116" s="63">
        <f t="shared" si="201"/>
        <v>4502.2592999999997</v>
      </c>
      <c r="Z116" s="63">
        <f t="shared" si="202"/>
        <v>51.198399999999999</v>
      </c>
      <c r="AA116" s="63">
        <f t="shared" si="203"/>
        <v>22.3993</v>
      </c>
      <c r="AB116" s="63">
        <f t="shared" si="204"/>
        <v>335</v>
      </c>
      <c r="AC116" s="63">
        <f t="shared" si="205"/>
        <v>10356.36</v>
      </c>
      <c r="AD116" s="63">
        <f t="shared" si="206"/>
        <v>106.9136</v>
      </c>
      <c r="AE116" s="170">
        <v>445</v>
      </c>
      <c r="AF116" s="69">
        <f t="shared" si="207"/>
        <v>0</v>
      </c>
      <c r="AG116" s="69">
        <f t="shared" si="208"/>
        <v>17822.054100000001</v>
      </c>
      <c r="AH116" s="67">
        <v>18969.68</v>
      </c>
      <c r="AI116" s="69">
        <f t="shared" si="209"/>
        <v>-1147.6258999999991</v>
      </c>
      <c r="AJ116" s="69">
        <f t="shared" si="210"/>
        <v>-1147.6258999999991</v>
      </c>
    </row>
    <row r="117" spans="1:36" x14ac:dyDescent="0.25">
      <c r="A117" s="167">
        <v>445</v>
      </c>
      <c r="B117" s="92" t="s">
        <v>2593</v>
      </c>
      <c r="C117" s="71" t="s">
        <v>2455</v>
      </c>
      <c r="D117" s="168" t="s">
        <v>2594</v>
      </c>
      <c r="E117" s="168" t="s">
        <v>2595</v>
      </c>
      <c r="F117" s="74">
        <v>42006</v>
      </c>
      <c r="G117" s="59">
        <f t="shared" si="193"/>
        <v>6.9972602739726026</v>
      </c>
      <c r="H117" s="57"/>
      <c r="I117" s="66">
        <v>33183</v>
      </c>
      <c r="J117" s="182">
        <v>33791</v>
      </c>
      <c r="K117" s="63"/>
      <c r="L117" s="63">
        <f t="shared" si="194"/>
        <v>16.245673076923076</v>
      </c>
      <c r="M117" s="63">
        <f t="shared" si="195"/>
        <v>1299.6538461538462</v>
      </c>
      <c r="N117" s="63">
        <f>IF(G117&lt;4,0,(G117-1)*$N$7)</f>
        <v>1583.2767123287672</v>
      </c>
      <c r="O117" s="169"/>
      <c r="P117" s="169"/>
      <c r="Q117" s="63">
        <f t="shared" si="196"/>
        <v>1583.2767123287672</v>
      </c>
      <c r="R117" s="63">
        <f t="shared" si="197"/>
        <v>35374.27671232877</v>
      </c>
      <c r="S117" s="169"/>
      <c r="T117" s="169"/>
      <c r="U117" s="169"/>
      <c r="V117" s="63">
        <f t="shared" si="198"/>
        <v>35374.27671232877</v>
      </c>
      <c r="W117" s="63">
        <f t="shared" si="199"/>
        <v>2193.2051561643839</v>
      </c>
      <c r="X117" s="63">
        <f t="shared" si="200"/>
        <v>512.9270123287672</v>
      </c>
      <c r="Y117" s="63">
        <f t="shared" si="201"/>
        <v>4977.1607334246573</v>
      </c>
      <c r="Z117" s="63">
        <f t="shared" si="202"/>
        <v>56.598842739726038</v>
      </c>
      <c r="AA117" s="63">
        <f t="shared" si="203"/>
        <v>24.761993698630139</v>
      </c>
      <c r="AB117" s="63">
        <f t="shared" si="204"/>
        <v>335</v>
      </c>
      <c r="AC117" s="63">
        <f t="shared" si="205"/>
        <v>10356.36</v>
      </c>
      <c r="AD117" s="63">
        <f t="shared" si="206"/>
        <v>106.9136</v>
      </c>
      <c r="AE117" s="170">
        <v>445</v>
      </c>
      <c r="AF117" s="69">
        <f t="shared" si="207"/>
        <v>608</v>
      </c>
      <c r="AG117" s="69">
        <f t="shared" si="208"/>
        <v>18562.927338356167</v>
      </c>
      <c r="AH117" s="67">
        <v>18126.04</v>
      </c>
      <c r="AI117" s="69">
        <f t="shared" si="209"/>
        <v>436.88733835616586</v>
      </c>
      <c r="AJ117" s="69">
        <f t="shared" si="210"/>
        <v>1044.8873383561659</v>
      </c>
    </row>
    <row r="118" spans="1:36" x14ac:dyDescent="0.25">
      <c r="A118" s="167">
        <v>445</v>
      </c>
      <c r="B118" s="92" t="s">
        <v>2596</v>
      </c>
      <c r="C118" s="71" t="s">
        <v>2455</v>
      </c>
      <c r="D118" s="168" t="s">
        <v>2597</v>
      </c>
      <c r="E118" s="168" t="s">
        <v>2598</v>
      </c>
      <c r="F118" s="58">
        <v>38860</v>
      </c>
      <c r="G118" s="59">
        <f t="shared" si="193"/>
        <v>15.616438356164384</v>
      </c>
      <c r="H118" s="57"/>
      <c r="I118" s="66">
        <v>35683</v>
      </c>
      <c r="J118" s="66">
        <v>35683</v>
      </c>
      <c r="K118" s="63"/>
      <c r="L118" s="63">
        <f t="shared" si="194"/>
        <v>17.155288461538461</v>
      </c>
      <c r="M118" s="63">
        <f t="shared" si="195"/>
        <v>1372.4230769230769</v>
      </c>
      <c r="N118" s="63">
        <v>0</v>
      </c>
      <c r="O118" s="169"/>
      <c r="P118" s="169"/>
      <c r="Q118" s="63">
        <f t="shared" si="196"/>
        <v>0</v>
      </c>
      <c r="R118" s="63">
        <f t="shared" si="197"/>
        <v>35683</v>
      </c>
      <c r="S118" s="169"/>
      <c r="T118" s="169"/>
      <c r="U118" s="169"/>
      <c r="V118" s="63">
        <f t="shared" si="198"/>
        <v>35683</v>
      </c>
      <c r="W118" s="63">
        <f t="shared" si="199"/>
        <v>2212.346</v>
      </c>
      <c r="X118" s="63">
        <f t="shared" si="200"/>
        <v>517.40350000000001</v>
      </c>
      <c r="Y118" s="63">
        <f t="shared" si="201"/>
        <v>5020.5981000000002</v>
      </c>
      <c r="Z118" s="63">
        <f t="shared" si="202"/>
        <v>57.092800000000004</v>
      </c>
      <c r="AA118" s="63">
        <f t="shared" si="203"/>
        <v>24.978100000000001</v>
      </c>
      <c r="AB118" s="63">
        <f t="shared" si="204"/>
        <v>335</v>
      </c>
      <c r="AC118" s="63">
        <f t="shared" si="205"/>
        <v>10356.36</v>
      </c>
      <c r="AD118" s="63">
        <f t="shared" si="206"/>
        <v>106.9136</v>
      </c>
      <c r="AE118" s="170">
        <v>445</v>
      </c>
      <c r="AF118" s="69">
        <f t="shared" si="207"/>
        <v>0</v>
      </c>
      <c r="AG118" s="69">
        <f t="shared" si="208"/>
        <v>18630.6921</v>
      </c>
      <c r="AH118" s="67">
        <v>19585.919999999998</v>
      </c>
      <c r="AI118" s="69">
        <f t="shared" si="209"/>
        <v>-955.22789999999804</v>
      </c>
      <c r="AJ118" s="69">
        <f t="shared" si="210"/>
        <v>-955.22789999999804</v>
      </c>
    </row>
    <row r="119" spans="1:36" x14ac:dyDescent="0.25">
      <c r="A119" s="167">
        <v>445</v>
      </c>
      <c r="B119" s="92" t="s">
        <v>2599</v>
      </c>
      <c r="C119" s="71" t="s">
        <v>2471</v>
      </c>
      <c r="D119" s="168" t="s">
        <v>2600</v>
      </c>
      <c r="E119" s="168" t="s">
        <v>2601</v>
      </c>
      <c r="F119" s="188">
        <v>43381</v>
      </c>
      <c r="G119" s="59">
        <f t="shared" si="193"/>
        <v>3.2301369863013698</v>
      </c>
      <c r="H119" s="57"/>
      <c r="I119" s="66">
        <v>33184</v>
      </c>
      <c r="J119" s="66">
        <v>33184</v>
      </c>
      <c r="K119" s="63"/>
      <c r="L119" s="63">
        <f t="shared" si="194"/>
        <v>15.953846153846154</v>
      </c>
      <c r="M119" s="63">
        <f t="shared" si="195"/>
        <v>1276.3076923076924</v>
      </c>
      <c r="N119" s="63">
        <f t="shared" ref="N119:N120" si="211">IF(G119&lt;4,0,(G119-1)*$N$7)</f>
        <v>0</v>
      </c>
      <c r="O119" s="169"/>
      <c r="P119" s="169"/>
      <c r="Q119" s="63">
        <f t="shared" si="196"/>
        <v>0</v>
      </c>
      <c r="R119" s="63">
        <f t="shared" si="197"/>
        <v>33184</v>
      </c>
      <c r="S119" s="169"/>
      <c r="T119" s="169"/>
      <c r="U119" s="169"/>
      <c r="V119" s="63">
        <f t="shared" si="198"/>
        <v>33184</v>
      </c>
      <c r="W119" s="63">
        <f t="shared" si="199"/>
        <v>2057.4079999999999</v>
      </c>
      <c r="X119" s="63">
        <f t="shared" si="200"/>
        <v>481.16800000000001</v>
      </c>
      <c r="Y119" s="63">
        <f t="shared" si="201"/>
        <v>4668.9888000000001</v>
      </c>
      <c r="Z119" s="63">
        <f t="shared" si="202"/>
        <v>53.0944</v>
      </c>
      <c r="AA119" s="63">
        <f t="shared" si="203"/>
        <v>23.2288</v>
      </c>
      <c r="AB119" s="63">
        <f t="shared" si="204"/>
        <v>335</v>
      </c>
      <c r="AC119" s="63">
        <f t="shared" si="205"/>
        <v>10356.36</v>
      </c>
      <c r="AD119" s="63">
        <f t="shared" si="206"/>
        <v>106.9136</v>
      </c>
      <c r="AE119" s="170">
        <v>445</v>
      </c>
      <c r="AF119" s="69">
        <f t="shared" si="207"/>
        <v>0</v>
      </c>
      <c r="AG119" s="69">
        <f t="shared" si="208"/>
        <v>18082.161599999999</v>
      </c>
      <c r="AH119" s="67">
        <v>18397.41</v>
      </c>
      <c r="AI119" s="69">
        <f t="shared" si="209"/>
        <v>-315.2484000000004</v>
      </c>
      <c r="AJ119" s="69">
        <f t="shared" si="210"/>
        <v>-315.2484000000004</v>
      </c>
    </row>
    <row r="120" spans="1:36" x14ac:dyDescent="0.25">
      <c r="A120" s="167">
        <v>445</v>
      </c>
      <c r="B120" s="92" t="s">
        <v>2602</v>
      </c>
      <c r="C120" s="71" t="s">
        <v>2471</v>
      </c>
      <c r="D120" s="126" t="s">
        <v>2603</v>
      </c>
      <c r="E120" s="126" t="s">
        <v>2604</v>
      </c>
      <c r="F120" s="206">
        <v>43801</v>
      </c>
      <c r="G120" s="59">
        <f t="shared" si="193"/>
        <v>2.0794520547945203</v>
      </c>
      <c r="H120" s="57"/>
      <c r="I120" s="66">
        <v>33184</v>
      </c>
      <c r="J120" s="182">
        <v>33792</v>
      </c>
      <c r="K120" s="63"/>
      <c r="L120" s="63">
        <f t="shared" si="194"/>
        <v>16.246153846153845</v>
      </c>
      <c r="M120" s="63">
        <f t="shared" si="195"/>
        <v>1299.6923076923076</v>
      </c>
      <c r="N120" s="63">
        <f t="shared" si="211"/>
        <v>0</v>
      </c>
      <c r="O120" s="169"/>
      <c r="P120" s="169"/>
      <c r="Q120" s="63">
        <f t="shared" si="196"/>
        <v>0</v>
      </c>
      <c r="R120" s="63">
        <f t="shared" si="197"/>
        <v>33792</v>
      </c>
      <c r="S120" s="169"/>
      <c r="T120" s="169"/>
      <c r="U120" s="169"/>
      <c r="V120" s="63">
        <f t="shared" si="198"/>
        <v>33792</v>
      </c>
      <c r="W120" s="63">
        <f t="shared" si="199"/>
        <v>2095.1039999999998</v>
      </c>
      <c r="X120" s="63">
        <f t="shared" si="200"/>
        <v>489.98400000000004</v>
      </c>
      <c r="Y120" s="63">
        <f t="shared" si="201"/>
        <v>4754.5343999999996</v>
      </c>
      <c r="Z120" s="63">
        <f t="shared" si="202"/>
        <v>54.0672</v>
      </c>
      <c r="AA120" s="63">
        <f t="shared" si="203"/>
        <v>23.654399999999999</v>
      </c>
      <c r="AB120" s="63">
        <f t="shared" si="204"/>
        <v>335</v>
      </c>
      <c r="AC120" s="63">
        <f t="shared" si="205"/>
        <v>10356.36</v>
      </c>
      <c r="AD120" s="63">
        <f t="shared" si="206"/>
        <v>106.9136</v>
      </c>
      <c r="AE120" s="170">
        <v>445</v>
      </c>
      <c r="AF120" s="69">
        <f t="shared" si="207"/>
        <v>608</v>
      </c>
      <c r="AG120" s="69">
        <f t="shared" si="208"/>
        <v>18215.617600000001</v>
      </c>
      <c r="AH120" s="67">
        <v>18126.04</v>
      </c>
      <c r="AI120" s="69">
        <f t="shared" si="209"/>
        <v>89.57760000000053</v>
      </c>
      <c r="AJ120" s="69">
        <f t="shared" si="210"/>
        <v>697.57760000000053</v>
      </c>
    </row>
    <row r="121" spans="1:36" x14ac:dyDescent="0.25">
      <c r="A121" s="167">
        <v>445</v>
      </c>
      <c r="B121" s="92" t="s">
        <v>2605</v>
      </c>
      <c r="C121" s="71" t="s">
        <v>2471</v>
      </c>
      <c r="D121" s="168" t="s">
        <v>2606</v>
      </c>
      <c r="E121" s="168" t="s">
        <v>2607</v>
      </c>
      <c r="F121" s="74">
        <v>42835</v>
      </c>
      <c r="G121" s="59">
        <f t="shared" si="193"/>
        <v>4.7260273972602738</v>
      </c>
      <c r="H121" s="57"/>
      <c r="I121" s="66">
        <v>33184</v>
      </c>
      <c r="J121" s="182">
        <v>33792</v>
      </c>
      <c r="K121" s="63"/>
      <c r="L121" s="63">
        <f t="shared" si="194"/>
        <v>16.246153846153845</v>
      </c>
      <c r="M121" s="63">
        <f t="shared" si="195"/>
        <v>1299.6923076923076</v>
      </c>
      <c r="N121" s="63">
        <v>0</v>
      </c>
      <c r="O121" s="169"/>
      <c r="P121" s="169"/>
      <c r="Q121" s="63">
        <f t="shared" si="196"/>
        <v>0</v>
      </c>
      <c r="R121" s="63">
        <f t="shared" si="197"/>
        <v>33792</v>
      </c>
      <c r="S121" s="169"/>
      <c r="T121" s="169"/>
      <c r="U121" s="169"/>
      <c r="V121" s="63">
        <f t="shared" si="198"/>
        <v>33792</v>
      </c>
      <c r="W121" s="63">
        <f t="shared" si="199"/>
        <v>2095.1039999999998</v>
      </c>
      <c r="X121" s="63">
        <f t="shared" si="200"/>
        <v>489.98400000000004</v>
      </c>
      <c r="Y121" s="63">
        <f t="shared" si="201"/>
        <v>4754.5343999999996</v>
      </c>
      <c r="Z121" s="63">
        <f t="shared" si="202"/>
        <v>54.0672</v>
      </c>
      <c r="AA121" s="63">
        <f t="shared" si="203"/>
        <v>23.654399999999999</v>
      </c>
      <c r="AB121" s="63">
        <f t="shared" si="204"/>
        <v>335</v>
      </c>
      <c r="AC121" s="63">
        <f t="shared" si="205"/>
        <v>10356.36</v>
      </c>
      <c r="AD121" s="63">
        <f t="shared" si="206"/>
        <v>106.9136</v>
      </c>
      <c r="AE121" s="170">
        <v>445</v>
      </c>
      <c r="AF121" s="69">
        <f t="shared" si="207"/>
        <v>608</v>
      </c>
      <c r="AG121" s="69">
        <f t="shared" si="208"/>
        <v>18215.617600000001</v>
      </c>
      <c r="AH121" s="67">
        <v>18149.86</v>
      </c>
      <c r="AI121" s="69">
        <f t="shared" si="209"/>
        <v>65.757600000000821</v>
      </c>
      <c r="AJ121" s="69">
        <f t="shared" si="210"/>
        <v>673.75760000000082</v>
      </c>
    </row>
    <row r="122" spans="1:36" x14ac:dyDescent="0.25">
      <c r="A122" s="167">
        <v>445</v>
      </c>
      <c r="B122" s="92" t="s">
        <v>2608</v>
      </c>
      <c r="C122" s="71" t="s">
        <v>2471</v>
      </c>
      <c r="D122" s="185" t="s">
        <v>2609</v>
      </c>
      <c r="E122" s="185" t="s">
        <v>2610</v>
      </c>
      <c r="F122" s="74">
        <v>36381</v>
      </c>
      <c r="G122" s="59">
        <f t="shared" si="193"/>
        <v>22.408219178082192</v>
      </c>
      <c r="H122" s="57"/>
      <c r="I122" s="66">
        <v>38376</v>
      </c>
      <c r="J122" s="182">
        <v>39078</v>
      </c>
      <c r="K122" s="63"/>
      <c r="L122" s="63">
        <f t="shared" si="194"/>
        <v>18.787500000000001</v>
      </c>
      <c r="M122" s="63">
        <f t="shared" si="195"/>
        <v>1503</v>
      </c>
      <c r="N122" s="63">
        <f>IF(G122&lt;4,0,(G122-1)*$N$7)</f>
        <v>5651.7698630136983</v>
      </c>
      <c r="O122" s="169"/>
      <c r="P122" s="169"/>
      <c r="Q122" s="63">
        <f t="shared" si="196"/>
        <v>5000</v>
      </c>
      <c r="R122" s="63">
        <f t="shared" si="197"/>
        <v>44078</v>
      </c>
      <c r="S122" s="169"/>
      <c r="T122" s="169"/>
      <c r="U122" s="169"/>
      <c r="V122" s="63">
        <f t="shared" si="198"/>
        <v>44078</v>
      </c>
      <c r="W122" s="63">
        <f t="shared" si="199"/>
        <v>2732.8359999999998</v>
      </c>
      <c r="X122" s="63">
        <f t="shared" si="200"/>
        <v>639.13100000000009</v>
      </c>
      <c r="Y122" s="63">
        <f t="shared" si="201"/>
        <v>6201.7745999999997</v>
      </c>
      <c r="Z122" s="63">
        <f t="shared" si="202"/>
        <v>70.524799999999999</v>
      </c>
      <c r="AA122" s="63">
        <f t="shared" si="203"/>
        <v>30.854600000000001</v>
      </c>
      <c r="AB122" s="63">
        <f t="shared" si="204"/>
        <v>335</v>
      </c>
      <c r="AC122" s="63">
        <f t="shared" si="205"/>
        <v>10356.36</v>
      </c>
      <c r="AD122" s="63">
        <f t="shared" si="206"/>
        <v>106.9136</v>
      </c>
      <c r="AE122" s="170">
        <v>445</v>
      </c>
      <c r="AF122" s="69">
        <f t="shared" si="207"/>
        <v>702</v>
      </c>
      <c r="AG122" s="69">
        <f t="shared" si="208"/>
        <v>20473.3946</v>
      </c>
      <c r="AH122" s="67">
        <v>18397.41</v>
      </c>
      <c r="AI122" s="69">
        <f t="shared" si="209"/>
        <v>2075.9845999999998</v>
      </c>
      <c r="AJ122" s="69">
        <f t="shared" si="210"/>
        <v>2777.9845999999998</v>
      </c>
    </row>
    <row r="123" spans="1:36" x14ac:dyDescent="0.25">
      <c r="A123" s="167">
        <v>445</v>
      </c>
      <c r="B123" s="138"/>
      <c r="C123" s="168" t="s">
        <v>2611</v>
      </c>
      <c r="D123" s="168"/>
      <c r="E123" s="168"/>
      <c r="F123" s="58"/>
      <c r="G123" s="167" t="s">
        <v>2422</v>
      </c>
      <c r="H123" s="57"/>
      <c r="I123" s="57">
        <v>15600</v>
      </c>
      <c r="J123" s="57">
        <v>15600</v>
      </c>
      <c r="K123" s="169"/>
      <c r="L123" s="169"/>
      <c r="M123" s="169"/>
      <c r="N123" s="63" t="s">
        <v>27</v>
      </c>
      <c r="O123" s="169"/>
      <c r="P123" s="169"/>
      <c r="Q123" s="63">
        <v>0</v>
      </c>
      <c r="R123" s="63">
        <v>15600</v>
      </c>
      <c r="S123" s="169"/>
      <c r="T123" s="169"/>
      <c r="U123" s="169"/>
      <c r="V123" s="63">
        <f t="shared" si="198"/>
        <v>15600</v>
      </c>
      <c r="W123" s="63">
        <f t="shared" si="199"/>
        <v>967.2</v>
      </c>
      <c r="X123" s="63">
        <f t="shared" si="200"/>
        <v>226.20000000000002</v>
      </c>
      <c r="Y123" s="63">
        <f t="shared" si="201"/>
        <v>2194.92</v>
      </c>
      <c r="Z123" s="63">
        <f t="shared" si="202"/>
        <v>24.96</v>
      </c>
      <c r="AA123" s="63">
        <f t="shared" si="203"/>
        <v>10.92</v>
      </c>
      <c r="AB123" s="63" t="s">
        <v>2422</v>
      </c>
      <c r="AC123" s="63" t="s">
        <v>2422</v>
      </c>
      <c r="AD123" s="63" t="s">
        <v>2422</v>
      </c>
      <c r="AE123" s="170">
        <v>445</v>
      </c>
      <c r="AF123" s="69">
        <f t="shared" si="207"/>
        <v>0</v>
      </c>
      <c r="AG123" s="69">
        <f t="shared" si="208"/>
        <v>3424.2000000000003</v>
      </c>
      <c r="AH123" s="67">
        <v>3572.4</v>
      </c>
      <c r="AI123" s="69">
        <f t="shared" si="209"/>
        <v>-148.19999999999982</v>
      </c>
      <c r="AJ123" s="69">
        <f t="shared" si="210"/>
        <v>-148.19999999999982</v>
      </c>
    </row>
    <row r="124" spans="1:36" x14ac:dyDescent="0.25">
      <c r="A124" s="167">
        <v>445</v>
      </c>
      <c r="B124" s="138"/>
      <c r="C124" s="168" t="s">
        <v>2495</v>
      </c>
      <c r="D124" s="138"/>
      <c r="E124" s="138"/>
      <c r="F124" s="138"/>
      <c r="G124" s="138"/>
      <c r="H124" s="57"/>
      <c r="I124" s="57">
        <v>1500</v>
      </c>
      <c r="J124" s="171">
        <v>1500</v>
      </c>
      <c r="K124" s="173"/>
      <c r="L124" s="173"/>
      <c r="M124" s="173"/>
      <c r="N124" s="172" t="s">
        <v>27</v>
      </c>
      <c r="O124" s="173"/>
      <c r="P124" s="173"/>
      <c r="Q124" s="172">
        <v>0</v>
      </c>
      <c r="R124" s="172">
        <v>1500</v>
      </c>
      <c r="S124" s="173"/>
      <c r="T124" s="173"/>
      <c r="U124" s="173"/>
      <c r="V124" s="172">
        <f t="shared" si="198"/>
        <v>1500</v>
      </c>
      <c r="W124" s="172">
        <f t="shared" si="199"/>
        <v>93</v>
      </c>
      <c r="X124" s="172">
        <f t="shared" si="200"/>
        <v>21.75</v>
      </c>
      <c r="Y124" s="172">
        <f t="shared" si="201"/>
        <v>211.04999999999998</v>
      </c>
      <c r="Z124" s="172">
        <f t="shared" si="202"/>
        <v>2.4</v>
      </c>
      <c r="AA124" s="172">
        <f t="shared" si="203"/>
        <v>1.05</v>
      </c>
      <c r="AB124" s="172" t="s">
        <v>2422</v>
      </c>
      <c r="AC124" s="172" t="s">
        <v>2422</v>
      </c>
      <c r="AD124" s="172" t="s">
        <v>2422</v>
      </c>
      <c r="AE124" s="170">
        <v>445</v>
      </c>
      <c r="AF124" s="69">
        <f t="shared" si="207"/>
        <v>0</v>
      </c>
      <c r="AG124" s="69">
        <f t="shared" si="208"/>
        <v>329.24999999999994</v>
      </c>
      <c r="AH124" s="67">
        <v>343.5</v>
      </c>
      <c r="AI124" s="69">
        <f t="shared" si="209"/>
        <v>-14.250000000000057</v>
      </c>
      <c r="AJ124" s="69">
        <f t="shared" si="210"/>
        <v>-14.250000000000057</v>
      </c>
    </row>
    <row r="125" spans="1:36" x14ac:dyDescent="0.25">
      <c r="A125" s="167">
        <v>445</v>
      </c>
      <c r="B125" s="138"/>
      <c r="C125" s="138"/>
      <c r="D125" s="138"/>
      <c r="E125" s="138"/>
      <c r="F125" s="138"/>
      <c r="G125" s="138"/>
      <c r="H125" s="68"/>
      <c r="I125" s="174">
        <f t="shared" ref="I125:J125" si="212">SUM(I111:I124)</f>
        <v>456598</v>
      </c>
      <c r="J125" s="174">
        <f t="shared" si="212"/>
        <v>459711</v>
      </c>
      <c r="K125" s="175"/>
      <c r="L125" s="175">
        <f t="shared" ref="L125:AD125" si="213">SUM(L110:L124)</f>
        <v>212.79374999999996</v>
      </c>
      <c r="M125" s="175">
        <f t="shared" si="213"/>
        <v>17023.5</v>
      </c>
      <c r="N125" s="175">
        <f t="shared" si="213"/>
        <v>7235.0465753424651</v>
      </c>
      <c r="O125" s="175">
        <f t="shared" si="213"/>
        <v>0</v>
      </c>
      <c r="P125" s="175">
        <f t="shared" si="213"/>
        <v>0</v>
      </c>
      <c r="Q125" s="175">
        <f t="shared" si="213"/>
        <v>6583.2767123287667</v>
      </c>
      <c r="R125" s="175">
        <f t="shared" si="213"/>
        <v>466294.27671232878</v>
      </c>
      <c r="S125" s="175">
        <f t="shared" si="213"/>
        <v>0</v>
      </c>
      <c r="T125" s="175">
        <f t="shared" si="213"/>
        <v>0</v>
      </c>
      <c r="U125" s="175">
        <f t="shared" si="213"/>
        <v>0</v>
      </c>
      <c r="V125" s="175">
        <f t="shared" si="213"/>
        <v>466294.27671232878</v>
      </c>
      <c r="W125" s="175">
        <f t="shared" si="213"/>
        <v>28910.245156164383</v>
      </c>
      <c r="X125" s="175">
        <f t="shared" si="213"/>
        <v>6761.267012328768</v>
      </c>
      <c r="Y125" s="175">
        <f t="shared" si="213"/>
        <v>65607.604733424654</v>
      </c>
      <c r="Z125" s="175">
        <f t="shared" si="213"/>
        <v>746.070842739726</v>
      </c>
      <c r="AA125" s="175">
        <f t="shared" si="213"/>
        <v>326.4059936986302</v>
      </c>
      <c r="AB125" s="175">
        <f t="shared" si="213"/>
        <v>4020</v>
      </c>
      <c r="AC125" s="175">
        <f t="shared" si="213"/>
        <v>124276.32</v>
      </c>
      <c r="AD125" s="175">
        <f t="shared" si="213"/>
        <v>1282.9632000000001</v>
      </c>
      <c r="AE125" s="170">
        <v>445</v>
      </c>
      <c r="AF125" s="195">
        <f>SUM(AF111:AF124)</f>
        <v>3113</v>
      </c>
      <c r="AG125" s="69">
        <f t="shared" si="208"/>
        <v>231930.87693835617</v>
      </c>
      <c r="AH125" s="67">
        <v>234139.77</v>
      </c>
      <c r="AI125" s="176">
        <f t="shared" si="209"/>
        <v>-2208.8930616438156</v>
      </c>
      <c r="AJ125" s="176">
        <f t="shared" si="210"/>
        <v>904.1069383561844</v>
      </c>
    </row>
    <row r="126" spans="1:36" hidden="1" x14ac:dyDescent="0.25">
      <c r="A126" s="138"/>
      <c r="B126" s="138"/>
      <c r="C126" s="138"/>
      <c r="D126" s="138"/>
      <c r="E126" s="138"/>
      <c r="F126" s="138"/>
      <c r="G126" s="138"/>
      <c r="H126" s="78"/>
      <c r="I126" s="78">
        <v>378889</v>
      </c>
      <c r="J126" s="78">
        <f>SUM(J112:J122)</f>
        <v>382004</v>
      </c>
      <c r="K126" s="169"/>
      <c r="L126" s="169"/>
      <c r="M126" s="169"/>
      <c r="N126" s="169"/>
      <c r="O126" s="169"/>
      <c r="P126" s="169"/>
      <c r="Q126" s="169"/>
      <c r="R126" s="169"/>
      <c r="S126" s="169"/>
      <c r="T126" s="169"/>
      <c r="U126" s="169"/>
      <c r="V126" s="169"/>
      <c r="W126" s="63">
        <f>SUM(W125:X125)</f>
        <v>35671.512168493151</v>
      </c>
      <c r="X126" s="169"/>
      <c r="Y126" s="169"/>
      <c r="Z126" s="169"/>
      <c r="AA126" s="169"/>
      <c r="AB126" s="169"/>
      <c r="AC126" s="63">
        <f>SUM(AC125:AD125)</f>
        <v>125559.28320000001</v>
      </c>
      <c r="AD126" s="169"/>
      <c r="AE126" s="149"/>
      <c r="AF126" s="69">
        <f>SUM(AF111:AF124)</f>
        <v>3113</v>
      </c>
      <c r="AG126" s="178"/>
      <c r="AH126" s="65"/>
      <c r="AI126" s="69">
        <f t="shared" ref="AI126:AJ126" si="214">SUM(AI111:AI124)</f>
        <v>-2208.8830616438272</v>
      </c>
      <c r="AJ126" s="69">
        <f t="shared" si="214"/>
        <v>904.1169383561728</v>
      </c>
    </row>
    <row r="127" spans="1:36" x14ac:dyDescent="0.25">
      <c r="A127" s="138"/>
      <c r="B127" s="138"/>
      <c r="C127" s="138"/>
      <c r="D127" s="138"/>
      <c r="E127" s="138"/>
      <c r="F127" s="138"/>
      <c r="G127" s="138"/>
      <c r="H127" s="179"/>
      <c r="I127" s="179"/>
      <c r="J127" s="179"/>
      <c r="K127" s="169"/>
      <c r="L127" s="169"/>
      <c r="M127" s="169"/>
      <c r="N127" s="169"/>
      <c r="O127" s="169"/>
      <c r="P127" s="169"/>
      <c r="Q127" s="169"/>
      <c r="R127" s="169"/>
      <c r="S127" s="169"/>
      <c r="T127" s="169"/>
      <c r="U127" s="169"/>
      <c r="V127" s="169"/>
      <c r="W127" s="169"/>
      <c r="X127" s="169"/>
      <c r="Y127" s="169"/>
      <c r="Z127" s="169"/>
      <c r="AA127" s="169"/>
      <c r="AB127" s="169"/>
      <c r="AC127" s="169"/>
      <c r="AD127" s="169"/>
      <c r="AE127" s="149"/>
      <c r="AF127" s="178"/>
      <c r="AG127" s="178"/>
      <c r="AH127" s="65"/>
      <c r="AI127" s="178"/>
      <c r="AJ127" s="178"/>
    </row>
    <row r="128" spans="1:36" x14ac:dyDescent="0.25">
      <c r="A128" s="138"/>
      <c r="B128" s="138"/>
      <c r="C128" s="138"/>
      <c r="D128" s="138"/>
      <c r="E128" s="138"/>
      <c r="F128" s="138"/>
      <c r="G128" s="138"/>
      <c r="H128" s="179"/>
      <c r="I128" s="179"/>
      <c r="J128" s="179"/>
      <c r="K128" s="169"/>
      <c r="L128" s="169"/>
      <c r="M128" s="169"/>
      <c r="N128" s="169"/>
      <c r="O128" s="169"/>
      <c r="P128" s="169"/>
      <c r="Q128" s="169"/>
      <c r="R128" s="169"/>
      <c r="S128" s="169"/>
      <c r="T128" s="169"/>
      <c r="U128" s="169"/>
      <c r="V128" s="169"/>
      <c r="W128" s="169"/>
      <c r="X128" s="169"/>
      <c r="Y128" s="169"/>
      <c r="Z128" s="169"/>
      <c r="AA128" s="169"/>
      <c r="AB128" s="169"/>
      <c r="AC128" s="169"/>
      <c r="AD128" s="169"/>
      <c r="AE128" s="149"/>
      <c r="AF128" s="178"/>
      <c r="AG128" s="178"/>
      <c r="AH128" s="65"/>
      <c r="AI128" s="178"/>
      <c r="AJ128" s="178"/>
    </row>
    <row r="129" spans="1:36" x14ac:dyDescent="0.25">
      <c r="A129" s="167">
        <v>451</v>
      </c>
      <c r="B129" s="92" t="s">
        <v>2612</v>
      </c>
      <c r="C129" s="168" t="s">
        <v>2613</v>
      </c>
      <c r="D129" s="168" t="s">
        <v>2614</v>
      </c>
      <c r="E129" s="168" t="s">
        <v>2615</v>
      </c>
      <c r="F129" s="58">
        <v>41257</v>
      </c>
      <c r="G129" s="59">
        <f>(DATE(2021,12,30)-(F129))/365</f>
        <v>9.0493150684931507</v>
      </c>
      <c r="H129" s="57"/>
      <c r="I129" s="57">
        <v>57393</v>
      </c>
      <c r="J129" s="57">
        <v>57393</v>
      </c>
      <c r="K129" s="63"/>
      <c r="L129" s="63">
        <f>SUM(J129/2080)</f>
        <v>27.592788461538461</v>
      </c>
      <c r="M129" s="63">
        <f>SUM(J129/26)</f>
        <v>2207.4230769230771</v>
      </c>
      <c r="N129" s="63">
        <v>0</v>
      </c>
      <c r="O129" s="169"/>
      <c r="P129" s="169"/>
      <c r="Q129" s="63">
        <f>IF(N129+P129&gt;5000,5000,N129+P129)</f>
        <v>0</v>
      </c>
      <c r="R129" s="63">
        <f>Q129+J129</f>
        <v>57393</v>
      </c>
      <c r="S129" s="169"/>
      <c r="T129" s="169"/>
      <c r="U129" s="169"/>
      <c r="V129" s="63">
        <f t="shared" ref="V129:V133" si="215">SUM(R129:U129)</f>
        <v>57393</v>
      </c>
      <c r="W129" s="63">
        <f t="shared" ref="W129:W133" si="216">SUM(V129*$W$7)</f>
        <v>3558.366</v>
      </c>
      <c r="X129" s="63">
        <f t="shared" ref="X129:X133" si="217">SUM(V129*$X$7)</f>
        <v>832.19850000000008</v>
      </c>
      <c r="Y129" s="63">
        <f t="shared" ref="Y129:Y133" si="218">SUM(V129*$Y$7)</f>
        <v>8075.1950999999999</v>
      </c>
      <c r="Z129" s="63">
        <f t="shared" ref="Z129:Z133" si="219">SUM(V129*$Z$7)</f>
        <v>91.828800000000001</v>
      </c>
      <c r="AA129" s="63">
        <f t="shared" ref="AA129:AA133" si="220">SUM(V129*$AA$7)</f>
        <v>40.1751</v>
      </c>
      <c r="AB129" s="63">
        <f>SUM($AB$7)</f>
        <v>335</v>
      </c>
      <c r="AC129" s="63">
        <f>$AC$7</f>
        <v>10356.36</v>
      </c>
      <c r="AD129" s="63">
        <f>SUM(AB129+AC129)*$AD$7</f>
        <v>106.9136</v>
      </c>
      <c r="AE129" s="170">
        <v>451</v>
      </c>
      <c r="AF129" s="69">
        <f t="shared" ref="AF129:AF133" si="221">SUM(J129-I129)</f>
        <v>0</v>
      </c>
      <c r="AG129" s="69">
        <f t="shared" ref="AG129:AG134" si="222">SUM(W129:AD129)</f>
        <v>23396.037100000001</v>
      </c>
      <c r="AH129" s="67">
        <v>23941.27</v>
      </c>
      <c r="AI129" s="69">
        <f t="shared" ref="AI129:AI134" si="223">AG129-AH129</f>
        <v>-545.23289999999906</v>
      </c>
      <c r="AJ129" s="69">
        <f t="shared" ref="AJ129:AJ134" si="224">AF129+AI129</f>
        <v>-545.23289999999906</v>
      </c>
    </row>
    <row r="130" spans="1:36" x14ac:dyDescent="0.25">
      <c r="A130" s="138"/>
      <c r="B130" s="138"/>
      <c r="C130" s="168" t="s">
        <v>2901</v>
      </c>
      <c r="D130" s="207" t="s">
        <v>2910</v>
      </c>
      <c r="E130" s="138"/>
      <c r="F130" s="138"/>
      <c r="G130" s="138"/>
      <c r="H130" s="57"/>
      <c r="I130" s="57">
        <v>600</v>
      </c>
      <c r="J130" s="57">
        <v>600</v>
      </c>
      <c r="K130" s="169"/>
      <c r="L130" s="169"/>
      <c r="M130" s="63">
        <v>23.08</v>
      </c>
      <c r="N130" s="63" t="s">
        <v>27</v>
      </c>
      <c r="O130" s="169"/>
      <c r="P130" s="169"/>
      <c r="Q130" s="63">
        <v>0</v>
      </c>
      <c r="R130" s="63">
        <v>600</v>
      </c>
      <c r="S130" s="169"/>
      <c r="T130" s="169"/>
      <c r="U130" s="169"/>
      <c r="V130" s="63">
        <f t="shared" si="215"/>
        <v>600</v>
      </c>
      <c r="W130" s="63">
        <f t="shared" si="216"/>
        <v>37.200000000000003</v>
      </c>
      <c r="X130" s="63">
        <f t="shared" si="217"/>
        <v>8.7000000000000011</v>
      </c>
      <c r="Y130" s="63">
        <f t="shared" si="218"/>
        <v>84.42</v>
      </c>
      <c r="Z130" s="63">
        <f t="shared" si="219"/>
        <v>0.96000000000000008</v>
      </c>
      <c r="AA130" s="63">
        <f t="shared" si="220"/>
        <v>0.42</v>
      </c>
      <c r="AB130" s="63" t="s">
        <v>2422</v>
      </c>
      <c r="AC130" s="63" t="s">
        <v>2422</v>
      </c>
      <c r="AD130" s="63" t="s">
        <v>2422</v>
      </c>
      <c r="AE130" s="170">
        <v>451</v>
      </c>
      <c r="AF130" s="69">
        <f t="shared" si="221"/>
        <v>0</v>
      </c>
      <c r="AG130" s="69">
        <f t="shared" si="222"/>
        <v>131.69999999999999</v>
      </c>
      <c r="AH130" s="67">
        <v>137.4</v>
      </c>
      <c r="AI130" s="69">
        <f t="shared" si="223"/>
        <v>-5.7000000000000171</v>
      </c>
      <c r="AJ130" s="69">
        <f t="shared" si="224"/>
        <v>-5.7000000000000171</v>
      </c>
    </row>
    <row r="131" spans="1:36" x14ac:dyDescent="0.25">
      <c r="A131" s="167">
        <v>451</v>
      </c>
      <c r="B131" s="92" t="s">
        <v>2616</v>
      </c>
      <c r="C131" s="168" t="s">
        <v>2617</v>
      </c>
      <c r="D131" s="168" t="s">
        <v>2618</v>
      </c>
      <c r="E131" s="168" t="s">
        <v>2619</v>
      </c>
      <c r="F131" s="58">
        <v>42564</v>
      </c>
      <c r="G131" s="59">
        <f t="shared" ref="G131:G132" si="225">(DATE(2021,12,30)-(F131))/365</f>
        <v>5.4684931506849317</v>
      </c>
      <c r="H131" s="57"/>
      <c r="I131" s="57">
        <v>33429</v>
      </c>
      <c r="J131" s="57">
        <v>33429</v>
      </c>
      <c r="K131" s="63"/>
      <c r="L131" s="63">
        <f t="shared" ref="L131:L132" si="226">SUM(J131/2080)</f>
        <v>16.071634615384614</v>
      </c>
      <c r="M131" s="63">
        <f t="shared" ref="M131:M132" si="227">SUM(J131/26)</f>
        <v>1285.7307692307693</v>
      </c>
      <c r="N131" s="63">
        <v>0</v>
      </c>
      <c r="O131" s="169"/>
      <c r="P131" s="169"/>
      <c r="Q131" s="63">
        <f t="shared" ref="Q131:Q132" si="228">IF(N131+P131&gt;5000,5000,N131+P131)</f>
        <v>0</v>
      </c>
      <c r="R131" s="63">
        <f t="shared" ref="R131:R133" si="229">Q131+J131</f>
        <v>33429</v>
      </c>
      <c r="S131" s="169"/>
      <c r="T131" s="169"/>
      <c r="U131" s="169"/>
      <c r="V131" s="63">
        <f t="shared" si="215"/>
        <v>33429</v>
      </c>
      <c r="W131" s="63">
        <f t="shared" si="216"/>
        <v>2072.598</v>
      </c>
      <c r="X131" s="63">
        <f t="shared" si="217"/>
        <v>484.72050000000002</v>
      </c>
      <c r="Y131" s="63">
        <f t="shared" si="218"/>
        <v>4703.4602999999997</v>
      </c>
      <c r="Z131" s="63">
        <f t="shared" si="219"/>
        <v>53.486400000000003</v>
      </c>
      <c r="AA131" s="63">
        <f t="shared" si="220"/>
        <v>23.400300000000001</v>
      </c>
      <c r="AB131" s="63">
        <f t="shared" ref="AB131:AB132" si="230">SUM($AB$7)</f>
        <v>335</v>
      </c>
      <c r="AC131" s="63">
        <f t="shared" ref="AC131:AC132" si="231">$AC$7</f>
        <v>10356.36</v>
      </c>
      <c r="AD131" s="63">
        <f t="shared" ref="AD131:AD132" si="232">SUM(AB131+AC131)*$AD$7</f>
        <v>106.9136</v>
      </c>
      <c r="AE131" s="170">
        <v>451</v>
      </c>
      <c r="AF131" s="69">
        <f t="shared" si="221"/>
        <v>0</v>
      </c>
      <c r="AG131" s="69">
        <f t="shared" si="222"/>
        <v>18135.9391</v>
      </c>
      <c r="AH131" s="67">
        <v>18453.509999999998</v>
      </c>
      <c r="AI131" s="69">
        <f t="shared" si="223"/>
        <v>-317.5708999999988</v>
      </c>
      <c r="AJ131" s="69">
        <f t="shared" si="224"/>
        <v>-317.5708999999988</v>
      </c>
    </row>
    <row r="132" spans="1:36" x14ac:dyDescent="0.25">
      <c r="A132" s="167">
        <v>451</v>
      </c>
      <c r="B132" s="92" t="s">
        <v>2620</v>
      </c>
      <c r="C132" s="71" t="s">
        <v>2621</v>
      </c>
      <c r="D132" s="168" t="s">
        <v>2622</v>
      </c>
      <c r="E132" s="168" t="s">
        <v>2623</v>
      </c>
      <c r="F132" s="58">
        <v>43255</v>
      </c>
      <c r="G132" s="59">
        <f t="shared" si="225"/>
        <v>3.5753424657534247</v>
      </c>
      <c r="H132" s="57"/>
      <c r="I132" s="57">
        <v>32827</v>
      </c>
      <c r="J132" s="57">
        <v>32827</v>
      </c>
      <c r="K132" s="63"/>
      <c r="L132" s="63">
        <f t="shared" si="226"/>
        <v>15.782211538461539</v>
      </c>
      <c r="M132" s="63">
        <f t="shared" si="227"/>
        <v>1262.5769230769231</v>
      </c>
      <c r="N132" s="63">
        <f>IF(G132&lt;4,0,(G132-1)*$N$7)</f>
        <v>0</v>
      </c>
      <c r="O132" s="169"/>
      <c r="P132" s="169"/>
      <c r="Q132" s="63">
        <f t="shared" si="228"/>
        <v>0</v>
      </c>
      <c r="R132" s="63">
        <f t="shared" si="229"/>
        <v>32827</v>
      </c>
      <c r="S132" s="169"/>
      <c r="T132" s="169"/>
      <c r="U132" s="169"/>
      <c r="V132" s="63">
        <f t="shared" si="215"/>
        <v>32827</v>
      </c>
      <c r="W132" s="63">
        <f t="shared" si="216"/>
        <v>2035.2739999999999</v>
      </c>
      <c r="X132" s="63">
        <f t="shared" si="217"/>
        <v>475.99150000000003</v>
      </c>
      <c r="Y132" s="63">
        <f t="shared" si="218"/>
        <v>4618.7588999999998</v>
      </c>
      <c r="Z132" s="63">
        <f t="shared" si="219"/>
        <v>52.523200000000003</v>
      </c>
      <c r="AA132" s="63">
        <f t="shared" si="220"/>
        <v>22.978899999999999</v>
      </c>
      <c r="AB132" s="63">
        <f t="shared" si="230"/>
        <v>335</v>
      </c>
      <c r="AC132" s="63">
        <f t="shared" si="231"/>
        <v>10356.36</v>
      </c>
      <c r="AD132" s="63">
        <f t="shared" si="232"/>
        <v>106.9136</v>
      </c>
      <c r="AE132" s="170">
        <v>451</v>
      </c>
      <c r="AF132" s="69">
        <f t="shared" si="221"/>
        <v>0</v>
      </c>
      <c r="AG132" s="69">
        <f t="shared" si="222"/>
        <v>18003.8001</v>
      </c>
      <c r="AH132" s="67">
        <v>18315.66</v>
      </c>
      <c r="AI132" s="69">
        <f t="shared" si="223"/>
        <v>-311.85989999999947</v>
      </c>
      <c r="AJ132" s="69">
        <f t="shared" si="224"/>
        <v>-311.85989999999947</v>
      </c>
    </row>
    <row r="133" spans="1:36" x14ac:dyDescent="0.25">
      <c r="A133" s="167">
        <v>451</v>
      </c>
      <c r="B133" s="167"/>
      <c r="C133" s="168" t="s">
        <v>2495</v>
      </c>
      <c r="D133" s="138"/>
      <c r="E133" s="138"/>
      <c r="F133" s="138"/>
      <c r="G133" s="138"/>
      <c r="H133" s="57"/>
      <c r="I133" s="57">
        <v>0</v>
      </c>
      <c r="J133" s="171">
        <v>0</v>
      </c>
      <c r="K133" s="173"/>
      <c r="L133" s="173"/>
      <c r="M133" s="173"/>
      <c r="N133" s="172" t="s">
        <v>27</v>
      </c>
      <c r="O133" s="173"/>
      <c r="P133" s="173"/>
      <c r="Q133" s="172">
        <v>0</v>
      </c>
      <c r="R133" s="172">
        <f t="shared" si="229"/>
        <v>0</v>
      </c>
      <c r="S133" s="173"/>
      <c r="T133" s="173"/>
      <c r="U133" s="173"/>
      <c r="V133" s="172">
        <f t="shared" si="215"/>
        <v>0</v>
      </c>
      <c r="W133" s="172">
        <f t="shared" si="216"/>
        <v>0</v>
      </c>
      <c r="X133" s="172">
        <f t="shared" si="217"/>
        <v>0</v>
      </c>
      <c r="Y133" s="172">
        <f t="shared" si="218"/>
        <v>0</v>
      </c>
      <c r="Z133" s="172">
        <f t="shared" si="219"/>
        <v>0</v>
      </c>
      <c r="AA133" s="172">
        <f t="shared" si="220"/>
        <v>0</v>
      </c>
      <c r="AB133" s="172" t="s">
        <v>2422</v>
      </c>
      <c r="AC133" s="172" t="s">
        <v>2422</v>
      </c>
      <c r="AD133" s="172" t="s">
        <v>2422</v>
      </c>
      <c r="AE133" s="170">
        <v>451</v>
      </c>
      <c r="AF133" s="69">
        <f t="shared" si="221"/>
        <v>0</v>
      </c>
      <c r="AG133" s="69">
        <f t="shared" si="222"/>
        <v>0</v>
      </c>
      <c r="AH133" s="67">
        <v>0</v>
      </c>
      <c r="AI133" s="69">
        <f t="shared" si="223"/>
        <v>0</v>
      </c>
      <c r="AJ133" s="69">
        <f t="shared" si="224"/>
        <v>0</v>
      </c>
    </row>
    <row r="134" spans="1:36" x14ac:dyDescent="0.25">
      <c r="A134" s="167">
        <v>451</v>
      </c>
      <c r="B134" s="138"/>
      <c r="C134" s="138"/>
      <c r="D134" s="138"/>
      <c r="E134" s="138"/>
      <c r="F134" s="138"/>
      <c r="G134" s="138"/>
      <c r="H134" s="68"/>
      <c r="I134" s="174">
        <f t="shared" ref="I134:J134" si="233">SUM(I129:I133)</f>
        <v>124249</v>
      </c>
      <c r="J134" s="174">
        <f t="shared" si="233"/>
        <v>124249</v>
      </c>
      <c r="K134" s="175"/>
      <c r="L134" s="175">
        <f t="shared" ref="L134:AD134" si="234">SUM(L129:L133)</f>
        <v>59.44663461538461</v>
      </c>
      <c r="M134" s="175">
        <f t="shared" si="234"/>
        <v>4778.8107692307694</v>
      </c>
      <c r="N134" s="175">
        <f t="shared" si="234"/>
        <v>0</v>
      </c>
      <c r="O134" s="175">
        <f t="shared" si="234"/>
        <v>0</v>
      </c>
      <c r="P134" s="175">
        <f t="shared" si="234"/>
        <v>0</v>
      </c>
      <c r="Q134" s="175">
        <f t="shared" si="234"/>
        <v>0</v>
      </c>
      <c r="R134" s="175">
        <f t="shared" si="234"/>
        <v>124249</v>
      </c>
      <c r="S134" s="175">
        <f t="shared" si="234"/>
        <v>0</v>
      </c>
      <c r="T134" s="175">
        <f t="shared" si="234"/>
        <v>0</v>
      </c>
      <c r="U134" s="175">
        <f t="shared" si="234"/>
        <v>0</v>
      </c>
      <c r="V134" s="175">
        <f t="shared" si="234"/>
        <v>124249</v>
      </c>
      <c r="W134" s="175">
        <f t="shared" si="234"/>
        <v>7703.4380000000001</v>
      </c>
      <c r="X134" s="175">
        <f t="shared" si="234"/>
        <v>1801.6105000000002</v>
      </c>
      <c r="Y134" s="175">
        <f t="shared" si="234"/>
        <v>17481.834299999999</v>
      </c>
      <c r="Z134" s="175">
        <f t="shared" si="234"/>
        <v>198.79839999999999</v>
      </c>
      <c r="AA134" s="175">
        <f t="shared" si="234"/>
        <v>86.974299999999999</v>
      </c>
      <c r="AB134" s="175">
        <f t="shared" si="234"/>
        <v>1005</v>
      </c>
      <c r="AC134" s="175">
        <f t="shared" si="234"/>
        <v>31069.08</v>
      </c>
      <c r="AD134" s="175">
        <f t="shared" si="234"/>
        <v>320.74080000000004</v>
      </c>
      <c r="AE134" s="170">
        <v>451</v>
      </c>
      <c r="AF134" s="195">
        <f>SUM(AF129:AF133)</f>
        <v>0</v>
      </c>
      <c r="AG134" s="69">
        <f t="shared" si="222"/>
        <v>59667.476300000002</v>
      </c>
      <c r="AH134" s="67">
        <v>60847.839999999997</v>
      </c>
      <c r="AI134" s="176">
        <f t="shared" si="223"/>
        <v>-1180.3636999999944</v>
      </c>
      <c r="AJ134" s="176">
        <f t="shared" si="224"/>
        <v>-1180.3636999999944</v>
      </c>
    </row>
    <row r="135" spans="1:36" hidden="1" x14ac:dyDescent="0.25">
      <c r="A135" s="138"/>
      <c r="B135" s="138"/>
      <c r="C135" s="138"/>
      <c r="D135" s="138"/>
      <c r="E135" s="138"/>
      <c r="F135" s="138"/>
      <c r="G135" s="138"/>
      <c r="H135" s="190"/>
      <c r="I135" s="190">
        <v>66256</v>
      </c>
      <c r="J135" s="190">
        <f>SUM(J131:J132)</f>
        <v>66256</v>
      </c>
      <c r="K135" s="169"/>
      <c r="L135" s="169"/>
      <c r="M135" s="169"/>
      <c r="N135" s="169"/>
      <c r="O135" s="169"/>
      <c r="P135" s="169"/>
      <c r="Q135" s="169"/>
      <c r="R135" s="169"/>
      <c r="S135" s="169"/>
      <c r="T135" s="169"/>
      <c r="U135" s="169"/>
      <c r="V135" s="169"/>
      <c r="W135" s="63">
        <f>SUM(W134:X134)</f>
        <v>9505.0485000000008</v>
      </c>
      <c r="X135" s="169"/>
      <c r="Y135" s="169"/>
      <c r="Z135" s="169"/>
      <c r="AA135" s="169"/>
      <c r="AB135" s="169"/>
      <c r="AC135" s="63">
        <f>SUM(AC134:AD134)</f>
        <v>31389.820800000001</v>
      </c>
      <c r="AD135" s="169"/>
      <c r="AE135" s="149"/>
      <c r="AF135" s="69">
        <f>SUM(AF129:AF133)</f>
        <v>0</v>
      </c>
      <c r="AG135" s="178"/>
      <c r="AH135" s="65"/>
      <c r="AI135" s="69">
        <f t="shared" ref="AI135:AJ135" si="235">SUM(AI129:AI133)</f>
        <v>-1180.3636999999974</v>
      </c>
      <c r="AJ135" s="69">
        <f t="shared" si="235"/>
        <v>-1180.3636999999974</v>
      </c>
    </row>
    <row r="136" spans="1:36" x14ac:dyDescent="0.25">
      <c r="A136" s="138"/>
      <c r="B136" s="138"/>
      <c r="C136" s="138"/>
      <c r="D136" s="138"/>
      <c r="E136" s="138"/>
      <c r="F136" s="138"/>
      <c r="G136" s="138"/>
      <c r="H136" s="179"/>
      <c r="I136" s="179"/>
      <c r="J136" s="179"/>
      <c r="K136" s="169"/>
      <c r="L136" s="169"/>
      <c r="M136" s="169"/>
      <c r="N136" s="169"/>
      <c r="O136" s="169"/>
      <c r="P136" s="169"/>
      <c r="Q136" s="169"/>
      <c r="R136" s="169"/>
      <c r="S136" s="169"/>
      <c r="T136" s="169"/>
      <c r="U136" s="169"/>
      <c r="V136" s="169"/>
      <c r="W136" s="169"/>
      <c r="X136" s="169"/>
      <c r="Y136" s="169"/>
      <c r="Z136" s="169"/>
      <c r="AA136" s="169"/>
      <c r="AB136" s="169"/>
      <c r="AC136" s="169"/>
      <c r="AD136" s="169"/>
      <c r="AE136" s="149"/>
      <c r="AF136" s="178"/>
      <c r="AG136" s="178"/>
      <c r="AH136" s="65"/>
      <c r="AI136" s="178"/>
      <c r="AJ136" s="178"/>
    </row>
    <row r="137" spans="1:36" x14ac:dyDescent="0.25">
      <c r="A137" s="138"/>
      <c r="B137" s="138"/>
      <c r="C137" s="138"/>
      <c r="D137" s="138"/>
      <c r="E137" s="138"/>
      <c r="F137" s="138"/>
      <c r="G137" s="138"/>
      <c r="H137" s="179"/>
      <c r="I137" s="179"/>
      <c r="J137" s="179"/>
      <c r="K137" s="169"/>
      <c r="L137" s="169"/>
      <c r="M137" s="169"/>
      <c r="N137" s="169"/>
      <c r="O137" s="169"/>
      <c r="P137" s="169"/>
      <c r="Q137" s="169"/>
      <c r="R137" s="169"/>
      <c r="S137" s="169"/>
      <c r="T137" s="169"/>
      <c r="U137" s="169"/>
      <c r="V137" s="169"/>
      <c r="W137" s="169"/>
      <c r="X137" s="169"/>
      <c r="Y137" s="169"/>
      <c r="Z137" s="169"/>
      <c r="AA137" s="169"/>
      <c r="AB137" s="169"/>
      <c r="AC137" s="169"/>
      <c r="AD137" s="169"/>
      <c r="AE137" s="149"/>
      <c r="AF137" s="178"/>
      <c r="AG137" s="178"/>
      <c r="AH137" s="65"/>
      <c r="AI137" s="178"/>
      <c r="AJ137" s="178"/>
    </row>
    <row r="138" spans="1:36" x14ac:dyDescent="0.25">
      <c r="A138" s="167">
        <v>452</v>
      </c>
      <c r="B138" s="92" t="s">
        <v>2624</v>
      </c>
      <c r="C138" s="168" t="s">
        <v>2625</v>
      </c>
      <c r="D138" s="168" t="s">
        <v>2626</v>
      </c>
      <c r="E138" s="168" t="s">
        <v>2569</v>
      </c>
      <c r="F138" s="74">
        <v>42005</v>
      </c>
      <c r="G138" s="59">
        <f t="shared" ref="G138:G140" si="236">(DATE(2021,12,30)-(F138))/365</f>
        <v>7</v>
      </c>
      <c r="H138" s="57"/>
      <c r="I138" s="66">
        <v>57393</v>
      </c>
      <c r="J138" s="182">
        <v>58445</v>
      </c>
      <c r="K138" s="63"/>
      <c r="L138" s="63">
        <f t="shared" ref="L138:L140" si="237">SUM(J138/2080)</f>
        <v>28.098557692307693</v>
      </c>
      <c r="M138" s="63">
        <f t="shared" ref="M138:M140" si="238">SUM(J138/26)</f>
        <v>2247.8846153846152</v>
      </c>
      <c r="N138" s="63">
        <v>0</v>
      </c>
      <c r="O138" s="169"/>
      <c r="P138" s="169"/>
      <c r="Q138" s="63">
        <f t="shared" ref="Q138:Q140" si="239">IF(N138+P138&gt;5000,5000,N138+P138)</f>
        <v>0</v>
      </c>
      <c r="R138" s="63">
        <f t="shared" ref="R138:R140" si="240">Q138+J138</f>
        <v>58445</v>
      </c>
      <c r="S138" s="169"/>
      <c r="T138" s="169"/>
      <c r="U138" s="169"/>
      <c r="V138" s="63">
        <f t="shared" ref="V138:V141" si="241">SUM(R138:U138)</f>
        <v>58445</v>
      </c>
      <c r="W138" s="63">
        <f t="shared" ref="W138:W141" si="242">SUM(V138*$W$7)</f>
        <v>3623.59</v>
      </c>
      <c r="X138" s="63">
        <f t="shared" ref="X138:X141" si="243">SUM(V138*$X$7)</f>
        <v>847.45249999999999</v>
      </c>
      <c r="Y138" s="63">
        <f t="shared" ref="Y138:Y141" si="244">SUM(V138*$Y$7)</f>
        <v>8223.2114999999994</v>
      </c>
      <c r="Z138" s="63">
        <f t="shared" ref="Z138:Z141" si="245">SUM(V138*$Z$7)</f>
        <v>93.512</v>
      </c>
      <c r="AA138" s="82" t="s">
        <v>2420</v>
      </c>
      <c r="AB138" s="63">
        <f t="shared" ref="AB138:AB140" si="246">SUM($AB$7)</f>
        <v>335</v>
      </c>
      <c r="AC138" s="63">
        <f t="shared" ref="AC138:AC140" si="247">$AC$7</f>
        <v>10356.36</v>
      </c>
      <c r="AD138" s="63">
        <f t="shared" ref="AD138:AD140" si="248">SUM(AB138+AC138)*$AD$7</f>
        <v>106.9136</v>
      </c>
      <c r="AE138" s="170">
        <v>452</v>
      </c>
      <c r="AF138" s="69">
        <f t="shared" ref="AF138:AF141" si="249">SUM(J138-I138)</f>
        <v>1052</v>
      </c>
      <c r="AG138" s="69">
        <f t="shared" ref="AG138:AG142" si="250">SUM(W138:AD138)</f>
        <v>23586.039600000004</v>
      </c>
      <c r="AH138" s="67">
        <v>23901.1</v>
      </c>
      <c r="AI138" s="69">
        <f t="shared" ref="AI138:AI142" si="251">AG138-AH138</f>
        <v>-315.06039999999484</v>
      </c>
      <c r="AJ138" s="69">
        <f t="shared" ref="AJ138:AJ142" si="252">AF138+AI138</f>
        <v>736.93960000000516</v>
      </c>
    </row>
    <row r="139" spans="1:36" x14ac:dyDescent="0.25">
      <c r="A139" s="167">
        <v>452</v>
      </c>
      <c r="B139" s="92" t="s">
        <v>2627</v>
      </c>
      <c r="C139" s="168" t="s">
        <v>2617</v>
      </c>
      <c r="D139" s="168" t="s">
        <v>2628</v>
      </c>
      <c r="E139" s="168" t="s">
        <v>2629</v>
      </c>
      <c r="F139" s="74">
        <v>37158</v>
      </c>
      <c r="G139" s="59">
        <f t="shared" si="236"/>
        <v>20.279452054794522</v>
      </c>
      <c r="H139" s="57"/>
      <c r="I139" s="66">
        <v>36607</v>
      </c>
      <c r="J139" s="182">
        <v>37278</v>
      </c>
      <c r="K139" s="63"/>
      <c r="L139" s="63">
        <f t="shared" si="237"/>
        <v>17.922115384615385</v>
      </c>
      <c r="M139" s="63">
        <f t="shared" si="238"/>
        <v>1433.7692307692307</v>
      </c>
      <c r="N139" s="63">
        <v>0</v>
      </c>
      <c r="O139" s="169"/>
      <c r="P139" s="169"/>
      <c r="Q139" s="63">
        <f t="shared" si="239"/>
        <v>0</v>
      </c>
      <c r="R139" s="63">
        <f t="shared" si="240"/>
        <v>37278</v>
      </c>
      <c r="S139" s="169"/>
      <c r="T139" s="169"/>
      <c r="U139" s="169"/>
      <c r="V139" s="63">
        <f t="shared" si="241"/>
        <v>37278</v>
      </c>
      <c r="W139" s="63">
        <f t="shared" si="242"/>
        <v>2311.2359999999999</v>
      </c>
      <c r="X139" s="63">
        <f t="shared" si="243"/>
        <v>540.53100000000006</v>
      </c>
      <c r="Y139" s="63">
        <f t="shared" si="244"/>
        <v>5245.0145999999995</v>
      </c>
      <c r="Z139" s="63">
        <f t="shared" si="245"/>
        <v>59.644800000000004</v>
      </c>
      <c r="AA139" s="63">
        <f t="shared" ref="AA139:AA141" si="253">SUM(V139*$AA$7)</f>
        <v>26.0946</v>
      </c>
      <c r="AB139" s="63">
        <f t="shared" si="246"/>
        <v>335</v>
      </c>
      <c r="AC139" s="63">
        <f t="shared" si="247"/>
        <v>10356.36</v>
      </c>
      <c r="AD139" s="63">
        <f t="shared" si="248"/>
        <v>106.9136</v>
      </c>
      <c r="AE139" s="170">
        <v>452</v>
      </c>
      <c r="AF139" s="69">
        <f t="shared" si="249"/>
        <v>671</v>
      </c>
      <c r="AG139" s="69">
        <f t="shared" si="250"/>
        <v>18980.794600000001</v>
      </c>
      <c r="AH139" s="67">
        <v>19181.28</v>
      </c>
      <c r="AI139" s="69">
        <f t="shared" si="251"/>
        <v>-200.48539999999775</v>
      </c>
      <c r="AJ139" s="69">
        <f t="shared" si="252"/>
        <v>470.51460000000225</v>
      </c>
    </row>
    <row r="140" spans="1:36" x14ac:dyDescent="0.25">
      <c r="A140" s="167">
        <v>452</v>
      </c>
      <c r="B140" s="92" t="s">
        <v>2630</v>
      </c>
      <c r="C140" s="71" t="s">
        <v>2621</v>
      </c>
      <c r="D140" s="168" t="s">
        <v>2584</v>
      </c>
      <c r="E140" s="168" t="s">
        <v>2631</v>
      </c>
      <c r="F140" s="74">
        <v>39350</v>
      </c>
      <c r="G140" s="59">
        <f t="shared" si="236"/>
        <v>14.273972602739725</v>
      </c>
      <c r="H140" s="57"/>
      <c r="I140" s="57">
        <v>35301</v>
      </c>
      <c r="J140" s="182">
        <v>35948</v>
      </c>
      <c r="K140" s="63"/>
      <c r="L140" s="63">
        <f t="shared" si="237"/>
        <v>17.282692307692308</v>
      </c>
      <c r="M140" s="63">
        <f t="shared" si="238"/>
        <v>1382.6153846153845</v>
      </c>
      <c r="N140" s="63">
        <v>0</v>
      </c>
      <c r="O140" s="169"/>
      <c r="P140" s="169"/>
      <c r="Q140" s="63">
        <f t="shared" si="239"/>
        <v>0</v>
      </c>
      <c r="R140" s="63">
        <f t="shared" si="240"/>
        <v>35948</v>
      </c>
      <c r="S140" s="169"/>
      <c r="T140" s="169"/>
      <c r="U140" s="169"/>
      <c r="V140" s="63">
        <f t="shared" si="241"/>
        <v>35948</v>
      </c>
      <c r="W140" s="63">
        <f t="shared" si="242"/>
        <v>2228.7759999999998</v>
      </c>
      <c r="X140" s="63">
        <f t="shared" si="243"/>
        <v>521.24599999999998</v>
      </c>
      <c r="Y140" s="63">
        <f t="shared" si="244"/>
        <v>5057.8836000000001</v>
      </c>
      <c r="Z140" s="63">
        <f t="shared" si="245"/>
        <v>57.516800000000003</v>
      </c>
      <c r="AA140" s="63">
        <f t="shared" si="253"/>
        <v>25.163599999999999</v>
      </c>
      <c r="AB140" s="63">
        <f t="shared" si="246"/>
        <v>335</v>
      </c>
      <c r="AC140" s="63">
        <f t="shared" si="247"/>
        <v>10356.36</v>
      </c>
      <c r="AD140" s="63">
        <f t="shared" si="248"/>
        <v>106.9136</v>
      </c>
      <c r="AE140" s="170">
        <v>452</v>
      </c>
      <c r="AF140" s="69">
        <f t="shared" si="249"/>
        <v>647</v>
      </c>
      <c r="AG140" s="69">
        <f t="shared" si="250"/>
        <v>18688.8596</v>
      </c>
      <c r="AH140" s="67">
        <v>18882.2</v>
      </c>
      <c r="AI140" s="69">
        <f t="shared" si="251"/>
        <v>-193.34040000000095</v>
      </c>
      <c r="AJ140" s="69">
        <f t="shared" si="252"/>
        <v>453.65959999999905</v>
      </c>
    </row>
    <row r="141" spans="1:36" x14ac:dyDescent="0.25">
      <c r="A141" s="167">
        <v>452</v>
      </c>
      <c r="B141" s="138"/>
      <c r="C141" s="168" t="s">
        <v>2495</v>
      </c>
      <c r="D141" s="138"/>
      <c r="E141" s="138"/>
      <c r="F141" s="138"/>
      <c r="G141" s="138"/>
      <c r="H141" s="57"/>
      <c r="I141" s="57">
        <v>2500</v>
      </c>
      <c r="J141" s="171">
        <v>2500</v>
      </c>
      <c r="K141" s="173"/>
      <c r="L141" s="173"/>
      <c r="M141" s="173"/>
      <c r="N141" s="172" t="s">
        <v>27</v>
      </c>
      <c r="O141" s="173"/>
      <c r="P141" s="173"/>
      <c r="Q141" s="173"/>
      <c r="R141" s="172">
        <v>2500</v>
      </c>
      <c r="S141" s="173"/>
      <c r="T141" s="173"/>
      <c r="U141" s="173"/>
      <c r="V141" s="172">
        <f t="shared" si="241"/>
        <v>2500</v>
      </c>
      <c r="W141" s="172">
        <f t="shared" si="242"/>
        <v>155</v>
      </c>
      <c r="X141" s="172">
        <f t="shared" si="243"/>
        <v>36.25</v>
      </c>
      <c r="Y141" s="172">
        <f t="shared" si="244"/>
        <v>351.75</v>
      </c>
      <c r="Z141" s="172">
        <f t="shared" si="245"/>
        <v>4</v>
      </c>
      <c r="AA141" s="172">
        <f t="shared" si="253"/>
        <v>1.75</v>
      </c>
      <c r="AB141" s="172" t="s">
        <v>2422</v>
      </c>
      <c r="AC141" s="172" t="s">
        <v>2422</v>
      </c>
      <c r="AD141" s="172" t="s">
        <v>2422</v>
      </c>
      <c r="AE141" s="170">
        <v>452</v>
      </c>
      <c r="AF141" s="69">
        <f t="shared" si="249"/>
        <v>0</v>
      </c>
      <c r="AG141" s="69">
        <f t="shared" si="250"/>
        <v>548.75</v>
      </c>
      <c r="AH141" s="67">
        <v>572.5</v>
      </c>
      <c r="AI141" s="69">
        <f t="shared" si="251"/>
        <v>-23.75</v>
      </c>
      <c r="AJ141" s="69">
        <f t="shared" si="252"/>
        <v>-23.75</v>
      </c>
    </row>
    <row r="142" spans="1:36" x14ac:dyDescent="0.25">
      <c r="A142" s="138"/>
      <c r="B142" s="138"/>
      <c r="C142" s="138"/>
      <c r="D142" s="138"/>
      <c r="E142" s="138"/>
      <c r="F142" s="138"/>
      <c r="G142" s="138"/>
      <c r="H142" s="68"/>
      <c r="I142" s="174">
        <f t="shared" ref="I142:J142" si="254">SUM(I138:I141)</f>
        <v>131801</v>
      </c>
      <c r="J142" s="174">
        <f t="shared" si="254"/>
        <v>134171</v>
      </c>
      <c r="K142" s="175"/>
      <c r="L142" s="175">
        <f t="shared" ref="L142:AD142" si="255">SUM(L138:L141)</f>
        <v>63.303365384615383</v>
      </c>
      <c r="M142" s="175">
        <f t="shared" si="255"/>
        <v>5064.2692307692305</v>
      </c>
      <c r="N142" s="175">
        <f t="shared" si="255"/>
        <v>0</v>
      </c>
      <c r="O142" s="175">
        <f t="shared" si="255"/>
        <v>0</v>
      </c>
      <c r="P142" s="175">
        <f t="shared" si="255"/>
        <v>0</v>
      </c>
      <c r="Q142" s="175">
        <f t="shared" si="255"/>
        <v>0</v>
      </c>
      <c r="R142" s="175">
        <f t="shared" si="255"/>
        <v>134171</v>
      </c>
      <c r="S142" s="175">
        <f t="shared" si="255"/>
        <v>0</v>
      </c>
      <c r="T142" s="175">
        <f t="shared" si="255"/>
        <v>0</v>
      </c>
      <c r="U142" s="175">
        <f t="shared" si="255"/>
        <v>0</v>
      </c>
      <c r="V142" s="175">
        <f t="shared" si="255"/>
        <v>134171</v>
      </c>
      <c r="W142" s="175">
        <f t="shared" si="255"/>
        <v>8318.601999999999</v>
      </c>
      <c r="X142" s="175">
        <f t="shared" si="255"/>
        <v>1945.4794999999999</v>
      </c>
      <c r="Y142" s="175">
        <f t="shared" si="255"/>
        <v>18877.859700000001</v>
      </c>
      <c r="Z142" s="175">
        <f t="shared" si="255"/>
        <v>214.67360000000002</v>
      </c>
      <c r="AA142" s="175">
        <f t="shared" si="255"/>
        <v>53.008200000000002</v>
      </c>
      <c r="AB142" s="175">
        <f t="shared" si="255"/>
        <v>1005</v>
      </c>
      <c r="AC142" s="175">
        <f t="shared" si="255"/>
        <v>31069.08</v>
      </c>
      <c r="AD142" s="175">
        <f t="shared" si="255"/>
        <v>320.74080000000004</v>
      </c>
      <c r="AE142" s="170">
        <v>452</v>
      </c>
      <c r="AF142" s="195">
        <f>SUM(AF138:AF141)</f>
        <v>2370</v>
      </c>
      <c r="AG142" s="69">
        <f t="shared" si="250"/>
        <v>61804.443800000001</v>
      </c>
      <c r="AH142" s="67">
        <v>62537.07</v>
      </c>
      <c r="AI142" s="176">
        <f t="shared" si="251"/>
        <v>-732.62619999999879</v>
      </c>
      <c r="AJ142" s="176">
        <f t="shared" si="252"/>
        <v>1637.3738000000012</v>
      </c>
    </row>
    <row r="143" spans="1:36" hidden="1" x14ac:dyDescent="0.25">
      <c r="A143" s="138"/>
      <c r="B143" s="138"/>
      <c r="C143" s="138"/>
      <c r="D143" s="138"/>
      <c r="E143" s="138"/>
      <c r="F143" s="138"/>
      <c r="G143" s="138"/>
      <c r="H143" s="190"/>
      <c r="I143" s="190">
        <v>71908</v>
      </c>
      <c r="J143" s="190">
        <f>SUM(J139:J140)</f>
        <v>73226</v>
      </c>
      <c r="K143" s="169"/>
      <c r="L143" s="169"/>
      <c r="M143" s="169"/>
      <c r="N143" s="169"/>
      <c r="O143" s="169"/>
      <c r="P143" s="169"/>
      <c r="Q143" s="169"/>
      <c r="R143" s="169"/>
      <c r="S143" s="169"/>
      <c r="T143" s="169"/>
      <c r="U143" s="169"/>
      <c r="V143" s="169"/>
      <c r="W143" s="63">
        <f>SUM(W142:X142)</f>
        <v>10264.081499999998</v>
      </c>
      <c r="X143" s="169"/>
      <c r="Y143" s="169"/>
      <c r="Z143" s="169"/>
      <c r="AA143" s="169"/>
      <c r="AB143" s="169"/>
      <c r="AC143" s="63">
        <f>SUM(AC142:AD142)</f>
        <v>31389.820800000001</v>
      </c>
      <c r="AD143" s="169"/>
      <c r="AE143" s="149"/>
      <c r="AF143" s="69">
        <f>SUM(AF138:AF141)</f>
        <v>2370</v>
      </c>
      <c r="AG143" s="178"/>
      <c r="AH143" s="65"/>
      <c r="AI143" s="69">
        <f t="shared" ref="AI143:AJ143" si="256">SUM(AI138:AI141)</f>
        <v>-732.63619999999355</v>
      </c>
      <c r="AJ143" s="69">
        <f t="shared" si="256"/>
        <v>1637.3638000000064</v>
      </c>
    </row>
    <row r="144" spans="1:36" x14ac:dyDescent="0.25">
      <c r="A144" s="138"/>
      <c r="B144" s="138"/>
      <c r="C144" s="138"/>
      <c r="D144" s="138"/>
      <c r="E144" s="138"/>
      <c r="F144" s="138"/>
      <c r="G144" s="138"/>
      <c r="H144" s="179"/>
      <c r="I144" s="179"/>
      <c r="J144" s="179"/>
      <c r="K144" s="169"/>
      <c r="L144" s="169"/>
      <c r="M144" s="169"/>
      <c r="N144" s="169"/>
      <c r="O144" s="169"/>
      <c r="P144" s="169"/>
      <c r="Q144" s="169"/>
      <c r="R144" s="169"/>
      <c r="S144" s="169"/>
      <c r="T144" s="169"/>
      <c r="U144" s="169"/>
      <c r="V144" s="169"/>
      <c r="W144" s="169"/>
      <c r="X144" s="169"/>
      <c r="Y144" s="169"/>
      <c r="Z144" s="169"/>
      <c r="AA144" s="169"/>
      <c r="AB144" s="169"/>
      <c r="AC144" s="169"/>
      <c r="AD144" s="169"/>
      <c r="AE144" s="149"/>
      <c r="AF144" s="178"/>
      <c r="AG144" s="178"/>
      <c r="AH144" s="65"/>
      <c r="AI144" s="178"/>
      <c r="AJ144" s="178"/>
    </row>
    <row r="145" spans="1:36" x14ac:dyDescent="0.25">
      <c r="A145" s="138"/>
      <c r="B145" s="138"/>
      <c r="C145" s="138"/>
      <c r="D145" s="138"/>
      <c r="E145" s="138"/>
      <c r="F145" s="138"/>
      <c r="G145" s="138"/>
      <c r="H145" s="179"/>
      <c r="I145" s="179"/>
      <c r="J145" s="179"/>
      <c r="K145" s="169"/>
      <c r="L145" s="169"/>
      <c r="M145" s="169"/>
      <c r="N145" s="169"/>
      <c r="O145" s="169"/>
      <c r="P145" s="169"/>
      <c r="Q145" s="169"/>
      <c r="R145" s="169"/>
      <c r="S145" s="169"/>
      <c r="T145" s="169"/>
      <c r="U145" s="169"/>
      <c r="V145" s="169"/>
      <c r="W145" s="169"/>
      <c r="X145" s="169"/>
      <c r="Y145" s="169"/>
      <c r="Z145" s="169"/>
      <c r="AA145" s="169"/>
      <c r="AB145" s="169"/>
      <c r="AC145" s="169"/>
      <c r="AD145" s="169"/>
      <c r="AE145" s="149"/>
      <c r="AF145" s="178"/>
      <c r="AG145" s="178"/>
      <c r="AH145" s="65"/>
      <c r="AI145" s="178"/>
      <c r="AJ145" s="178"/>
    </row>
    <row r="146" spans="1:36" x14ac:dyDescent="0.25">
      <c r="A146" s="167">
        <v>453</v>
      </c>
      <c r="B146" s="92" t="s">
        <v>2632</v>
      </c>
      <c r="C146" s="168" t="s">
        <v>2633</v>
      </c>
      <c r="D146" s="168" t="s">
        <v>2634</v>
      </c>
      <c r="E146" s="168" t="s">
        <v>2635</v>
      </c>
      <c r="F146" s="74">
        <v>42005</v>
      </c>
      <c r="G146" s="59">
        <f>(DATE(2021,12,30)-(F146))/365</f>
        <v>7</v>
      </c>
      <c r="H146" s="57"/>
      <c r="I146" s="57">
        <v>57393</v>
      </c>
      <c r="J146" s="182">
        <v>58445</v>
      </c>
      <c r="K146" s="63"/>
      <c r="L146" s="63">
        <f>SUM(J146/2080)</f>
        <v>28.098557692307693</v>
      </c>
      <c r="M146" s="63">
        <f>SUM(J146/26)</f>
        <v>2247.8846153846152</v>
      </c>
      <c r="N146" s="63">
        <v>0</v>
      </c>
      <c r="O146" s="169"/>
      <c r="P146" s="169"/>
      <c r="Q146" s="63">
        <f>IF(N146+P146&gt;5000,5000,N146+P146)</f>
        <v>0</v>
      </c>
      <c r="R146" s="63">
        <f>Q146+J146</f>
        <v>58445</v>
      </c>
      <c r="S146" s="169"/>
      <c r="T146" s="169"/>
      <c r="U146" s="169"/>
      <c r="V146" s="63">
        <f t="shared" ref="V146:V148" si="257">SUM(R146:U146)</f>
        <v>58445</v>
      </c>
      <c r="W146" s="63">
        <f t="shared" ref="W146:W148" si="258">SUM(V146*$W$7)</f>
        <v>3623.59</v>
      </c>
      <c r="X146" s="63">
        <f t="shared" ref="X146:X148" si="259">SUM(V146*$X$7)</f>
        <v>847.45249999999999</v>
      </c>
      <c r="Y146" s="63">
        <f t="shared" ref="Y146:Y148" si="260">SUM(V146*$Y$7)</f>
        <v>8223.2114999999994</v>
      </c>
      <c r="Z146" s="63">
        <f t="shared" ref="Z146:Z148" si="261">SUM(V146*$Z$7)</f>
        <v>93.512</v>
      </c>
      <c r="AA146" s="82" t="s">
        <v>2420</v>
      </c>
      <c r="AB146" s="63">
        <f>SUM($AB$7)</f>
        <v>335</v>
      </c>
      <c r="AC146" s="63">
        <f>$AC$7</f>
        <v>10356.36</v>
      </c>
      <c r="AD146" s="63">
        <f>SUM(AB146+AC146)*$AD$7</f>
        <v>106.9136</v>
      </c>
      <c r="AE146" s="170">
        <v>453</v>
      </c>
      <c r="AF146" s="69">
        <f t="shared" ref="AF146:AF148" si="262">SUM(J146-I146)</f>
        <v>1052</v>
      </c>
      <c r="AG146" s="69">
        <f t="shared" ref="AG146:AG149" si="263">SUM(W146:AD146)</f>
        <v>23586.039600000004</v>
      </c>
      <c r="AH146" s="67">
        <v>23901.1</v>
      </c>
      <c r="AI146" s="69">
        <f t="shared" ref="AI146:AI149" si="264">AG146-AH146</f>
        <v>-315.06039999999484</v>
      </c>
      <c r="AJ146" s="69">
        <f t="shared" ref="AJ146:AJ149" si="265">AF146+AI146</f>
        <v>736.93960000000516</v>
      </c>
    </row>
    <row r="147" spans="1:36" x14ac:dyDescent="0.25">
      <c r="A147" s="138"/>
      <c r="B147" s="138"/>
      <c r="C147" s="168" t="s">
        <v>2901</v>
      </c>
      <c r="D147" s="138"/>
      <c r="E147" s="138"/>
      <c r="F147" s="138"/>
      <c r="G147" s="138"/>
      <c r="H147" s="57"/>
      <c r="I147" s="57">
        <v>600</v>
      </c>
      <c r="J147" s="66">
        <v>0</v>
      </c>
      <c r="K147" s="169"/>
      <c r="L147" s="169"/>
      <c r="M147" s="169"/>
      <c r="N147" s="169"/>
      <c r="O147" s="169"/>
      <c r="P147" s="169"/>
      <c r="Q147" s="63">
        <v>0</v>
      </c>
      <c r="R147" s="63">
        <v>600</v>
      </c>
      <c r="S147" s="169"/>
      <c r="T147" s="169"/>
      <c r="U147" s="169"/>
      <c r="V147" s="63">
        <f t="shared" si="257"/>
        <v>600</v>
      </c>
      <c r="W147" s="63">
        <f t="shared" si="258"/>
        <v>37.200000000000003</v>
      </c>
      <c r="X147" s="63">
        <f t="shared" si="259"/>
        <v>8.7000000000000011</v>
      </c>
      <c r="Y147" s="63">
        <f t="shared" si="260"/>
        <v>84.42</v>
      </c>
      <c r="Z147" s="63">
        <f t="shared" si="261"/>
        <v>0.96000000000000008</v>
      </c>
      <c r="AA147" s="82" t="s">
        <v>2420</v>
      </c>
      <c r="AB147" s="63" t="s">
        <v>2422</v>
      </c>
      <c r="AC147" s="63" t="s">
        <v>2422</v>
      </c>
      <c r="AD147" s="63" t="s">
        <v>2422</v>
      </c>
      <c r="AE147" s="170">
        <v>453</v>
      </c>
      <c r="AF147" s="69">
        <f t="shared" si="262"/>
        <v>-600</v>
      </c>
      <c r="AG147" s="69">
        <f t="shared" si="263"/>
        <v>131.28</v>
      </c>
      <c r="AH147" s="67">
        <v>136.97999999999999</v>
      </c>
      <c r="AI147" s="69">
        <f t="shared" si="264"/>
        <v>-5.6999999999999886</v>
      </c>
      <c r="AJ147" s="69">
        <f t="shared" si="265"/>
        <v>-605.70000000000005</v>
      </c>
    </row>
    <row r="148" spans="1:36" x14ac:dyDescent="0.25">
      <c r="A148" s="167">
        <v>453</v>
      </c>
      <c r="B148" s="92" t="s">
        <v>2636</v>
      </c>
      <c r="C148" s="168" t="s">
        <v>2617</v>
      </c>
      <c r="D148" s="185" t="s">
        <v>2637</v>
      </c>
      <c r="E148" s="185" t="s">
        <v>2638</v>
      </c>
      <c r="F148" s="58">
        <v>35156</v>
      </c>
      <c r="G148" s="59">
        <f>(DATE(2021,12,30)-(F148))/365</f>
        <v>25.764383561643836</v>
      </c>
      <c r="H148" s="57"/>
      <c r="I148" s="57">
        <v>37278</v>
      </c>
      <c r="J148" s="57">
        <v>37278</v>
      </c>
      <c r="K148" s="63"/>
      <c r="L148" s="172">
        <f>SUM(J148/2080)</f>
        <v>17.922115384615385</v>
      </c>
      <c r="M148" s="172">
        <f>SUM(J148/26)</f>
        <v>1433.7692307692307</v>
      </c>
      <c r="N148" s="172">
        <v>0</v>
      </c>
      <c r="O148" s="173"/>
      <c r="P148" s="173"/>
      <c r="Q148" s="172">
        <f>IF(N148+P148&gt;5000,5000,N148+P148)</f>
        <v>0</v>
      </c>
      <c r="R148" s="172">
        <f>Q148+J148</f>
        <v>37278</v>
      </c>
      <c r="S148" s="173"/>
      <c r="T148" s="173"/>
      <c r="U148" s="173"/>
      <c r="V148" s="172">
        <f t="shared" si="257"/>
        <v>37278</v>
      </c>
      <c r="W148" s="172">
        <f t="shared" si="258"/>
        <v>2311.2359999999999</v>
      </c>
      <c r="X148" s="172">
        <f t="shared" si="259"/>
        <v>540.53100000000006</v>
      </c>
      <c r="Y148" s="172">
        <f t="shared" si="260"/>
        <v>5245.0145999999995</v>
      </c>
      <c r="Z148" s="172">
        <f t="shared" si="261"/>
        <v>59.644800000000004</v>
      </c>
      <c r="AA148" s="172">
        <f>SUM(V148*$AA$7)</f>
        <v>26.0946</v>
      </c>
      <c r="AB148" s="172">
        <f>SUM($AB$7)</f>
        <v>335</v>
      </c>
      <c r="AC148" s="172">
        <f>$AC$7</f>
        <v>10356.36</v>
      </c>
      <c r="AD148" s="172">
        <f>SUM(AB148+AC148)*$AD$7</f>
        <v>106.9136</v>
      </c>
      <c r="AE148" s="170">
        <v>453</v>
      </c>
      <c r="AF148" s="69">
        <f t="shared" si="262"/>
        <v>0</v>
      </c>
      <c r="AG148" s="69">
        <f t="shared" si="263"/>
        <v>18980.794600000001</v>
      </c>
      <c r="AH148" s="67">
        <v>19334.939999999999</v>
      </c>
      <c r="AI148" s="69">
        <f t="shared" si="264"/>
        <v>-354.14539999999761</v>
      </c>
      <c r="AJ148" s="69">
        <f t="shared" si="265"/>
        <v>-354.14539999999761</v>
      </c>
    </row>
    <row r="149" spans="1:36" x14ac:dyDescent="0.25">
      <c r="A149" s="167">
        <v>453</v>
      </c>
      <c r="B149" s="138"/>
      <c r="C149" s="138"/>
      <c r="D149" s="138"/>
      <c r="E149" s="138"/>
      <c r="F149" s="138"/>
      <c r="G149" s="138"/>
      <c r="H149" s="68"/>
      <c r="I149" s="174">
        <f t="shared" ref="I149:J149" si="266">SUM(I146:I148)</f>
        <v>95271</v>
      </c>
      <c r="J149" s="174">
        <f t="shared" si="266"/>
        <v>95723</v>
      </c>
      <c r="K149" s="175"/>
      <c r="L149" s="175">
        <f t="shared" ref="L149:AD149" si="267">SUM(L146:L148)</f>
        <v>46.020673076923075</v>
      </c>
      <c r="M149" s="175">
        <f t="shared" si="267"/>
        <v>3681.6538461538457</v>
      </c>
      <c r="N149" s="175">
        <f t="shared" si="267"/>
        <v>0</v>
      </c>
      <c r="O149" s="175">
        <f t="shared" si="267"/>
        <v>0</v>
      </c>
      <c r="P149" s="175">
        <f t="shared" si="267"/>
        <v>0</v>
      </c>
      <c r="Q149" s="175">
        <f t="shared" si="267"/>
        <v>0</v>
      </c>
      <c r="R149" s="175">
        <f t="shared" si="267"/>
        <v>96323</v>
      </c>
      <c r="S149" s="175">
        <f t="shared" si="267"/>
        <v>0</v>
      </c>
      <c r="T149" s="175">
        <f t="shared" si="267"/>
        <v>0</v>
      </c>
      <c r="U149" s="175">
        <f t="shared" si="267"/>
        <v>0</v>
      </c>
      <c r="V149" s="175">
        <f t="shared" si="267"/>
        <v>96323</v>
      </c>
      <c r="W149" s="175">
        <f t="shared" si="267"/>
        <v>5972.0259999999998</v>
      </c>
      <c r="X149" s="175">
        <f t="shared" si="267"/>
        <v>1396.6835000000001</v>
      </c>
      <c r="Y149" s="175">
        <f t="shared" si="267"/>
        <v>13552.646099999998</v>
      </c>
      <c r="Z149" s="175">
        <f t="shared" si="267"/>
        <v>154.11680000000001</v>
      </c>
      <c r="AA149" s="175">
        <f t="shared" si="267"/>
        <v>26.0946</v>
      </c>
      <c r="AB149" s="175">
        <f t="shared" si="267"/>
        <v>670</v>
      </c>
      <c r="AC149" s="175">
        <f t="shared" si="267"/>
        <v>20712.72</v>
      </c>
      <c r="AD149" s="175">
        <f t="shared" si="267"/>
        <v>213.8272</v>
      </c>
      <c r="AE149" s="170">
        <v>453</v>
      </c>
      <c r="AF149" s="195">
        <f>SUM(AF146:AF148)</f>
        <v>452</v>
      </c>
      <c r="AG149" s="69">
        <f t="shared" si="263"/>
        <v>42698.114199999996</v>
      </c>
      <c r="AH149" s="67">
        <v>43373.01</v>
      </c>
      <c r="AI149" s="176">
        <f t="shared" si="264"/>
        <v>-674.89580000000569</v>
      </c>
      <c r="AJ149" s="176">
        <f t="shared" si="265"/>
        <v>-222.89580000000569</v>
      </c>
    </row>
    <row r="150" spans="1:36" hidden="1" x14ac:dyDescent="0.25">
      <c r="A150" s="138"/>
      <c r="B150" s="138"/>
      <c r="C150" s="138"/>
      <c r="D150" s="138"/>
      <c r="E150" s="138"/>
      <c r="F150" s="138"/>
      <c r="G150" s="138"/>
      <c r="H150" s="190"/>
      <c r="I150" s="190">
        <v>37278</v>
      </c>
      <c r="J150" s="190">
        <f>SUM(J148)</f>
        <v>37278</v>
      </c>
      <c r="K150" s="169"/>
      <c r="L150" s="169"/>
      <c r="M150" s="169"/>
      <c r="N150" s="169"/>
      <c r="O150" s="169"/>
      <c r="P150" s="169"/>
      <c r="Q150" s="169"/>
      <c r="R150" s="169"/>
      <c r="S150" s="169"/>
      <c r="T150" s="169"/>
      <c r="U150" s="169"/>
      <c r="V150" s="169"/>
      <c r="W150" s="63">
        <f>SUM(W149:X149)</f>
        <v>7368.7094999999999</v>
      </c>
      <c r="X150" s="169"/>
      <c r="Y150" s="169"/>
      <c r="Z150" s="169"/>
      <c r="AA150" s="169"/>
      <c r="AB150" s="169"/>
      <c r="AC150" s="63">
        <f>SUM(AC149:AD149)</f>
        <v>20926.547200000001</v>
      </c>
      <c r="AD150" s="169"/>
      <c r="AE150" s="149"/>
      <c r="AF150" s="69">
        <f>SUM(AF146:AF148)</f>
        <v>452</v>
      </c>
      <c r="AG150" s="178"/>
      <c r="AH150" s="65"/>
      <c r="AI150" s="69">
        <f t="shared" ref="AI150:AJ150" si="268">SUM(AI146:AI148)</f>
        <v>-674.9057999999925</v>
      </c>
      <c r="AJ150" s="69">
        <f t="shared" si="268"/>
        <v>-222.9057999999925</v>
      </c>
    </row>
    <row r="151" spans="1:36" x14ac:dyDescent="0.25">
      <c r="A151" s="138"/>
      <c r="B151" s="138"/>
      <c r="C151" s="138"/>
      <c r="D151" s="138"/>
      <c r="E151" s="138"/>
      <c r="F151" s="138"/>
      <c r="G151" s="138"/>
      <c r="H151" s="179"/>
      <c r="I151" s="179"/>
      <c r="J151" s="179"/>
      <c r="K151" s="169"/>
      <c r="L151" s="169"/>
      <c r="M151" s="169"/>
      <c r="N151" s="169"/>
      <c r="O151" s="169"/>
      <c r="P151" s="169"/>
      <c r="Q151" s="169"/>
      <c r="R151" s="169"/>
      <c r="S151" s="169"/>
      <c r="T151" s="169"/>
      <c r="U151" s="169"/>
      <c r="V151" s="169"/>
      <c r="W151" s="169"/>
      <c r="X151" s="169"/>
      <c r="Y151" s="169"/>
      <c r="Z151" s="169"/>
      <c r="AA151" s="169"/>
      <c r="AB151" s="169"/>
      <c r="AC151" s="169"/>
      <c r="AD151" s="169"/>
      <c r="AE151" s="149"/>
      <c r="AF151" s="178"/>
      <c r="AG151" s="178"/>
      <c r="AH151" s="65"/>
      <c r="AI151" s="178"/>
      <c r="AJ151" s="178"/>
    </row>
    <row r="152" spans="1:36" x14ac:dyDescent="0.25">
      <c r="A152" s="138"/>
      <c r="B152" s="138"/>
      <c r="C152" s="138"/>
      <c r="D152" s="138"/>
      <c r="E152" s="138"/>
      <c r="F152" s="138"/>
      <c r="G152" s="138"/>
      <c r="H152" s="179"/>
      <c r="I152" s="179"/>
      <c r="J152" s="179"/>
      <c r="K152" s="169"/>
      <c r="L152" s="169"/>
      <c r="M152" s="169"/>
      <c r="N152" s="169"/>
      <c r="O152" s="169"/>
      <c r="P152" s="169"/>
      <c r="Q152" s="169"/>
      <c r="R152" s="169"/>
      <c r="S152" s="169"/>
      <c r="T152" s="169"/>
      <c r="U152" s="169"/>
      <c r="V152" s="169"/>
      <c r="W152" s="169"/>
      <c r="X152" s="169"/>
      <c r="Y152" s="169"/>
      <c r="Z152" s="169"/>
      <c r="AA152" s="169"/>
      <c r="AB152" s="169"/>
      <c r="AC152" s="169"/>
      <c r="AD152" s="169"/>
      <c r="AE152" s="149"/>
      <c r="AF152" s="178"/>
      <c r="AG152" s="178"/>
      <c r="AH152" s="65"/>
      <c r="AI152" s="178"/>
      <c r="AJ152" s="178"/>
    </row>
    <row r="153" spans="1:36" x14ac:dyDescent="0.25">
      <c r="A153" s="138"/>
      <c r="B153" s="138"/>
      <c r="C153" s="138"/>
      <c r="D153" s="138"/>
      <c r="E153" s="138"/>
      <c r="F153" s="138"/>
      <c r="G153" s="138"/>
      <c r="H153" s="179"/>
      <c r="I153" s="179"/>
      <c r="J153" s="179"/>
      <c r="K153" s="169"/>
      <c r="L153" s="169"/>
      <c r="M153" s="169"/>
      <c r="N153" s="169"/>
      <c r="O153" s="169"/>
      <c r="P153" s="169"/>
      <c r="Q153" s="169"/>
      <c r="R153" s="169"/>
      <c r="S153" s="169"/>
      <c r="T153" s="169"/>
      <c r="U153" s="169"/>
      <c r="V153" s="169"/>
      <c r="W153" s="169"/>
      <c r="X153" s="169"/>
      <c r="Y153" s="169"/>
      <c r="Z153" s="169"/>
      <c r="AA153" s="169"/>
      <c r="AB153" s="169"/>
      <c r="AC153" s="169"/>
      <c r="AD153" s="169"/>
      <c r="AE153" s="149"/>
      <c r="AF153" s="178"/>
      <c r="AG153" s="178"/>
      <c r="AH153" s="65"/>
      <c r="AI153" s="178"/>
      <c r="AJ153" s="178"/>
    </row>
    <row r="154" spans="1:36" x14ac:dyDescent="0.25">
      <c r="A154" s="167">
        <v>454</v>
      </c>
      <c r="B154" s="92" t="s">
        <v>2639</v>
      </c>
      <c r="C154" s="168" t="s">
        <v>2640</v>
      </c>
      <c r="D154" s="185" t="s">
        <v>2641</v>
      </c>
      <c r="E154" s="185" t="s">
        <v>2642</v>
      </c>
      <c r="F154" s="74">
        <v>34700</v>
      </c>
      <c r="G154" s="59">
        <f>(DATE(2021,12,30)-(F154))/365</f>
        <v>27.013698630136986</v>
      </c>
      <c r="H154" s="57"/>
      <c r="I154" s="57">
        <v>60607</v>
      </c>
      <c r="J154" s="182">
        <v>61718</v>
      </c>
      <c r="K154" s="63"/>
      <c r="L154" s="63">
        <f>SUM(J154/2080)</f>
        <v>29.672115384615385</v>
      </c>
      <c r="M154" s="63">
        <f>SUM(J154/26)</f>
        <v>2373.7692307692309</v>
      </c>
      <c r="N154" s="63">
        <v>0</v>
      </c>
      <c r="O154" s="169"/>
      <c r="P154" s="169"/>
      <c r="Q154" s="63">
        <f>IF(N154+P154&gt;5000,5000,N154+P154)</f>
        <v>0</v>
      </c>
      <c r="R154" s="63">
        <f t="shared" ref="R154:R156" si="269">Q154+J154</f>
        <v>61718</v>
      </c>
      <c r="S154" s="169"/>
      <c r="T154" s="169"/>
      <c r="U154" s="169"/>
      <c r="V154" s="63">
        <f t="shared" ref="V154:V156" si="270">SUM(R154:U154)</f>
        <v>61718</v>
      </c>
      <c r="W154" s="63">
        <f t="shared" ref="W154:W156" si="271">SUM(V154*$W$7)</f>
        <v>3826.5160000000001</v>
      </c>
      <c r="X154" s="63">
        <f t="shared" ref="X154:X156" si="272">SUM(V154*$X$7)</f>
        <v>894.91100000000006</v>
      </c>
      <c r="Y154" s="63">
        <f t="shared" ref="Y154:Y156" si="273">SUM(V154*$Y$7)</f>
        <v>8683.7225999999991</v>
      </c>
      <c r="Z154" s="63">
        <f t="shared" ref="Z154:Z156" si="274">SUM(V154*$Z$7)</f>
        <v>98.748800000000003</v>
      </c>
      <c r="AA154" s="82" t="s">
        <v>2420</v>
      </c>
      <c r="AB154" s="63">
        <f>SUM($AB$7)</f>
        <v>335</v>
      </c>
      <c r="AC154" s="63">
        <f>$AC$7</f>
        <v>10356.36</v>
      </c>
      <c r="AD154" s="63">
        <f>SUM(AB154+AC154)*$AD$7</f>
        <v>106.9136</v>
      </c>
      <c r="AE154" s="170">
        <v>454</v>
      </c>
      <c r="AF154" s="69">
        <f t="shared" ref="AF154:AF156" si="275">SUM(J154-I154)</f>
        <v>1111</v>
      </c>
      <c r="AG154" s="69">
        <f t="shared" ref="AG154:AG157" si="276">SUM(W154:AD154)</f>
        <v>24302.171999999999</v>
      </c>
      <c r="AH154" s="67">
        <v>24634.85</v>
      </c>
      <c r="AI154" s="69">
        <f t="shared" ref="AI154:AI157" si="277">AG154-AH154</f>
        <v>-332.67799999999988</v>
      </c>
      <c r="AJ154" s="69">
        <f t="shared" ref="AJ154:AJ157" si="278">AF154+AI154</f>
        <v>778.32200000000012</v>
      </c>
    </row>
    <row r="155" spans="1:36" x14ac:dyDescent="0.25">
      <c r="A155" s="138"/>
      <c r="B155" s="138"/>
      <c r="C155" s="168" t="s">
        <v>2901</v>
      </c>
      <c r="D155" s="207" t="s">
        <v>2910</v>
      </c>
      <c r="E155" s="138"/>
      <c r="F155" s="138"/>
      <c r="G155" s="59"/>
      <c r="H155" s="57"/>
      <c r="I155" s="57">
        <v>600</v>
      </c>
      <c r="J155" s="57">
        <v>600</v>
      </c>
      <c r="K155" s="169"/>
      <c r="L155" s="169"/>
      <c r="M155" s="169"/>
      <c r="N155" s="169"/>
      <c r="O155" s="169"/>
      <c r="P155" s="169"/>
      <c r="Q155" s="63">
        <v>0</v>
      </c>
      <c r="R155" s="63">
        <f t="shared" si="269"/>
        <v>600</v>
      </c>
      <c r="S155" s="169"/>
      <c r="T155" s="169"/>
      <c r="U155" s="169"/>
      <c r="V155" s="63">
        <f t="shared" si="270"/>
        <v>600</v>
      </c>
      <c r="W155" s="63">
        <f t="shared" si="271"/>
        <v>37.200000000000003</v>
      </c>
      <c r="X155" s="63">
        <f t="shared" si="272"/>
        <v>8.7000000000000011</v>
      </c>
      <c r="Y155" s="63">
        <f t="shared" si="273"/>
        <v>84.42</v>
      </c>
      <c r="Z155" s="63">
        <f t="shared" si="274"/>
        <v>0.96000000000000008</v>
      </c>
      <c r="AA155" s="82" t="s">
        <v>2420</v>
      </c>
      <c r="AB155" s="63" t="s">
        <v>2422</v>
      </c>
      <c r="AC155" s="63" t="s">
        <v>2422</v>
      </c>
      <c r="AD155" s="63" t="s">
        <v>2422</v>
      </c>
      <c r="AE155" s="170">
        <v>454</v>
      </c>
      <c r="AF155" s="69">
        <f t="shared" si="275"/>
        <v>0</v>
      </c>
      <c r="AG155" s="69">
        <f t="shared" si="276"/>
        <v>131.28</v>
      </c>
      <c r="AH155" s="67">
        <v>136.97999999999999</v>
      </c>
      <c r="AI155" s="69">
        <f t="shared" si="277"/>
        <v>-5.6999999999999886</v>
      </c>
      <c r="AJ155" s="69">
        <f t="shared" si="278"/>
        <v>-5.6999999999999886</v>
      </c>
    </row>
    <row r="156" spans="1:36" x14ac:dyDescent="0.25">
      <c r="A156" s="167">
        <v>454</v>
      </c>
      <c r="B156" s="92" t="s">
        <v>2643</v>
      </c>
      <c r="C156" s="168" t="s">
        <v>2617</v>
      </c>
      <c r="D156" s="168" t="s">
        <v>2609</v>
      </c>
      <c r="E156" s="168" t="s">
        <v>3767</v>
      </c>
      <c r="F156" s="58">
        <v>33076</v>
      </c>
      <c r="G156" s="59">
        <f>(DATE(2021,12,30)-(F156))/365</f>
        <v>31.463013698630139</v>
      </c>
      <c r="H156" s="57"/>
      <c r="I156" s="57">
        <v>37278</v>
      </c>
      <c r="J156" s="57">
        <v>37278</v>
      </c>
      <c r="K156" s="63"/>
      <c r="L156" s="172">
        <f>SUM(J156/2080)</f>
        <v>17.922115384615385</v>
      </c>
      <c r="M156" s="172">
        <f>SUM(J156/26)</f>
        <v>1433.7692307692307</v>
      </c>
      <c r="N156" s="172">
        <v>0</v>
      </c>
      <c r="O156" s="173"/>
      <c r="P156" s="173"/>
      <c r="Q156" s="172">
        <f>IF(N156+P156&gt;5000,5000,N156+P156)</f>
        <v>0</v>
      </c>
      <c r="R156" s="172">
        <f t="shared" si="269"/>
        <v>37278</v>
      </c>
      <c r="S156" s="173"/>
      <c r="T156" s="173"/>
      <c r="U156" s="173"/>
      <c r="V156" s="172">
        <f t="shared" si="270"/>
        <v>37278</v>
      </c>
      <c r="W156" s="172">
        <f t="shared" si="271"/>
        <v>2311.2359999999999</v>
      </c>
      <c r="X156" s="172">
        <f t="shared" si="272"/>
        <v>540.53100000000006</v>
      </c>
      <c r="Y156" s="172">
        <f t="shared" si="273"/>
        <v>5245.0145999999995</v>
      </c>
      <c r="Z156" s="172">
        <f t="shared" si="274"/>
        <v>59.644800000000004</v>
      </c>
      <c r="AA156" s="172">
        <f>SUM(V156*$AA$7)</f>
        <v>26.0946</v>
      </c>
      <c r="AB156" s="172">
        <f>SUM($AB$7)</f>
        <v>335</v>
      </c>
      <c r="AC156" s="172">
        <f>$AC$7</f>
        <v>10356.36</v>
      </c>
      <c r="AD156" s="172">
        <f>SUM(AB156+AC156)*$AD$7</f>
        <v>106.9136</v>
      </c>
      <c r="AE156" s="170">
        <v>454</v>
      </c>
      <c r="AF156" s="69">
        <f t="shared" si="275"/>
        <v>0</v>
      </c>
      <c r="AG156" s="69">
        <f t="shared" si="276"/>
        <v>18980.794600000001</v>
      </c>
      <c r="AH156" s="67">
        <v>19334.939999999999</v>
      </c>
      <c r="AI156" s="69">
        <f t="shared" si="277"/>
        <v>-354.14539999999761</v>
      </c>
      <c r="AJ156" s="69">
        <f t="shared" si="278"/>
        <v>-354.14539999999761</v>
      </c>
    </row>
    <row r="157" spans="1:36" x14ac:dyDescent="0.25">
      <c r="A157" s="167">
        <v>454</v>
      </c>
      <c r="B157" s="138"/>
      <c r="C157" s="138"/>
      <c r="D157" s="138"/>
      <c r="E157" s="138"/>
      <c r="F157" s="138"/>
      <c r="G157" s="138"/>
      <c r="H157" s="68"/>
      <c r="I157" s="174">
        <f t="shared" ref="I157:J157" si="279">SUM(I154:I156)</f>
        <v>98485</v>
      </c>
      <c r="J157" s="174">
        <f t="shared" si="279"/>
        <v>99596</v>
      </c>
      <c r="K157" s="175"/>
      <c r="L157" s="175">
        <f t="shared" ref="L157:AD157" si="280">SUM(L154:L156)</f>
        <v>47.594230769230769</v>
      </c>
      <c r="M157" s="175">
        <f t="shared" si="280"/>
        <v>3807.5384615384619</v>
      </c>
      <c r="N157" s="175">
        <f t="shared" si="280"/>
        <v>0</v>
      </c>
      <c r="O157" s="175">
        <f t="shared" si="280"/>
        <v>0</v>
      </c>
      <c r="P157" s="175">
        <f t="shared" si="280"/>
        <v>0</v>
      </c>
      <c r="Q157" s="175">
        <f t="shared" si="280"/>
        <v>0</v>
      </c>
      <c r="R157" s="175">
        <f t="shared" si="280"/>
        <v>99596</v>
      </c>
      <c r="S157" s="175">
        <f t="shared" si="280"/>
        <v>0</v>
      </c>
      <c r="T157" s="175">
        <f t="shared" si="280"/>
        <v>0</v>
      </c>
      <c r="U157" s="175">
        <f t="shared" si="280"/>
        <v>0</v>
      </c>
      <c r="V157" s="175">
        <f t="shared" si="280"/>
        <v>99596</v>
      </c>
      <c r="W157" s="175">
        <f t="shared" si="280"/>
        <v>6174.9519999999993</v>
      </c>
      <c r="X157" s="175">
        <f t="shared" si="280"/>
        <v>1444.1420000000003</v>
      </c>
      <c r="Y157" s="175">
        <f t="shared" si="280"/>
        <v>14013.157199999998</v>
      </c>
      <c r="Z157" s="175">
        <f t="shared" si="280"/>
        <v>159.3536</v>
      </c>
      <c r="AA157" s="175">
        <f t="shared" si="280"/>
        <v>26.0946</v>
      </c>
      <c r="AB157" s="175">
        <f t="shared" si="280"/>
        <v>670</v>
      </c>
      <c r="AC157" s="175">
        <f t="shared" si="280"/>
        <v>20712.72</v>
      </c>
      <c r="AD157" s="175">
        <f t="shared" si="280"/>
        <v>213.8272</v>
      </c>
      <c r="AE157" s="170">
        <v>454</v>
      </c>
      <c r="AF157" s="195">
        <f>SUM(AF154:AF156)</f>
        <v>1111</v>
      </c>
      <c r="AG157" s="69">
        <f t="shared" si="276"/>
        <v>43414.246599999999</v>
      </c>
      <c r="AH157" s="67">
        <v>44106.77</v>
      </c>
      <c r="AI157" s="176">
        <f t="shared" si="277"/>
        <v>-692.52339999999822</v>
      </c>
      <c r="AJ157" s="176">
        <f t="shared" si="278"/>
        <v>418.47660000000178</v>
      </c>
    </row>
    <row r="158" spans="1:36" hidden="1" x14ac:dyDescent="0.25">
      <c r="A158" s="138"/>
      <c r="B158" s="138"/>
      <c r="C158" s="138"/>
      <c r="D158" s="138"/>
      <c r="E158" s="138"/>
      <c r="F158" s="138"/>
      <c r="G158" s="138"/>
      <c r="H158" s="179"/>
      <c r="I158" s="179">
        <v>37278</v>
      </c>
      <c r="J158" s="179">
        <f>SUM(J156)</f>
        <v>37278</v>
      </c>
      <c r="K158" s="169"/>
      <c r="L158" s="169"/>
      <c r="M158" s="169"/>
      <c r="N158" s="169"/>
      <c r="O158" s="169"/>
      <c r="P158" s="169"/>
      <c r="Q158" s="169"/>
      <c r="R158" s="169"/>
      <c r="S158" s="169"/>
      <c r="T158" s="169"/>
      <c r="U158" s="169"/>
      <c r="V158" s="169"/>
      <c r="W158" s="63">
        <f>SUM(W157:X157)</f>
        <v>7619.0939999999991</v>
      </c>
      <c r="X158" s="169"/>
      <c r="Y158" s="169"/>
      <c r="Z158" s="169"/>
      <c r="AA158" s="169"/>
      <c r="AB158" s="169"/>
      <c r="AC158" s="63">
        <f>SUM(AC157:AD157)</f>
        <v>20926.547200000001</v>
      </c>
      <c r="AD158" s="169"/>
      <c r="AE158" s="149"/>
      <c r="AF158" s="69">
        <f>SUM(AF154:AF156)</f>
        <v>1111</v>
      </c>
      <c r="AG158" s="178"/>
      <c r="AH158" s="65"/>
      <c r="AI158" s="69">
        <f t="shared" ref="AI158:AJ158" si="281">SUM(AI154:AI156)</f>
        <v>-692.52339999999754</v>
      </c>
      <c r="AJ158" s="69">
        <f t="shared" si="281"/>
        <v>418.47660000000246</v>
      </c>
    </row>
    <row r="159" spans="1:36" x14ac:dyDescent="0.25">
      <c r="A159" s="138"/>
      <c r="B159" s="138"/>
      <c r="C159" s="138"/>
      <c r="D159" s="138"/>
      <c r="E159" s="138"/>
      <c r="F159" s="138"/>
      <c r="G159" s="138"/>
      <c r="H159" s="179"/>
      <c r="I159" s="179"/>
      <c r="J159" s="179"/>
      <c r="K159" s="169"/>
      <c r="L159" s="169"/>
      <c r="M159" s="169"/>
      <c r="N159" s="169"/>
      <c r="O159" s="169"/>
      <c r="P159" s="169"/>
      <c r="Q159" s="169"/>
      <c r="R159" s="169"/>
      <c r="S159" s="169"/>
      <c r="T159" s="169"/>
      <c r="U159" s="169"/>
      <c r="V159" s="169"/>
      <c r="W159" s="169"/>
      <c r="X159" s="169"/>
      <c r="Y159" s="169"/>
      <c r="Z159" s="169"/>
      <c r="AA159" s="169"/>
      <c r="AB159" s="169"/>
      <c r="AC159" s="169"/>
      <c r="AD159" s="169"/>
      <c r="AE159" s="149"/>
      <c r="AF159" s="178"/>
      <c r="AG159" s="178"/>
      <c r="AH159" s="65"/>
      <c r="AI159" s="178"/>
      <c r="AJ159" s="178"/>
    </row>
    <row r="160" spans="1:36" x14ac:dyDescent="0.25">
      <c r="A160" s="167">
        <v>455</v>
      </c>
      <c r="B160" s="92" t="s">
        <v>2645</v>
      </c>
      <c r="C160" s="168" t="s">
        <v>2646</v>
      </c>
      <c r="D160" s="168" t="s">
        <v>2647</v>
      </c>
      <c r="E160" s="168" t="s">
        <v>2648</v>
      </c>
      <c r="F160" s="74">
        <v>42858</v>
      </c>
      <c r="G160" s="59">
        <f>(DATE(2021,12,30)-(F160))/365</f>
        <v>4.6630136986301371</v>
      </c>
      <c r="H160" s="57"/>
      <c r="I160" s="57">
        <v>55345</v>
      </c>
      <c r="J160" s="182">
        <v>56360</v>
      </c>
      <c r="K160" s="63"/>
      <c r="L160" s="63">
        <f>SUM(J160/2080)</f>
        <v>27.096153846153847</v>
      </c>
      <c r="M160" s="63">
        <f>SUM(J160/26)</f>
        <v>2167.6923076923076</v>
      </c>
      <c r="N160" s="63">
        <f>IF(G160&lt;4,0,(G160-1)*$N$7)</f>
        <v>967.03561643835621</v>
      </c>
      <c r="O160" s="169"/>
      <c r="P160" s="169"/>
      <c r="Q160" s="63">
        <f>IF(N160+P160&gt;5000,5000,N160+P160)</f>
        <v>967.03561643835621</v>
      </c>
      <c r="R160" s="63">
        <f t="shared" ref="R160:R163" si="282">Q160+J160</f>
        <v>57327.035616438356</v>
      </c>
      <c r="S160" s="169"/>
      <c r="T160" s="169"/>
      <c r="U160" s="169"/>
      <c r="V160" s="63">
        <f t="shared" ref="V160:V163" si="283">SUM(R160:U160)</f>
        <v>57327.035616438356</v>
      </c>
      <c r="W160" s="63">
        <f t="shared" ref="W160:W163" si="284">SUM(V160*$W$7)</f>
        <v>3554.276208219178</v>
      </c>
      <c r="X160" s="63">
        <f t="shared" ref="X160:X163" si="285">SUM(V160*$X$7)</f>
        <v>831.24201643835625</v>
      </c>
      <c r="Y160" s="63">
        <f t="shared" ref="Y160:Y163" si="286">SUM(V160*$Y$7)</f>
        <v>8065.9139112328758</v>
      </c>
      <c r="Z160" s="63">
        <f t="shared" ref="Z160:Z163" si="287">SUM(V160*$Z$7)</f>
        <v>91.723256986301379</v>
      </c>
      <c r="AA160" s="82" t="s">
        <v>2420</v>
      </c>
      <c r="AB160" s="63">
        <f>SUM($AB$7)</f>
        <v>335</v>
      </c>
      <c r="AC160" s="63">
        <f>$AC$7</f>
        <v>10356.36</v>
      </c>
      <c r="AD160" s="63">
        <f>SUM(AB160+AC160)*$AD$7</f>
        <v>106.9136</v>
      </c>
      <c r="AE160" s="170">
        <v>455</v>
      </c>
      <c r="AF160" s="69">
        <f t="shared" ref="AF160:AF163" si="288">SUM(J160-I160)</f>
        <v>1015</v>
      </c>
      <c r="AG160" s="69">
        <f t="shared" ref="AG160:AG164" si="289">SUM(W160:AD160)</f>
        <v>23341.42899287671</v>
      </c>
      <c r="AH160" s="67">
        <v>23433.54</v>
      </c>
      <c r="AI160" s="69">
        <f t="shared" ref="AI160:AI164" si="290">AG160-AH160</f>
        <v>-92.111007123290619</v>
      </c>
      <c r="AJ160" s="69">
        <f t="shared" ref="AJ160:AJ164" si="291">AF160+AI160</f>
        <v>922.88899287670938</v>
      </c>
    </row>
    <row r="161" spans="1:36" x14ac:dyDescent="0.25">
      <c r="A161" s="168"/>
      <c r="B161" s="168"/>
      <c r="C161" s="168" t="s">
        <v>2901</v>
      </c>
      <c r="D161" s="138"/>
      <c r="E161" s="138"/>
      <c r="F161" s="138"/>
      <c r="G161" s="138"/>
      <c r="H161" s="57"/>
      <c r="I161" s="57">
        <v>600</v>
      </c>
      <c r="J161" s="66">
        <v>0</v>
      </c>
      <c r="K161" s="169"/>
      <c r="L161" s="169"/>
      <c r="M161" s="169"/>
      <c r="N161" s="169"/>
      <c r="O161" s="169"/>
      <c r="P161" s="169"/>
      <c r="Q161" s="63">
        <v>0</v>
      </c>
      <c r="R161" s="63">
        <f t="shared" si="282"/>
        <v>0</v>
      </c>
      <c r="S161" s="169"/>
      <c r="T161" s="169"/>
      <c r="U161" s="169"/>
      <c r="V161" s="63">
        <f t="shared" si="283"/>
        <v>0</v>
      </c>
      <c r="W161" s="63">
        <f t="shared" si="284"/>
        <v>0</v>
      </c>
      <c r="X161" s="63">
        <f t="shared" si="285"/>
        <v>0</v>
      </c>
      <c r="Y161" s="63">
        <f t="shared" si="286"/>
        <v>0</v>
      </c>
      <c r="Z161" s="63">
        <f t="shared" si="287"/>
        <v>0</v>
      </c>
      <c r="AA161" s="82" t="s">
        <v>2420</v>
      </c>
      <c r="AB161" s="63" t="s">
        <v>2422</v>
      </c>
      <c r="AC161" s="63" t="s">
        <v>2422</v>
      </c>
      <c r="AD161" s="63" t="s">
        <v>2422</v>
      </c>
      <c r="AE161" s="149"/>
      <c r="AF161" s="69">
        <f t="shared" si="288"/>
        <v>-600</v>
      </c>
      <c r="AG161" s="69">
        <f t="shared" si="289"/>
        <v>0</v>
      </c>
      <c r="AH161" s="67">
        <v>136.97999999999999</v>
      </c>
      <c r="AI161" s="69">
        <f t="shared" si="290"/>
        <v>-136.97999999999999</v>
      </c>
      <c r="AJ161" s="69">
        <f t="shared" si="291"/>
        <v>-736.98</v>
      </c>
    </row>
    <row r="162" spans="1:36" x14ac:dyDescent="0.25">
      <c r="A162" s="167">
        <v>455</v>
      </c>
      <c r="B162" s="92" t="s">
        <v>2649</v>
      </c>
      <c r="C162" s="168" t="s">
        <v>2617</v>
      </c>
      <c r="D162" s="168" t="s">
        <v>2650</v>
      </c>
      <c r="E162" s="168" t="s">
        <v>2651</v>
      </c>
      <c r="F162" s="58">
        <v>43304</v>
      </c>
      <c r="G162" s="59">
        <f t="shared" ref="G162:G163" si="292">(DATE(2021,12,30)-(F162))/365</f>
        <v>3.441095890410959</v>
      </c>
      <c r="H162" s="57"/>
      <c r="I162" s="57">
        <v>32236</v>
      </c>
      <c r="J162" s="57">
        <v>32236</v>
      </c>
      <c r="K162" s="63"/>
      <c r="L162" s="63">
        <f t="shared" ref="L162:L163" si="293">SUM(J162/2080)</f>
        <v>15.498076923076923</v>
      </c>
      <c r="M162" s="63">
        <f t="shared" ref="M162:M163" si="294">SUM(J162/26)</f>
        <v>1239.8461538461538</v>
      </c>
      <c r="N162" s="63">
        <f>IF(G162&lt;4,0,(G162-1)*$N$7)</f>
        <v>0</v>
      </c>
      <c r="O162" s="169"/>
      <c r="P162" s="169"/>
      <c r="Q162" s="63">
        <f t="shared" ref="Q162:Q163" si="295">IF(N162+P162&gt;5000,5000,N162+P162)</f>
        <v>0</v>
      </c>
      <c r="R162" s="63">
        <f t="shared" si="282"/>
        <v>32236</v>
      </c>
      <c r="S162" s="169"/>
      <c r="T162" s="169"/>
      <c r="U162" s="169"/>
      <c r="V162" s="63">
        <f t="shared" si="283"/>
        <v>32236</v>
      </c>
      <c r="W162" s="63">
        <f t="shared" si="284"/>
        <v>1998.6320000000001</v>
      </c>
      <c r="X162" s="63">
        <f t="shared" si="285"/>
        <v>467.42200000000003</v>
      </c>
      <c r="Y162" s="63">
        <f t="shared" si="286"/>
        <v>4535.6052</v>
      </c>
      <c r="Z162" s="63">
        <f t="shared" si="287"/>
        <v>51.577600000000004</v>
      </c>
      <c r="AA162" s="63">
        <f t="shared" ref="AA162:AA163" si="296">SUM(V162*$AA$7)</f>
        <v>22.565200000000001</v>
      </c>
      <c r="AB162" s="63">
        <f t="shared" ref="AB162:AB163" si="297">SUM($AB$7)</f>
        <v>335</v>
      </c>
      <c r="AC162" s="63">
        <f t="shared" ref="AC162:AC163" si="298">$AC$7</f>
        <v>10356.36</v>
      </c>
      <c r="AD162" s="63">
        <f t="shared" ref="AD162:AD163" si="299">SUM(AB162+AC162)*$AD$7</f>
        <v>106.9136</v>
      </c>
      <c r="AE162" s="170">
        <v>455</v>
      </c>
      <c r="AF162" s="69">
        <f t="shared" si="288"/>
        <v>0</v>
      </c>
      <c r="AG162" s="69">
        <f t="shared" si="289"/>
        <v>17874.0756</v>
      </c>
      <c r="AH162" s="67">
        <v>18180.32</v>
      </c>
      <c r="AI162" s="69">
        <f t="shared" si="290"/>
        <v>-306.24439999999959</v>
      </c>
      <c r="AJ162" s="69">
        <f t="shared" si="291"/>
        <v>-306.24439999999959</v>
      </c>
    </row>
    <row r="163" spans="1:36" x14ac:dyDescent="0.25">
      <c r="A163" s="167">
        <v>455</v>
      </c>
      <c r="B163" s="92" t="s">
        <v>2652</v>
      </c>
      <c r="C163" s="71" t="s">
        <v>2621</v>
      </c>
      <c r="D163" s="75" t="s">
        <v>2644</v>
      </c>
      <c r="E163" s="75" t="s">
        <v>3768</v>
      </c>
      <c r="F163" s="73">
        <v>43598</v>
      </c>
      <c r="G163" s="59">
        <f t="shared" si="292"/>
        <v>2.6356164383561644</v>
      </c>
      <c r="H163" s="57"/>
      <c r="I163" s="57">
        <v>32236</v>
      </c>
      <c r="J163" s="182">
        <v>32827</v>
      </c>
      <c r="K163" s="63"/>
      <c r="L163" s="172">
        <f t="shared" si="293"/>
        <v>15.782211538461539</v>
      </c>
      <c r="M163" s="172">
        <f t="shared" si="294"/>
        <v>1262.5769230769231</v>
      </c>
      <c r="N163" s="172">
        <v>0</v>
      </c>
      <c r="O163" s="173"/>
      <c r="P163" s="173"/>
      <c r="Q163" s="172">
        <f t="shared" si="295"/>
        <v>0</v>
      </c>
      <c r="R163" s="172">
        <f t="shared" si="282"/>
        <v>32827</v>
      </c>
      <c r="S163" s="173"/>
      <c r="T163" s="173"/>
      <c r="U163" s="173"/>
      <c r="V163" s="172">
        <f t="shared" si="283"/>
        <v>32827</v>
      </c>
      <c r="W163" s="172">
        <f t="shared" si="284"/>
        <v>2035.2739999999999</v>
      </c>
      <c r="X163" s="172">
        <f t="shared" si="285"/>
        <v>475.99150000000003</v>
      </c>
      <c r="Y163" s="172">
        <f t="shared" si="286"/>
        <v>4618.7588999999998</v>
      </c>
      <c r="Z163" s="172">
        <f t="shared" si="287"/>
        <v>52.523200000000003</v>
      </c>
      <c r="AA163" s="172">
        <f t="shared" si="296"/>
        <v>22.978899999999999</v>
      </c>
      <c r="AB163" s="172">
        <f t="shared" si="297"/>
        <v>335</v>
      </c>
      <c r="AC163" s="172">
        <f t="shared" si="298"/>
        <v>10356.36</v>
      </c>
      <c r="AD163" s="172">
        <f t="shared" si="299"/>
        <v>106.9136</v>
      </c>
      <c r="AE163" s="170">
        <v>455</v>
      </c>
      <c r="AF163" s="69">
        <f t="shared" si="288"/>
        <v>591</v>
      </c>
      <c r="AG163" s="69">
        <f t="shared" si="289"/>
        <v>18003.8001</v>
      </c>
      <c r="AH163" s="67">
        <v>18180.32</v>
      </c>
      <c r="AI163" s="69">
        <f t="shared" si="290"/>
        <v>-176.51989999999932</v>
      </c>
      <c r="AJ163" s="69">
        <f t="shared" si="291"/>
        <v>414.48010000000068</v>
      </c>
    </row>
    <row r="164" spans="1:36" x14ac:dyDescent="0.25">
      <c r="A164" s="167">
        <v>455</v>
      </c>
      <c r="B164" s="138"/>
      <c r="C164" s="138"/>
      <c r="D164" s="138"/>
      <c r="E164" s="138"/>
      <c r="F164" s="138"/>
      <c r="G164" s="138"/>
      <c r="H164" s="68"/>
      <c r="I164" s="174">
        <f t="shared" ref="I164:J164" si="300">SUM(I160:I163)</f>
        <v>120417</v>
      </c>
      <c r="J164" s="174">
        <f t="shared" si="300"/>
        <v>121423</v>
      </c>
      <c r="K164" s="175"/>
      <c r="L164" s="175">
        <f t="shared" ref="L164:AD164" si="301">SUM(L160:L163)</f>
        <v>58.376442307692308</v>
      </c>
      <c r="M164" s="175">
        <f t="shared" si="301"/>
        <v>4670.1153846153848</v>
      </c>
      <c r="N164" s="175">
        <f t="shared" si="301"/>
        <v>967.03561643835621</v>
      </c>
      <c r="O164" s="175">
        <f t="shared" si="301"/>
        <v>0</v>
      </c>
      <c r="P164" s="175">
        <f t="shared" si="301"/>
        <v>0</v>
      </c>
      <c r="Q164" s="175">
        <f t="shared" si="301"/>
        <v>967.03561643835621</v>
      </c>
      <c r="R164" s="175">
        <f t="shared" si="301"/>
        <v>122390.03561643836</v>
      </c>
      <c r="S164" s="175">
        <f t="shared" si="301"/>
        <v>0</v>
      </c>
      <c r="T164" s="175">
        <f t="shared" si="301"/>
        <v>0</v>
      </c>
      <c r="U164" s="175">
        <f t="shared" si="301"/>
        <v>0</v>
      </c>
      <c r="V164" s="175">
        <f t="shared" si="301"/>
        <v>122390.03561643836</v>
      </c>
      <c r="W164" s="175">
        <f t="shared" si="301"/>
        <v>7588.1822082191775</v>
      </c>
      <c r="X164" s="175">
        <f t="shared" si="301"/>
        <v>1774.6555164383562</v>
      </c>
      <c r="Y164" s="175">
        <f t="shared" si="301"/>
        <v>17220.278011232876</v>
      </c>
      <c r="Z164" s="175">
        <f t="shared" si="301"/>
        <v>195.82405698630137</v>
      </c>
      <c r="AA164" s="175">
        <f t="shared" si="301"/>
        <v>45.5441</v>
      </c>
      <c r="AB164" s="175">
        <f t="shared" si="301"/>
        <v>1005</v>
      </c>
      <c r="AC164" s="175">
        <f t="shared" si="301"/>
        <v>31069.08</v>
      </c>
      <c r="AD164" s="175">
        <f t="shared" si="301"/>
        <v>320.74080000000004</v>
      </c>
      <c r="AE164" s="170">
        <v>455</v>
      </c>
      <c r="AF164" s="195">
        <f>SUM(AF160:AF163)</f>
        <v>1006</v>
      </c>
      <c r="AG164" s="69">
        <f t="shared" si="289"/>
        <v>59219.304692876714</v>
      </c>
      <c r="AH164" s="67">
        <v>59931.15</v>
      </c>
      <c r="AI164" s="176">
        <f t="shared" si="290"/>
        <v>-711.84530712328706</v>
      </c>
      <c r="AJ164" s="176">
        <f t="shared" si="291"/>
        <v>294.15469287671294</v>
      </c>
    </row>
    <row r="165" spans="1:36" hidden="1" x14ac:dyDescent="0.25">
      <c r="A165" s="138"/>
      <c r="B165" s="138"/>
      <c r="C165" s="138"/>
      <c r="D165" s="138"/>
      <c r="E165" s="138"/>
      <c r="F165" s="138"/>
      <c r="G165" s="138"/>
      <c r="H165" s="190"/>
      <c r="I165" s="190">
        <v>64472</v>
      </c>
      <c r="J165" s="190">
        <f>SUM(J162:J163)</f>
        <v>65063</v>
      </c>
      <c r="K165" s="169"/>
      <c r="L165" s="169"/>
      <c r="M165" s="169"/>
      <c r="N165" s="169"/>
      <c r="O165" s="169"/>
      <c r="P165" s="169"/>
      <c r="Q165" s="169"/>
      <c r="R165" s="169"/>
      <c r="S165" s="169"/>
      <c r="T165" s="169"/>
      <c r="U165" s="169"/>
      <c r="V165" s="169"/>
      <c r="W165" s="63">
        <f>SUM(W164:X164)</f>
        <v>9362.8377246575328</v>
      </c>
      <c r="X165" s="169"/>
      <c r="Y165" s="169"/>
      <c r="Z165" s="169"/>
      <c r="AA165" s="169"/>
      <c r="AB165" s="169"/>
      <c r="AC165" s="63">
        <f>SUM(AC164:AD164)</f>
        <v>31389.820800000001</v>
      </c>
      <c r="AD165" s="169"/>
      <c r="AE165" s="149"/>
      <c r="AF165" s="69">
        <f>SUM(AF160:AF163)</f>
        <v>1006</v>
      </c>
      <c r="AG165" s="178"/>
      <c r="AH165" s="65"/>
      <c r="AI165" s="69">
        <f t="shared" ref="AI165:AJ165" si="302">SUM(AI160:AI163)</f>
        <v>-711.85530712328955</v>
      </c>
      <c r="AJ165" s="69">
        <f t="shared" si="302"/>
        <v>294.14469287671045</v>
      </c>
    </row>
    <row r="166" spans="1:36" x14ac:dyDescent="0.25">
      <c r="A166" s="138"/>
      <c r="B166" s="138"/>
      <c r="C166" s="138"/>
      <c r="D166" s="138"/>
      <c r="E166" s="138"/>
      <c r="F166" s="138"/>
      <c r="G166" s="138"/>
      <c r="H166" s="179"/>
      <c r="I166" s="179"/>
      <c r="J166" s="179"/>
      <c r="K166" s="169"/>
      <c r="L166" s="169"/>
      <c r="M166" s="169"/>
      <c r="N166" s="169"/>
      <c r="O166" s="169"/>
      <c r="P166" s="169"/>
      <c r="Q166" s="169"/>
      <c r="R166" s="169"/>
      <c r="S166" s="169"/>
      <c r="T166" s="169"/>
      <c r="U166" s="169"/>
      <c r="V166" s="169"/>
      <c r="W166" s="169"/>
      <c r="X166" s="169"/>
      <c r="Y166" s="169"/>
      <c r="Z166" s="169"/>
      <c r="AA166" s="169"/>
      <c r="AB166" s="169"/>
      <c r="AC166" s="169"/>
      <c r="AD166" s="169"/>
      <c r="AE166" s="149"/>
      <c r="AF166" s="178"/>
      <c r="AG166" s="178"/>
      <c r="AH166" s="65"/>
      <c r="AI166" s="178"/>
      <c r="AJ166" s="178"/>
    </row>
    <row r="167" spans="1:36" x14ac:dyDescent="0.25">
      <c r="A167" s="138"/>
      <c r="B167" s="138"/>
      <c r="C167" s="138"/>
      <c r="D167" s="138"/>
      <c r="E167" s="138"/>
      <c r="F167" s="138"/>
      <c r="G167" s="138"/>
      <c r="H167" s="179"/>
      <c r="I167" s="179"/>
      <c r="J167" s="194"/>
      <c r="K167" s="173"/>
      <c r="L167" s="173"/>
      <c r="M167" s="173"/>
      <c r="N167" s="173"/>
      <c r="O167" s="173"/>
      <c r="P167" s="173"/>
      <c r="Q167" s="173"/>
      <c r="R167" s="173"/>
      <c r="S167" s="173"/>
      <c r="T167" s="173"/>
      <c r="U167" s="173"/>
      <c r="V167" s="173"/>
      <c r="W167" s="173"/>
      <c r="X167" s="173"/>
      <c r="Y167" s="173"/>
      <c r="Z167" s="173"/>
      <c r="AA167" s="173"/>
      <c r="AB167" s="173"/>
      <c r="AC167" s="173"/>
      <c r="AD167" s="173"/>
      <c r="AE167" s="149"/>
      <c r="AF167" s="178"/>
      <c r="AG167" s="178"/>
      <c r="AH167" s="65"/>
      <c r="AI167" s="178"/>
      <c r="AJ167" s="178"/>
    </row>
    <row r="168" spans="1:36" x14ac:dyDescent="0.25">
      <c r="A168" s="167">
        <v>470</v>
      </c>
      <c r="B168" s="138"/>
      <c r="C168" s="168" t="s">
        <v>888</v>
      </c>
      <c r="D168" s="138"/>
      <c r="E168" s="138"/>
      <c r="F168" s="138"/>
      <c r="G168" s="167" t="s">
        <v>2422</v>
      </c>
      <c r="H168" s="68"/>
      <c r="I168" s="68">
        <v>6000</v>
      </c>
      <c r="J168" s="174">
        <v>6000</v>
      </c>
      <c r="K168" s="175"/>
      <c r="L168" s="175">
        <v>0</v>
      </c>
      <c r="M168" s="175">
        <v>0</v>
      </c>
      <c r="N168" s="175">
        <v>0</v>
      </c>
      <c r="O168" s="175">
        <v>0</v>
      </c>
      <c r="P168" s="175">
        <v>0</v>
      </c>
      <c r="Q168" s="175">
        <v>0</v>
      </c>
      <c r="R168" s="175">
        <f>SUM(J168+Q168)</f>
        <v>6000</v>
      </c>
      <c r="S168" s="175">
        <v>0</v>
      </c>
      <c r="T168" s="175">
        <v>0</v>
      </c>
      <c r="U168" s="175">
        <v>0</v>
      </c>
      <c r="V168" s="175">
        <f>SUM(R168:U168)</f>
        <v>6000</v>
      </c>
      <c r="W168" s="175">
        <f>SUM(V168*$W$7)</f>
        <v>372</v>
      </c>
      <c r="X168" s="175">
        <f>SUM(V168*$X$7)</f>
        <v>87</v>
      </c>
      <c r="Y168" s="175">
        <f>SUM(V168*$Y$7)</f>
        <v>844.19999999999993</v>
      </c>
      <c r="Z168" s="175">
        <f>SUM(V168*$Z$7)</f>
        <v>9.6</v>
      </c>
      <c r="AA168" s="175">
        <f>SUM(V168*$AA$7)</f>
        <v>4.2</v>
      </c>
      <c r="AB168" s="175">
        <v>0</v>
      </c>
      <c r="AC168" s="175">
        <v>0</v>
      </c>
      <c r="AD168" s="175">
        <v>0</v>
      </c>
      <c r="AE168" s="170">
        <v>470</v>
      </c>
      <c r="AF168" s="176">
        <f>SUM(J168-I168)</f>
        <v>0</v>
      </c>
      <c r="AG168" s="69">
        <f>SUM(W168:AD168)</f>
        <v>1316.9999999999998</v>
      </c>
      <c r="AH168" s="67">
        <v>1374</v>
      </c>
      <c r="AI168" s="176">
        <f>AG168-AH168</f>
        <v>-57.000000000000227</v>
      </c>
      <c r="AJ168" s="176">
        <f>AF168+AI168</f>
        <v>-57.000000000000227</v>
      </c>
    </row>
    <row r="169" spans="1:36" x14ac:dyDescent="0.25">
      <c r="A169" s="138"/>
      <c r="B169" s="138"/>
      <c r="C169" s="138"/>
      <c r="D169" s="138"/>
      <c r="E169" s="138"/>
      <c r="F169" s="138"/>
      <c r="G169" s="138"/>
      <c r="H169" s="179"/>
      <c r="I169" s="179"/>
      <c r="J169" s="179"/>
      <c r="K169" s="169"/>
      <c r="L169" s="169"/>
      <c r="M169" s="169"/>
      <c r="N169" s="169"/>
      <c r="O169" s="169"/>
      <c r="P169" s="169"/>
      <c r="Q169" s="169"/>
      <c r="R169" s="169"/>
      <c r="S169" s="169"/>
      <c r="T169" s="169"/>
      <c r="U169" s="169"/>
      <c r="V169" s="169"/>
      <c r="W169" s="63">
        <f>SUM(W168:X168)</f>
        <v>459</v>
      </c>
      <c r="X169" s="169"/>
      <c r="Y169" s="169"/>
      <c r="Z169" s="169"/>
      <c r="AA169" s="169"/>
      <c r="AB169" s="169"/>
      <c r="AC169" s="63">
        <f>SUM(AC168:AD168)</f>
        <v>0</v>
      </c>
      <c r="AD169" s="169"/>
      <c r="AE169" s="149"/>
      <c r="AF169" s="178"/>
      <c r="AG169" s="178"/>
      <c r="AH169" s="65"/>
      <c r="AI169" s="178"/>
      <c r="AJ169" s="178"/>
    </row>
    <row r="170" spans="1:36" x14ac:dyDescent="0.25">
      <c r="A170" s="138"/>
      <c r="B170" s="138"/>
      <c r="C170" s="138"/>
      <c r="D170" s="138"/>
      <c r="E170" s="138"/>
      <c r="F170" s="138"/>
      <c r="G170" s="138"/>
      <c r="H170" s="148"/>
      <c r="I170" s="148"/>
      <c r="J170" s="148"/>
      <c r="K170" s="138"/>
      <c r="L170" s="138"/>
      <c r="M170" s="138"/>
      <c r="N170" s="138"/>
      <c r="O170" s="138"/>
      <c r="P170" s="138"/>
      <c r="Q170" s="138"/>
      <c r="R170" s="169"/>
      <c r="S170" s="169"/>
      <c r="T170" s="169"/>
      <c r="U170" s="169"/>
      <c r="V170" s="169"/>
      <c r="W170" s="169"/>
      <c r="X170" s="169"/>
      <c r="Y170" s="169"/>
      <c r="Z170" s="169"/>
      <c r="AA170" s="169"/>
      <c r="AB170" s="169"/>
      <c r="AC170" s="169"/>
      <c r="AD170" s="169"/>
      <c r="AE170" s="149"/>
      <c r="AF170" s="178"/>
      <c r="AG170" s="178"/>
      <c r="AH170" s="65"/>
      <c r="AI170" s="178"/>
      <c r="AJ170" s="178"/>
    </row>
    <row r="171" spans="1:36" x14ac:dyDescent="0.25">
      <c r="A171" s="138"/>
      <c r="B171" s="138"/>
      <c r="C171" s="138"/>
      <c r="D171" s="138"/>
      <c r="E171" s="138"/>
      <c r="F171" s="138"/>
      <c r="G171" s="138"/>
      <c r="H171" s="148"/>
      <c r="I171" s="148"/>
      <c r="J171" s="148"/>
      <c r="K171" s="138"/>
      <c r="L171" s="138"/>
      <c r="M171" s="138"/>
      <c r="N171" s="138"/>
      <c r="O171" s="138"/>
      <c r="P171" s="138"/>
      <c r="Q171" s="138"/>
      <c r="R171" s="169"/>
      <c r="S171" s="169"/>
      <c r="T171" s="169"/>
      <c r="U171" s="169"/>
      <c r="V171" s="169"/>
      <c r="W171" s="169"/>
      <c r="X171" s="169"/>
      <c r="Y171" s="169"/>
      <c r="Z171" s="169"/>
      <c r="AA171" s="169"/>
      <c r="AB171" s="169"/>
      <c r="AC171" s="169"/>
      <c r="AD171" s="169"/>
      <c r="AE171" s="149"/>
      <c r="AF171" s="178"/>
      <c r="AG171" s="178"/>
      <c r="AH171" s="65"/>
      <c r="AI171" s="178"/>
      <c r="AJ171" s="178"/>
    </row>
    <row r="172" spans="1:36" x14ac:dyDescent="0.25">
      <c r="A172" s="167">
        <v>475</v>
      </c>
      <c r="B172" s="92" t="s">
        <v>2654</v>
      </c>
      <c r="C172" s="168" t="s">
        <v>103</v>
      </c>
      <c r="D172" s="168" t="s">
        <v>2655</v>
      </c>
      <c r="E172" s="168" t="s">
        <v>2656</v>
      </c>
      <c r="F172" s="58">
        <v>39569</v>
      </c>
      <c r="G172" s="59">
        <f>(DATE(2021,12,30)-(F172))/365</f>
        <v>13.673972602739726</v>
      </c>
      <c r="H172" s="57"/>
      <c r="I172" s="57">
        <v>84000</v>
      </c>
      <c r="J172" s="57">
        <v>84000</v>
      </c>
      <c r="K172" s="63"/>
      <c r="L172" s="63">
        <f t="shared" ref="L172:L173" si="303">SUM(J172/2080)</f>
        <v>40.384615384615387</v>
      </c>
      <c r="M172" s="63">
        <f t="shared" ref="M172:M173" si="304">SUM(J172/26)</f>
        <v>3230.7692307692309</v>
      </c>
      <c r="N172" s="63">
        <v>0</v>
      </c>
      <c r="O172" s="169"/>
      <c r="P172" s="169"/>
      <c r="Q172" s="63">
        <f>IF(N172+P172&gt;5000,5000,N172+P172)</f>
        <v>0</v>
      </c>
      <c r="R172" s="63">
        <f>Q172+J172</f>
        <v>84000</v>
      </c>
      <c r="S172" s="169"/>
      <c r="T172" s="169"/>
      <c r="U172" s="169"/>
      <c r="V172" s="63">
        <f t="shared" ref="V172:V187" si="305">SUM(R172:U172)</f>
        <v>84000</v>
      </c>
      <c r="W172" s="63">
        <f t="shared" ref="W172:W187" si="306">SUM(V172*$W$7)</f>
        <v>5208</v>
      </c>
      <c r="X172" s="63">
        <f t="shared" ref="X172:X187" si="307">SUM(V172*$X$7)</f>
        <v>1218</v>
      </c>
      <c r="Y172" s="63">
        <f t="shared" ref="Y172:Y173" si="308">SUM(V172*$Y$7)</f>
        <v>11818.8</v>
      </c>
      <c r="Z172" s="63">
        <f t="shared" ref="Z172:Z173" si="309">SUM(V172*$Z$7)</f>
        <v>134.4</v>
      </c>
      <c r="AA172" s="82" t="s">
        <v>2420</v>
      </c>
      <c r="AB172" s="63">
        <f>SUM($AB$7)</f>
        <v>335</v>
      </c>
      <c r="AC172" s="63">
        <f>$AC$7</f>
        <v>10356.36</v>
      </c>
      <c r="AD172" s="63">
        <f>SUM(AB172+AC172)*$AD$7</f>
        <v>106.9136</v>
      </c>
      <c r="AE172" s="170">
        <v>475</v>
      </c>
      <c r="AF172" s="69">
        <f t="shared" ref="AF172:AF187" si="310">SUM(J172-I172)</f>
        <v>0</v>
      </c>
      <c r="AG172" s="69">
        <f t="shared" ref="AG172:AG188" si="311">SUM(W172:AD172)</f>
        <v>29177.473600000001</v>
      </c>
      <c r="AH172" s="67">
        <v>29975.47</v>
      </c>
      <c r="AI172" s="69">
        <f t="shared" ref="AI172:AI179" si="312">AG172-AH172</f>
        <v>-797.99639999999999</v>
      </c>
      <c r="AJ172" s="69">
        <f t="shared" ref="AJ172:AJ188" si="313">AF172+AI172</f>
        <v>-797.99639999999999</v>
      </c>
    </row>
    <row r="173" spans="1:36" x14ac:dyDescent="0.25">
      <c r="A173" s="178">
        <v>475</v>
      </c>
      <c r="B173" s="92" t="s">
        <v>2654</v>
      </c>
      <c r="C173" s="168" t="s">
        <v>2657</v>
      </c>
      <c r="D173" s="138" t="s">
        <v>2655</v>
      </c>
      <c r="E173" s="138" t="s">
        <v>2656</v>
      </c>
      <c r="F173" s="58">
        <v>39569</v>
      </c>
      <c r="G173" s="138" t="s">
        <v>2422</v>
      </c>
      <c r="H173" s="88"/>
      <c r="I173" s="88">
        <v>84000</v>
      </c>
      <c r="J173" s="88">
        <v>84000</v>
      </c>
      <c r="K173" s="63"/>
      <c r="L173" s="63">
        <f t="shared" si="303"/>
        <v>40.384615384615387</v>
      </c>
      <c r="M173" s="63">
        <f t="shared" si="304"/>
        <v>3230.7692307692309</v>
      </c>
      <c r="N173" s="178" t="s">
        <v>2422</v>
      </c>
      <c r="O173" s="138"/>
      <c r="P173" s="138"/>
      <c r="Q173" s="167" t="s">
        <v>2422</v>
      </c>
      <c r="R173" s="63">
        <f>SUM(J173)</f>
        <v>84000</v>
      </c>
      <c r="S173" s="169"/>
      <c r="T173" s="169"/>
      <c r="U173" s="169"/>
      <c r="V173" s="63">
        <f t="shared" si="305"/>
        <v>84000</v>
      </c>
      <c r="W173" s="63">
        <f t="shared" si="306"/>
        <v>5208</v>
      </c>
      <c r="X173" s="63">
        <f t="shared" si="307"/>
        <v>1218</v>
      </c>
      <c r="Y173" s="63">
        <f t="shared" si="308"/>
        <v>11818.8</v>
      </c>
      <c r="Z173" s="63">
        <f t="shared" si="309"/>
        <v>134.4</v>
      </c>
      <c r="AA173" s="63" t="s">
        <v>2422</v>
      </c>
      <c r="AB173" s="63" t="s">
        <v>2422</v>
      </c>
      <c r="AC173" s="63" t="s">
        <v>2422</v>
      </c>
      <c r="AD173" s="63" t="s">
        <v>2422</v>
      </c>
      <c r="AE173" s="170">
        <v>475</v>
      </c>
      <c r="AF173" s="69">
        <f t="shared" si="310"/>
        <v>0</v>
      </c>
      <c r="AG173" s="69">
        <f t="shared" si="311"/>
        <v>18379.2</v>
      </c>
      <c r="AH173" s="67">
        <v>19177.2</v>
      </c>
      <c r="AI173" s="69">
        <f t="shared" si="312"/>
        <v>-798</v>
      </c>
      <c r="AJ173" s="100">
        <f t="shared" si="313"/>
        <v>-798</v>
      </c>
    </row>
    <row r="174" spans="1:36" x14ac:dyDescent="0.25">
      <c r="A174" s="138"/>
      <c r="B174" s="138"/>
      <c r="C174" s="168" t="s">
        <v>2901</v>
      </c>
      <c r="D174" s="138"/>
      <c r="E174" s="138"/>
      <c r="F174" s="138"/>
      <c r="G174" s="138"/>
      <c r="H174" s="88"/>
      <c r="I174" s="88">
        <v>600</v>
      </c>
      <c r="J174" s="88">
        <v>600</v>
      </c>
      <c r="K174" s="138"/>
      <c r="L174" s="138"/>
      <c r="M174" s="138"/>
      <c r="N174" s="138"/>
      <c r="O174" s="138"/>
      <c r="P174" s="138"/>
      <c r="Q174" s="167">
        <v>0</v>
      </c>
      <c r="R174" s="63">
        <f>SUM(J174+Q174)</f>
        <v>600</v>
      </c>
      <c r="S174" s="169"/>
      <c r="T174" s="169"/>
      <c r="U174" s="169"/>
      <c r="V174" s="63">
        <f t="shared" si="305"/>
        <v>600</v>
      </c>
      <c r="W174" s="63">
        <f t="shared" si="306"/>
        <v>37.200000000000003</v>
      </c>
      <c r="X174" s="63">
        <f t="shared" si="307"/>
        <v>8.7000000000000011</v>
      </c>
      <c r="Y174" s="63" t="s">
        <v>2422</v>
      </c>
      <c r="Z174" s="63" t="s">
        <v>2422</v>
      </c>
      <c r="AA174" s="63" t="s">
        <v>2422</v>
      </c>
      <c r="AB174" s="63" t="s">
        <v>2422</v>
      </c>
      <c r="AC174" s="63" t="s">
        <v>2422</v>
      </c>
      <c r="AD174" s="63" t="s">
        <v>2422</v>
      </c>
      <c r="AE174" s="170">
        <v>475</v>
      </c>
      <c r="AF174" s="69">
        <f t="shared" si="310"/>
        <v>0</v>
      </c>
      <c r="AG174" s="69">
        <f t="shared" si="311"/>
        <v>45.900000000000006</v>
      </c>
      <c r="AH174" s="67">
        <v>45.9</v>
      </c>
      <c r="AI174" s="69">
        <f t="shared" si="312"/>
        <v>0</v>
      </c>
      <c r="AJ174" s="100">
        <f t="shared" si="313"/>
        <v>0</v>
      </c>
    </row>
    <row r="175" spans="1:36" x14ac:dyDescent="0.25">
      <c r="A175" s="167">
        <v>475</v>
      </c>
      <c r="B175" s="92" t="s">
        <v>2658</v>
      </c>
      <c r="C175" s="71" t="s">
        <v>2659</v>
      </c>
      <c r="D175" s="168" t="s">
        <v>2660</v>
      </c>
      <c r="E175" s="168" t="s">
        <v>2661</v>
      </c>
      <c r="F175" s="74">
        <v>39815</v>
      </c>
      <c r="G175" s="59">
        <f t="shared" ref="G175:G186" si="314">(DATE(2021,12,30)-(F175))/365</f>
        <v>13</v>
      </c>
      <c r="H175" s="57"/>
      <c r="I175" s="66">
        <v>76468</v>
      </c>
      <c r="J175" s="182">
        <v>77869</v>
      </c>
      <c r="K175" s="63"/>
      <c r="L175" s="63">
        <f t="shared" ref="L175:L186" si="315">SUM(J175/2080)</f>
        <v>37.437019230769231</v>
      </c>
      <c r="M175" s="63">
        <f t="shared" ref="M175:M186" si="316">SUM(J175/26)</f>
        <v>2994.9615384615386</v>
      </c>
      <c r="N175" s="63">
        <v>0</v>
      </c>
      <c r="O175" s="69">
        <v>3803.02</v>
      </c>
      <c r="P175" s="169"/>
      <c r="Q175" s="63">
        <f t="shared" ref="Q175:Q182" si="317">IF(N175+O175&gt;10000,10000,N175+O175)</f>
        <v>3803.02</v>
      </c>
      <c r="R175" s="63">
        <f t="shared" ref="R175:R186" si="318">Q175+J175</f>
        <v>81672.02</v>
      </c>
      <c r="S175" s="169"/>
      <c r="T175" s="169"/>
      <c r="U175" s="169"/>
      <c r="V175" s="63">
        <f t="shared" si="305"/>
        <v>81672.02</v>
      </c>
      <c r="W175" s="63">
        <f t="shared" si="306"/>
        <v>5063.6652400000003</v>
      </c>
      <c r="X175" s="63">
        <f t="shared" si="307"/>
        <v>1184.2442900000001</v>
      </c>
      <c r="Y175" s="63">
        <f t="shared" ref="Y175:Y187" si="319">SUM(V175*$Y$7)</f>
        <v>11491.253214</v>
      </c>
      <c r="Z175" s="63">
        <f t="shared" ref="Z175:Z187" si="320">SUM(V175*$Z$7)</f>
        <v>130.67523200000002</v>
      </c>
      <c r="AA175" s="63">
        <f t="shared" ref="AA175:AA187" si="321">SUM(V175*$AA$7)</f>
        <v>57.170414000000001</v>
      </c>
      <c r="AB175" s="63">
        <f t="shared" ref="AB175:AB186" si="322">SUM($AB$7)</f>
        <v>335</v>
      </c>
      <c r="AC175" s="63">
        <f t="shared" ref="AC175:AC186" si="323">$AC$7</f>
        <v>10356.36</v>
      </c>
      <c r="AD175" s="63">
        <f t="shared" ref="AD175:AD186" si="324">SUM(AB175+AC175)*$AD$7</f>
        <v>106.9136</v>
      </c>
      <c r="AE175" s="170">
        <v>475</v>
      </c>
      <c r="AF175" s="69">
        <f t="shared" si="310"/>
        <v>1401</v>
      </c>
      <c r="AG175" s="69">
        <f t="shared" si="311"/>
        <v>28725.281990000003</v>
      </c>
      <c r="AH175" s="67">
        <v>31038.67</v>
      </c>
      <c r="AI175" s="69">
        <f t="shared" si="312"/>
        <v>-2313.3880099999951</v>
      </c>
      <c r="AJ175" s="69">
        <f t="shared" si="313"/>
        <v>-912.38800999999512</v>
      </c>
    </row>
    <row r="176" spans="1:36" x14ac:dyDescent="0.25">
      <c r="A176" s="167">
        <v>475</v>
      </c>
      <c r="B176" s="92" t="s">
        <v>2662</v>
      </c>
      <c r="C176" s="71" t="s">
        <v>2659</v>
      </c>
      <c r="D176" s="168" t="s">
        <v>2663</v>
      </c>
      <c r="E176" s="168" t="s">
        <v>2664</v>
      </c>
      <c r="F176" s="74">
        <v>42303</v>
      </c>
      <c r="G176" s="59">
        <f t="shared" si="314"/>
        <v>6.183561643835616</v>
      </c>
      <c r="H176" s="57"/>
      <c r="I176" s="66">
        <v>71109</v>
      </c>
      <c r="J176" s="182">
        <v>72412</v>
      </c>
      <c r="K176" s="63"/>
      <c r="L176" s="63">
        <f t="shared" si="315"/>
        <v>34.813461538461539</v>
      </c>
      <c r="M176" s="63">
        <f t="shared" si="316"/>
        <v>2785.0769230769229</v>
      </c>
      <c r="N176" s="63">
        <v>0</v>
      </c>
      <c r="O176" s="69">
        <v>2400.06</v>
      </c>
      <c r="P176" s="169"/>
      <c r="Q176" s="63">
        <f t="shared" si="317"/>
        <v>2400.06</v>
      </c>
      <c r="R176" s="63">
        <f t="shared" si="318"/>
        <v>74812.06</v>
      </c>
      <c r="S176" s="169"/>
      <c r="T176" s="169"/>
      <c r="U176" s="169"/>
      <c r="V176" s="63">
        <f t="shared" si="305"/>
        <v>74812.06</v>
      </c>
      <c r="W176" s="63">
        <f t="shared" si="306"/>
        <v>4638.3477199999998</v>
      </c>
      <c r="X176" s="63">
        <f t="shared" si="307"/>
        <v>1084.77487</v>
      </c>
      <c r="Y176" s="63">
        <f t="shared" si="319"/>
        <v>10526.056842</v>
      </c>
      <c r="Z176" s="63">
        <f t="shared" si="320"/>
        <v>119.699296</v>
      </c>
      <c r="AA176" s="63">
        <f t="shared" si="321"/>
        <v>52.368441999999995</v>
      </c>
      <c r="AB176" s="63">
        <f t="shared" si="322"/>
        <v>335</v>
      </c>
      <c r="AC176" s="63">
        <f t="shared" si="323"/>
        <v>10356.36</v>
      </c>
      <c r="AD176" s="63">
        <f t="shared" si="324"/>
        <v>106.9136</v>
      </c>
      <c r="AE176" s="170">
        <v>475</v>
      </c>
      <c r="AF176" s="69">
        <f t="shared" si="310"/>
        <v>1303</v>
      </c>
      <c r="AG176" s="69">
        <f t="shared" si="311"/>
        <v>27219.520770000003</v>
      </c>
      <c r="AH176" s="67">
        <v>28859.06</v>
      </c>
      <c r="AI176" s="69">
        <f t="shared" si="312"/>
        <v>-1639.5392299999985</v>
      </c>
      <c r="AJ176" s="69">
        <f t="shared" si="313"/>
        <v>-336.5392299999985</v>
      </c>
    </row>
    <row r="177" spans="1:36" x14ac:dyDescent="0.25">
      <c r="A177" s="167">
        <v>475</v>
      </c>
      <c r="B177" s="92" t="s">
        <v>2665</v>
      </c>
      <c r="C177" s="71" t="s">
        <v>2666</v>
      </c>
      <c r="D177" s="208" t="s">
        <v>2667</v>
      </c>
      <c r="E177" s="208" t="s">
        <v>2668</v>
      </c>
      <c r="F177" s="73">
        <v>43738</v>
      </c>
      <c r="G177" s="59">
        <f t="shared" si="314"/>
        <v>2.2520547945205478</v>
      </c>
      <c r="H177" s="57"/>
      <c r="I177" s="66">
        <v>71109</v>
      </c>
      <c r="J177" s="182">
        <v>72412</v>
      </c>
      <c r="K177" s="63"/>
      <c r="L177" s="63">
        <f t="shared" si="315"/>
        <v>34.813461538461539</v>
      </c>
      <c r="M177" s="63">
        <f t="shared" si="316"/>
        <v>2785.0769230769229</v>
      </c>
      <c r="N177" s="63">
        <v>0</v>
      </c>
      <c r="O177" s="101">
        <v>0</v>
      </c>
      <c r="P177" s="169"/>
      <c r="Q177" s="63">
        <f t="shared" si="317"/>
        <v>0</v>
      </c>
      <c r="R177" s="63">
        <f t="shared" si="318"/>
        <v>72412</v>
      </c>
      <c r="S177" s="169"/>
      <c r="T177" s="169"/>
      <c r="U177" s="169"/>
      <c r="V177" s="63">
        <f t="shared" si="305"/>
        <v>72412</v>
      </c>
      <c r="W177" s="63">
        <f t="shared" si="306"/>
        <v>4489.5439999999999</v>
      </c>
      <c r="X177" s="63">
        <f t="shared" si="307"/>
        <v>1049.9740000000002</v>
      </c>
      <c r="Y177" s="63">
        <f t="shared" si="319"/>
        <v>10188.368399999999</v>
      </c>
      <c r="Z177" s="63">
        <f t="shared" si="320"/>
        <v>115.8592</v>
      </c>
      <c r="AA177" s="63">
        <f t="shared" si="321"/>
        <v>50.688400000000001</v>
      </c>
      <c r="AB177" s="63">
        <f t="shared" si="322"/>
        <v>335</v>
      </c>
      <c r="AC177" s="63">
        <f t="shared" si="323"/>
        <v>10356.36</v>
      </c>
      <c r="AD177" s="63">
        <f t="shared" si="324"/>
        <v>106.9136</v>
      </c>
      <c r="AE177" s="170">
        <v>475</v>
      </c>
      <c r="AF177" s="69">
        <f t="shared" si="310"/>
        <v>1303</v>
      </c>
      <c r="AG177" s="69">
        <f t="shared" si="311"/>
        <v>26692.707600000002</v>
      </c>
      <c r="AH177" s="67">
        <v>29230.83</v>
      </c>
      <c r="AI177" s="69">
        <f t="shared" si="312"/>
        <v>-2538.1224000000002</v>
      </c>
      <c r="AJ177" s="69">
        <f t="shared" si="313"/>
        <v>-1235.1224000000002</v>
      </c>
    </row>
    <row r="178" spans="1:36" x14ac:dyDescent="0.25">
      <c r="A178" s="167">
        <v>475</v>
      </c>
      <c r="B178" s="92" t="s">
        <v>2669</v>
      </c>
      <c r="C178" s="71" t="s">
        <v>2666</v>
      </c>
      <c r="D178" s="208" t="s">
        <v>2670</v>
      </c>
      <c r="E178" s="208" t="s">
        <v>2671</v>
      </c>
      <c r="F178" s="73">
        <v>43759</v>
      </c>
      <c r="G178" s="59">
        <f t="shared" si="314"/>
        <v>2.1945205479452055</v>
      </c>
      <c r="H178" s="57"/>
      <c r="I178" s="66">
        <v>71109</v>
      </c>
      <c r="J178" s="182">
        <v>72412</v>
      </c>
      <c r="K178" s="63"/>
      <c r="L178" s="63">
        <f t="shared" si="315"/>
        <v>34.813461538461539</v>
      </c>
      <c r="M178" s="63">
        <f t="shared" si="316"/>
        <v>2785.0769230769229</v>
      </c>
      <c r="N178" s="63">
        <v>0</v>
      </c>
      <c r="O178" s="101">
        <v>0</v>
      </c>
      <c r="P178" s="169"/>
      <c r="Q178" s="63">
        <f t="shared" si="317"/>
        <v>0</v>
      </c>
      <c r="R178" s="63">
        <f t="shared" si="318"/>
        <v>72412</v>
      </c>
      <c r="S178" s="169"/>
      <c r="T178" s="169"/>
      <c r="U178" s="169"/>
      <c r="V178" s="63">
        <f t="shared" si="305"/>
        <v>72412</v>
      </c>
      <c r="W178" s="63">
        <f t="shared" si="306"/>
        <v>4489.5439999999999</v>
      </c>
      <c r="X178" s="63">
        <f t="shared" si="307"/>
        <v>1049.9740000000002</v>
      </c>
      <c r="Y178" s="63">
        <f t="shared" si="319"/>
        <v>10188.368399999999</v>
      </c>
      <c r="Z178" s="63">
        <f t="shared" si="320"/>
        <v>115.8592</v>
      </c>
      <c r="AA178" s="63">
        <f t="shared" si="321"/>
        <v>50.688400000000001</v>
      </c>
      <c r="AB178" s="63">
        <f t="shared" si="322"/>
        <v>335</v>
      </c>
      <c r="AC178" s="63">
        <f t="shared" si="323"/>
        <v>10356.36</v>
      </c>
      <c r="AD178" s="63">
        <f t="shared" si="324"/>
        <v>106.9136</v>
      </c>
      <c r="AE178" s="170">
        <v>475</v>
      </c>
      <c r="AF178" s="69">
        <f t="shared" si="310"/>
        <v>1303</v>
      </c>
      <c r="AG178" s="69">
        <f t="shared" si="311"/>
        <v>26692.707600000002</v>
      </c>
      <c r="AH178" s="209">
        <v>-71074.81</v>
      </c>
      <c r="AI178" s="69">
        <f t="shared" si="312"/>
        <v>97767.517599999992</v>
      </c>
      <c r="AJ178" s="69">
        <f t="shared" si="313"/>
        <v>99070.517599999992</v>
      </c>
    </row>
    <row r="179" spans="1:36" x14ac:dyDescent="0.25">
      <c r="A179" s="167">
        <v>475</v>
      </c>
      <c r="B179" s="92" t="s">
        <v>2672</v>
      </c>
      <c r="C179" s="71" t="s">
        <v>2673</v>
      </c>
      <c r="D179" s="168" t="s">
        <v>2674</v>
      </c>
      <c r="E179" s="168" t="s">
        <v>2675</v>
      </c>
      <c r="F179" s="58">
        <v>41996</v>
      </c>
      <c r="G179" s="59">
        <f t="shared" si="314"/>
        <v>7.0246575342465754</v>
      </c>
      <c r="H179" s="57"/>
      <c r="I179" s="57">
        <v>77594</v>
      </c>
      <c r="J179" s="57">
        <v>77594</v>
      </c>
      <c r="K179" s="63"/>
      <c r="L179" s="63">
        <f t="shared" si="315"/>
        <v>37.304807692307691</v>
      </c>
      <c r="M179" s="63">
        <f t="shared" si="316"/>
        <v>2984.3846153846152</v>
      </c>
      <c r="N179" s="63">
        <v>0</v>
      </c>
      <c r="O179" s="69">
        <v>2897.5</v>
      </c>
      <c r="P179" s="169"/>
      <c r="Q179" s="63">
        <f t="shared" si="317"/>
        <v>2897.5</v>
      </c>
      <c r="R179" s="63">
        <f t="shared" si="318"/>
        <v>80491.5</v>
      </c>
      <c r="S179" s="169"/>
      <c r="T179" s="169"/>
      <c r="U179" s="169"/>
      <c r="V179" s="63">
        <f t="shared" si="305"/>
        <v>80491.5</v>
      </c>
      <c r="W179" s="63">
        <f t="shared" si="306"/>
        <v>4990.473</v>
      </c>
      <c r="X179" s="63">
        <f t="shared" si="307"/>
        <v>1167.1267500000001</v>
      </c>
      <c r="Y179" s="63">
        <f t="shared" si="319"/>
        <v>11325.154049999999</v>
      </c>
      <c r="Z179" s="63">
        <f t="shared" si="320"/>
        <v>128.78640000000001</v>
      </c>
      <c r="AA179" s="63">
        <f t="shared" si="321"/>
        <v>56.344050000000003</v>
      </c>
      <c r="AB179" s="63">
        <f t="shared" si="322"/>
        <v>335</v>
      </c>
      <c r="AC179" s="63">
        <f t="shared" si="323"/>
        <v>10356.36</v>
      </c>
      <c r="AD179" s="63">
        <f t="shared" si="324"/>
        <v>106.9136</v>
      </c>
      <c r="AE179" s="170">
        <v>475</v>
      </c>
      <c r="AF179" s="69">
        <f t="shared" si="310"/>
        <v>0</v>
      </c>
      <c r="AG179" s="69">
        <f t="shared" si="311"/>
        <v>28466.15785</v>
      </c>
      <c r="AH179" s="210">
        <v>-73704.55</v>
      </c>
      <c r="AI179" s="69">
        <f t="shared" si="312"/>
        <v>102170.70785000001</v>
      </c>
      <c r="AJ179" s="69">
        <f t="shared" si="313"/>
        <v>102170.70785000001</v>
      </c>
    </row>
    <row r="180" spans="1:36" x14ac:dyDescent="0.25">
      <c r="A180" s="167">
        <v>475</v>
      </c>
      <c r="B180" s="92" t="s">
        <v>2676</v>
      </c>
      <c r="C180" s="71" t="s">
        <v>2677</v>
      </c>
      <c r="D180" s="168" t="s">
        <v>2678</v>
      </c>
      <c r="E180" s="168" t="s">
        <v>2679</v>
      </c>
      <c r="F180" s="58">
        <v>38810</v>
      </c>
      <c r="G180" s="59">
        <f t="shared" si="314"/>
        <v>15.753424657534246</v>
      </c>
      <c r="H180" s="57"/>
      <c r="I180" s="66">
        <v>84583</v>
      </c>
      <c r="J180" s="66">
        <v>84583</v>
      </c>
      <c r="K180" s="63"/>
      <c r="L180" s="63">
        <f t="shared" si="315"/>
        <v>40.664903846153848</v>
      </c>
      <c r="M180" s="63">
        <f t="shared" si="316"/>
        <v>3253.1923076923076</v>
      </c>
      <c r="N180" s="63">
        <v>0</v>
      </c>
      <c r="O180" s="69">
        <v>2695.42</v>
      </c>
      <c r="P180" s="63"/>
      <c r="Q180" s="63">
        <f t="shared" si="317"/>
        <v>2695.42</v>
      </c>
      <c r="R180" s="63">
        <f t="shared" si="318"/>
        <v>87278.42</v>
      </c>
      <c r="S180" s="169"/>
      <c r="T180" s="169"/>
      <c r="U180" s="169"/>
      <c r="V180" s="63">
        <f t="shared" si="305"/>
        <v>87278.42</v>
      </c>
      <c r="W180" s="63">
        <f t="shared" si="306"/>
        <v>5411.2620399999996</v>
      </c>
      <c r="X180" s="63">
        <f t="shared" si="307"/>
        <v>1265.53709</v>
      </c>
      <c r="Y180" s="63">
        <f t="shared" si="319"/>
        <v>12280.073693999999</v>
      </c>
      <c r="Z180" s="63">
        <f t="shared" si="320"/>
        <v>139.64547200000001</v>
      </c>
      <c r="AA180" s="63">
        <f t="shared" si="321"/>
        <v>61.094893999999996</v>
      </c>
      <c r="AB180" s="63">
        <f t="shared" si="322"/>
        <v>335</v>
      </c>
      <c r="AC180" s="63">
        <f t="shared" si="323"/>
        <v>10356.36</v>
      </c>
      <c r="AD180" s="63">
        <f t="shared" si="324"/>
        <v>106.9136</v>
      </c>
      <c r="AE180" s="170">
        <v>475</v>
      </c>
      <c r="AF180" s="69">
        <f t="shared" si="310"/>
        <v>0</v>
      </c>
      <c r="AG180" s="69">
        <f t="shared" si="311"/>
        <v>29955.88679</v>
      </c>
      <c r="AH180" s="210">
        <v>-73704.55</v>
      </c>
      <c r="AI180" s="211">
        <f t="shared" ref="AI180:AI182" si="325">SUM(N180-M180)</f>
        <v>-3253.1923076923076</v>
      </c>
      <c r="AJ180" s="69">
        <f t="shared" si="313"/>
        <v>-3253.1923076923076</v>
      </c>
    </row>
    <row r="181" spans="1:36" x14ac:dyDescent="0.25">
      <c r="A181" s="167">
        <v>475</v>
      </c>
      <c r="B181" s="92" t="s">
        <v>2680</v>
      </c>
      <c r="C181" s="181" t="s">
        <v>2681</v>
      </c>
      <c r="D181" s="181" t="s">
        <v>2682</v>
      </c>
      <c r="E181" s="181" t="s">
        <v>2683</v>
      </c>
      <c r="F181" s="87">
        <v>34470</v>
      </c>
      <c r="G181" s="59">
        <f t="shared" si="314"/>
        <v>27.643835616438356</v>
      </c>
      <c r="H181" s="212"/>
      <c r="I181" s="212">
        <v>58142</v>
      </c>
      <c r="J181" s="212">
        <v>58142</v>
      </c>
      <c r="K181" s="213"/>
      <c r="L181" s="213">
        <f t="shared" si="315"/>
        <v>27.952884615384615</v>
      </c>
      <c r="M181" s="213">
        <f t="shared" si="316"/>
        <v>2236.2307692307691</v>
      </c>
      <c r="N181" s="213">
        <v>0</v>
      </c>
      <c r="O181" s="214"/>
      <c r="P181" s="213"/>
      <c r="Q181" s="213">
        <f t="shared" si="317"/>
        <v>0</v>
      </c>
      <c r="R181" s="213">
        <f t="shared" si="318"/>
        <v>58142</v>
      </c>
      <c r="S181" s="215"/>
      <c r="T181" s="215"/>
      <c r="U181" s="215"/>
      <c r="V181" s="213">
        <f t="shared" si="305"/>
        <v>58142</v>
      </c>
      <c r="W181" s="213">
        <f t="shared" si="306"/>
        <v>3604.8040000000001</v>
      </c>
      <c r="X181" s="213">
        <f t="shared" si="307"/>
        <v>843.05900000000008</v>
      </c>
      <c r="Y181" s="213">
        <f t="shared" si="319"/>
        <v>8180.5793999999996</v>
      </c>
      <c r="Z181" s="213">
        <f t="shared" si="320"/>
        <v>93.027200000000008</v>
      </c>
      <c r="AA181" s="213">
        <f t="shared" si="321"/>
        <v>40.699399999999997</v>
      </c>
      <c r="AB181" s="213">
        <f t="shared" si="322"/>
        <v>335</v>
      </c>
      <c r="AC181" s="213">
        <f t="shared" si="323"/>
        <v>10356.36</v>
      </c>
      <c r="AD181" s="213">
        <f t="shared" si="324"/>
        <v>106.9136</v>
      </c>
      <c r="AE181" s="216">
        <v>475</v>
      </c>
      <c r="AF181" s="69">
        <f t="shared" si="310"/>
        <v>0</v>
      </c>
      <c r="AG181" s="69">
        <f t="shared" si="311"/>
        <v>23560.442600000002</v>
      </c>
      <c r="AH181" s="67">
        <v>24112.79</v>
      </c>
      <c r="AI181" s="214">
        <f t="shared" si="325"/>
        <v>-2236.2307692307691</v>
      </c>
      <c r="AJ181" s="214">
        <f t="shared" si="313"/>
        <v>-2236.2307692307691</v>
      </c>
    </row>
    <row r="182" spans="1:36" x14ac:dyDescent="0.25">
      <c r="A182" s="167">
        <v>475</v>
      </c>
      <c r="B182" s="92" t="s">
        <v>2684</v>
      </c>
      <c r="C182" s="168" t="s">
        <v>2685</v>
      </c>
      <c r="D182" s="168" t="s">
        <v>2741</v>
      </c>
      <c r="E182" s="168" t="s">
        <v>2668</v>
      </c>
      <c r="F182" s="74">
        <v>42191</v>
      </c>
      <c r="G182" s="59">
        <f t="shared" si="314"/>
        <v>6.4904109589041097</v>
      </c>
      <c r="H182" s="213"/>
      <c r="I182" s="212">
        <v>41234</v>
      </c>
      <c r="J182" s="182">
        <v>41990</v>
      </c>
      <c r="K182" s="213"/>
      <c r="L182" s="213">
        <f t="shared" si="315"/>
        <v>20.1875</v>
      </c>
      <c r="M182" s="213">
        <f t="shared" si="316"/>
        <v>1615</v>
      </c>
      <c r="N182" s="213">
        <v>0</v>
      </c>
      <c r="O182" s="214"/>
      <c r="P182" s="213"/>
      <c r="Q182" s="213">
        <f t="shared" si="317"/>
        <v>0</v>
      </c>
      <c r="R182" s="213">
        <f t="shared" si="318"/>
        <v>41990</v>
      </c>
      <c r="S182" s="215"/>
      <c r="T182" s="215"/>
      <c r="U182" s="215"/>
      <c r="V182" s="213">
        <f t="shared" si="305"/>
        <v>41990</v>
      </c>
      <c r="W182" s="213">
        <f t="shared" si="306"/>
        <v>2603.38</v>
      </c>
      <c r="X182" s="213">
        <f t="shared" si="307"/>
        <v>608.85500000000002</v>
      </c>
      <c r="Y182" s="213">
        <f t="shared" si="319"/>
        <v>5907.9929999999995</v>
      </c>
      <c r="Z182" s="213">
        <f t="shared" si="320"/>
        <v>67.183999999999997</v>
      </c>
      <c r="AA182" s="213">
        <f t="shared" si="321"/>
        <v>29.393000000000001</v>
      </c>
      <c r="AB182" s="213">
        <f t="shared" si="322"/>
        <v>335</v>
      </c>
      <c r="AC182" s="213">
        <f t="shared" si="323"/>
        <v>10356.36</v>
      </c>
      <c r="AD182" s="213">
        <f t="shared" si="324"/>
        <v>106.9136</v>
      </c>
      <c r="AE182" s="216">
        <v>475</v>
      </c>
      <c r="AF182" s="69">
        <f t="shared" si="310"/>
        <v>756</v>
      </c>
      <c r="AG182" s="69">
        <f t="shared" si="311"/>
        <v>20015.078600000001</v>
      </c>
      <c r="AH182" s="67">
        <v>20240.86</v>
      </c>
      <c r="AI182" s="214">
        <f t="shared" si="325"/>
        <v>-1615</v>
      </c>
      <c r="AJ182" s="214">
        <f t="shared" si="313"/>
        <v>-859</v>
      </c>
    </row>
    <row r="183" spans="1:36" x14ac:dyDescent="0.25">
      <c r="A183" s="167">
        <v>475</v>
      </c>
      <c r="B183" s="92" t="s">
        <v>2688</v>
      </c>
      <c r="C183" s="126" t="s">
        <v>2689</v>
      </c>
      <c r="D183" s="168" t="s">
        <v>2699</v>
      </c>
      <c r="E183" s="168" t="s">
        <v>2683</v>
      </c>
      <c r="F183" s="74">
        <v>39314</v>
      </c>
      <c r="G183" s="59">
        <f t="shared" si="314"/>
        <v>14.372602739726027</v>
      </c>
      <c r="H183" s="57"/>
      <c r="I183" s="66">
        <v>36858</v>
      </c>
      <c r="J183" s="182">
        <v>37534</v>
      </c>
      <c r="K183" s="63"/>
      <c r="L183" s="63">
        <f t="shared" si="315"/>
        <v>18.045192307692307</v>
      </c>
      <c r="M183" s="63">
        <f t="shared" si="316"/>
        <v>1443.6153846153845</v>
      </c>
      <c r="N183" s="63">
        <v>0</v>
      </c>
      <c r="O183" s="169"/>
      <c r="P183" s="169"/>
      <c r="Q183" s="63">
        <f t="shared" ref="Q183:Q186" si="326">IF(N183+P183&gt;5000,5000,N183+P183)</f>
        <v>0</v>
      </c>
      <c r="R183" s="63">
        <f t="shared" si="318"/>
        <v>37534</v>
      </c>
      <c r="S183" s="169"/>
      <c r="T183" s="169"/>
      <c r="U183" s="169"/>
      <c r="V183" s="63">
        <f t="shared" si="305"/>
        <v>37534</v>
      </c>
      <c r="W183" s="63">
        <f t="shared" si="306"/>
        <v>2327.1080000000002</v>
      </c>
      <c r="X183" s="63">
        <f t="shared" si="307"/>
        <v>544.24300000000005</v>
      </c>
      <c r="Y183" s="63">
        <f t="shared" si="319"/>
        <v>5281.0337999999992</v>
      </c>
      <c r="Z183" s="63">
        <f t="shared" si="320"/>
        <v>60.054400000000001</v>
      </c>
      <c r="AA183" s="63">
        <f t="shared" si="321"/>
        <v>26.273800000000001</v>
      </c>
      <c r="AB183" s="63">
        <f t="shared" si="322"/>
        <v>335</v>
      </c>
      <c r="AC183" s="63">
        <f t="shared" si="323"/>
        <v>10356.36</v>
      </c>
      <c r="AD183" s="63">
        <f t="shared" si="324"/>
        <v>106.9136</v>
      </c>
      <c r="AE183" s="170">
        <v>475</v>
      </c>
      <c r="AF183" s="69">
        <f t="shared" si="310"/>
        <v>676</v>
      </c>
      <c r="AG183" s="69">
        <f t="shared" si="311"/>
        <v>19036.986600000004</v>
      </c>
      <c r="AH183" s="67">
        <v>18397.18</v>
      </c>
      <c r="AI183" s="69">
        <f t="shared" ref="AI183:AI188" si="327">AG183-AH183</f>
        <v>639.80660000000353</v>
      </c>
      <c r="AJ183" s="69">
        <f t="shared" si="313"/>
        <v>1315.8066000000035</v>
      </c>
    </row>
    <row r="184" spans="1:36" x14ac:dyDescent="0.25">
      <c r="A184" s="167">
        <v>475</v>
      </c>
      <c r="B184" s="92" t="s">
        <v>2692</v>
      </c>
      <c r="C184" s="126" t="s">
        <v>2693</v>
      </c>
      <c r="D184" s="70" t="s">
        <v>2655</v>
      </c>
      <c r="E184" s="70" t="s">
        <v>2694</v>
      </c>
      <c r="F184" s="73">
        <v>42184</v>
      </c>
      <c r="G184" s="59">
        <f t="shared" si="314"/>
        <v>6.5095890410958903</v>
      </c>
      <c r="H184" s="66"/>
      <c r="I184" s="66">
        <v>33658</v>
      </c>
      <c r="J184" s="182">
        <v>34275</v>
      </c>
      <c r="K184" s="63"/>
      <c r="L184" s="63">
        <f t="shared" si="315"/>
        <v>16.478365384615383</v>
      </c>
      <c r="M184" s="63">
        <f t="shared" si="316"/>
        <v>1318.2692307692307</v>
      </c>
      <c r="N184" s="63">
        <v>0</v>
      </c>
      <c r="O184" s="169"/>
      <c r="P184" s="63">
        <v>0</v>
      </c>
      <c r="Q184" s="63">
        <f t="shared" si="326"/>
        <v>0</v>
      </c>
      <c r="R184" s="63">
        <f t="shared" si="318"/>
        <v>34275</v>
      </c>
      <c r="S184" s="169"/>
      <c r="T184" s="169"/>
      <c r="U184" s="169"/>
      <c r="V184" s="63">
        <f t="shared" si="305"/>
        <v>34275</v>
      </c>
      <c r="W184" s="63">
        <f t="shared" si="306"/>
        <v>2125.0500000000002</v>
      </c>
      <c r="X184" s="63">
        <f t="shared" si="307"/>
        <v>496.98750000000001</v>
      </c>
      <c r="Y184" s="63">
        <f t="shared" si="319"/>
        <v>4822.4924999999994</v>
      </c>
      <c r="Z184" s="63">
        <f t="shared" si="320"/>
        <v>54.84</v>
      </c>
      <c r="AA184" s="63">
        <f t="shared" si="321"/>
        <v>23.9925</v>
      </c>
      <c r="AB184" s="63">
        <f t="shared" si="322"/>
        <v>335</v>
      </c>
      <c r="AC184" s="63">
        <f t="shared" si="323"/>
        <v>10356.36</v>
      </c>
      <c r="AD184" s="63">
        <f t="shared" si="324"/>
        <v>106.9136</v>
      </c>
      <c r="AE184" s="170">
        <v>475</v>
      </c>
      <c r="AF184" s="69">
        <f t="shared" si="310"/>
        <v>617</v>
      </c>
      <c r="AG184" s="69">
        <f t="shared" si="311"/>
        <v>18321.6361</v>
      </c>
      <c r="AH184" s="67">
        <v>19238.759999999998</v>
      </c>
      <c r="AI184" s="69">
        <f t="shared" si="327"/>
        <v>-917.12389999999868</v>
      </c>
      <c r="AJ184" s="69">
        <f t="shared" si="313"/>
        <v>-300.12389999999868</v>
      </c>
    </row>
    <row r="185" spans="1:36" x14ac:dyDescent="0.25">
      <c r="A185" s="167">
        <v>475</v>
      </c>
      <c r="B185" s="92" t="s">
        <v>2695</v>
      </c>
      <c r="C185" s="71" t="s">
        <v>2696</v>
      </c>
      <c r="D185" s="168" t="s">
        <v>2686</v>
      </c>
      <c r="E185" s="168" t="s">
        <v>2687</v>
      </c>
      <c r="F185" s="74">
        <v>40126</v>
      </c>
      <c r="G185" s="59">
        <f t="shared" si="314"/>
        <v>12.147945205479452</v>
      </c>
      <c r="H185" s="57"/>
      <c r="I185" s="66">
        <v>35887</v>
      </c>
      <c r="J185" s="182">
        <v>36544</v>
      </c>
      <c r="K185" s="63"/>
      <c r="L185" s="63">
        <f t="shared" si="315"/>
        <v>17.569230769230771</v>
      </c>
      <c r="M185" s="63">
        <f t="shared" si="316"/>
        <v>1405.5384615384614</v>
      </c>
      <c r="N185" s="63">
        <v>0</v>
      </c>
      <c r="O185" s="169"/>
      <c r="P185" s="169"/>
      <c r="Q185" s="63">
        <f t="shared" si="326"/>
        <v>0</v>
      </c>
      <c r="R185" s="63">
        <f t="shared" si="318"/>
        <v>36544</v>
      </c>
      <c r="S185" s="169"/>
      <c r="T185" s="169"/>
      <c r="U185" s="169"/>
      <c r="V185" s="63">
        <f t="shared" si="305"/>
        <v>36544</v>
      </c>
      <c r="W185" s="63">
        <f t="shared" si="306"/>
        <v>2265.7280000000001</v>
      </c>
      <c r="X185" s="63">
        <f t="shared" si="307"/>
        <v>529.88800000000003</v>
      </c>
      <c r="Y185" s="63">
        <f t="shared" si="319"/>
        <v>5141.7407999999996</v>
      </c>
      <c r="Z185" s="63">
        <f t="shared" si="320"/>
        <v>58.470400000000005</v>
      </c>
      <c r="AA185" s="63">
        <f t="shared" si="321"/>
        <v>25.5808</v>
      </c>
      <c r="AB185" s="63">
        <f t="shared" si="322"/>
        <v>335</v>
      </c>
      <c r="AC185" s="63">
        <f t="shared" si="323"/>
        <v>10356.36</v>
      </c>
      <c r="AD185" s="63">
        <f t="shared" si="324"/>
        <v>106.9136</v>
      </c>
      <c r="AE185" s="170">
        <v>475</v>
      </c>
      <c r="AF185" s="69">
        <f t="shared" si="310"/>
        <v>657</v>
      </c>
      <c r="AG185" s="69">
        <f t="shared" si="311"/>
        <v>18819.6816</v>
      </c>
      <c r="AH185" s="67">
        <v>19086.93</v>
      </c>
      <c r="AI185" s="69">
        <f t="shared" si="327"/>
        <v>-267.2484000000004</v>
      </c>
      <c r="AJ185" s="69">
        <f t="shared" si="313"/>
        <v>389.7515999999996</v>
      </c>
    </row>
    <row r="186" spans="1:36" x14ac:dyDescent="0.25">
      <c r="A186" s="167">
        <v>475</v>
      </c>
      <c r="B186" s="92" t="s">
        <v>2700</v>
      </c>
      <c r="C186" s="71" t="s">
        <v>2701</v>
      </c>
      <c r="D186" s="217" t="s">
        <v>2690</v>
      </c>
      <c r="E186" s="217" t="s">
        <v>2691</v>
      </c>
      <c r="F186" s="188">
        <v>43901</v>
      </c>
      <c r="G186" s="59">
        <f t="shared" si="314"/>
        <v>1.8054794520547945</v>
      </c>
      <c r="H186" s="57"/>
      <c r="I186" s="66">
        <v>31999</v>
      </c>
      <c r="J186" s="66">
        <v>31999</v>
      </c>
      <c r="K186" s="63"/>
      <c r="L186" s="63">
        <f t="shared" si="315"/>
        <v>15.384134615384616</v>
      </c>
      <c r="M186" s="63">
        <f t="shared" si="316"/>
        <v>1230.7307692307693</v>
      </c>
      <c r="N186" s="63">
        <v>0</v>
      </c>
      <c r="O186" s="169"/>
      <c r="P186" s="169"/>
      <c r="Q186" s="63">
        <f t="shared" si="326"/>
        <v>0</v>
      </c>
      <c r="R186" s="63">
        <f t="shared" si="318"/>
        <v>31999</v>
      </c>
      <c r="S186" s="169"/>
      <c r="T186" s="169"/>
      <c r="U186" s="169"/>
      <c r="V186" s="63">
        <f t="shared" si="305"/>
        <v>31999</v>
      </c>
      <c r="W186" s="63">
        <f t="shared" si="306"/>
        <v>1983.9379999999999</v>
      </c>
      <c r="X186" s="63">
        <f t="shared" si="307"/>
        <v>463.9855</v>
      </c>
      <c r="Y186" s="63">
        <f t="shared" si="319"/>
        <v>4502.2592999999997</v>
      </c>
      <c r="Z186" s="63">
        <f t="shared" si="320"/>
        <v>51.198399999999999</v>
      </c>
      <c r="AA186" s="63">
        <f t="shared" si="321"/>
        <v>22.3993</v>
      </c>
      <c r="AB186" s="63">
        <f t="shared" si="322"/>
        <v>335</v>
      </c>
      <c r="AC186" s="63">
        <f t="shared" si="323"/>
        <v>10356.36</v>
      </c>
      <c r="AD186" s="63">
        <f t="shared" si="324"/>
        <v>106.9136</v>
      </c>
      <c r="AE186" s="170">
        <v>475</v>
      </c>
      <c r="AF186" s="69">
        <f t="shared" si="310"/>
        <v>0</v>
      </c>
      <c r="AG186" s="69">
        <f t="shared" si="311"/>
        <v>17822.054100000001</v>
      </c>
      <c r="AH186" s="67">
        <v>19016.400000000001</v>
      </c>
      <c r="AI186" s="69">
        <f t="shared" si="327"/>
        <v>-1194.3459000000003</v>
      </c>
      <c r="AJ186" s="69">
        <f t="shared" si="313"/>
        <v>-1194.3459000000003</v>
      </c>
    </row>
    <row r="187" spans="1:36" x14ac:dyDescent="0.25">
      <c r="A187" s="167">
        <v>475</v>
      </c>
      <c r="B187" s="167">
        <v>440006</v>
      </c>
      <c r="C187" s="168" t="s">
        <v>253</v>
      </c>
      <c r="D187" s="168" t="s">
        <v>2655</v>
      </c>
      <c r="E187" s="168" t="s">
        <v>2656</v>
      </c>
      <c r="F187" s="138"/>
      <c r="G187" s="138"/>
      <c r="H187" s="88"/>
      <c r="I187" s="88">
        <v>9000</v>
      </c>
      <c r="J187" s="218">
        <v>9000</v>
      </c>
      <c r="K187" s="219"/>
      <c r="L187" s="219"/>
      <c r="M187" s="219"/>
      <c r="N187" s="220" t="s">
        <v>27</v>
      </c>
      <c r="O187" s="219"/>
      <c r="P187" s="219"/>
      <c r="Q187" s="220">
        <v>0</v>
      </c>
      <c r="R187" s="172">
        <f>SUM(J187+Q187)</f>
        <v>9000</v>
      </c>
      <c r="S187" s="173"/>
      <c r="T187" s="173"/>
      <c r="U187" s="173"/>
      <c r="V187" s="172">
        <f t="shared" si="305"/>
        <v>9000</v>
      </c>
      <c r="W187" s="172">
        <f t="shared" si="306"/>
        <v>558</v>
      </c>
      <c r="X187" s="172">
        <f t="shared" si="307"/>
        <v>130.5</v>
      </c>
      <c r="Y187" s="172">
        <f t="shared" si="319"/>
        <v>1266.3</v>
      </c>
      <c r="Z187" s="172">
        <f t="shared" si="320"/>
        <v>14.4</v>
      </c>
      <c r="AA187" s="172">
        <f t="shared" si="321"/>
        <v>6.3</v>
      </c>
      <c r="AB187" s="172" t="s">
        <v>2422</v>
      </c>
      <c r="AC187" s="172" t="s">
        <v>2422</v>
      </c>
      <c r="AD187" s="172" t="s">
        <v>2422</v>
      </c>
      <c r="AE187" s="170">
        <v>475</v>
      </c>
      <c r="AF187" s="69">
        <f t="shared" si="310"/>
        <v>0</v>
      </c>
      <c r="AG187" s="69">
        <f t="shared" si="311"/>
        <v>1975.5</v>
      </c>
      <c r="AH187" s="67">
        <v>2061</v>
      </c>
      <c r="AI187" s="69">
        <f t="shared" si="327"/>
        <v>-85.5</v>
      </c>
      <c r="AJ187" s="100">
        <f t="shared" si="313"/>
        <v>-85.5</v>
      </c>
    </row>
    <row r="188" spans="1:36" x14ac:dyDescent="0.25">
      <c r="A188" s="167">
        <v>475</v>
      </c>
      <c r="B188" s="138"/>
      <c r="C188" s="138"/>
      <c r="D188" s="138"/>
      <c r="E188" s="138"/>
      <c r="F188" s="138"/>
      <c r="G188" s="138"/>
      <c r="H188" s="221"/>
      <c r="I188" s="222">
        <f t="shared" ref="I188:J188" si="328">SUM(I172:I187)</f>
        <v>867350</v>
      </c>
      <c r="J188" s="222">
        <f t="shared" si="328"/>
        <v>875366</v>
      </c>
      <c r="K188" s="223"/>
      <c r="L188" s="223">
        <f t="shared" ref="L188:AD188" si="329">SUM(L171:L187)</f>
        <v>416.2336538461538</v>
      </c>
      <c r="M188" s="223">
        <f t="shared" si="329"/>
        <v>33298.692307692305</v>
      </c>
      <c r="N188" s="223">
        <f t="shared" si="329"/>
        <v>0</v>
      </c>
      <c r="O188" s="223">
        <f t="shared" si="329"/>
        <v>11796</v>
      </c>
      <c r="P188" s="223">
        <f t="shared" si="329"/>
        <v>0</v>
      </c>
      <c r="Q188" s="223">
        <f t="shared" si="329"/>
        <v>11796</v>
      </c>
      <c r="R188" s="223">
        <f t="shared" si="329"/>
        <v>887162.00000000012</v>
      </c>
      <c r="S188" s="223">
        <f t="shared" si="329"/>
        <v>0</v>
      </c>
      <c r="T188" s="223">
        <f t="shared" si="329"/>
        <v>0</v>
      </c>
      <c r="U188" s="223">
        <f t="shared" si="329"/>
        <v>0</v>
      </c>
      <c r="V188" s="223">
        <f t="shared" si="329"/>
        <v>887162.00000000012</v>
      </c>
      <c r="W188" s="223">
        <f t="shared" si="329"/>
        <v>55004.044000000002</v>
      </c>
      <c r="X188" s="223">
        <f t="shared" si="329"/>
        <v>12863.849</v>
      </c>
      <c r="Y188" s="223">
        <f t="shared" si="329"/>
        <v>124739.27340000002</v>
      </c>
      <c r="Z188" s="223">
        <f t="shared" si="329"/>
        <v>1418.4992</v>
      </c>
      <c r="AA188" s="223">
        <f t="shared" si="329"/>
        <v>502.99340000000001</v>
      </c>
      <c r="AB188" s="223">
        <f t="shared" si="329"/>
        <v>4355</v>
      </c>
      <c r="AC188" s="223">
        <f t="shared" si="329"/>
        <v>134632.68</v>
      </c>
      <c r="AD188" s="223">
        <f t="shared" si="329"/>
        <v>1389.8768000000002</v>
      </c>
      <c r="AE188" s="170">
        <v>475</v>
      </c>
      <c r="AF188" s="224">
        <f>SUM(AF179:AF187)</f>
        <v>2706</v>
      </c>
      <c r="AG188" s="100">
        <f t="shared" si="311"/>
        <v>334906.21580000006</v>
      </c>
      <c r="AH188" s="225">
        <v>343550</v>
      </c>
      <c r="AI188" s="226">
        <f t="shared" si="327"/>
        <v>-8643.7841999999364</v>
      </c>
      <c r="AJ188" s="226">
        <f t="shared" si="313"/>
        <v>-5937.7841999999364</v>
      </c>
    </row>
    <row r="189" spans="1:36" x14ac:dyDescent="0.25">
      <c r="A189" s="168" t="s">
        <v>2702</v>
      </c>
      <c r="B189" s="138"/>
      <c r="C189" s="168" t="s">
        <v>2703</v>
      </c>
      <c r="G189" s="138"/>
      <c r="H189" s="78"/>
      <c r="I189" s="78">
        <v>698733</v>
      </c>
      <c r="J189" s="78">
        <f>SUM(J175:J186)</f>
        <v>697766</v>
      </c>
      <c r="K189" s="167"/>
      <c r="L189" s="167">
        <v>0</v>
      </c>
      <c r="M189" s="138"/>
      <c r="N189" s="138"/>
      <c r="O189" s="138"/>
      <c r="P189" s="138"/>
      <c r="Q189" s="167">
        <v>0</v>
      </c>
      <c r="R189" s="63">
        <v>70000</v>
      </c>
      <c r="S189" s="169"/>
      <c r="T189" s="169"/>
      <c r="U189" s="169"/>
      <c r="V189" s="63"/>
      <c r="W189" s="63">
        <f>SUM(W188:X188)</f>
        <v>67867.892999999996</v>
      </c>
      <c r="X189" s="63"/>
      <c r="Y189" s="63"/>
      <c r="Z189" s="63"/>
      <c r="AA189" s="169"/>
      <c r="AB189" s="169"/>
      <c r="AC189" s="169">
        <f>SUM(AC188:AD188)</f>
        <v>136022.55679999999</v>
      </c>
      <c r="AD189" s="169"/>
      <c r="AE189" s="227"/>
      <c r="AF189" s="69">
        <f>SUM(AF172:AF187)</f>
        <v>8016</v>
      </c>
      <c r="AG189" s="178"/>
      <c r="AH189" s="65"/>
      <c r="AI189" s="69">
        <f t="shared" ref="AI189:AJ189" si="330">SUM(AI172:AI187)</f>
        <v>182922.34473307693</v>
      </c>
      <c r="AJ189" s="228">
        <f t="shared" si="330"/>
        <v>190938.34473307693</v>
      </c>
    </row>
    <row r="190" spans="1:36" x14ac:dyDescent="0.25">
      <c r="A190" s="138"/>
      <c r="B190" s="138"/>
      <c r="C190" s="207"/>
      <c r="D190" s="138"/>
      <c r="E190" s="138"/>
      <c r="F190" s="138"/>
      <c r="G190" s="138"/>
      <c r="H190" s="148"/>
      <c r="I190" s="148"/>
      <c r="J190" s="148"/>
      <c r="K190" s="138"/>
      <c r="L190" s="138"/>
      <c r="M190" s="138"/>
      <c r="N190" s="138"/>
      <c r="O190" s="138"/>
      <c r="P190" s="138"/>
      <c r="Q190" s="138"/>
      <c r="R190" s="169"/>
      <c r="S190" s="169"/>
      <c r="T190" s="169"/>
      <c r="U190" s="169"/>
      <c r="V190" s="169"/>
      <c r="W190" s="63"/>
      <c r="X190" s="169"/>
      <c r="Y190" s="63"/>
      <c r="Z190" s="63"/>
      <c r="AA190" s="169"/>
      <c r="AB190" s="169"/>
      <c r="AC190" s="63"/>
      <c r="AD190" s="169"/>
      <c r="AE190" s="149"/>
      <c r="AF190" s="178"/>
      <c r="AG190" s="178"/>
      <c r="AH190" s="65"/>
      <c r="AI190" s="178"/>
      <c r="AJ190" s="178"/>
    </row>
    <row r="191" spans="1:36" x14ac:dyDescent="0.25">
      <c r="A191" s="138"/>
      <c r="B191" s="138"/>
      <c r="G191" s="138"/>
      <c r="H191" s="148"/>
      <c r="I191" s="148"/>
      <c r="J191" s="148"/>
      <c r="K191" s="138"/>
      <c r="L191" s="138"/>
      <c r="M191" s="138"/>
      <c r="N191" s="138"/>
      <c r="O191" s="138"/>
      <c r="P191" s="138"/>
      <c r="Q191" s="138"/>
      <c r="R191" s="169"/>
      <c r="S191" s="169"/>
      <c r="T191" s="169"/>
      <c r="U191" s="169"/>
      <c r="V191" s="169"/>
      <c r="W191" s="169"/>
      <c r="X191" s="169"/>
      <c r="Y191" s="169"/>
      <c r="Z191" s="169"/>
      <c r="AA191" s="169"/>
      <c r="AB191" s="169"/>
      <c r="AC191" s="169"/>
      <c r="AD191" s="169"/>
      <c r="AE191" s="149"/>
      <c r="AF191" s="178"/>
      <c r="AG191" s="178"/>
      <c r="AH191" s="65"/>
      <c r="AI191" s="178"/>
      <c r="AJ191" s="178"/>
    </row>
    <row r="192" spans="1:36" x14ac:dyDescent="0.25">
      <c r="A192" s="138"/>
      <c r="B192" s="138"/>
      <c r="C192" s="138"/>
      <c r="D192" s="138"/>
      <c r="E192" s="138"/>
      <c r="F192" s="138"/>
      <c r="G192" s="138"/>
      <c r="H192" s="148"/>
      <c r="I192" s="148"/>
      <c r="J192" s="148"/>
      <c r="K192" s="138"/>
      <c r="L192" s="138"/>
      <c r="M192" s="138"/>
      <c r="N192" s="138"/>
      <c r="O192" s="138"/>
      <c r="P192" s="138"/>
      <c r="Q192" s="138"/>
      <c r="R192" s="169"/>
      <c r="S192" s="169"/>
      <c r="T192" s="169"/>
      <c r="U192" s="169"/>
      <c r="V192" s="169"/>
      <c r="W192" s="169"/>
      <c r="X192" s="169"/>
      <c r="Y192" s="169"/>
      <c r="Z192" s="169"/>
      <c r="AA192" s="169"/>
      <c r="AB192" s="169"/>
      <c r="AC192" s="169"/>
      <c r="AD192" s="169"/>
      <c r="AE192" s="149"/>
      <c r="AF192" s="178"/>
      <c r="AG192" s="178"/>
      <c r="AH192" s="65"/>
      <c r="AI192" s="178"/>
      <c r="AJ192" s="178"/>
    </row>
    <row r="193" spans="1:36" x14ac:dyDescent="0.25">
      <c r="A193" s="167">
        <v>476</v>
      </c>
      <c r="B193" s="92" t="s">
        <v>2704</v>
      </c>
      <c r="C193" s="71" t="s">
        <v>2705</v>
      </c>
      <c r="D193" s="168" t="s">
        <v>2706</v>
      </c>
      <c r="E193" s="168" t="s">
        <v>2707</v>
      </c>
      <c r="F193" s="74">
        <v>40890</v>
      </c>
      <c r="G193" s="59">
        <f t="shared" ref="G193:G195" si="331">(DATE(2021,12,30)-(F193))/365</f>
        <v>10.054794520547945</v>
      </c>
      <c r="H193" s="57"/>
      <c r="I193" s="66">
        <v>34041</v>
      </c>
      <c r="J193" s="182">
        <v>34665</v>
      </c>
      <c r="K193" s="63"/>
      <c r="L193" s="63">
        <f t="shared" ref="L193:L196" si="332">SUM(J193/2080)</f>
        <v>16.665865384615383</v>
      </c>
      <c r="M193" s="63">
        <f t="shared" ref="M193:M196" si="333">SUM(J193/26)</f>
        <v>1333.2692307692307</v>
      </c>
      <c r="N193" s="63">
        <f>IF(G193&lt;4,0,(G193-1)*$N$7)</f>
        <v>2390.4657534246576</v>
      </c>
      <c r="O193" s="169"/>
      <c r="P193" s="169"/>
      <c r="Q193" s="63">
        <f t="shared" ref="Q193:Q196" si="334">IF(N193+P193&gt;5000,5000,N193+P193)</f>
        <v>2390.4657534246576</v>
      </c>
      <c r="R193" s="63">
        <f t="shared" ref="R193:R196" si="335">Q193+J193</f>
        <v>37055.465753424658</v>
      </c>
      <c r="S193" s="169"/>
      <c r="T193" s="169"/>
      <c r="U193" s="169"/>
      <c r="V193" s="63">
        <f t="shared" ref="V193:V196" si="336">SUM(R193:U193)</f>
        <v>37055.465753424658</v>
      </c>
      <c r="W193" s="63">
        <f t="shared" ref="W193:W196" si="337">SUM(V193*$W$7)</f>
        <v>2297.4388767123287</v>
      </c>
      <c r="X193" s="63">
        <f t="shared" ref="X193:X196" si="338">SUM(V193*$X$7)</f>
        <v>537.30425342465753</v>
      </c>
      <c r="Y193" s="63">
        <f t="shared" ref="Y193:Y196" si="339">SUM(V193*$Y$7)</f>
        <v>5213.7040315068489</v>
      </c>
      <c r="Z193" s="63">
        <f t="shared" ref="Z193:Z196" si="340">SUM(V193*$Z$7)</f>
        <v>59.288745205479458</v>
      </c>
      <c r="AA193" s="63">
        <f t="shared" ref="AA193:AA196" si="341">SUM(V193*$AA$7)</f>
        <v>25.938826027397262</v>
      </c>
      <c r="AB193" s="63">
        <f t="shared" ref="AB193:AB195" si="342">SUM($AB$7)</f>
        <v>335</v>
      </c>
      <c r="AC193" s="63">
        <f t="shared" ref="AC193:AC195" si="343">$AC$7</f>
        <v>10356.36</v>
      </c>
      <c r="AD193" s="63">
        <f t="shared" ref="AD193:AD195" si="344">SUM(AB193+AC193)*$AD$7</f>
        <v>106.9136</v>
      </c>
      <c r="AE193" s="170">
        <v>476</v>
      </c>
      <c r="AF193" s="69">
        <f t="shared" ref="AF193:AF196" si="345">SUM(J193-I193)</f>
        <v>624</v>
      </c>
      <c r="AG193" s="69">
        <f t="shared" ref="AG193:AG197" si="346">SUM(W193:AD193)</f>
        <v>18931.948332876713</v>
      </c>
      <c r="AH193" s="67">
        <v>18149.86</v>
      </c>
      <c r="AI193" s="69">
        <f t="shared" ref="AI193:AI197" si="347">AG193-AH193</f>
        <v>782.08833287671223</v>
      </c>
      <c r="AJ193" s="69">
        <f t="shared" ref="AJ193:AJ197" si="348">AF193+AI193</f>
        <v>1406.0883328767122</v>
      </c>
    </row>
    <row r="194" spans="1:36" x14ac:dyDescent="0.25">
      <c r="A194" s="167">
        <v>476</v>
      </c>
      <c r="B194" s="92" t="s">
        <v>2708</v>
      </c>
      <c r="C194" s="71" t="s">
        <v>2709</v>
      </c>
      <c r="D194" s="168" t="s">
        <v>2710</v>
      </c>
      <c r="E194" s="168" t="s">
        <v>2711</v>
      </c>
      <c r="F194" s="74">
        <v>42849</v>
      </c>
      <c r="G194" s="59">
        <f t="shared" si="331"/>
        <v>4.6876712328767125</v>
      </c>
      <c r="H194" s="57"/>
      <c r="I194" s="66">
        <v>32103</v>
      </c>
      <c r="J194" s="182">
        <v>32691</v>
      </c>
      <c r="K194" s="63"/>
      <c r="L194" s="63">
        <f t="shared" si="332"/>
        <v>15.716826923076923</v>
      </c>
      <c r="M194" s="63">
        <f t="shared" si="333"/>
        <v>1257.3461538461538</v>
      </c>
      <c r="N194" s="63">
        <v>0</v>
      </c>
      <c r="O194" s="169"/>
      <c r="P194" s="63">
        <v>0</v>
      </c>
      <c r="Q194" s="63">
        <f t="shared" si="334"/>
        <v>0</v>
      </c>
      <c r="R194" s="63">
        <f t="shared" si="335"/>
        <v>32691</v>
      </c>
      <c r="S194" s="169"/>
      <c r="T194" s="169"/>
      <c r="U194" s="63">
        <v>1000</v>
      </c>
      <c r="V194" s="63">
        <f t="shared" si="336"/>
        <v>33691</v>
      </c>
      <c r="W194" s="63">
        <f t="shared" si="337"/>
        <v>2088.8420000000001</v>
      </c>
      <c r="X194" s="63">
        <f t="shared" si="338"/>
        <v>488.51950000000005</v>
      </c>
      <c r="Y194" s="63">
        <f t="shared" si="339"/>
        <v>4740.3236999999999</v>
      </c>
      <c r="Z194" s="63">
        <f t="shared" si="340"/>
        <v>53.9056</v>
      </c>
      <c r="AA194" s="63">
        <f t="shared" si="341"/>
        <v>23.5837</v>
      </c>
      <c r="AB194" s="63">
        <f t="shared" si="342"/>
        <v>335</v>
      </c>
      <c r="AC194" s="63">
        <f t="shared" si="343"/>
        <v>10356.36</v>
      </c>
      <c r="AD194" s="63">
        <f t="shared" si="344"/>
        <v>106.9136</v>
      </c>
      <c r="AE194" s="170">
        <v>476</v>
      </c>
      <c r="AF194" s="69">
        <f t="shared" si="345"/>
        <v>588</v>
      </c>
      <c r="AG194" s="69">
        <f t="shared" si="346"/>
        <v>18193.448100000001</v>
      </c>
      <c r="AH194" s="67">
        <v>22818.03</v>
      </c>
      <c r="AI194" s="69">
        <f t="shared" si="347"/>
        <v>-4624.5818999999974</v>
      </c>
      <c r="AJ194" s="69">
        <f t="shared" si="348"/>
        <v>-4036.5818999999974</v>
      </c>
    </row>
    <row r="195" spans="1:36" x14ac:dyDescent="0.25">
      <c r="A195" s="167">
        <v>476</v>
      </c>
      <c r="B195" s="92" t="s">
        <v>2712</v>
      </c>
      <c r="C195" s="168" t="s">
        <v>2713</v>
      </c>
      <c r="D195" s="168" t="s">
        <v>2714</v>
      </c>
      <c r="E195" s="168" t="s">
        <v>2715</v>
      </c>
      <c r="F195" s="74">
        <v>38575</v>
      </c>
      <c r="G195" s="59">
        <f t="shared" si="331"/>
        <v>16.397260273972602</v>
      </c>
      <c r="H195" s="57"/>
      <c r="I195" s="66">
        <v>51488</v>
      </c>
      <c r="J195" s="182">
        <v>52432</v>
      </c>
      <c r="K195" s="63"/>
      <c r="L195" s="63">
        <f t="shared" si="332"/>
        <v>25.207692307692309</v>
      </c>
      <c r="M195" s="63">
        <f t="shared" si="333"/>
        <v>2016.6153846153845</v>
      </c>
      <c r="N195" s="63">
        <v>0</v>
      </c>
      <c r="O195" s="169"/>
      <c r="P195" s="169"/>
      <c r="Q195" s="63">
        <f t="shared" si="334"/>
        <v>0</v>
      </c>
      <c r="R195" s="63">
        <f t="shared" si="335"/>
        <v>52432</v>
      </c>
      <c r="S195" s="169"/>
      <c r="T195" s="169"/>
      <c r="U195" s="169"/>
      <c r="V195" s="63">
        <f t="shared" si="336"/>
        <v>52432</v>
      </c>
      <c r="W195" s="63">
        <f t="shared" si="337"/>
        <v>3250.7840000000001</v>
      </c>
      <c r="X195" s="63">
        <f t="shared" si="338"/>
        <v>760.26400000000001</v>
      </c>
      <c r="Y195" s="63">
        <f t="shared" si="339"/>
        <v>7377.1823999999997</v>
      </c>
      <c r="Z195" s="63">
        <f t="shared" si="340"/>
        <v>83.891199999999998</v>
      </c>
      <c r="AA195" s="63">
        <f t="shared" si="341"/>
        <v>36.702399999999997</v>
      </c>
      <c r="AB195" s="63">
        <f t="shared" si="342"/>
        <v>335</v>
      </c>
      <c r="AC195" s="63">
        <f t="shared" si="343"/>
        <v>10356.36</v>
      </c>
      <c r="AD195" s="63">
        <f t="shared" si="344"/>
        <v>106.9136</v>
      </c>
      <c r="AE195" s="170">
        <v>476</v>
      </c>
      <c r="AF195" s="69">
        <f t="shared" si="345"/>
        <v>944</v>
      </c>
      <c r="AG195" s="69">
        <f t="shared" si="346"/>
        <v>22307.097600000001</v>
      </c>
      <c r="AH195" s="67">
        <v>18593.66</v>
      </c>
      <c r="AI195" s="69">
        <f t="shared" si="347"/>
        <v>3713.4376000000011</v>
      </c>
      <c r="AJ195" s="69">
        <f t="shared" si="348"/>
        <v>4657.4376000000011</v>
      </c>
    </row>
    <row r="196" spans="1:36" x14ac:dyDescent="0.25">
      <c r="A196" s="167">
        <v>476</v>
      </c>
      <c r="B196" s="138"/>
      <c r="C196" s="168" t="s">
        <v>1627</v>
      </c>
      <c r="D196" s="168" t="s">
        <v>2716</v>
      </c>
      <c r="E196" s="168" t="s">
        <v>2717</v>
      </c>
      <c r="F196" s="58">
        <v>41218</v>
      </c>
      <c r="G196" s="167" t="s">
        <v>2422</v>
      </c>
      <c r="H196" s="88"/>
      <c r="I196" s="88">
        <v>44200</v>
      </c>
      <c r="J196" s="218">
        <v>44200</v>
      </c>
      <c r="K196" s="172"/>
      <c r="L196" s="172">
        <f t="shared" si="332"/>
        <v>21.25</v>
      </c>
      <c r="M196" s="172">
        <f t="shared" si="333"/>
        <v>1700</v>
      </c>
      <c r="N196" s="172">
        <v>0</v>
      </c>
      <c r="O196" s="173"/>
      <c r="P196" s="173"/>
      <c r="Q196" s="172">
        <f t="shared" si="334"/>
        <v>0</v>
      </c>
      <c r="R196" s="172">
        <f t="shared" si="335"/>
        <v>44200</v>
      </c>
      <c r="S196" s="173"/>
      <c r="T196" s="173"/>
      <c r="U196" s="173"/>
      <c r="V196" s="172">
        <f t="shared" si="336"/>
        <v>44200</v>
      </c>
      <c r="W196" s="172">
        <f t="shared" si="337"/>
        <v>2740.4</v>
      </c>
      <c r="X196" s="172">
        <f t="shared" si="338"/>
        <v>640.9</v>
      </c>
      <c r="Y196" s="172">
        <f t="shared" si="339"/>
        <v>6218.94</v>
      </c>
      <c r="Z196" s="172">
        <f t="shared" si="340"/>
        <v>70.72</v>
      </c>
      <c r="AA196" s="172">
        <f t="shared" si="341"/>
        <v>30.94</v>
      </c>
      <c r="AB196" s="172" t="s">
        <v>2422</v>
      </c>
      <c r="AC196" s="172" t="s">
        <v>2422</v>
      </c>
      <c r="AD196" s="172" t="s">
        <v>2422</v>
      </c>
      <c r="AE196" s="170">
        <v>476</v>
      </c>
      <c r="AF196" s="69">
        <f t="shared" si="345"/>
        <v>0</v>
      </c>
      <c r="AG196" s="69">
        <f t="shared" si="346"/>
        <v>9701.9</v>
      </c>
      <c r="AH196" s="67">
        <v>10121.799999999999</v>
      </c>
      <c r="AI196" s="198">
        <f t="shared" si="347"/>
        <v>-419.89999999999964</v>
      </c>
      <c r="AJ196" s="229">
        <f t="shared" si="348"/>
        <v>-419.89999999999964</v>
      </c>
    </row>
    <row r="197" spans="1:36" x14ac:dyDescent="0.25">
      <c r="A197" s="167">
        <v>476</v>
      </c>
      <c r="B197" s="138"/>
      <c r="C197" s="138"/>
      <c r="D197" s="168" t="s">
        <v>2718</v>
      </c>
      <c r="E197" s="168" t="s">
        <v>2719</v>
      </c>
      <c r="F197" s="58">
        <v>41103</v>
      </c>
      <c r="G197" s="138"/>
      <c r="H197" s="221"/>
      <c r="I197" s="222">
        <f t="shared" ref="I197:J197" si="349">SUM(I193:I196)</f>
        <v>161832</v>
      </c>
      <c r="J197" s="222">
        <f t="shared" si="349"/>
        <v>163988</v>
      </c>
      <c r="K197" s="223"/>
      <c r="L197" s="223">
        <f t="shared" ref="L197:AD197" si="350">SUM(L192:L196)</f>
        <v>78.840384615384622</v>
      </c>
      <c r="M197" s="223">
        <f t="shared" si="350"/>
        <v>6307.2307692307695</v>
      </c>
      <c r="N197" s="223">
        <f t="shared" si="350"/>
        <v>2390.4657534246576</v>
      </c>
      <c r="O197" s="223">
        <f t="shared" si="350"/>
        <v>0</v>
      </c>
      <c r="P197" s="223">
        <f t="shared" si="350"/>
        <v>0</v>
      </c>
      <c r="Q197" s="223">
        <f t="shared" si="350"/>
        <v>2390.4657534246576</v>
      </c>
      <c r="R197" s="223">
        <f t="shared" si="350"/>
        <v>166378.46575342465</v>
      </c>
      <c r="S197" s="223">
        <f t="shared" si="350"/>
        <v>0</v>
      </c>
      <c r="T197" s="223">
        <f t="shared" si="350"/>
        <v>0</v>
      </c>
      <c r="U197" s="223">
        <f t="shared" si="350"/>
        <v>1000</v>
      </c>
      <c r="V197" s="223">
        <f t="shared" si="350"/>
        <v>167378.46575342465</v>
      </c>
      <c r="W197" s="223">
        <f t="shared" si="350"/>
        <v>10377.464876712329</v>
      </c>
      <c r="X197" s="223">
        <f t="shared" si="350"/>
        <v>2426.9877534246575</v>
      </c>
      <c r="Y197" s="223">
        <f t="shared" si="350"/>
        <v>23550.150131506849</v>
      </c>
      <c r="Z197" s="223">
        <f t="shared" si="350"/>
        <v>267.80554520547946</v>
      </c>
      <c r="AA197" s="223">
        <f t="shared" si="350"/>
        <v>117.16492602739726</v>
      </c>
      <c r="AB197" s="223">
        <f t="shared" si="350"/>
        <v>1005</v>
      </c>
      <c r="AC197" s="223">
        <f t="shared" si="350"/>
        <v>31069.08</v>
      </c>
      <c r="AD197" s="223">
        <f t="shared" si="350"/>
        <v>320.74080000000004</v>
      </c>
      <c r="AE197" s="170">
        <v>476</v>
      </c>
      <c r="AF197" s="230">
        <f>SUM(AF193:AF196)</f>
        <v>2156</v>
      </c>
      <c r="AG197" s="100">
        <f t="shared" si="346"/>
        <v>69134.394032876706</v>
      </c>
      <c r="AH197" s="225">
        <v>69683.350000000006</v>
      </c>
      <c r="AI197" s="231">
        <f t="shared" si="347"/>
        <v>-548.95596712330007</v>
      </c>
      <c r="AJ197" s="231">
        <f t="shared" si="348"/>
        <v>1607.0440328766999</v>
      </c>
    </row>
    <row r="198" spans="1:36" hidden="1" x14ac:dyDescent="0.25">
      <c r="A198" s="138"/>
      <c r="B198" s="138"/>
      <c r="C198" s="138"/>
      <c r="D198" s="168" t="s">
        <v>2904</v>
      </c>
      <c r="E198" s="168" t="s">
        <v>3769</v>
      </c>
      <c r="F198" s="58">
        <v>42255</v>
      </c>
      <c r="G198" s="138"/>
      <c r="H198" s="179"/>
      <c r="I198" s="179">
        <v>117632</v>
      </c>
      <c r="J198" s="179">
        <f>SUM(J193:J195)</f>
        <v>119788</v>
      </c>
      <c r="K198" s="138"/>
      <c r="L198" s="138"/>
      <c r="M198" s="138"/>
      <c r="N198" s="138"/>
      <c r="O198" s="138"/>
      <c r="P198" s="138"/>
      <c r="Q198" s="138"/>
      <c r="R198" s="169"/>
      <c r="S198" s="169"/>
      <c r="T198" s="169"/>
      <c r="U198" s="169"/>
      <c r="V198" s="169"/>
      <c r="W198" s="63">
        <f>SUM(W197:X197)</f>
        <v>12804.452630136986</v>
      </c>
      <c r="X198" s="169"/>
      <c r="Y198" s="169"/>
      <c r="Z198" s="169"/>
      <c r="AA198" s="169"/>
      <c r="AB198" s="169"/>
      <c r="AC198" s="63">
        <f>SUM(AC197:AD197)</f>
        <v>31389.820800000001</v>
      </c>
      <c r="AD198" s="169"/>
      <c r="AE198" s="149"/>
      <c r="AF198" s="69">
        <f>SUM(AF193:AF196)</f>
        <v>2156</v>
      </c>
      <c r="AG198" s="178"/>
      <c r="AH198" s="65"/>
      <c r="AI198" s="69">
        <f t="shared" ref="AI198:AJ198" si="351">SUM(AI193:AI196)</f>
        <v>-548.9559671232837</v>
      </c>
      <c r="AJ198" s="232">
        <f t="shared" si="351"/>
        <v>1607.0440328767163</v>
      </c>
    </row>
    <row r="199" spans="1:36" x14ac:dyDescent="0.25">
      <c r="A199" s="138"/>
      <c r="B199" s="138"/>
      <c r="C199" s="138"/>
      <c r="D199" s="168"/>
      <c r="E199" s="168"/>
      <c r="F199" s="58"/>
      <c r="G199" s="138"/>
      <c r="H199" s="148"/>
      <c r="I199" s="148"/>
      <c r="J199" s="148"/>
      <c r="K199" s="138"/>
      <c r="L199" s="138"/>
      <c r="M199" s="138"/>
      <c r="N199" s="138"/>
      <c r="O199" s="138"/>
      <c r="P199" s="138"/>
      <c r="Q199" s="138"/>
      <c r="R199" s="169"/>
      <c r="S199" s="169"/>
      <c r="T199" s="169"/>
      <c r="U199" s="169"/>
      <c r="V199" s="169"/>
      <c r="W199" s="169"/>
      <c r="X199" s="169"/>
      <c r="Y199" s="169"/>
      <c r="Z199" s="169"/>
      <c r="AA199" s="169"/>
      <c r="AB199" s="169"/>
      <c r="AC199" s="169"/>
      <c r="AD199" s="169"/>
      <c r="AE199" s="149"/>
      <c r="AF199" s="178"/>
      <c r="AG199" s="178"/>
      <c r="AH199" s="65"/>
      <c r="AI199" s="178"/>
      <c r="AJ199" s="178"/>
    </row>
    <row r="200" spans="1:36" x14ac:dyDescent="0.25">
      <c r="A200" s="138"/>
      <c r="B200" s="138"/>
      <c r="C200" s="138"/>
      <c r="G200" s="138"/>
      <c r="H200" s="148"/>
      <c r="I200" s="148"/>
      <c r="J200" s="148"/>
      <c r="K200" s="138"/>
      <c r="L200" s="138"/>
      <c r="M200" s="138"/>
      <c r="N200" s="138"/>
      <c r="O200" s="138"/>
      <c r="P200" s="138"/>
      <c r="Q200" s="138"/>
      <c r="R200" s="169"/>
      <c r="S200" s="169"/>
      <c r="T200" s="169"/>
      <c r="U200" s="169"/>
      <c r="V200" s="169"/>
      <c r="W200" s="169"/>
      <c r="X200" s="169"/>
      <c r="Y200" s="169"/>
      <c r="Z200" s="169"/>
      <c r="AA200" s="169"/>
      <c r="AB200" s="169"/>
      <c r="AC200" s="169"/>
      <c r="AD200" s="169"/>
      <c r="AE200" s="149"/>
      <c r="AF200" s="178"/>
      <c r="AG200" s="178"/>
      <c r="AH200" s="65"/>
      <c r="AI200" s="178"/>
      <c r="AJ200" s="178"/>
    </row>
    <row r="201" spans="1:36" x14ac:dyDescent="0.25">
      <c r="A201" s="167">
        <v>485</v>
      </c>
      <c r="B201" s="92" t="s">
        <v>2720</v>
      </c>
      <c r="C201" s="168" t="s">
        <v>2721</v>
      </c>
      <c r="D201" s="181" t="s">
        <v>2999</v>
      </c>
      <c r="E201" s="181" t="s">
        <v>2527</v>
      </c>
      <c r="F201" s="58">
        <v>39815</v>
      </c>
      <c r="G201" s="167" t="s">
        <v>2422</v>
      </c>
      <c r="H201" s="57"/>
      <c r="I201" s="57">
        <v>9000</v>
      </c>
      <c r="J201" s="57">
        <v>9000</v>
      </c>
      <c r="K201" s="63"/>
      <c r="L201" s="63">
        <f t="shared" ref="L201:L221" si="352">SUM(J201/2080)</f>
        <v>4.3269230769230766</v>
      </c>
      <c r="M201" s="63">
        <f t="shared" ref="M201:M221" si="353">SUM(J201/26)</f>
        <v>346.15384615384613</v>
      </c>
      <c r="N201" s="167" t="s">
        <v>2420</v>
      </c>
      <c r="O201" s="138"/>
      <c r="P201" s="138"/>
      <c r="Q201" s="167">
        <v>0</v>
      </c>
      <c r="R201" s="63">
        <f t="shared" ref="R201:R222" si="354">Q201+J201</f>
        <v>9000</v>
      </c>
      <c r="S201" s="169"/>
      <c r="T201" s="169"/>
      <c r="U201" s="169"/>
      <c r="V201" s="63">
        <f t="shared" ref="V201:V222" si="355">SUM(R201:U201)</f>
        <v>9000</v>
      </c>
      <c r="W201" s="63">
        <f t="shared" ref="W201:W222" si="356">SUM(V201*$W$7)</f>
        <v>558</v>
      </c>
      <c r="X201" s="63">
        <f t="shared" ref="X201:X222" si="357">SUM(V201*$X$7)</f>
        <v>130.5</v>
      </c>
      <c r="Y201" s="63">
        <f t="shared" ref="Y201:Y222" si="358">SUM(V201*$Y$7)</f>
        <v>1266.3</v>
      </c>
      <c r="Z201" s="63">
        <f t="shared" ref="Z201:Z222" si="359">SUM(V201*$Z$7)</f>
        <v>14.4</v>
      </c>
      <c r="AA201" s="63" t="s">
        <v>2420</v>
      </c>
      <c r="AB201" s="63" t="s">
        <v>2422</v>
      </c>
      <c r="AC201" s="63" t="s">
        <v>2422</v>
      </c>
      <c r="AD201" s="63" t="s">
        <v>2422</v>
      </c>
      <c r="AE201" s="170">
        <v>485</v>
      </c>
      <c r="AF201" s="69">
        <f t="shared" ref="AF201:AF221" si="360">SUM(J201-I201)</f>
        <v>0</v>
      </c>
      <c r="AG201" s="69">
        <f t="shared" ref="AG201:AG223" si="361">SUM(W201:AD201)</f>
        <v>1969.2</v>
      </c>
      <c r="AH201" s="67">
        <v>2054.6999999999998</v>
      </c>
      <c r="AI201" s="69">
        <f t="shared" ref="AI201:AI223" si="362">AG201-AH201</f>
        <v>-85.499999999999773</v>
      </c>
      <c r="AJ201" s="69">
        <f t="shared" ref="AJ201:AJ223" si="363">AF201+AI201</f>
        <v>-85.499999999999773</v>
      </c>
    </row>
    <row r="202" spans="1:36" x14ac:dyDescent="0.25">
      <c r="A202" s="167">
        <v>485</v>
      </c>
      <c r="B202" s="92" t="s">
        <v>2720</v>
      </c>
      <c r="C202" s="168" t="s">
        <v>2723</v>
      </c>
      <c r="D202" s="181" t="s">
        <v>2999</v>
      </c>
      <c r="E202" s="181" t="s">
        <v>2527</v>
      </c>
      <c r="F202" s="58">
        <v>39815</v>
      </c>
      <c r="G202" s="167" t="s">
        <v>2422</v>
      </c>
      <c r="H202" s="88"/>
      <c r="I202" s="88">
        <v>0</v>
      </c>
      <c r="J202" s="88">
        <v>0</v>
      </c>
      <c r="K202" s="63"/>
      <c r="L202" s="63">
        <f t="shared" si="352"/>
        <v>0</v>
      </c>
      <c r="M202" s="63">
        <f t="shared" si="353"/>
        <v>0</v>
      </c>
      <c r="N202" s="167" t="s">
        <v>2420</v>
      </c>
      <c r="O202" s="138"/>
      <c r="P202" s="138"/>
      <c r="Q202" s="167">
        <v>0</v>
      </c>
      <c r="R202" s="63">
        <f t="shared" si="354"/>
        <v>0</v>
      </c>
      <c r="S202" s="169"/>
      <c r="T202" s="169"/>
      <c r="U202" s="169"/>
      <c r="V202" s="63">
        <f t="shared" si="355"/>
        <v>0</v>
      </c>
      <c r="W202" s="63">
        <f t="shared" si="356"/>
        <v>0</v>
      </c>
      <c r="X202" s="63">
        <f t="shared" si="357"/>
        <v>0</v>
      </c>
      <c r="Y202" s="63">
        <f t="shared" si="358"/>
        <v>0</v>
      </c>
      <c r="Z202" s="63">
        <f t="shared" si="359"/>
        <v>0</v>
      </c>
      <c r="AA202" s="63" t="s">
        <v>2420</v>
      </c>
      <c r="AB202" s="63" t="s">
        <v>2422</v>
      </c>
      <c r="AC202" s="63" t="s">
        <v>2422</v>
      </c>
      <c r="AD202" s="63" t="s">
        <v>2422</v>
      </c>
      <c r="AE202" s="170">
        <v>485</v>
      </c>
      <c r="AF202" s="69">
        <f t="shared" si="360"/>
        <v>0</v>
      </c>
      <c r="AG202" s="69">
        <f t="shared" si="361"/>
        <v>0</v>
      </c>
      <c r="AH202" s="67">
        <v>0</v>
      </c>
      <c r="AI202" s="69">
        <f t="shared" si="362"/>
        <v>0</v>
      </c>
      <c r="AJ202" s="100">
        <f t="shared" si="363"/>
        <v>0</v>
      </c>
    </row>
    <row r="203" spans="1:36" x14ac:dyDescent="0.25">
      <c r="A203" s="167">
        <v>485</v>
      </c>
      <c r="B203" s="92" t="s">
        <v>2720</v>
      </c>
      <c r="C203" s="168" t="s">
        <v>2724</v>
      </c>
      <c r="D203" s="181" t="s">
        <v>2999</v>
      </c>
      <c r="E203" s="181" t="s">
        <v>2527</v>
      </c>
      <c r="F203" s="58">
        <v>39815</v>
      </c>
      <c r="G203" s="167" t="s">
        <v>2422</v>
      </c>
      <c r="H203" s="88"/>
      <c r="I203" s="88">
        <v>9000</v>
      </c>
      <c r="J203" s="88">
        <v>9000</v>
      </c>
      <c r="K203" s="63"/>
      <c r="L203" s="63">
        <f t="shared" si="352"/>
        <v>4.3269230769230766</v>
      </c>
      <c r="M203" s="63">
        <f t="shared" si="353"/>
        <v>346.15384615384613</v>
      </c>
      <c r="N203" s="167" t="s">
        <v>2420</v>
      </c>
      <c r="O203" s="138"/>
      <c r="P203" s="138"/>
      <c r="Q203" s="167">
        <v>0</v>
      </c>
      <c r="R203" s="63">
        <f t="shared" si="354"/>
        <v>9000</v>
      </c>
      <c r="S203" s="169"/>
      <c r="T203" s="169"/>
      <c r="U203" s="169"/>
      <c r="V203" s="63">
        <f t="shared" si="355"/>
        <v>9000</v>
      </c>
      <c r="W203" s="63">
        <f t="shared" si="356"/>
        <v>558</v>
      </c>
      <c r="X203" s="63">
        <f t="shared" si="357"/>
        <v>130.5</v>
      </c>
      <c r="Y203" s="63">
        <f t="shared" si="358"/>
        <v>1266.3</v>
      </c>
      <c r="Z203" s="63">
        <f t="shared" si="359"/>
        <v>14.4</v>
      </c>
      <c r="AA203" s="63" t="s">
        <v>2420</v>
      </c>
      <c r="AB203" s="63" t="s">
        <v>2422</v>
      </c>
      <c r="AC203" s="63" t="s">
        <v>2422</v>
      </c>
      <c r="AD203" s="63" t="s">
        <v>2422</v>
      </c>
      <c r="AE203" s="170">
        <v>485</v>
      </c>
      <c r="AF203" s="69">
        <f t="shared" si="360"/>
        <v>0</v>
      </c>
      <c r="AG203" s="69">
        <f t="shared" si="361"/>
        <v>1969.2</v>
      </c>
      <c r="AH203" s="67">
        <v>2054.6999999999998</v>
      </c>
      <c r="AI203" s="69">
        <f t="shared" si="362"/>
        <v>-85.499999999999773</v>
      </c>
      <c r="AJ203" s="100">
        <f t="shared" si="363"/>
        <v>-85.499999999999773</v>
      </c>
    </row>
    <row r="204" spans="1:36" x14ac:dyDescent="0.25">
      <c r="A204" s="138"/>
      <c r="B204" s="138"/>
      <c r="C204" s="168" t="s">
        <v>2901</v>
      </c>
      <c r="D204" s="138"/>
      <c r="E204" s="138"/>
      <c r="F204" s="138"/>
      <c r="G204" s="138"/>
      <c r="H204" s="189"/>
      <c r="I204" s="189">
        <v>600</v>
      </c>
      <c r="J204" s="189">
        <v>600</v>
      </c>
      <c r="K204" s="63"/>
      <c r="L204" s="63">
        <f t="shared" si="352"/>
        <v>0.28846153846153844</v>
      </c>
      <c r="M204" s="63">
        <f t="shared" si="353"/>
        <v>23.076923076923077</v>
      </c>
      <c r="N204" s="167">
        <v>0</v>
      </c>
      <c r="O204" s="138"/>
      <c r="P204" s="138"/>
      <c r="Q204" s="167">
        <v>0</v>
      </c>
      <c r="R204" s="63">
        <f t="shared" si="354"/>
        <v>600</v>
      </c>
      <c r="S204" s="169"/>
      <c r="T204" s="169"/>
      <c r="U204" s="169"/>
      <c r="V204" s="63">
        <f t="shared" si="355"/>
        <v>600</v>
      </c>
      <c r="W204" s="63">
        <f t="shared" si="356"/>
        <v>37.200000000000003</v>
      </c>
      <c r="X204" s="63">
        <f t="shared" si="357"/>
        <v>8.7000000000000011</v>
      </c>
      <c r="Y204" s="63">
        <f t="shared" si="358"/>
        <v>84.42</v>
      </c>
      <c r="Z204" s="63">
        <f t="shared" si="359"/>
        <v>0.96000000000000008</v>
      </c>
      <c r="AA204" s="63" t="s">
        <v>2420</v>
      </c>
      <c r="AB204" s="63" t="s">
        <v>2422</v>
      </c>
      <c r="AC204" s="63" t="s">
        <v>2422</v>
      </c>
      <c r="AD204" s="63" t="s">
        <v>2422</v>
      </c>
      <c r="AE204" s="170">
        <v>485</v>
      </c>
      <c r="AF204" s="69">
        <f t="shared" si="360"/>
        <v>0</v>
      </c>
      <c r="AG204" s="69">
        <f t="shared" si="361"/>
        <v>131.28</v>
      </c>
      <c r="AH204" s="67">
        <v>136.97999999999999</v>
      </c>
      <c r="AI204" s="69">
        <f t="shared" si="362"/>
        <v>-5.6999999999999886</v>
      </c>
      <c r="AJ204" s="69">
        <f t="shared" si="363"/>
        <v>-5.6999999999999886</v>
      </c>
    </row>
    <row r="205" spans="1:36" x14ac:dyDescent="0.25">
      <c r="A205" s="167">
        <v>485</v>
      </c>
      <c r="B205" s="92" t="s">
        <v>2725</v>
      </c>
      <c r="C205" s="71" t="s">
        <v>2728</v>
      </c>
      <c r="D205" s="168" t="s">
        <v>3770</v>
      </c>
      <c r="E205" s="168" t="s">
        <v>3771</v>
      </c>
      <c r="F205" s="83">
        <v>43353</v>
      </c>
      <c r="G205" s="59">
        <f t="shared" ref="G205:G221" si="364">(DATE(2021,12,30)-(F205))/365</f>
        <v>3.3068493150684932</v>
      </c>
      <c r="H205" s="57"/>
      <c r="I205" s="66">
        <v>73740</v>
      </c>
      <c r="J205" s="66">
        <v>73740</v>
      </c>
      <c r="K205" s="63"/>
      <c r="L205" s="63">
        <f t="shared" si="352"/>
        <v>35.45192307692308</v>
      </c>
      <c r="M205" s="63">
        <f t="shared" si="353"/>
        <v>2836.1538461538462</v>
      </c>
      <c r="N205" s="63">
        <v>0</v>
      </c>
      <c r="O205" s="101">
        <v>4246.04</v>
      </c>
      <c r="P205" s="169"/>
      <c r="Q205" s="63">
        <f t="shared" ref="Q205:Q211" si="365">IF(N205+O205&gt;10000,10000,N205+O205)</f>
        <v>4246.04</v>
      </c>
      <c r="R205" s="63">
        <f t="shared" si="354"/>
        <v>77986.039999999994</v>
      </c>
      <c r="S205" s="169"/>
      <c r="T205" s="169"/>
      <c r="U205" s="169"/>
      <c r="V205" s="63">
        <f t="shared" si="355"/>
        <v>77986.039999999994</v>
      </c>
      <c r="W205" s="63">
        <f t="shared" si="356"/>
        <v>4835.1344799999997</v>
      </c>
      <c r="X205" s="63">
        <f t="shared" si="357"/>
        <v>1130.7975799999999</v>
      </c>
      <c r="Y205" s="63">
        <f t="shared" si="358"/>
        <v>10972.635827999999</v>
      </c>
      <c r="Z205" s="63">
        <f t="shared" si="359"/>
        <v>124.777664</v>
      </c>
      <c r="AA205" s="63">
        <f t="shared" ref="AA205:AA222" si="366">SUM(V205*$AA$7)</f>
        <v>54.590227999999996</v>
      </c>
      <c r="AB205" s="63">
        <f t="shared" ref="AB205:AB209" si="367">SUM($AB$7)</f>
        <v>335</v>
      </c>
      <c r="AC205" s="63">
        <f t="shared" ref="AC205:AC209" si="368">$AC$7</f>
        <v>10356.36</v>
      </c>
      <c r="AD205" s="63">
        <f t="shared" ref="AD205:AD209" si="369">SUM(AB205+AC205)*$AD$7</f>
        <v>106.9136</v>
      </c>
      <c r="AE205" s="170">
        <v>485</v>
      </c>
      <c r="AF205" s="69">
        <f t="shared" si="360"/>
        <v>0</v>
      </c>
      <c r="AG205" s="69">
        <f t="shared" si="361"/>
        <v>27916.20938</v>
      </c>
      <c r="AH205" s="67">
        <v>30368.86</v>
      </c>
      <c r="AI205" s="69">
        <f t="shared" si="362"/>
        <v>-2452.6506200000003</v>
      </c>
      <c r="AJ205" s="69">
        <f t="shared" si="363"/>
        <v>-2452.6506200000003</v>
      </c>
    </row>
    <row r="206" spans="1:36" x14ac:dyDescent="0.25">
      <c r="A206" s="167">
        <v>485</v>
      </c>
      <c r="B206" s="92" t="s">
        <v>2727</v>
      </c>
      <c r="C206" s="71" t="s">
        <v>2728</v>
      </c>
      <c r="D206" s="71" t="s">
        <v>2962</v>
      </c>
      <c r="E206" s="71" t="s">
        <v>3772</v>
      </c>
      <c r="F206" s="73">
        <v>43717</v>
      </c>
      <c r="G206" s="59">
        <f t="shared" si="364"/>
        <v>2.3095890410958906</v>
      </c>
      <c r="H206" s="57"/>
      <c r="I206" s="66">
        <v>73740</v>
      </c>
      <c r="J206" s="182">
        <v>75091</v>
      </c>
      <c r="K206" s="63"/>
      <c r="L206" s="63">
        <f t="shared" si="352"/>
        <v>36.101442307692309</v>
      </c>
      <c r="M206" s="63">
        <f t="shared" si="353"/>
        <v>2888.1153846153848</v>
      </c>
      <c r="N206" s="63">
        <f t="shared" ref="N206:N208" si="370">IF(G206&lt;4,0,(G206-1)*$N$7)</f>
        <v>0</v>
      </c>
      <c r="O206" s="169"/>
      <c r="P206" s="169"/>
      <c r="Q206" s="63">
        <f t="shared" si="365"/>
        <v>0</v>
      </c>
      <c r="R206" s="63">
        <f t="shared" si="354"/>
        <v>75091</v>
      </c>
      <c r="S206" s="169"/>
      <c r="T206" s="169"/>
      <c r="U206" s="169"/>
      <c r="V206" s="63">
        <f t="shared" si="355"/>
        <v>75091</v>
      </c>
      <c r="W206" s="63">
        <f t="shared" si="356"/>
        <v>4655.6419999999998</v>
      </c>
      <c r="X206" s="63">
        <f t="shared" si="357"/>
        <v>1088.8195000000001</v>
      </c>
      <c r="Y206" s="63">
        <f t="shared" si="358"/>
        <v>10565.303699999999</v>
      </c>
      <c r="Z206" s="63">
        <f t="shared" si="359"/>
        <v>120.1456</v>
      </c>
      <c r="AA206" s="63">
        <f t="shared" si="366"/>
        <v>52.563699999999997</v>
      </c>
      <c r="AB206" s="63">
        <f t="shared" si="367"/>
        <v>335</v>
      </c>
      <c r="AC206" s="63">
        <f t="shared" si="368"/>
        <v>10356.36</v>
      </c>
      <c r="AD206" s="63">
        <f t="shared" si="369"/>
        <v>106.9136</v>
      </c>
      <c r="AE206" s="170">
        <v>485</v>
      </c>
      <c r="AF206" s="69">
        <f t="shared" si="360"/>
        <v>1351</v>
      </c>
      <c r="AG206" s="69">
        <f t="shared" si="361"/>
        <v>27280.748099999997</v>
      </c>
      <c r="AH206" s="67">
        <v>27684.73</v>
      </c>
      <c r="AI206" s="69">
        <f t="shared" si="362"/>
        <v>-403.9819000000025</v>
      </c>
      <c r="AJ206" s="69">
        <f t="shared" si="363"/>
        <v>947.0180999999975</v>
      </c>
    </row>
    <row r="207" spans="1:36" x14ac:dyDescent="0.25">
      <c r="A207" s="167">
        <v>485</v>
      </c>
      <c r="B207" s="92" t="s">
        <v>2729</v>
      </c>
      <c r="C207" s="71" t="s">
        <v>2728</v>
      </c>
      <c r="D207" s="71" t="s">
        <v>3051</v>
      </c>
      <c r="E207" s="71" t="s">
        <v>3773</v>
      </c>
      <c r="F207" s="72">
        <v>43395</v>
      </c>
      <c r="G207" s="59">
        <f t="shared" si="364"/>
        <v>3.1917808219178081</v>
      </c>
      <c r="H207" s="57"/>
      <c r="I207" s="57">
        <v>73740</v>
      </c>
      <c r="J207" s="66">
        <v>73740</v>
      </c>
      <c r="K207" s="63"/>
      <c r="L207" s="63">
        <f t="shared" si="352"/>
        <v>35.45192307692308</v>
      </c>
      <c r="M207" s="63">
        <f t="shared" si="353"/>
        <v>2836.1538461538462</v>
      </c>
      <c r="N207" s="63">
        <f t="shared" si="370"/>
        <v>0</v>
      </c>
      <c r="O207" s="101">
        <v>0</v>
      </c>
      <c r="P207" s="169"/>
      <c r="Q207" s="63">
        <f t="shared" si="365"/>
        <v>0</v>
      </c>
      <c r="R207" s="63">
        <f t="shared" si="354"/>
        <v>73740</v>
      </c>
      <c r="S207" s="169"/>
      <c r="T207" s="169"/>
      <c r="U207" s="169"/>
      <c r="V207" s="63">
        <f t="shared" si="355"/>
        <v>73740</v>
      </c>
      <c r="W207" s="63">
        <f t="shared" si="356"/>
        <v>4571.88</v>
      </c>
      <c r="X207" s="63">
        <f t="shared" si="357"/>
        <v>1069.23</v>
      </c>
      <c r="Y207" s="63">
        <f t="shared" si="358"/>
        <v>10375.217999999999</v>
      </c>
      <c r="Z207" s="63">
        <f t="shared" si="359"/>
        <v>117.98400000000001</v>
      </c>
      <c r="AA207" s="63">
        <f t="shared" si="366"/>
        <v>51.618000000000002</v>
      </c>
      <c r="AB207" s="63">
        <f t="shared" si="367"/>
        <v>335</v>
      </c>
      <c r="AC207" s="63">
        <f t="shared" si="368"/>
        <v>10356.36</v>
      </c>
      <c r="AD207" s="63">
        <f t="shared" si="369"/>
        <v>106.9136</v>
      </c>
      <c r="AE207" s="170">
        <v>485</v>
      </c>
      <c r="AF207" s="69">
        <f t="shared" si="360"/>
        <v>0</v>
      </c>
      <c r="AG207" s="69">
        <f t="shared" si="361"/>
        <v>26984.203600000001</v>
      </c>
      <c r="AH207" s="67">
        <v>28564.080000000002</v>
      </c>
      <c r="AI207" s="69">
        <f t="shared" si="362"/>
        <v>-1579.876400000001</v>
      </c>
      <c r="AJ207" s="69">
        <f t="shared" si="363"/>
        <v>-1579.876400000001</v>
      </c>
    </row>
    <row r="208" spans="1:36" x14ac:dyDescent="0.25">
      <c r="A208" s="167">
        <v>485</v>
      </c>
      <c r="B208" s="92" t="s">
        <v>2730</v>
      </c>
      <c r="C208" s="71" t="s">
        <v>2726</v>
      </c>
      <c r="D208" s="233" t="s">
        <v>3329</v>
      </c>
      <c r="E208" s="233" t="s">
        <v>2806</v>
      </c>
      <c r="F208" s="188">
        <v>43831</v>
      </c>
      <c r="G208" s="59">
        <f t="shared" si="364"/>
        <v>1.9972602739726026</v>
      </c>
      <c r="H208" s="57"/>
      <c r="I208" s="66">
        <v>71109</v>
      </c>
      <c r="J208" s="66">
        <v>73479</v>
      </c>
      <c r="K208" s="63"/>
      <c r="L208" s="63">
        <f t="shared" si="352"/>
        <v>35.326442307692311</v>
      </c>
      <c r="M208" s="63">
        <f t="shared" si="353"/>
        <v>2826.1153846153848</v>
      </c>
      <c r="N208" s="63">
        <f t="shared" si="370"/>
        <v>0</v>
      </c>
      <c r="O208" s="69"/>
      <c r="P208" s="169"/>
      <c r="Q208" s="63">
        <f t="shared" si="365"/>
        <v>0</v>
      </c>
      <c r="R208" s="63">
        <f t="shared" si="354"/>
        <v>73479</v>
      </c>
      <c r="S208" s="169"/>
      <c r="T208" s="169"/>
      <c r="U208" s="169"/>
      <c r="V208" s="63">
        <f t="shared" si="355"/>
        <v>73479</v>
      </c>
      <c r="W208" s="63">
        <f t="shared" si="356"/>
        <v>4555.6980000000003</v>
      </c>
      <c r="X208" s="63">
        <f t="shared" si="357"/>
        <v>1065.4455</v>
      </c>
      <c r="Y208" s="63">
        <f t="shared" si="358"/>
        <v>10338.495299999999</v>
      </c>
      <c r="Z208" s="63">
        <f t="shared" si="359"/>
        <v>117.5664</v>
      </c>
      <c r="AA208" s="63">
        <f t="shared" si="366"/>
        <v>51.435299999999998</v>
      </c>
      <c r="AB208" s="63">
        <f t="shared" si="367"/>
        <v>335</v>
      </c>
      <c r="AC208" s="63">
        <f t="shared" si="368"/>
        <v>10356.36</v>
      </c>
      <c r="AD208" s="63">
        <f t="shared" si="369"/>
        <v>106.9136</v>
      </c>
      <c r="AE208" s="170">
        <v>485</v>
      </c>
      <c r="AF208" s="69">
        <f t="shared" si="360"/>
        <v>2370</v>
      </c>
      <c r="AG208" s="69">
        <f t="shared" si="361"/>
        <v>26926.914099999998</v>
      </c>
      <c r="AH208" s="67">
        <v>27684.73</v>
      </c>
      <c r="AI208" s="69">
        <f t="shared" si="362"/>
        <v>-757.81590000000142</v>
      </c>
      <c r="AJ208" s="69">
        <f t="shared" si="363"/>
        <v>1612.1840999999986</v>
      </c>
    </row>
    <row r="209" spans="1:36" x14ac:dyDescent="0.25">
      <c r="A209" s="167">
        <v>485</v>
      </c>
      <c r="B209" s="92" t="s">
        <v>2732</v>
      </c>
      <c r="C209" s="71" t="s">
        <v>2726</v>
      </c>
      <c r="D209" s="71" t="s">
        <v>2733</v>
      </c>
      <c r="E209" s="71" t="s">
        <v>2734</v>
      </c>
      <c r="F209" s="73">
        <v>43467</v>
      </c>
      <c r="G209" s="59">
        <f t="shared" si="364"/>
        <v>2.9945205479452053</v>
      </c>
      <c r="H209" s="57"/>
      <c r="I209" s="66">
        <v>74826</v>
      </c>
      <c r="J209" s="182">
        <v>76198</v>
      </c>
      <c r="K209" s="63"/>
      <c r="L209" s="63">
        <f t="shared" si="352"/>
        <v>36.633653846153848</v>
      </c>
      <c r="M209" s="63">
        <f t="shared" si="353"/>
        <v>2930.6923076923076</v>
      </c>
      <c r="N209" s="63">
        <v>0</v>
      </c>
      <c r="O209" s="101">
        <v>3563.04</v>
      </c>
      <c r="P209" s="169"/>
      <c r="Q209" s="63">
        <f t="shared" si="365"/>
        <v>3563.04</v>
      </c>
      <c r="R209" s="63">
        <f t="shared" si="354"/>
        <v>79761.039999999994</v>
      </c>
      <c r="S209" s="169"/>
      <c r="T209" s="169"/>
      <c r="U209" s="169"/>
      <c r="V209" s="63">
        <f t="shared" si="355"/>
        <v>79761.039999999994</v>
      </c>
      <c r="W209" s="63">
        <f t="shared" si="356"/>
        <v>4945.1844799999999</v>
      </c>
      <c r="X209" s="63">
        <f t="shared" si="357"/>
        <v>1156.5350799999999</v>
      </c>
      <c r="Y209" s="63">
        <f t="shared" si="358"/>
        <v>11222.378327999999</v>
      </c>
      <c r="Z209" s="63">
        <f t="shared" si="359"/>
        <v>127.61766399999999</v>
      </c>
      <c r="AA209" s="63">
        <f t="shared" si="366"/>
        <v>55.832727999999996</v>
      </c>
      <c r="AB209" s="63">
        <f t="shared" si="367"/>
        <v>335</v>
      </c>
      <c r="AC209" s="63">
        <f t="shared" si="368"/>
        <v>10356.36</v>
      </c>
      <c r="AD209" s="63">
        <f t="shared" si="369"/>
        <v>106.9136</v>
      </c>
      <c r="AE209" s="170">
        <v>485</v>
      </c>
      <c r="AF209" s="69">
        <f t="shared" si="360"/>
        <v>1372</v>
      </c>
      <c r="AG209" s="69">
        <f t="shared" si="361"/>
        <v>28305.82188</v>
      </c>
      <c r="AH209" s="67">
        <v>29072.54</v>
      </c>
      <c r="AI209" s="69">
        <f t="shared" si="362"/>
        <v>-766.71812000000136</v>
      </c>
      <c r="AJ209" s="69">
        <f t="shared" si="363"/>
        <v>605.28187999999864</v>
      </c>
    </row>
    <row r="210" spans="1:36" hidden="1" x14ac:dyDescent="0.25">
      <c r="A210" s="167">
        <v>485</v>
      </c>
      <c r="B210" s="92" t="s">
        <v>2735</v>
      </c>
      <c r="C210" s="168" t="s">
        <v>3774</v>
      </c>
      <c r="D210" s="234" t="s">
        <v>3775</v>
      </c>
      <c r="F210" s="58">
        <v>43395</v>
      </c>
      <c r="G210" s="59">
        <f t="shared" si="364"/>
        <v>3.1917808219178081</v>
      </c>
      <c r="H210" s="57"/>
      <c r="I210" s="57">
        <v>0</v>
      </c>
      <c r="J210" s="235">
        <v>0</v>
      </c>
      <c r="K210" s="63"/>
      <c r="L210" s="63">
        <f t="shared" si="352"/>
        <v>0</v>
      </c>
      <c r="M210" s="63">
        <f t="shared" si="353"/>
        <v>0</v>
      </c>
      <c r="N210" s="63">
        <f t="shared" ref="N210:N212" si="371">IF(G210&lt;4,0,(G210-1)*$N$7)</f>
        <v>0</v>
      </c>
      <c r="O210" s="69"/>
      <c r="P210" s="169"/>
      <c r="Q210" s="63">
        <f t="shared" si="365"/>
        <v>0</v>
      </c>
      <c r="R210" s="63">
        <f t="shared" si="354"/>
        <v>0</v>
      </c>
      <c r="S210" s="169"/>
      <c r="T210" s="169"/>
      <c r="U210" s="169"/>
      <c r="V210" s="63">
        <f t="shared" si="355"/>
        <v>0</v>
      </c>
      <c r="W210" s="236">
        <f t="shared" si="356"/>
        <v>0</v>
      </c>
      <c r="X210" s="236">
        <f t="shared" si="357"/>
        <v>0</v>
      </c>
      <c r="Y210" s="236">
        <f t="shared" si="358"/>
        <v>0</v>
      </c>
      <c r="Z210" s="236">
        <f t="shared" si="359"/>
        <v>0</v>
      </c>
      <c r="AA210" s="236">
        <f t="shared" si="366"/>
        <v>0</v>
      </c>
      <c r="AB210" s="236"/>
      <c r="AC210" s="236"/>
      <c r="AD210" s="236"/>
      <c r="AE210" s="170">
        <v>485</v>
      </c>
      <c r="AF210" s="69">
        <f t="shared" si="360"/>
        <v>0</v>
      </c>
      <c r="AG210" s="69">
        <f t="shared" si="361"/>
        <v>0</v>
      </c>
      <c r="AH210" s="67">
        <v>0</v>
      </c>
      <c r="AI210" s="69">
        <f t="shared" si="362"/>
        <v>0</v>
      </c>
      <c r="AJ210" s="69">
        <f t="shared" si="363"/>
        <v>0</v>
      </c>
    </row>
    <row r="211" spans="1:36" x14ac:dyDescent="0.25">
      <c r="A211" s="167">
        <v>485</v>
      </c>
      <c r="B211" s="92" t="s">
        <v>2735</v>
      </c>
      <c r="C211" s="71" t="s">
        <v>2736</v>
      </c>
      <c r="D211" s="71" t="s">
        <v>3776</v>
      </c>
      <c r="E211" s="71" t="s">
        <v>3777</v>
      </c>
      <c r="F211" s="73">
        <v>43467</v>
      </c>
      <c r="G211" s="59">
        <f t="shared" si="364"/>
        <v>2.9945205479452053</v>
      </c>
      <c r="H211" s="57"/>
      <c r="I211" s="66">
        <v>81565</v>
      </c>
      <c r="J211" s="182">
        <v>83061</v>
      </c>
      <c r="K211" s="63"/>
      <c r="L211" s="63">
        <f t="shared" si="352"/>
        <v>39.933173076923076</v>
      </c>
      <c r="M211" s="63">
        <f t="shared" si="353"/>
        <v>3194.6538461538462</v>
      </c>
      <c r="N211" s="63">
        <f t="shared" si="371"/>
        <v>0</v>
      </c>
      <c r="O211" s="169"/>
      <c r="P211" s="169"/>
      <c r="Q211" s="63">
        <f t="shared" si="365"/>
        <v>0</v>
      </c>
      <c r="R211" s="63">
        <f t="shared" si="354"/>
        <v>83061</v>
      </c>
      <c r="S211" s="169"/>
      <c r="T211" s="169"/>
      <c r="U211" s="169"/>
      <c r="V211" s="63">
        <f t="shared" si="355"/>
        <v>83061</v>
      </c>
      <c r="W211" s="63">
        <f t="shared" si="356"/>
        <v>5149.7820000000002</v>
      </c>
      <c r="X211" s="63">
        <f t="shared" si="357"/>
        <v>1204.3845000000001</v>
      </c>
      <c r="Y211" s="63">
        <f t="shared" si="358"/>
        <v>11686.682699999999</v>
      </c>
      <c r="Z211" s="63">
        <f t="shared" si="359"/>
        <v>132.89760000000001</v>
      </c>
      <c r="AA211" s="63">
        <f t="shared" si="366"/>
        <v>58.142699999999998</v>
      </c>
      <c r="AB211" s="63">
        <f>SUM($AB$7)</f>
        <v>335</v>
      </c>
      <c r="AC211" s="63">
        <f>$AC$7</f>
        <v>10356.36</v>
      </c>
      <c r="AD211" s="63">
        <f>SUM(AB211+AC211)*$AD$7</f>
        <v>106.9136</v>
      </c>
      <c r="AE211" s="170">
        <v>485</v>
      </c>
      <c r="AF211" s="69">
        <f t="shared" si="360"/>
        <v>1496</v>
      </c>
      <c r="AG211" s="69">
        <f t="shared" si="361"/>
        <v>29030.163100000002</v>
      </c>
      <c r="AH211" s="67">
        <v>27684.73</v>
      </c>
      <c r="AI211" s="69">
        <f t="shared" si="362"/>
        <v>1345.433100000002</v>
      </c>
      <c r="AJ211" s="69">
        <f t="shared" si="363"/>
        <v>2841.433100000002</v>
      </c>
    </row>
    <row r="212" spans="1:36" hidden="1" x14ac:dyDescent="0.25">
      <c r="A212" s="167">
        <v>485</v>
      </c>
      <c r="B212" s="92" t="s">
        <v>2735</v>
      </c>
      <c r="C212" s="168" t="s">
        <v>3778</v>
      </c>
      <c r="D212" s="234" t="s">
        <v>3775</v>
      </c>
      <c r="F212" s="58">
        <v>43467</v>
      </c>
      <c r="G212" s="59">
        <f t="shared" si="364"/>
        <v>2.9945205479452053</v>
      </c>
      <c r="H212" s="57"/>
      <c r="I212" s="57">
        <v>0</v>
      </c>
      <c r="J212" s="57">
        <v>0</v>
      </c>
      <c r="K212" s="63"/>
      <c r="L212" s="63">
        <f t="shared" si="352"/>
        <v>0</v>
      </c>
      <c r="M212" s="63">
        <f t="shared" si="353"/>
        <v>0</v>
      </c>
      <c r="N212" s="63">
        <f t="shared" si="371"/>
        <v>0</v>
      </c>
      <c r="O212" s="78"/>
      <c r="P212" s="169"/>
      <c r="Q212" s="63">
        <v>0</v>
      </c>
      <c r="R212" s="63">
        <f t="shared" si="354"/>
        <v>0</v>
      </c>
      <c r="S212" s="169"/>
      <c r="T212" s="169"/>
      <c r="U212" s="169"/>
      <c r="V212" s="63">
        <f t="shared" si="355"/>
        <v>0</v>
      </c>
      <c r="W212" s="236">
        <f t="shared" si="356"/>
        <v>0</v>
      </c>
      <c r="X212" s="236">
        <f t="shared" si="357"/>
        <v>0</v>
      </c>
      <c r="Y212" s="236">
        <f t="shared" si="358"/>
        <v>0</v>
      </c>
      <c r="Z212" s="236">
        <f t="shared" si="359"/>
        <v>0</v>
      </c>
      <c r="AA212" s="236">
        <f t="shared" si="366"/>
        <v>0</v>
      </c>
      <c r="AB212" s="236"/>
      <c r="AC212" s="236"/>
      <c r="AD212" s="236"/>
      <c r="AE212" s="170">
        <v>485</v>
      </c>
      <c r="AF212" s="69">
        <f t="shared" si="360"/>
        <v>0</v>
      </c>
      <c r="AG212" s="69">
        <f t="shared" si="361"/>
        <v>0</v>
      </c>
      <c r="AH212" s="67">
        <v>0</v>
      </c>
      <c r="AI212" s="69">
        <f t="shared" si="362"/>
        <v>0</v>
      </c>
      <c r="AJ212" s="69">
        <f t="shared" si="363"/>
        <v>0</v>
      </c>
    </row>
    <row r="213" spans="1:36" x14ac:dyDescent="0.25">
      <c r="A213" s="167">
        <v>485</v>
      </c>
      <c r="B213" s="92" t="s">
        <v>2739</v>
      </c>
      <c r="C213" s="71" t="s">
        <v>2740</v>
      </c>
      <c r="D213" s="168" t="s">
        <v>2478</v>
      </c>
      <c r="E213" s="183" t="s">
        <v>2479</v>
      </c>
      <c r="F213" s="58">
        <v>38167</v>
      </c>
      <c r="G213" s="59">
        <f t="shared" si="364"/>
        <v>17.515068493150686</v>
      </c>
      <c r="H213" s="57"/>
      <c r="I213" s="57">
        <v>48371</v>
      </c>
      <c r="J213" s="57">
        <v>48371</v>
      </c>
      <c r="K213" s="63"/>
      <c r="L213" s="63">
        <f t="shared" si="352"/>
        <v>23.255288461538463</v>
      </c>
      <c r="M213" s="63">
        <f t="shared" si="353"/>
        <v>1860.4230769230769</v>
      </c>
      <c r="N213" s="63">
        <v>0</v>
      </c>
      <c r="O213" s="169"/>
      <c r="P213" s="169"/>
      <c r="Q213" s="63">
        <f t="shared" ref="Q213:Q221" si="372">IF(N213+P213&gt;5000,5000,N213+P213)</f>
        <v>0</v>
      </c>
      <c r="R213" s="63">
        <f t="shared" si="354"/>
        <v>48371</v>
      </c>
      <c r="S213" s="169"/>
      <c r="T213" s="169"/>
      <c r="U213" s="169"/>
      <c r="V213" s="63">
        <f t="shared" si="355"/>
        <v>48371</v>
      </c>
      <c r="W213" s="63">
        <f t="shared" si="356"/>
        <v>2999.002</v>
      </c>
      <c r="X213" s="63">
        <f t="shared" si="357"/>
        <v>701.37950000000001</v>
      </c>
      <c r="Y213" s="63">
        <f t="shared" si="358"/>
        <v>6805.7996999999996</v>
      </c>
      <c r="Z213" s="63">
        <f t="shared" si="359"/>
        <v>77.393600000000006</v>
      </c>
      <c r="AA213" s="63">
        <f t="shared" si="366"/>
        <v>33.859699999999997</v>
      </c>
      <c r="AB213" s="63">
        <f t="shared" ref="AB213:AB221" si="373">SUM($AB$7)</f>
        <v>335</v>
      </c>
      <c r="AC213" s="63">
        <f t="shared" ref="AC213:AC221" si="374">$AC$7</f>
        <v>10356.36</v>
      </c>
      <c r="AD213" s="63">
        <f t="shared" ref="AD213:AD221" si="375">SUM(AB213+AC213)*$AD$7</f>
        <v>106.9136</v>
      </c>
      <c r="AE213" s="170">
        <v>485</v>
      </c>
      <c r="AF213" s="69">
        <f t="shared" si="360"/>
        <v>0</v>
      </c>
      <c r="AG213" s="69">
        <f t="shared" si="361"/>
        <v>21415.7081</v>
      </c>
      <c r="AH213" s="67">
        <v>21875.23</v>
      </c>
      <c r="AI213" s="69">
        <f t="shared" si="362"/>
        <v>-459.52189999999973</v>
      </c>
      <c r="AJ213" s="69">
        <f t="shared" si="363"/>
        <v>-459.52189999999973</v>
      </c>
    </row>
    <row r="214" spans="1:36" x14ac:dyDescent="0.25">
      <c r="A214" s="167">
        <v>485</v>
      </c>
      <c r="B214" s="92" t="s">
        <v>2742</v>
      </c>
      <c r="C214" s="168" t="s">
        <v>2743</v>
      </c>
      <c r="D214" s="168" t="s">
        <v>3779</v>
      </c>
      <c r="E214" s="168" t="s">
        <v>2492</v>
      </c>
      <c r="F214" s="58">
        <v>41883</v>
      </c>
      <c r="G214" s="59">
        <f t="shared" si="364"/>
        <v>7.3342465753424655</v>
      </c>
      <c r="H214" s="57"/>
      <c r="I214" s="57">
        <v>39047</v>
      </c>
      <c r="J214" s="57">
        <v>39047</v>
      </c>
      <c r="K214" s="63"/>
      <c r="L214" s="63">
        <f t="shared" si="352"/>
        <v>18.772596153846155</v>
      </c>
      <c r="M214" s="63">
        <f t="shared" si="353"/>
        <v>1501.8076923076924</v>
      </c>
      <c r="N214" s="63">
        <v>0</v>
      </c>
      <c r="O214" s="169"/>
      <c r="P214" s="169"/>
      <c r="Q214" s="63">
        <f t="shared" si="372"/>
        <v>0</v>
      </c>
      <c r="R214" s="63">
        <f t="shared" si="354"/>
        <v>39047</v>
      </c>
      <c r="S214" s="169"/>
      <c r="T214" s="169"/>
      <c r="U214" s="169"/>
      <c r="V214" s="63">
        <f t="shared" si="355"/>
        <v>39047</v>
      </c>
      <c r="W214" s="63">
        <f t="shared" si="356"/>
        <v>2420.9139999999998</v>
      </c>
      <c r="X214" s="63">
        <f t="shared" si="357"/>
        <v>566.18150000000003</v>
      </c>
      <c r="Y214" s="63">
        <f t="shared" si="358"/>
        <v>5493.9128999999994</v>
      </c>
      <c r="Z214" s="63">
        <f t="shared" si="359"/>
        <v>62.475200000000001</v>
      </c>
      <c r="AA214" s="63">
        <f t="shared" si="366"/>
        <v>27.332899999999999</v>
      </c>
      <c r="AB214" s="63">
        <f t="shared" si="373"/>
        <v>335</v>
      </c>
      <c r="AC214" s="63">
        <f t="shared" si="374"/>
        <v>10356.36</v>
      </c>
      <c r="AD214" s="63">
        <f t="shared" si="375"/>
        <v>106.9136</v>
      </c>
      <c r="AE214" s="170">
        <v>485</v>
      </c>
      <c r="AF214" s="69">
        <f t="shared" si="360"/>
        <v>0</v>
      </c>
      <c r="AG214" s="69">
        <f t="shared" si="361"/>
        <v>19369.090100000001</v>
      </c>
      <c r="AH214" s="67">
        <v>19740.04</v>
      </c>
      <c r="AI214" s="69">
        <f t="shared" si="362"/>
        <v>-370.94989999999962</v>
      </c>
      <c r="AJ214" s="69">
        <f t="shared" si="363"/>
        <v>-370.94989999999962</v>
      </c>
    </row>
    <row r="215" spans="1:36" x14ac:dyDescent="0.25">
      <c r="A215" s="167">
        <v>485</v>
      </c>
      <c r="B215" s="92" t="s">
        <v>2745</v>
      </c>
      <c r="C215" s="71" t="s">
        <v>3780</v>
      </c>
      <c r="D215" s="71" t="s">
        <v>3781</v>
      </c>
      <c r="E215" s="71" t="s">
        <v>2442</v>
      </c>
      <c r="F215" s="73">
        <v>43794</v>
      </c>
      <c r="G215" s="59">
        <f t="shared" si="364"/>
        <v>2.0986301369863014</v>
      </c>
      <c r="H215" s="57"/>
      <c r="I215" s="66">
        <v>33658</v>
      </c>
      <c r="J215" s="182">
        <v>34275</v>
      </c>
      <c r="K215" s="63"/>
      <c r="L215" s="63">
        <f t="shared" si="352"/>
        <v>16.478365384615383</v>
      </c>
      <c r="M215" s="63">
        <f t="shared" si="353"/>
        <v>1318.2692307692307</v>
      </c>
      <c r="N215" s="63">
        <f t="shared" ref="N215:N216" si="376">IF(G215&lt;4,0,(G215-1)*$N$7)</f>
        <v>0</v>
      </c>
      <c r="O215" s="169"/>
      <c r="P215" s="169"/>
      <c r="Q215" s="63">
        <f t="shared" si="372"/>
        <v>0</v>
      </c>
      <c r="R215" s="63">
        <f t="shared" si="354"/>
        <v>34275</v>
      </c>
      <c r="S215" s="169"/>
      <c r="T215" s="169"/>
      <c r="U215" s="169"/>
      <c r="V215" s="63">
        <f t="shared" si="355"/>
        <v>34275</v>
      </c>
      <c r="W215" s="63">
        <f t="shared" si="356"/>
        <v>2125.0500000000002</v>
      </c>
      <c r="X215" s="63">
        <f t="shared" si="357"/>
        <v>496.98750000000001</v>
      </c>
      <c r="Y215" s="63">
        <f t="shared" si="358"/>
        <v>4822.4924999999994</v>
      </c>
      <c r="Z215" s="63">
        <f t="shared" si="359"/>
        <v>54.84</v>
      </c>
      <c r="AA215" s="63">
        <f t="shared" si="366"/>
        <v>23.9925</v>
      </c>
      <c r="AB215" s="63">
        <f t="shared" si="373"/>
        <v>335</v>
      </c>
      <c r="AC215" s="63">
        <f t="shared" si="374"/>
        <v>10356.36</v>
      </c>
      <c r="AD215" s="63">
        <f t="shared" si="375"/>
        <v>106.9136</v>
      </c>
      <c r="AE215" s="170">
        <v>485</v>
      </c>
      <c r="AF215" s="69">
        <f t="shared" si="360"/>
        <v>617</v>
      </c>
      <c r="AG215" s="69">
        <f t="shared" si="361"/>
        <v>18321.6361</v>
      </c>
      <c r="AH215" s="67">
        <v>18723.05</v>
      </c>
      <c r="AI215" s="69">
        <f t="shared" si="362"/>
        <v>-401.41389999999956</v>
      </c>
      <c r="AJ215" s="69">
        <f t="shared" si="363"/>
        <v>215.58610000000044</v>
      </c>
    </row>
    <row r="216" spans="1:36" x14ac:dyDescent="0.25">
      <c r="A216" s="167">
        <v>485</v>
      </c>
      <c r="B216" s="92" t="s">
        <v>2748</v>
      </c>
      <c r="C216" s="71" t="s">
        <v>2746</v>
      </c>
      <c r="D216" s="193" t="s">
        <v>2749</v>
      </c>
      <c r="E216" s="193" t="s">
        <v>2750</v>
      </c>
      <c r="F216" s="237">
        <v>43661</v>
      </c>
      <c r="G216" s="59">
        <f t="shared" si="364"/>
        <v>2.463013698630137</v>
      </c>
      <c r="H216" s="57"/>
      <c r="I216" s="57">
        <v>34606</v>
      </c>
      <c r="J216" s="182">
        <v>35241</v>
      </c>
      <c r="K216" s="63"/>
      <c r="L216" s="63">
        <f t="shared" si="352"/>
        <v>16.942788461538463</v>
      </c>
      <c r="M216" s="63">
        <f t="shared" si="353"/>
        <v>1355.4230769230769</v>
      </c>
      <c r="N216" s="63">
        <f t="shared" si="376"/>
        <v>0</v>
      </c>
      <c r="O216" s="169"/>
      <c r="P216" s="169"/>
      <c r="Q216" s="63">
        <f t="shared" si="372"/>
        <v>0</v>
      </c>
      <c r="R216" s="63">
        <f t="shared" si="354"/>
        <v>35241</v>
      </c>
      <c r="S216" s="169"/>
      <c r="T216" s="169"/>
      <c r="U216" s="169"/>
      <c r="V216" s="63">
        <f t="shared" si="355"/>
        <v>35241</v>
      </c>
      <c r="W216" s="63">
        <f t="shared" si="356"/>
        <v>2184.942</v>
      </c>
      <c r="X216" s="63">
        <f t="shared" si="357"/>
        <v>510.99450000000002</v>
      </c>
      <c r="Y216" s="63">
        <f t="shared" si="358"/>
        <v>4958.4087</v>
      </c>
      <c r="Z216" s="63">
        <f t="shared" si="359"/>
        <v>56.385600000000004</v>
      </c>
      <c r="AA216" s="63">
        <f t="shared" si="366"/>
        <v>24.668700000000001</v>
      </c>
      <c r="AB216" s="63">
        <f t="shared" si="373"/>
        <v>335</v>
      </c>
      <c r="AC216" s="63">
        <f t="shared" si="374"/>
        <v>10356.36</v>
      </c>
      <c r="AD216" s="63">
        <f t="shared" si="375"/>
        <v>106.9136</v>
      </c>
      <c r="AE216" s="170">
        <v>485</v>
      </c>
      <c r="AF216" s="69">
        <f t="shared" si="360"/>
        <v>635</v>
      </c>
      <c r="AG216" s="69">
        <f t="shared" si="361"/>
        <v>18533.6731</v>
      </c>
      <c r="AH216" s="67">
        <v>18723.05</v>
      </c>
      <c r="AI216" s="69">
        <f t="shared" si="362"/>
        <v>-189.3768999999993</v>
      </c>
      <c r="AJ216" s="69">
        <f t="shared" si="363"/>
        <v>445.6231000000007</v>
      </c>
    </row>
    <row r="217" spans="1:36" x14ac:dyDescent="0.25">
      <c r="A217" s="167">
        <v>485</v>
      </c>
      <c r="B217" s="92" t="s">
        <v>2751</v>
      </c>
      <c r="C217" s="71" t="s">
        <v>2746</v>
      </c>
      <c r="D217" s="168" t="s">
        <v>3234</v>
      </c>
      <c r="E217" s="168" t="s">
        <v>3782</v>
      </c>
      <c r="F217" s="74">
        <v>40014</v>
      </c>
      <c r="G217" s="59">
        <f t="shared" si="364"/>
        <v>12.454794520547946</v>
      </c>
      <c r="H217" s="57"/>
      <c r="I217" s="57">
        <v>36544</v>
      </c>
      <c r="J217" s="182">
        <v>37214</v>
      </c>
      <c r="K217" s="63"/>
      <c r="L217" s="63">
        <f t="shared" si="352"/>
        <v>17.891346153846154</v>
      </c>
      <c r="M217" s="63">
        <f t="shared" si="353"/>
        <v>1431.3076923076924</v>
      </c>
      <c r="N217" s="63">
        <v>0</v>
      </c>
      <c r="O217" s="169"/>
      <c r="P217" s="169"/>
      <c r="Q217" s="63">
        <f t="shared" si="372"/>
        <v>0</v>
      </c>
      <c r="R217" s="63">
        <f t="shared" si="354"/>
        <v>37214</v>
      </c>
      <c r="S217" s="169"/>
      <c r="T217" s="169"/>
      <c r="U217" s="169"/>
      <c r="V217" s="63">
        <f t="shared" si="355"/>
        <v>37214</v>
      </c>
      <c r="W217" s="63">
        <f t="shared" si="356"/>
        <v>2307.268</v>
      </c>
      <c r="X217" s="63">
        <f t="shared" si="357"/>
        <v>539.60300000000007</v>
      </c>
      <c r="Y217" s="63">
        <f t="shared" si="358"/>
        <v>5236.0097999999998</v>
      </c>
      <c r="Z217" s="63">
        <f t="shared" si="359"/>
        <v>59.542400000000001</v>
      </c>
      <c r="AA217" s="63">
        <f t="shared" si="366"/>
        <v>26.049800000000001</v>
      </c>
      <c r="AB217" s="63">
        <f t="shared" si="373"/>
        <v>335</v>
      </c>
      <c r="AC217" s="63">
        <f t="shared" si="374"/>
        <v>10356.36</v>
      </c>
      <c r="AD217" s="63">
        <f t="shared" si="375"/>
        <v>106.9136</v>
      </c>
      <c r="AE217" s="170">
        <v>485</v>
      </c>
      <c r="AF217" s="69">
        <f t="shared" si="360"/>
        <v>670</v>
      </c>
      <c r="AG217" s="69">
        <f t="shared" si="361"/>
        <v>18966.746599999999</v>
      </c>
      <c r="AH217" s="67">
        <v>19166.849999999999</v>
      </c>
      <c r="AI217" s="69">
        <f t="shared" si="362"/>
        <v>-200.10339999999997</v>
      </c>
      <c r="AJ217" s="69">
        <f t="shared" si="363"/>
        <v>469.89660000000003</v>
      </c>
    </row>
    <row r="218" spans="1:36" x14ac:dyDescent="0.25">
      <c r="A218" s="167">
        <v>485</v>
      </c>
      <c r="B218" s="92" t="s">
        <v>2754</v>
      </c>
      <c r="C218" s="71" t="s">
        <v>2746</v>
      </c>
      <c r="D218" s="71" t="s">
        <v>2755</v>
      </c>
      <c r="E218" s="71" t="s">
        <v>2653</v>
      </c>
      <c r="F218" s="72">
        <v>43423</v>
      </c>
      <c r="G218" s="59">
        <f t="shared" si="364"/>
        <v>3.1150684931506851</v>
      </c>
      <c r="H218" s="57"/>
      <c r="I218" s="66">
        <v>34606</v>
      </c>
      <c r="J218" s="66">
        <v>34606</v>
      </c>
      <c r="K218" s="63"/>
      <c r="L218" s="63">
        <f t="shared" si="352"/>
        <v>16.637499999999999</v>
      </c>
      <c r="M218" s="63">
        <f t="shared" si="353"/>
        <v>1331</v>
      </c>
      <c r="N218" s="63">
        <f t="shared" ref="N218:N219" si="377">IF(G218&lt;4,0,(G218-1)*$N$7)</f>
        <v>0</v>
      </c>
      <c r="O218" s="169"/>
      <c r="P218" s="169"/>
      <c r="Q218" s="63">
        <f t="shared" si="372"/>
        <v>0</v>
      </c>
      <c r="R218" s="63">
        <f t="shared" si="354"/>
        <v>34606</v>
      </c>
      <c r="S218" s="169"/>
      <c r="T218" s="169"/>
      <c r="U218" s="169"/>
      <c r="V218" s="63">
        <f t="shared" si="355"/>
        <v>34606</v>
      </c>
      <c r="W218" s="63">
        <f t="shared" si="356"/>
        <v>2145.5720000000001</v>
      </c>
      <c r="X218" s="63">
        <f t="shared" si="357"/>
        <v>501.78700000000003</v>
      </c>
      <c r="Y218" s="63">
        <f t="shared" si="358"/>
        <v>4869.0641999999998</v>
      </c>
      <c r="Z218" s="63">
        <f t="shared" si="359"/>
        <v>55.369600000000005</v>
      </c>
      <c r="AA218" s="63">
        <f t="shared" si="366"/>
        <v>24.2242</v>
      </c>
      <c r="AB218" s="63">
        <f t="shared" si="373"/>
        <v>335</v>
      </c>
      <c r="AC218" s="63">
        <f t="shared" si="374"/>
        <v>10356.36</v>
      </c>
      <c r="AD218" s="63">
        <f t="shared" si="375"/>
        <v>106.9136</v>
      </c>
      <c r="AE218" s="170">
        <v>485</v>
      </c>
      <c r="AF218" s="69">
        <f t="shared" si="360"/>
        <v>0</v>
      </c>
      <c r="AG218" s="69">
        <f t="shared" si="361"/>
        <v>18394.2906</v>
      </c>
      <c r="AH218" s="67">
        <v>18505.96</v>
      </c>
      <c r="AI218" s="69">
        <f t="shared" si="362"/>
        <v>-111.66939999999886</v>
      </c>
      <c r="AJ218" s="69">
        <f t="shared" si="363"/>
        <v>-111.66939999999886</v>
      </c>
    </row>
    <row r="219" spans="1:36" x14ac:dyDescent="0.25">
      <c r="A219" s="167">
        <v>485</v>
      </c>
      <c r="B219" s="92" t="s">
        <v>2756</v>
      </c>
      <c r="C219" s="71" t="s">
        <v>2701</v>
      </c>
      <c r="D219" s="168" t="s">
        <v>2757</v>
      </c>
      <c r="E219" s="168" t="s">
        <v>2758</v>
      </c>
      <c r="F219" s="74">
        <v>43467</v>
      </c>
      <c r="G219" s="59">
        <f t="shared" si="364"/>
        <v>2.9945205479452053</v>
      </c>
      <c r="H219" s="57"/>
      <c r="I219" s="57">
        <v>31999</v>
      </c>
      <c r="J219" s="182">
        <v>32586</v>
      </c>
      <c r="K219" s="63"/>
      <c r="L219" s="63">
        <f t="shared" si="352"/>
        <v>15.666346153846154</v>
      </c>
      <c r="M219" s="63">
        <f t="shared" si="353"/>
        <v>1253.3076923076924</v>
      </c>
      <c r="N219" s="63">
        <f t="shared" si="377"/>
        <v>0</v>
      </c>
      <c r="O219" s="169"/>
      <c r="P219" s="169"/>
      <c r="Q219" s="63">
        <f t="shared" si="372"/>
        <v>0</v>
      </c>
      <c r="R219" s="63">
        <f t="shared" si="354"/>
        <v>32586</v>
      </c>
      <c r="S219" s="169"/>
      <c r="T219" s="169"/>
      <c r="U219" s="169"/>
      <c r="V219" s="63">
        <f t="shared" si="355"/>
        <v>32586</v>
      </c>
      <c r="W219" s="63">
        <f t="shared" si="356"/>
        <v>2020.3319999999999</v>
      </c>
      <c r="X219" s="63">
        <f t="shared" si="357"/>
        <v>472.49700000000001</v>
      </c>
      <c r="Y219" s="63">
        <f t="shared" si="358"/>
        <v>4584.8501999999999</v>
      </c>
      <c r="Z219" s="63">
        <f t="shared" si="359"/>
        <v>52.137599999999999</v>
      </c>
      <c r="AA219" s="63">
        <f t="shared" si="366"/>
        <v>22.810199999999998</v>
      </c>
      <c r="AB219" s="63">
        <f t="shared" si="373"/>
        <v>335</v>
      </c>
      <c r="AC219" s="63">
        <f t="shared" si="374"/>
        <v>10356.36</v>
      </c>
      <c r="AD219" s="63">
        <f t="shared" si="375"/>
        <v>106.9136</v>
      </c>
      <c r="AE219" s="170">
        <v>485</v>
      </c>
      <c r="AF219" s="69">
        <f t="shared" si="360"/>
        <v>587</v>
      </c>
      <c r="AG219" s="69">
        <f t="shared" si="361"/>
        <v>17950.900600000001</v>
      </c>
      <c r="AH219" s="67">
        <v>18126.04</v>
      </c>
      <c r="AI219" s="69">
        <f t="shared" si="362"/>
        <v>-175.13940000000002</v>
      </c>
      <c r="AJ219" s="69">
        <f t="shared" si="363"/>
        <v>411.86059999999998</v>
      </c>
    </row>
    <row r="220" spans="1:36" x14ac:dyDescent="0.25">
      <c r="A220" s="167">
        <v>485</v>
      </c>
      <c r="B220" s="92" t="s">
        <v>2759</v>
      </c>
      <c r="C220" s="71" t="s">
        <v>3783</v>
      </c>
      <c r="D220" s="238" t="s">
        <v>2761</v>
      </c>
      <c r="E220" s="238" t="s">
        <v>2762</v>
      </c>
      <c r="F220" s="74">
        <v>39846</v>
      </c>
      <c r="G220" s="59">
        <f t="shared" si="364"/>
        <v>12.915068493150685</v>
      </c>
      <c r="H220" s="57"/>
      <c r="I220" s="57">
        <v>50561</v>
      </c>
      <c r="J220" s="182">
        <v>51488</v>
      </c>
      <c r="K220" s="63"/>
      <c r="L220" s="63">
        <f t="shared" si="352"/>
        <v>24.753846153846155</v>
      </c>
      <c r="M220" s="63">
        <f t="shared" si="353"/>
        <v>1980.3076923076924</v>
      </c>
      <c r="N220" s="63">
        <v>0</v>
      </c>
      <c r="O220" s="169"/>
      <c r="P220" s="169"/>
      <c r="Q220" s="63">
        <f t="shared" si="372"/>
        <v>0</v>
      </c>
      <c r="R220" s="63">
        <f t="shared" si="354"/>
        <v>51488</v>
      </c>
      <c r="S220" s="169"/>
      <c r="T220" s="169"/>
      <c r="U220" s="63">
        <v>1500</v>
      </c>
      <c r="V220" s="63">
        <f t="shared" si="355"/>
        <v>52988</v>
      </c>
      <c r="W220" s="63">
        <f t="shared" si="356"/>
        <v>3285.2559999999999</v>
      </c>
      <c r="X220" s="63">
        <f t="shared" si="357"/>
        <v>768.32600000000002</v>
      </c>
      <c r="Y220" s="63">
        <f t="shared" si="358"/>
        <v>7455.4115999999995</v>
      </c>
      <c r="Z220" s="63">
        <f t="shared" si="359"/>
        <v>84.780799999999999</v>
      </c>
      <c r="AA220" s="63">
        <f t="shared" si="366"/>
        <v>37.0916</v>
      </c>
      <c r="AB220" s="63">
        <f t="shared" si="373"/>
        <v>335</v>
      </c>
      <c r="AC220" s="63">
        <f t="shared" si="374"/>
        <v>10356.36</v>
      </c>
      <c r="AD220" s="63">
        <f t="shared" si="375"/>
        <v>106.9136</v>
      </c>
      <c r="AE220" s="170">
        <v>485</v>
      </c>
      <c r="AF220" s="69">
        <f t="shared" si="360"/>
        <v>927</v>
      </c>
      <c r="AG220" s="69">
        <f t="shared" si="361"/>
        <v>22429.139600000002</v>
      </c>
      <c r="AH220" s="67">
        <v>22720.240000000002</v>
      </c>
      <c r="AI220" s="69">
        <f t="shared" si="362"/>
        <v>-291.10039999999935</v>
      </c>
      <c r="AJ220" s="69">
        <f t="shared" si="363"/>
        <v>635.89960000000065</v>
      </c>
    </row>
    <row r="221" spans="1:36" x14ac:dyDescent="0.25">
      <c r="A221" s="167">
        <v>485</v>
      </c>
      <c r="B221" s="92" t="s">
        <v>2763</v>
      </c>
      <c r="C221" s="71" t="s">
        <v>3783</v>
      </c>
      <c r="D221" s="238" t="s">
        <v>3183</v>
      </c>
      <c r="E221" s="238" t="s">
        <v>2796</v>
      </c>
      <c r="F221" s="58">
        <v>41218</v>
      </c>
      <c r="G221" s="59">
        <f t="shared" si="364"/>
        <v>9.1561643835616433</v>
      </c>
      <c r="H221" s="57"/>
      <c r="I221" s="57">
        <v>48758</v>
      </c>
      <c r="J221" s="57">
        <v>48758</v>
      </c>
      <c r="K221" s="63"/>
      <c r="L221" s="63">
        <f t="shared" si="352"/>
        <v>23.441346153846155</v>
      </c>
      <c r="M221" s="63">
        <f t="shared" si="353"/>
        <v>1875.3076923076924</v>
      </c>
      <c r="N221" s="63">
        <v>0</v>
      </c>
      <c r="O221" s="169"/>
      <c r="P221" s="78">
        <v>0</v>
      </c>
      <c r="Q221" s="63">
        <f t="shared" si="372"/>
        <v>0</v>
      </c>
      <c r="R221" s="63">
        <f t="shared" si="354"/>
        <v>48758</v>
      </c>
      <c r="S221" s="169"/>
      <c r="T221" s="169"/>
      <c r="U221" s="63"/>
      <c r="V221" s="63">
        <f t="shared" si="355"/>
        <v>48758</v>
      </c>
      <c r="W221" s="63">
        <f t="shared" si="356"/>
        <v>3022.9960000000001</v>
      </c>
      <c r="X221" s="63">
        <f t="shared" si="357"/>
        <v>706.99099999999999</v>
      </c>
      <c r="Y221" s="63">
        <f t="shared" si="358"/>
        <v>6860.2505999999994</v>
      </c>
      <c r="Z221" s="63">
        <f t="shared" si="359"/>
        <v>78.012799999999999</v>
      </c>
      <c r="AA221" s="63">
        <f t="shared" si="366"/>
        <v>34.130600000000001</v>
      </c>
      <c r="AB221" s="63">
        <f t="shared" si="373"/>
        <v>335</v>
      </c>
      <c r="AC221" s="63">
        <f t="shared" si="374"/>
        <v>10356.36</v>
      </c>
      <c r="AD221" s="63">
        <f t="shared" si="375"/>
        <v>106.9136</v>
      </c>
      <c r="AE221" s="170">
        <v>485</v>
      </c>
      <c r="AF221" s="69">
        <f t="shared" si="360"/>
        <v>0</v>
      </c>
      <c r="AG221" s="69">
        <f t="shared" si="361"/>
        <v>21500.654600000002</v>
      </c>
      <c r="AH221" s="67">
        <v>21963.86</v>
      </c>
      <c r="AI221" s="69">
        <f t="shared" si="362"/>
        <v>-463.20539999999892</v>
      </c>
      <c r="AJ221" s="69">
        <f t="shared" si="363"/>
        <v>-463.20539999999892</v>
      </c>
    </row>
    <row r="222" spans="1:36" hidden="1" x14ac:dyDescent="0.25">
      <c r="A222" s="167">
        <v>485</v>
      </c>
      <c r="B222" s="138"/>
      <c r="C222" s="168" t="s">
        <v>2766</v>
      </c>
      <c r="D222" s="138"/>
      <c r="E222" s="138"/>
      <c r="F222" s="138"/>
      <c r="G222" s="167" t="s">
        <v>2422</v>
      </c>
      <c r="H222" s="57"/>
      <c r="I222" s="57">
        <v>0</v>
      </c>
      <c r="J222" s="171">
        <v>0</v>
      </c>
      <c r="K222" s="219"/>
      <c r="L222" s="219"/>
      <c r="M222" s="219"/>
      <c r="N222" s="220" t="s">
        <v>27</v>
      </c>
      <c r="O222" s="219"/>
      <c r="P222" s="219"/>
      <c r="Q222" s="220">
        <v>0</v>
      </c>
      <c r="R222" s="172">
        <f t="shared" si="354"/>
        <v>0</v>
      </c>
      <c r="S222" s="173"/>
      <c r="T222" s="173"/>
      <c r="U222" s="173"/>
      <c r="V222" s="172">
        <f t="shared" si="355"/>
        <v>0</v>
      </c>
      <c r="W222" s="172">
        <f t="shared" si="356"/>
        <v>0</v>
      </c>
      <c r="X222" s="172">
        <f t="shared" si="357"/>
        <v>0</v>
      </c>
      <c r="Y222" s="172">
        <f t="shared" si="358"/>
        <v>0</v>
      </c>
      <c r="Z222" s="172">
        <f t="shared" si="359"/>
        <v>0</v>
      </c>
      <c r="AA222" s="172">
        <f t="shared" si="366"/>
        <v>0</v>
      </c>
      <c r="AB222" s="172" t="s">
        <v>2422</v>
      </c>
      <c r="AC222" s="172" t="s">
        <v>2422</v>
      </c>
      <c r="AD222" s="172" t="s">
        <v>2422</v>
      </c>
      <c r="AE222" s="170">
        <v>485</v>
      </c>
      <c r="AF222" s="198" t="e">
        <f>SUM(J222-#REF!)</f>
        <v>#REF!</v>
      </c>
      <c r="AG222" s="69">
        <f t="shared" si="361"/>
        <v>0</v>
      </c>
      <c r="AH222" s="67">
        <v>0</v>
      </c>
      <c r="AI222" s="69">
        <f t="shared" si="362"/>
        <v>0</v>
      </c>
      <c r="AJ222" s="69" t="e">
        <f t="shared" si="363"/>
        <v>#REF!</v>
      </c>
    </row>
    <row r="223" spans="1:36" x14ac:dyDescent="0.25">
      <c r="A223" s="167">
        <v>485</v>
      </c>
      <c r="B223" s="138"/>
      <c r="C223" s="138"/>
      <c r="G223" s="138"/>
      <c r="H223" s="221"/>
      <c r="I223" s="222">
        <f t="shared" ref="I223:J223" si="378">SUM(I201:I221)</f>
        <v>825470</v>
      </c>
      <c r="J223" s="222">
        <f t="shared" si="378"/>
        <v>835495</v>
      </c>
      <c r="K223" s="223"/>
      <c r="L223" s="223">
        <f t="shared" ref="L223:AD223" si="379">SUM(L201:L222)</f>
        <v>401.68028846153845</v>
      </c>
      <c r="M223" s="223">
        <f t="shared" si="379"/>
        <v>32134.423076923074</v>
      </c>
      <c r="N223" s="223">
        <f t="shared" si="379"/>
        <v>0</v>
      </c>
      <c r="O223" s="223">
        <f t="shared" si="379"/>
        <v>7809.08</v>
      </c>
      <c r="P223" s="223">
        <f t="shared" si="379"/>
        <v>0</v>
      </c>
      <c r="Q223" s="223">
        <f t="shared" si="379"/>
        <v>7809.08</v>
      </c>
      <c r="R223" s="223">
        <f t="shared" si="379"/>
        <v>843304.08</v>
      </c>
      <c r="S223" s="223">
        <f t="shared" si="379"/>
        <v>0</v>
      </c>
      <c r="T223" s="223">
        <f t="shared" si="379"/>
        <v>0</v>
      </c>
      <c r="U223" s="223">
        <f t="shared" si="379"/>
        <v>1500</v>
      </c>
      <c r="V223" s="223">
        <f t="shared" si="379"/>
        <v>844804.08</v>
      </c>
      <c r="W223" s="223">
        <f t="shared" si="379"/>
        <v>52377.852960000004</v>
      </c>
      <c r="X223" s="223">
        <f t="shared" si="379"/>
        <v>12249.659160000001</v>
      </c>
      <c r="Y223" s="223">
        <f t="shared" si="379"/>
        <v>118863.93405599997</v>
      </c>
      <c r="Z223" s="223">
        <f t="shared" si="379"/>
        <v>1351.686528</v>
      </c>
      <c r="AA223" s="223">
        <f t="shared" si="379"/>
        <v>578.34285599999987</v>
      </c>
      <c r="AB223" s="223">
        <f t="shared" si="379"/>
        <v>5025</v>
      </c>
      <c r="AC223" s="223">
        <f t="shared" si="379"/>
        <v>155345.39999999997</v>
      </c>
      <c r="AD223" s="223">
        <f t="shared" si="379"/>
        <v>1603.7040000000004</v>
      </c>
      <c r="AE223" s="170">
        <v>485</v>
      </c>
      <c r="AF223" s="239">
        <f>SUM(AF201:AF221)</f>
        <v>10025</v>
      </c>
      <c r="AG223" s="100">
        <f t="shared" si="361"/>
        <v>347395.57955999998</v>
      </c>
      <c r="AH223" s="225">
        <v>354850.37</v>
      </c>
      <c r="AI223" s="226">
        <f t="shared" si="362"/>
        <v>-7454.7904400000116</v>
      </c>
      <c r="AJ223" s="226">
        <f t="shared" si="363"/>
        <v>2570.2095599999884</v>
      </c>
    </row>
    <row r="224" spans="1:36" hidden="1" x14ac:dyDescent="0.25">
      <c r="A224" s="138"/>
      <c r="B224" s="138"/>
      <c r="C224" s="138"/>
      <c r="D224" s="138"/>
      <c r="E224" s="138"/>
      <c r="F224" s="138"/>
      <c r="G224" s="138"/>
      <c r="H224" s="78"/>
      <c r="I224" s="78">
        <v>812639</v>
      </c>
      <c r="J224" s="78">
        <f>SUM(J205:J221)</f>
        <v>816895</v>
      </c>
      <c r="K224" s="138"/>
      <c r="L224" s="138"/>
      <c r="M224" s="138"/>
      <c r="N224" s="138"/>
      <c r="O224" s="138"/>
      <c r="P224" s="138"/>
      <c r="Q224" s="138"/>
      <c r="R224" s="169"/>
      <c r="S224" s="169"/>
      <c r="T224" s="169"/>
      <c r="U224" s="169"/>
      <c r="V224" s="169"/>
      <c r="W224" s="63">
        <f>SUM(W223:X223)</f>
        <v>64627.512120000007</v>
      </c>
      <c r="X224" s="169"/>
      <c r="Y224" s="169"/>
      <c r="Z224" s="169"/>
      <c r="AA224" s="169"/>
      <c r="AB224" s="169"/>
      <c r="AC224" s="63">
        <f>SUM(AC223:AD223)</f>
        <v>156949.10399999996</v>
      </c>
      <c r="AD224" s="169"/>
      <c r="AE224" s="149"/>
      <c r="AF224" s="69" t="e">
        <f>SUM(AF201:AF222)</f>
        <v>#REF!</v>
      </c>
      <c r="AG224" s="178"/>
      <c r="AH224" s="65"/>
      <c r="AI224" s="69">
        <f t="shared" ref="AI224:AJ224" si="380">SUM(AI201:AI222)</f>
        <v>-7454.7904399999989</v>
      </c>
      <c r="AJ224" s="69" t="e">
        <f t="shared" si="380"/>
        <v>#REF!</v>
      </c>
    </row>
    <row r="225" spans="1:36" x14ac:dyDescent="0.25">
      <c r="A225" s="138"/>
      <c r="B225" s="138"/>
      <c r="C225" s="138"/>
      <c r="D225" s="138"/>
      <c r="E225" s="138"/>
      <c r="F225" s="138"/>
      <c r="G225" s="138"/>
      <c r="H225" s="148"/>
      <c r="I225" s="148"/>
      <c r="J225" s="148"/>
      <c r="K225" s="138"/>
      <c r="L225" s="138"/>
      <c r="M225" s="138"/>
      <c r="N225" s="138"/>
      <c r="O225" s="138"/>
      <c r="P225" s="138"/>
      <c r="Q225" s="138"/>
      <c r="R225" s="169"/>
      <c r="S225" s="169"/>
      <c r="T225" s="169"/>
      <c r="U225" s="169"/>
      <c r="V225" s="169"/>
      <c r="W225" s="169"/>
      <c r="X225" s="169"/>
      <c r="Y225" s="169"/>
      <c r="Z225" s="169"/>
      <c r="AA225" s="169"/>
      <c r="AB225" s="169"/>
      <c r="AC225" s="169"/>
      <c r="AD225" s="169"/>
      <c r="AE225" s="149"/>
      <c r="AF225" s="178"/>
      <c r="AG225" s="178"/>
      <c r="AH225" s="65"/>
      <c r="AI225" s="178"/>
      <c r="AJ225" s="178"/>
    </row>
    <row r="226" spans="1:36" x14ac:dyDescent="0.25">
      <c r="A226" s="168"/>
      <c r="B226" s="168"/>
      <c r="C226" s="168"/>
      <c r="D226" s="168"/>
      <c r="E226" s="168"/>
      <c r="F226" s="196"/>
      <c r="G226" s="59"/>
      <c r="H226" s="57"/>
      <c r="I226" s="57"/>
      <c r="J226" s="57"/>
      <c r="K226" s="63"/>
      <c r="L226" s="63"/>
      <c r="M226" s="63"/>
      <c r="N226" s="169"/>
      <c r="O226" s="169"/>
      <c r="P226" s="63"/>
      <c r="Q226" s="169"/>
      <c r="R226" s="169"/>
      <c r="S226" s="169"/>
      <c r="T226" s="169"/>
      <c r="U226" s="169"/>
      <c r="V226" s="169"/>
      <c r="W226" s="63"/>
      <c r="X226" s="63"/>
      <c r="Y226" s="63"/>
      <c r="Z226" s="63"/>
      <c r="AA226" s="63"/>
      <c r="AB226" s="63"/>
      <c r="AC226" s="63"/>
      <c r="AD226" s="63"/>
      <c r="AE226" s="149"/>
      <c r="AF226" s="178"/>
      <c r="AG226" s="178"/>
      <c r="AH226" s="65"/>
      <c r="AI226" s="178"/>
      <c r="AJ226" s="178"/>
    </row>
    <row r="227" spans="1:36" x14ac:dyDescent="0.25">
      <c r="A227" s="167">
        <v>495</v>
      </c>
      <c r="B227" s="92" t="s">
        <v>2767</v>
      </c>
      <c r="C227" s="168" t="s">
        <v>1024</v>
      </c>
      <c r="D227" s="168" t="s">
        <v>2768</v>
      </c>
      <c r="E227" s="168" t="s">
        <v>2769</v>
      </c>
      <c r="F227" s="87">
        <v>38897</v>
      </c>
      <c r="G227" s="59">
        <f t="shared" ref="G227:G235" si="381">(DATE(2021,12,30)-(F227))/365</f>
        <v>15.515068493150684</v>
      </c>
      <c r="H227" s="57"/>
      <c r="I227" s="57">
        <v>133218</v>
      </c>
      <c r="J227" s="57">
        <v>133218</v>
      </c>
      <c r="K227" s="63"/>
      <c r="L227" s="63">
        <f t="shared" ref="L227:L235" si="382">SUM(J227/2080)</f>
        <v>64.047115384615381</v>
      </c>
      <c r="M227" s="63">
        <f t="shared" ref="M227:M235" si="383">SUM(J227/26)</f>
        <v>5123.7692307692305</v>
      </c>
      <c r="N227" s="63">
        <v>0</v>
      </c>
      <c r="O227" s="169"/>
      <c r="P227" s="63">
        <v>0</v>
      </c>
      <c r="Q227" s="63">
        <f t="shared" ref="Q227:Q235" si="384">IF(N227+P227&gt;5000,5000,N227+P227)</f>
        <v>0</v>
      </c>
      <c r="R227" s="63">
        <f t="shared" ref="R227:R237" si="385">Q227+J227</f>
        <v>133218</v>
      </c>
      <c r="S227" s="169"/>
      <c r="T227" s="169"/>
      <c r="U227" s="169"/>
      <c r="V227" s="63">
        <f t="shared" ref="V227:V237" si="386">SUM(R227:U227)</f>
        <v>133218</v>
      </c>
      <c r="W227" s="63">
        <f t="shared" ref="W227:W237" si="387">SUM(V227*$W$7)</f>
        <v>8259.5159999999996</v>
      </c>
      <c r="X227" s="63">
        <f t="shared" ref="X227:X237" si="388">SUM(V227*$X$7)</f>
        <v>1931.6610000000001</v>
      </c>
      <c r="Y227" s="63">
        <f t="shared" ref="Y227:Y237" si="389">SUM(V227*$Y$7)</f>
        <v>18743.7726</v>
      </c>
      <c r="Z227" s="63">
        <f t="shared" ref="Z227:Z237" si="390">SUM(V227*$Z$7)</f>
        <v>213.14880000000002</v>
      </c>
      <c r="AA227" s="63">
        <f t="shared" ref="AA227:AA237" si="391">SUM(V227*$AA$7)</f>
        <v>93.252600000000001</v>
      </c>
      <c r="AB227" s="63">
        <f t="shared" ref="AB227:AB235" si="392">SUM($AB$7)</f>
        <v>335</v>
      </c>
      <c r="AC227" s="63">
        <f t="shared" ref="AC227:AC235" si="393">$AC$7</f>
        <v>10356.36</v>
      </c>
      <c r="AD227" s="63">
        <f t="shared" ref="AD227:AD235" si="394">SUM(AB227+AC227)*$AD$7</f>
        <v>106.9136</v>
      </c>
      <c r="AE227" s="170">
        <v>495</v>
      </c>
      <c r="AF227" s="69">
        <f t="shared" ref="AF227:AF237" si="395">SUM(J227-I227)</f>
        <v>0</v>
      </c>
      <c r="AG227" s="69">
        <f t="shared" ref="AG227:AG238" si="396">SUM(W227:AD227)</f>
        <v>40039.624599999996</v>
      </c>
      <c r="AH227" s="67">
        <v>41305.199999999997</v>
      </c>
      <c r="AI227" s="69">
        <f t="shared" ref="AI227:AI238" si="397">AG227-AH227</f>
        <v>-1265.5754000000015</v>
      </c>
      <c r="AJ227" s="69">
        <f t="shared" ref="AJ227:AJ238" si="398">AF227+AI227</f>
        <v>-1265.5754000000015</v>
      </c>
    </row>
    <row r="228" spans="1:36" x14ac:dyDescent="0.25">
      <c r="A228" s="167">
        <v>495</v>
      </c>
      <c r="B228" s="92" t="s">
        <v>2770</v>
      </c>
      <c r="C228" s="168" t="s">
        <v>2771</v>
      </c>
      <c r="D228" s="168" t="s">
        <v>2772</v>
      </c>
      <c r="E228" s="168" t="s">
        <v>2773</v>
      </c>
      <c r="F228" s="74">
        <v>42086</v>
      </c>
      <c r="G228" s="59">
        <f t="shared" si="381"/>
        <v>6.7780821917808218</v>
      </c>
      <c r="H228" s="57"/>
      <c r="I228" s="57">
        <v>64688</v>
      </c>
      <c r="J228" s="182">
        <v>65874</v>
      </c>
      <c r="K228" s="63"/>
      <c r="L228" s="63">
        <f t="shared" si="382"/>
        <v>31.670192307692307</v>
      </c>
      <c r="M228" s="63">
        <f t="shared" si="383"/>
        <v>2533.6153846153848</v>
      </c>
      <c r="N228" s="63">
        <v>0</v>
      </c>
      <c r="O228" s="169"/>
      <c r="P228" s="169"/>
      <c r="Q228" s="63">
        <f t="shared" si="384"/>
        <v>0</v>
      </c>
      <c r="R228" s="63">
        <f t="shared" si="385"/>
        <v>65874</v>
      </c>
      <c r="S228" s="169"/>
      <c r="T228" s="169"/>
      <c r="U228" s="169"/>
      <c r="V228" s="63">
        <f t="shared" si="386"/>
        <v>65874</v>
      </c>
      <c r="W228" s="63">
        <f t="shared" si="387"/>
        <v>4084.1880000000001</v>
      </c>
      <c r="X228" s="63">
        <f t="shared" si="388"/>
        <v>955.173</v>
      </c>
      <c r="Y228" s="63">
        <f t="shared" si="389"/>
        <v>9268.4717999999993</v>
      </c>
      <c r="Z228" s="63">
        <f t="shared" si="390"/>
        <v>105.39840000000001</v>
      </c>
      <c r="AA228" s="63">
        <f t="shared" si="391"/>
        <v>46.111800000000002</v>
      </c>
      <c r="AB228" s="63">
        <f t="shared" si="392"/>
        <v>335</v>
      </c>
      <c r="AC228" s="63">
        <f t="shared" si="393"/>
        <v>10356.36</v>
      </c>
      <c r="AD228" s="63">
        <f t="shared" si="394"/>
        <v>106.9136</v>
      </c>
      <c r="AE228" s="170">
        <v>495</v>
      </c>
      <c r="AF228" s="69">
        <f t="shared" si="395"/>
        <v>1186</v>
      </c>
      <c r="AG228" s="69">
        <f t="shared" si="396"/>
        <v>25257.616600000001</v>
      </c>
      <c r="AH228" s="67">
        <v>25611.83</v>
      </c>
      <c r="AI228" s="69">
        <f t="shared" si="397"/>
        <v>-354.21340000000055</v>
      </c>
      <c r="AJ228" s="69">
        <f t="shared" si="398"/>
        <v>831.78659999999945</v>
      </c>
    </row>
    <row r="229" spans="1:36" x14ac:dyDescent="0.25">
      <c r="A229" s="167">
        <v>495</v>
      </c>
      <c r="B229" s="92" t="s">
        <v>2774</v>
      </c>
      <c r="C229" s="71" t="s">
        <v>2775</v>
      </c>
      <c r="D229" s="71" t="s">
        <v>2505</v>
      </c>
      <c r="E229" s="71" t="s">
        <v>2492</v>
      </c>
      <c r="F229" s="240">
        <v>43781</v>
      </c>
      <c r="G229" s="59">
        <f t="shared" si="381"/>
        <v>2.1342465753424658</v>
      </c>
      <c r="H229" s="57"/>
      <c r="I229" s="66">
        <v>37116</v>
      </c>
      <c r="J229" s="182">
        <v>37796</v>
      </c>
      <c r="K229" s="63"/>
      <c r="L229" s="63">
        <f t="shared" si="382"/>
        <v>18.171153846153846</v>
      </c>
      <c r="M229" s="63">
        <f t="shared" si="383"/>
        <v>1453.6923076923076</v>
      </c>
      <c r="N229" s="63">
        <f>IF(G229&lt;4,0,(G229-1)*$N$7)</f>
        <v>0</v>
      </c>
      <c r="O229" s="169"/>
      <c r="P229" s="169"/>
      <c r="Q229" s="63">
        <f t="shared" si="384"/>
        <v>0</v>
      </c>
      <c r="R229" s="63">
        <f t="shared" si="385"/>
        <v>37796</v>
      </c>
      <c r="S229" s="169"/>
      <c r="T229" s="169"/>
      <c r="U229" s="169"/>
      <c r="V229" s="63">
        <f t="shared" si="386"/>
        <v>37796</v>
      </c>
      <c r="W229" s="63">
        <f t="shared" si="387"/>
        <v>2343.3519999999999</v>
      </c>
      <c r="X229" s="63">
        <f t="shared" si="388"/>
        <v>548.04200000000003</v>
      </c>
      <c r="Y229" s="63">
        <f t="shared" si="389"/>
        <v>5317.8971999999994</v>
      </c>
      <c r="Z229" s="63">
        <f t="shared" si="390"/>
        <v>60.473600000000005</v>
      </c>
      <c r="AA229" s="63">
        <f t="shared" si="391"/>
        <v>26.4572</v>
      </c>
      <c r="AB229" s="63">
        <f t="shared" si="392"/>
        <v>335</v>
      </c>
      <c r="AC229" s="63">
        <f t="shared" si="393"/>
        <v>10356.36</v>
      </c>
      <c r="AD229" s="63">
        <f t="shared" si="394"/>
        <v>106.9136</v>
      </c>
      <c r="AE229" s="170">
        <v>495</v>
      </c>
      <c r="AF229" s="69">
        <f t="shared" si="395"/>
        <v>680</v>
      </c>
      <c r="AG229" s="69">
        <f t="shared" si="396"/>
        <v>19094.495600000002</v>
      </c>
      <c r="AH229" s="67">
        <v>20665.43</v>
      </c>
      <c r="AI229" s="69">
        <f t="shared" si="397"/>
        <v>-1570.9343999999983</v>
      </c>
      <c r="AJ229" s="69">
        <f t="shared" si="398"/>
        <v>-890.93439999999828</v>
      </c>
    </row>
    <row r="230" spans="1:36" x14ac:dyDescent="0.25">
      <c r="A230" s="167">
        <v>495</v>
      </c>
      <c r="B230" s="92" t="s">
        <v>2776</v>
      </c>
      <c r="C230" s="71" t="s">
        <v>2775</v>
      </c>
      <c r="D230" s="71" t="s">
        <v>3158</v>
      </c>
      <c r="E230" s="71" t="s">
        <v>2442</v>
      </c>
      <c r="F230" s="73">
        <v>43584</v>
      </c>
      <c r="G230" s="59">
        <f t="shared" si="381"/>
        <v>2.6739726027397261</v>
      </c>
      <c r="H230" s="57"/>
      <c r="I230" s="66">
        <v>35791</v>
      </c>
      <c r="J230" s="182">
        <v>36447</v>
      </c>
      <c r="K230" s="63"/>
      <c r="L230" s="63">
        <f t="shared" si="382"/>
        <v>17.522596153846155</v>
      </c>
      <c r="M230" s="63">
        <f t="shared" si="383"/>
        <v>1401.8076923076924</v>
      </c>
      <c r="N230" s="63">
        <v>0</v>
      </c>
      <c r="O230" s="169"/>
      <c r="P230" s="169"/>
      <c r="Q230" s="63">
        <f t="shared" si="384"/>
        <v>0</v>
      </c>
      <c r="R230" s="63">
        <f t="shared" si="385"/>
        <v>36447</v>
      </c>
      <c r="S230" s="169"/>
      <c r="T230" s="169"/>
      <c r="U230" s="169"/>
      <c r="V230" s="63">
        <f t="shared" si="386"/>
        <v>36447</v>
      </c>
      <c r="W230" s="63">
        <f t="shared" si="387"/>
        <v>2259.7139999999999</v>
      </c>
      <c r="X230" s="63">
        <f t="shared" si="388"/>
        <v>528.48149999999998</v>
      </c>
      <c r="Y230" s="63">
        <f t="shared" si="389"/>
        <v>5128.0928999999996</v>
      </c>
      <c r="Z230" s="63">
        <f t="shared" si="390"/>
        <v>58.315200000000004</v>
      </c>
      <c r="AA230" s="63">
        <f t="shared" si="391"/>
        <v>25.512899999999998</v>
      </c>
      <c r="AB230" s="63">
        <f t="shared" si="392"/>
        <v>335</v>
      </c>
      <c r="AC230" s="63">
        <f t="shared" si="393"/>
        <v>10356.36</v>
      </c>
      <c r="AD230" s="63">
        <f t="shared" si="394"/>
        <v>106.9136</v>
      </c>
      <c r="AE230" s="170">
        <v>495</v>
      </c>
      <c r="AF230" s="69">
        <f t="shared" si="395"/>
        <v>656</v>
      </c>
      <c r="AG230" s="69">
        <f t="shared" si="396"/>
        <v>18798.390100000001</v>
      </c>
      <c r="AH230" s="67">
        <v>22139.96</v>
      </c>
      <c r="AI230" s="69">
        <f t="shared" si="397"/>
        <v>-3341.5698999999986</v>
      </c>
      <c r="AJ230" s="69">
        <f t="shared" si="398"/>
        <v>-2685.5698999999986</v>
      </c>
    </row>
    <row r="231" spans="1:36" x14ac:dyDescent="0.25">
      <c r="A231" s="167">
        <v>495</v>
      </c>
      <c r="B231" s="92" t="s">
        <v>2778</v>
      </c>
      <c r="C231" s="71" t="s">
        <v>2779</v>
      </c>
      <c r="D231" s="168" t="s">
        <v>2733</v>
      </c>
      <c r="E231" s="168" t="s">
        <v>2780</v>
      </c>
      <c r="F231" s="74">
        <v>36955</v>
      </c>
      <c r="G231" s="59">
        <f t="shared" si="381"/>
        <v>20.835616438356166</v>
      </c>
      <c r="H231" s="57"/>
      <c r="I231" s="66">
        <v>43088</v>
      </c>
      <c r="J231" s="182">
        <v>43877</v>
      </c>
      <c r="K231" s="63"/>
      <c r="L231" s="63">
        <f t="shared" si="382"/>
        <v>21.094711538461539</v>
      </c>
      <c r="M231" s="63">
        <f t="shared" si="383"/>
        <v>1687.5769230769231</v>
      </c>
      <c r="N231" s="63">
        <v>0</v>
      </c>
      <c r="O231" s="169"/>
      <c r="P231" s="169"/>
      <c r="Q231" s="63">
        <f t="shared" si="384"/>
        <v>0</v>
      </c>
      <c r="R231" s="63">
        <f t="shared" si="385"/>
        <v>43877</v>
      </c>
      <c r="S231" s="169"/>
      <c r="T231" s="169"/>
      <c r="U231" s="169"/>
      <c r="V231" s="63">
        <f t="shared" si="386"/>
        <v>43877</v>
      </c>
      <c r="W231" s="63">
        <f t="shared" si="387"/>
        <v>2720.3739999999998</v>
      </c>
      <c r="X231" s="63">
        <f t="shared" si="388"/>
        <v>636.2165</v>
      </c>
      <c r="Y231" s="63">
        <f t="shared" si="389"/>
        <v>6173.4938999999995</v>
      </c>
      <c r="Z231" s="63">
        <f t="shared" si="390"/>
        <v>70.20320000000001</v>
      </c>
      <c r="AA231" s="63">
        <f t="shared" si="391"/>
        <v>30.713899999999999</v>
      </c>
      <c r="AB231" s="63">
        <f t="shared" si="392"/>
        <v>335</v>
      </c>
      <c r="AC231" s="63">
        <f t="shared" si="393"/>
        <v>10356.36</v>
      </c>
      <c r="AD231" s="63">
        <f t="shared" si="394"/>
        <v>106.9136</v>
      </c>
      <c r="AE231" s="170">
        <v>495</v>
      </c>
      <c r="AF231" s="69">
        <f t="shared" si="395"/>
        <v>789</v>
      </c>
      <c r="AG231" s="69">
        <f t="shared" si="396"/>
        <v>20429.275099999999</v>
      </c>
      <c r="AH231" s="67">
        <v>20665.43</v>
      </c>
      <c r="AI231" s="69">
        <f t="shared" si="397"/>
        <v>-236.15490000000136</v>
      </c>
      <c r="AJ231" s="69">
        <f t="shared" si="398"/>
        <v>552.84509999999864</v>
      </c>
    </row>
    <row r="232" spans="1:36" x14ac:dyDescent="0.25">
      <c r="A232" s="167">
        <v>495</v>
      </c>
      <c r="B232" s="92" t="s">
        <v>2781</v>
      </c>
      <c r="C232" s="71" t="s">
        <v>2779</v>
      </c>
      <c r="D232" s="70" t="s">
        <v>2782</v>
      </c>
      <c r="E232" s="181" t="s">
        <v>2783</v>
      </c>
      <c r="F232" s="73">
        <v>42772</v>
      </c>
      <c r="G232" s="59">
        <f t="shared" si="381"/>
        <v>4.8986301369863012</v>
      </c>
      <c r="H232" s="57"/>
      <c r="I232" s="66">
        <v>43088</v>
      </c>
      <c r="J232" s="182">
        <v>43877</v>
      </c>
      <c r="K232" s="63"/>
      <c r="L232" s="63">
        <f t="shared" si="382"/>
        <v>21.094711538461539</v>
      </c>
      <c r="M232" s="63">
        <f t="shared" si="383"/>
        <v>1687.5769230769231</v>
      </c>
      <c r="N232" s="63">
        <v>0</v>
      </c>
      <c r="O232" s="169"/>
      <c r="P232" s="169"/>
      <c r="Q232" s="63">
        <f t="shared" si="384"/>
        <v>0</v>
      </c>
      <c r="R232" s="63">
        <f t="shared" si="385"/>
        <v>43877</v>
      </c>
      <c r="S232" s="169"/>
      <c r="T232" s="169"/>
      <c r="U232" s="169"/>
      <c r="V232" s="63">
        <f t="shared" si="386"/>
        <v>43877</v>
      </c>
      <c r="W232" s="63">
        <f t="shared" si="387"/>
        <v>2720.3739999999998</v>
      </c>
      <c r="X232" s="63">
        <f t="shared" si="388"/>
        <v>636.2165</v>
      </c>
      <c r="Y232" s="63">
        <f t="shared" si="389"/>
        <v>6173.4938999999995</v>
      </c>
      <c r="Z232" s="63">
        <f t="shared" si="390"/>
        <v>70.20320000000001</v>
      </c>
      <c r="AA232" s="63">
        <f t="shared" si="391"/>
        <v>30.713899999999999</v>
      </c>
      <c r="AB232" s="63">
        <f t="shared" si="392"/>
        <v>335</v>
      </c>
      <c r="AC232" s="63">
        <f t="shared" si="393"/>
        <v>10356.36</v>
      </c>
      <c r="AD232" s="63">
        <f t="shared" si="394"/>
        <v>106.9136</v>
      </c>
      <c r="AE232" s="170">
        <v>495</v>
      </c>
      <c r="AF232" s="69">
        <f t="shared" si="395"/>
        <v>789</v>
      </c>
      <c r="AG232" s="69">
        <f t="shared" si="396"/>
        <v>20429.275099999999</v>
      </c>
      <c r="AH232" s="67">
        <v>19297.84</v>
      </c>
      <c r="AI232" s="69">
        <f t="shared" si="397"/>
        <v>1131.4350999999988</v>
      </c>
      <c r="AJ232" s="69">
        <f t="shared" si="398"/>
        <v>1920.4350999999988</v>
      </c>
    </row>
    <row r="233" spans="1:36" x14ac:dyDescent="0.25">
      <c r="A233" s="167">
        <v>495</v>
      </c>
      <c r="B233" s="92" t="s">
        <v>2784</v>
      </c>
      <c r="C233" s="71" t="s">
        <v>2779</v>
      </c>
      <c r="D233" s="70" t="s">
        <v>2785</v>
      </c>
      <c r="E233" s="70" t="s">
        <v>2661</v>
      </c>
      <c r="F233" s="76">
        <v>43102</v>
      </c>
      <c r="G233" s="59">
        <f t="shared" si="381"/>
        <v>3.9945205479452053</v>
      </c>
      <c r="H233" s="57"/>
      <c r="I233" s="66">
        <v>43088</v>
      </c>
      <c r="J233" s="66">
        <v>43088</v>
      </c>
      <c r="K233" s="63"/>
      <c r="L233" s="63">
        <f t="shared" si="382"/>
        <v>20.715384615384615</v>
      </c>
      <c r="M233" s="63">
        <f t="shared" si="383"/>
        <v>1657.2307692307693</v>
      </c>
      <c r="N233" s="63">
        <v>0</v>
      </c>
      <c r="O233" s="169"/>
      <c r="P233" s="169"/>
      <c r="Q233" s="63">
        <f t="shared" si="384"/>
        <v>0</v>
      </c>
      <c r="R233" s="63">
        <f t="shared" si="385"/>
        <v>43088</v>
      </c>
      <c r="S233" s="169"/>
      <c r="T233" s="169"/>
      <c r="U233" s="169"/>
      <c r="V233" s="63">
        <f t="shared" si="386"/>
        <v>43088</v>
      </c>
      <c r="W233" s="63">
        <f t="shared" si="387"/>
        <v>2671.4560000000001</v>
      </c>
      <c r="X233" s="63">
        <f t="shared" si="388"/>
        <v>624.77600000000007</v>
      </c>
      <c r="Y233" s="63">
        <f t="shared" si="389"/>
        <v>6062.4816000000001</v>
      </c>
      <c r="Z233" s="63">
        <f t="shared" si="390"/>
        <v>68.94080000000001</v>
      </c>
      <c r="AA233" s="63">
        <f t="shared" si="391"/>
        <v>30.1616</v>
      </c>
      <c r="AB233" s="63">
        <f t="shared" si="392"/>
        <v>335</v>
      </c>
      <c r="AC233" s="63">
        <f t="shared" si="393"/>
        <v>10356.36</v>
      </c>
      <c r="AD233" s="63">
        <f t="shared" si="394"/>
        <v>106.9136</v>
      </c>
      <c r="AE233" s="170">
        <v>495</v>
      </c>
      <c r="AF233" s="69">
        <f t="shared" si="395"/>
        <v>0</v>
      </c>
      <c r="AG233" s="69">
        <f t="shared" si="396"/>
        <v>20256.089599999999</v>
      </c>
      <c r="AH233" s="67">
        <v>20665.43</v>
      </c>
      <c r="AI233" s="69">
        <f t="shared" si="397"/>
        <v>-409.34040000000095</v>
      </c>
      <c r="AJ233" s="69">
        <f t="shared" si="398"/>
        <v>-409.34040000000095</v>
      </c>
    </row>
    <row r="234" spans="1:36" x14ac:dyDescent="0.25">
      <c r="A234" s="167">
        <v>495</v>
      </c>
      <c r="B234" s="92" t="s">
        <v>2786</v>
      </c>
      <c r="C234" s="71" t="s">
        <v>2779</v>
      </c>
      <c r="D234" s="71" t="s">
        <v>2787</v>
      </c>
      <c r="E234" s="71" t="s">
        <v>2788</v>
      </c>
      <c r="F234" s="73">
        <v>42086</v>
      </c>
      <c r="G234" s="59">
        <f t="shared" si="381"/>
        <v>6.7780821917808218</v>
      </c>
      <c r="H234" s="57"/>
      <c r="I234" s="66">
        <v>43088</v>
      </c>
      <c r="J234" s="182">
        <v>43877</v>
      </c>
      <c r="K234" s="63"/>
      <c r="L234" s="63">
        <f t="shared" si="382"/>
        <v>21.094711538461539</v>
      </c>
      <c r="M234" s="63">
        <f t="shared" si="383"/>
        <v>1687.5769230769231</v>
      </c>
      <c r="N234" s="63">
        <f>IF(G234&lt;4,0,(G234-1)*$N$7)</f>
        <v>1525.4136986301369</v>
      </c>
      <c r="O234" s="169"/>
      <c r="P234" s="169"/>
      <c r="Q234" s="63">
        <f t="shared" si="384"/>
        <v>1525.4136986301369</v>
      </c>
      <c r="R234" s="63">
        <f t="shared" si="385"/>
        <v>45402.413698630138</v>
      </c>
      <c r="S234" s="169"/>
      <c r="T234" s="169"/>
      <c r="U234" s="169"/>
      <c r="V234" s="63">
        <f t="shared" si="386"/>
        <v>45402.413698630138</v>
      </c>
      <c r="W234" s="63">
        <f t="shared" si="387"/>
        <v>2814.9496493150687</v>
      </c>
      <c r="X234" s="63">
        <f t="shared" si="388"/>
        <v>658.33499863013708</v>
      </c>
      <c r="Y234" s="63">
        <f t="shared" si="389"/>
        <v>6388.1196073972596</v>
      </c>
      <c r="Z234" s="63">
        <f t="shared" si="390"/>
        <v>72.643861917808223</v>
      </c>
      <c r="AA234" s="63">
        <f t="shared" si="391"/>
        <v>31.781689589041097</v>
      </c>
      <c r="AB234" s="63">
        <f t="shared" si="392"/>
        <v>335</v>
      </c>
      <c r="AC234" s="63">
        <f t="shared" si="393"/>
        <v>10356.36</v>
      </c>
      <c r="AD234" s="63">
        <f t="shared" si="394"/>
        <v>106.9136</v>
      </c>
      <c r="AE234" s="170">
        <v>495</v>
      </c>
      <c r="AF234" s="69">
        <f t="shared" si="395"/>
        <v>789</v>
      </c>
      <c r="AG234" s="69">
        <f t="shared" si="396"/>
        <v>20764.103406849317</v>
      </c>
      <c r="AH234" s="67">
        <v>18994.41</v>
      </c>
      <c r="AI234" s="69">
        <f t="shared" si="397"/>
        <v>1769.6934068493174</v>
      </c>
      <c r="AJ234" s="69">
        <f t="shared" si="398"/>
        <v>2558.6934068493174</v>
      </c>
    </row>
    <row r="235" spans="1:36" x14ac:dyDescent="0.25">
      <c r="A235" s="167">
        <v>495</v>
      </c>
      <c r="B235" s="92" t="s">
        <v>2789</v>
      </c>
      <c r="C235" s="71" t="s">
        <v>2790</v>
      </c>
      <c r="D235" s="168" t="s">
        <v>2791</v>
      </c>
      <c r="E235" s="168" t="s">
        <v>2792</v>
      </c>
      <c r="F235" s="74">
        <v>38404</v>
      </c>
      <c r="G235" s="59">
        <f t="shared" si="381"/>
        <v>16.865753424657534</v>
      </c>
      <c r="H235" s="57"/>
      <c r="I235" s="66">
        <v>49527</v>
      </c>
      <c r="J235" s="182">
        <v>50435</v>
      </c>
      <c r="K235" s="63"/>
      <c r="L235" s="63">
        <f t="shared" si="382"/>
        <v>24.247596153846153</v>
      </c>
      <c r="M235" s="63">
        <f t="shared" si="383"/>
        <v>1939.8076923076924</v>
      </c>
      <c r="N235" s="63">
        <v>0</v>
      </c>
      <c r="O235" s="169"/>
      <c r="P235" s="169"/>
      <c r="Q235" s="63">
        <f t="shared" si="384"/>
        <v>0</v>
      </c>
      <c r="R235" s="63">
        <f t="shared" si="385"/>
        <v>50435</v>
      </c>
      <c r="S235" s="169"/>
      <c r="T235" s="169"/>
      <c r="U235" s="169"/>
      <c r="V235" s="63">
        <f t="shared" si="386"/>
        <v>50435</v>
      </c>
      <c r="W235" s="63">
        <f t="shared" si="387"/>
        <v>3126.97</v>
      </c>
      <c r="X235" s="63">
        <f t="shared" si="388"/>
        <v>731.3075</v>
      </c>
      <c r="Y235" s="63">
        <f t="shared" si="389"/>
        <v>7096.2044999999998</v>
      </c>
      <c r="Z235" s="63">
        <f t="shared" si="390"/>
        <v>80.695999999999998</v>
      </c>
      <c r="AA235" s="63">
        <f t="shared" si="391"/>
        <v>35.304499999999997</v>
      </c>
      <c r="AB235" s="63">
        <f t="shared" si="392"/>
        <v>335</v>
      </c>
      <c r="AC235" s="63">
        <f t="shared" si="393"/>
        <v>10356.36</v>
      </c>
      <c r="AD235" s="63">
        <f t="shared" si="394"/>
        <v>106.9136</v>
      </c>
      <c r="AE235" s="170">
        <v>495</v>
      </c>
      <c r="AF235" s="69">
        <f t="shared" si="395"/>
        <v>908</v>
      </c>
      <c r="AG235" s="69">
        <f t="shared" si="396"/>
        <v>21868.756099999999</v>
      </c>
      <c r="AH235" s="67">
        <v>20665.43</v>
      </c>
      <c r="AI235" s="69">
        <f t="shared" si="397"/>
        <v>1203.3260999999984</v>
      </c>
      <c r="AJ235" s="69">
        <f t="shared" si="398"/>
        <v>2111.3260999999984</v>
      </c>
    </row>
    <row r="236" spans="1:36" hidden="1" x14ac:dyDescent="0.25">
      <c r="A236" s="167">
        <v>495</v>
      </c>
      <c r="B236" s="138"/>
      <c r="C236" s="168" t="s">
        <v>1627</v>
      </c>
      <c r="D236" s="138"/>
      <c r="E236" s="138"/>
      <c r="F236" s="241"/>
      <c r="G236" s="167" t="s">
        <v>2422</v>
      </c>
      <c r="H236" s="189"/>
      <c r="I236" s="189">
        <v>0</v>
      </c>
      <c r="J236" s="189">
        <v>0</v>
      </c>
      <c r="K236" s="138"/>
      <c r="L236" s="138"/>
      <c r="M236" s="138"/>
      <c r="N236" s="167" t="s">
        <v>27</v>
      </c>
      <c r="O236" s="138"/>
      <c r="P236" s="138"/>
      <c r="Q236" s="167">
        <v>0</v>
      </c>
      <c r="R236" s="63">
        <f t="shared" si="385"/>
        <v>0</v>
      </c>
      <c r="S236" s="169"/>
      <c r="T236" s="169"/>
      <c r="U236" s="169"/>
      <c r="V236" s="63">
        <f t="shared" si="386"/>
        <v>0</v>
      </c>
      <c r="W236" s="63">
        <f t="shared" si="387"/>
        <v>0</v>
      </c>
      <c r="X236" s="63">
        <f t="shared" si="388"/>
        <v>0</v>
      </c>
      <c r="Y236" s="63">
        <f t="shared" si="389"/>
        <v>0</v>
      </c>
      <c r="Z236" s="63">
        <f t="shared" si="390"/>
        <v>0</v>
      </c>
      <c r="AA236" s="63">
        <f t="shared" si="391"/>
        <v>0</v>
      </c>
      <c r="AB236" s="63" t="s">
        <v>2422</v>
      </c>
      <c r="AC236" s="63" t="s">
        <v>2422</v>
      </c>
      <c r="AD236" s="63" t="s">
        <v>2422</v>
      </c>
      <c r="AE236" s="170">
        <v>495</v>
      </c>
      <c r="AF236" s="69">
        <f t="shared" si="395"/>
        <v>0</v>
      </c>
      <c r="AG236" s="69">
        <f t="shared" si="396"/>
        <v>0</v>
      </c>
      <c r="AH236" s="67">
        <v>0</v>
      </c>
      <c r="AI236" s="69">
        <f t="shared" si="397"/>
        <v>0</v>
      </c>
      <c r="AJ236" s="69">
        <f t="shared" si="398"/>
        <v>0</v>
      </c>
    </row>
    <row r="237" spans="1:36" x14ac:dyDescent="0.25">
      <c r="A237" s="167">
        <v>495</v>
      </c>
      <c r="B237" s="138"/>
      <c r="C237" s="168" t="s">
        <v>2495</v>
      </c>
      <c r="G237" s="167" t="s">
        <v>2422</v>
      </c>
      <c r="H237" s="189"/>
      <c r="I237" s="189">
        <v>500</v>
      </c>
      <c r="J237" s="242">
        <v>500</v>
      </c>
      <c r="K237" s="219"/>
      <c r="L237" s="219"/>
      <c r="M237" s="219"/>
      <c r="N237" s="220" t="s">
        <v>27</v>
      </c>
      <c r="O237" s="219"/>
      <c r="P237" s="219"/>
      <c r="Q237" s="220">
        <v>0</v>
      </c>
      <c r="R237" s="172">
        <f t="shared" si="385"/>
        <v>500</v>
      </c>
      <c r="S237" s="173"/>
      <c r="T237" s="173"/>
      <c r="U237" s="173"/>
      <c r="V237" s="172">
        <f t="shared" si="386"/>
        <v>500</v>
      </c>
      <c r="W237" s="172">
        <f t="shared" si="387"/>
        <v>31</v>
      </c>
      <c r="X237" s="172">
        <f t="shared" si="388"/>
        <v>7.25</v>
      </c>
      <c r="Y237" s="172">
        <f t="shared" si="389"/>
        <v>70.349999999999994</v>
      </c>
      <c r="Z237" s="172">
        <f t="shared" si="390"/>
        <v>0.8</v>
      </c>
      <c r="AA237" s="172">
        <f t="shared" si="391"/>
        <v>0.35</v>
      </c>
      <c r="AB237" s="172" t="s">
        <v>2422</v>
      </c>
      <c r="AC237" s="172" t="s">
        <v>2422</v>
      </c>
      <c r="AD237" s="172" t="s">
        <v>2422</v>
      </c>
      <c r="AE237" s="170">
        <v>495</v>
      </c>
      <c r="AF237" s="69">
        <f t="shared" si="395"/>
        <v>0</v>
      </c>
      <c r="AG237" s="69">
        <f t="shared" si="396"/>
        <v>109.74999999999999</v>
      </c>
      <c r="AH237" s="67">
        <v>114.5</v>
      </c>
      <c r="AI237" s="69">
        <f t="shared" si="397"/>
        <v>-4.7500000000000142</v>
      </c>
      <c r="AJ237" s="69">
        <f t="shared" si="398"/>
        <v>-4.7500000000000142</v>
      </c>
    </row>
    <row r="238" spans="1:36" x14ac:dyDescent="0.25">
      <c r="A238" s="167">
        <v>495</v>
      </c>
      <c r="B238" s="138"/>
      <c r="C238" s="138"/>
      <c r="D238" s="138"/>
      <c r="E238" s="138"/>
      <c r="F238" s="138"/>
      <c r="G238" s="138"/>
      <c r="H238" s="221"/>
      <c r="I238" s="222">
        <f t="shared" ref="I238:J238" si="399">SUM(I227:I237)</f>
        <v>493192</v>
      </c>
      <c r="J238" s="222">
        <f t="shared" si="399"/>
        <v>498989</v>
      </c>
      <c r="K238" s="223"/>
      <c r="L238" s="223">
        <f t="shared" ref="L238:AD238" si="400">SUM(L225:L237)</f>
        <v>239.65817307692302</v>
      </c>
      <c r="M238" s="223">
        <f t="shared" si="400"/>
        <v>19172.653846153844</v>
      </c>
      <c r="N238" s="223">
        <f t="shared" si="400"/>
        <v>1525.4136986301369</v>
      </c>
      <c r="O238" s="223">
        <f t="shared" si="400"/>
        <v>0</v>
      </c>
      <c r="P238" s="223">
        <f t="shared" si="400"/>
        <v>0</v>
      </c>
      <c r="Q238" s="223">
        <f t="shared" si="400"/>
        <v>1525.4136986301369</v>
      </c>
      <c r="R238" s="223">
        <f t="shared" si="400"/>
        <v>500514.41369863012</v>
      </c>
      <c r="S238" s="223">
        <f t="shared" si="400"/>
        <v>0</v>
      </c>
      <c r="T238" s="223">
        <f t="shared" si="400"/>
        <v>0</v>
      </c>
      <c r="U238" s="223">
        <f t="shared" si="400"/>
        <v>0</v>
      </c>
      <c r="V238" s="223">
        <f t="shared" si="400"/>
        <v>500514.41369863012</v>
      </c>
      <c r="W238" s="223">
        <f t="shared" si="400"/>
        <v>31031.893649315072</v>
      </c>
      <c r="X238" s="223">
        <f t="shared" si="400"/>
        <v>7257.4589986301362</v>
      </c>
      <c r="Y238" s="223">
        <f t="shared" si="400"/>
        <v>70422.378007397274</v>
      </c>
      <c r="Z238" s="223">
        <f t="shared" si="400"/>
        <v>800.82306191780822</v>
      </c>
      <c r="AA238" s="223">
        <f t="shared" si="400"/>
        <v>350.36008958904114</v>
      </c>
      <c r="AB238" s="223">
        <f t="shared" si="400"/>
        <v>3015</v>
      </c>
      <c r="AC238" s="223">
        <f t="shared" si="400"/>
        <v>93207.24</v>
      </c>
      <c r="AD238" s="223">
        <f t="shared" si="400"/>
        <v>962.22239999999988</v>
      </c>
      <c r="AE238" s="170">
        <v>495</v>
      </c>
      <c r="AF238" s="230">
        <f>SUM(AF227:AF237)</f>
        <v>5797</v>
      </c>
      <c r="AG238" s="100">
        <f t="shared" si="396"/>
        <v>207047.37620684932</v>
      </c>
      <c r="AH238" s="225">
        <v>210125.43</v>
      </c>
      <c r="AI238" s="226">
        <f t="shared" si="397"/>
        <v>-3078.0537931506697</v>
      </c>
      <c r="AJ238" s="226">
        <f t="shared" si="398"/>
        <v>2718.9462068493303</v>
      </c>
    </row>
    <row r="239" spans="1:36" hidden="1" x14ac:dyDescent="0.25">
      <c r="A239" s="138"/>
      <c r="B239" s="138"/>
      <c r="C239" s="138"/>
      <c r="D239" s="138"/>
      <c r="E239" s="138"/>
      <c r="F239" s="138"/>
      <c r="G239" s="138"/>
      <c r="H239" s="78"/>
      <c r="I239" s="78">
        <v>492692</v>
      </c>
      <c r="J239" s="78">
        <f>SUM(J227:J235)</f>
        <v>498489</v>
      </c>
      <c r="K239" s="138"/>
      <c r="L239" s="138">
        <v>492692</v>
      </c>
      <c r="M239" s="138"/>
      <c r="N239" s="138"/>
      <c r="O239" s="138"/>
      <c r="P239" s="138"/>
      <c r="Q239" s="138"/>
      <c r="R239" s="169"/>
      <c r="S239" s="169"/>
      <c r="T239" s="169"/>
      <c r="U239" s="169"/>
      <c r="V239" s="169"/>
      <c r="W239" s="63">
        <f>SUM(W238:X238)</f>
        <v>38289.352647945212</v>
      </c>
      <c r="X239" s="169"/>
      <c r="Y239" s="169"/>
      <c r="Z239" s="169"/>
      <c r="AA239" s="169"/>
      <c r="AB239" s="169"/>
      <c r="AC239" s="63">
        <f>SUM(AC238:AD238)</f>
        <v>94169.462400000004</v>
      </c>
      <c r="AD239" s="169"/>
      <c r="AE239" s="149"/>
      <c r="AF239" s="69">
        <f>SUM(AF227:AF237)</f>
        <v>5797</v>
      </c>
      <c r="AG239" s="178"/>
      <c r="AH239" s="65"/>
      <c r="AI239" s="69">
        <f t="shared" ref="AI239:AJ239" si="401">SUM(AI227:AI237)</f>
        <v>-3078.0837931506867</v>
      </c>
      <c r="AJ239" s="69">
        <f t="shared" si="401"/>
        <v>2718.9162068493133</v>
      </c>
    </row>
    <row r="240" spans="1:36" x14ac:dyDescent="0.25">
      <c r="A240" s="138"/>
      <c r="B240" s="138"/>
      <c r="C240" s="138"/>
      <c r="D240" s="138"/>
      <c r="E240" s="138"/>
      <c r="F240" s="138"/>
      <c r="G240" s="138"/>
      <c r="H240" s="148"/>
      <c r="I240" s="148"/>
      <c r="J240" s="148"/>
      <c r="K240" s="138"/>
      <c r="L240" s="138"/>
      <c r="M240" s="138"/>
      <c r="N240" s="138"/>
      <c r="O240" s="138"/>
      <c r="P240" s="138"/>
      <c r="Q240" s="138"/>
      <c r="R240" s="169"/>
      <c r="S240" s="169"/>
      <c r="T240" s="169"/>
      <c r="U240" s="169"/>
      <c r="V240" s="169"/>
      <c r="W240" s="169"/>
      <c r="X240" s="169"/>
      <c r="Y240" s="169"/>
      <c r="Z240" s="169"/>
      <c r="AA240" s="169"/>
      <c r="AB240" s="169"/>
      <c r="AC240" s="169"/>
      <c r="AD240" s="169"/>
      <c r="AE240" s="149"/>
      <c r="AF240" s="178"/>
      <c r="AG240" s="178"/>
      <c r="AH240" s="65"/>
      <c r="AI240" s="178"/>
      <c r="AJ240" s="178"/>
    </row>
    <row r="241" spans="1:36" x14ac:dyDescent="0.25">
      <c r="A241" s="138"/>
      <c r="B241" s="138"/>
      <c r="C241" s="138"/>
      <c r="D241" s="138"/>
      <c r="E241" s="138"/>
      <c r="F241" s="138"/>
      <c r="G241" s="138"/>
      <c r="H241" s="148"/>
      <c r="I241" s="148"/>
      <c r="J241" s="148"/>
      <c r="K241" s="138"/>
      <c r="L241" s="138"/>
      <c r="M241" s="138"/>
      <c r="N241" s="138"/>
      <c r="O241" s="138"/>
      <c r="P241" s="138"/>
      <c r="Q241" s="138"/>
      <c r="R241" s="169"/>
      <c r="S241" s="169"/>
      <c r="T241" s="169"/>
      <c r="U241" s="169"/>
      <c r="V241" s="169"/>
      <c r="W241" s="169"/>
      <c r="X241" s="169"/>
      <c r="Y241" s="169"/>
      <c r="Z241" s="169"/>
      <c r="AA241" s="169"/>
      <c r="AB241" s="169"/>
      <c r="AC241" s="169"/>
      <c r="AD241" s="169"/>
      <c r="AE241" s="149"/>
      <c r="AF241" s="178"/>
      <c r="AG241" s="178"/>
      <c r="AH241" s="65"/>
      <c r="AI241" s="178"/>
      <c r="AJ241" s="178"/>
    </row>
    <row r="242" spans="1:36" x14ac:dyDescent="0.25">
      <c r="A242" s="167">
        <v>496</v>
      </c>
      <c r="B242" s="92" t="s">
        <v>2793</v>
      </c>
      <c r="C242" s="168" t="s">
        <v>2794</v>
      </c>
      <c r="D242" s="168" t="s">
        <v>2795</v>
      </c>
      <c r="E242" s="168" t="s">
        <v>2796</v>
      </c>
      <c r="F242" s="74">
        <v>38635</v>
      </c>
      <c r="G242" s="59">
        <f t="shared" ref="G242:G245" si="402">(DATE(2021,12,30)-(F242))/365</f>
        <v>16.232876712328768</v>
      </c>
      <c r="H242" s="57"/>
      <c r="I242" s="57">
        <v>78768</v>
      </c>
      <c r="J242" s="182">
        <v>80212</v>
      </c>
      <c r="K242" s="63"/>
      <c r="L242" s="63">
        <f t="shared" ref="L242:L245" si="403">SUM(J242/2080)</f>
        <v>38.563461538461539</v>
      </c>
      <c r="M242" s="63">
        <f t="shared" ref="M242:M245" si="404">SUM(J242/26)</f>
        <v>3085.0769230769229</v>
      </c>
      <c r="N242" s="63">
        <v>0</v>
      </c>
      <c r="O242" s="169"/>
      <c r="P242" s="169"/>
      <c r="Q242" s="63">
        <f t="shared" ref="Q242:Q245" si="405">IF(N242+P242&gt;5000,5000,N242+P242)</f>
        <v>0</v>
      </c>
      <c r="R242" s="63">
        <f t="shared" ref="R242:R245" si="406">Q242+J242</f>
        <v>80212</v>
      </c>
      <c r="S242" s="169"/>
      <c r="T242" s="169"/>
      <c r="U242" s="169"/>
      <c r="V242" s="63">
        <f t="shared" ref="V242:V246" si="407">SUM(R242:U242)</f>
        <v>80212</v>
      </c>
      <c r="W242" s="63">
        <f t="shared" ref="W242:W246" si="408">SUM(V242*$W$7)</f>
        <v>4973.1440000000002</v>
      </c>
      <c r="X242" s="63">
        <f t="shared" ref="X242:X246" si="409">SUM(V242*$X$7)</f>
        <v>1163.0740000000001</v>
      </c>
      <c r="Y242" s="63">
        <f t="shared" ref="Y242:Y246" si="410">SUM(V242*$Y$7)</f>
        <v>11285.828399999999</v>
      </c>
      <c r="Z242" s="63">
        <f t="shared" ref="Z242:Z246" si="411">SUM(V242*$Z$7)</f>
        <v>128.33920000000001</v>
      </c>
      <c r="AA242" s="63">
        <f t="shared" ref="AA242:AA246" si="412">SUM(V242*$AA$7)</f>
        <v>56.148400000000002</v>
      </c>
      <c r="AB242" s="63">
        <f t="shared" ref="AB242:AB245" si="413">SUM($AB$7)</f>
        <v>335</v>
      </c>
      <c r="AC242" s="63">
        <f t="shared" ref="AC242:AC245" si="414">$AC$7</f>
        <v>10356.36</v>
      </c>
      <c r="AD242" s="63">
        <f t="shared" ref="AD242:AD245" si="415">SUM(AB242+AC242)*$AD$7</f>
        <v>106.9136</v>
      </c>
      <c r="AE242" s="170">
        <v>496</v>
      </c>
      <c r="AF242" s="69">
        <f t="shared" ref="AF242:AF246" si="416">SUM(J242-I242)</f>
        <v>1444</v>
      </c>
      <c r="AG242" s="69">
        <f t="shared" ref="AG242:AG247" si="417">SUM(W242:AD242)</f>
        <v>28404.807599999996</v>
      </c>
      <c r="AH242" s="67">
        <v>28836.15</v>
      </c>
      <c r="AI242" s="69">
        <f t="shared" ref="AI242:AI247" si="418">AG242-AH242</f>
        <v>-431.342400000005</v>
      </c>
      <c r="AJ242" s="69">
        <f t="shared" ref="AJ242:AJ247" si="419">AF242+AI242</f>
        <v>1012.657599999995</v>
      </c>
    </row>
    <row r="243" spans="1:36" x14ac:dyDescent="0.25">
      <c r="A243" s="167">
        <v>496</v>
      </c>
      <c r="B243" s="92" t="s">
        <v>2797</v>
      </c>
      <c r="C243" s="168" t="s">
        <v>2798</v>
      </c>
      <c r="D243" s="168" t="s">
        <v>2799</v>
      </c>
      <c r="E243" s="168" t="s">
        <v>2800</v>
      </c>
      <c r="F243" s="58">
        <v>39580</v>
      </c>
      <c r="G243" s="59">
        <f t="shared" si="402"/>
        <v>13.643835616438356</v>
      </c>
      <c r="H243" s="57"/>
      <c r="I243" s="57">
        <v>53018</v>
      </c>
      <c r="J243" s="57">
        <v>53018</v>
      </c>
      <c r="K243" s="63"/>
      <c r="L243" s="63">
        <f t="shared" si="403"/>
        <v>25.489423076923078</v>
      </c>
      <c r="M243" s="63">
        <f t="shared" si="404"/>
        <v>2039.1538461538462</v>
      </c>
      <c r="N243" s="63">
        <v>0</v>
      </c>
      <c r="O243" s="169"/>
      <c r="P243" s="169"/>
      <c r="Q243" s="63">
        <f t="shared" si="405"/>
        <v>0</v>
      </c>
      <c r="R243" s="63">
        <f t="shared" si="406"/>
        <v>53018</v>
      </c>
      <c r="S243" s="169"/>
      <c r="T243" s="169"/>
      <c r="U243" s="169"/>
      <c r="V243" s="63">
        <f t="shared" si="407"/>
        <v>53018</v>
      </c>
      <c r="W243" s="63">
        <f t="shared" si="408"/>
        <v>3287.116</v>
      </c>
      <c r="X243" s="63">
        <f t="shared" si="409"/>
        <v>768.76100000000008</v>
      </c>
      <c r="Y243" s="63">
        <f t="shared" si="410"/>
        <v>7459.6325999999999</v>
      </c>
      <c r="Z243" s="63">
        <f t="shared" si="411"/>
        <v>84.828800000000001</v>
      </c>
      <c r="AA243" s="63">
        <f t="shared" si="412"/>
        <v>37.1126</v>
      </c>
      <c r="AB243" s="63">
        <f t="shared" si="413"/>
        <v>335</v>
      </c>
      <c r="AC243" s="63">
        <f t="shared" si="414"/>
        <v>10356.36</v>
      </c>
      <c r="AD243" s="63">
        <f t="shared" si="415"/>
        <v>106.9136</v>
      </c>
      <c r="AE243" s="170">
        <v>496</v>
      </c>
      <c r="AF243" s="69">
        <f t="shared" si="416"/>
        <v>0</v>
      </c>
      <c r="AG243" s="69">
        <f t="shared" si="417"/>
        <v>22435.724600000001</v>
      </c>
      <c r="AH243" s="67">
        <v>22939.4</v>
      </c>
      <c r="AI243" s="69">
        <f t="shared" si="418"/>
        <v>-503.67540000000008</v>
      </c>
      <c r="AJ243" s="69">
        <f t="shared" si="419"/>
        <v>-503.67540000000008</v>
      </c>
    </row>
    <row r="244" spans="1:36" x14ac:dyDescent="0.25">
      <c r="A244" s="167">
        <v>496</v>
      </c>
      <c r="B244" s="92" t="s">
        <v>2801</v>
      </c>
      <c r="C244" s="168" t="s">
        <v>2802</v>
      </c>
      <c r="D244" s="185" t="s">
        <v>3784</v>
      </c>
      <c r="E244" s="185" t="s">
        <v>3227</v>
      </c>
      <c r="F244" s="58">
        <v>34516</v>
      </c>
      <c r="G244" s="59">
        <f t="shared" si="402"/>
        <v>27.517808219178082</v>
      </c>
      <c r="H244" s="57"/>
      <c r="I244" s="57">
        <v>42822</v>
      </c>
      <c r="J244" s="57">
        <v>42822</v>
      </c>
      <c r="K244" s="63"/>
      <c r="L244" s="63">
        <f t="shared" si="403"/>
        <v>20.587499999999999</v>
      </c>
      <c r="M244" s="63">
        <f t="shared" si="404"/>
        <v>1647</v>
      </c>
      <c r="N244" s="63">
        <v>0</v>
      </c>
      <c r="O244" s="169"/>
      <c r="P244" s="169"/>
      <c r="Q244" s="63">
        <f t="shared" si="405"/>
        <v>0</v>
      </c>
      <c r="R244" s="63">
        <f t="shared" si="406"/>
        <v>42822</v>
      </c>
      <c r="S244" s="169"/>
      <c r="T244" s="169"/>
      <c r="U244" s="169"/>
      <c r="V244" s="63">
        <f t="shared" si="407"/>
        <v>42822</v>
      </c>
      <c r="W244" s="63">
        <f t="shared" si="408"/>
        <v>2654.9639999999999</v>
      </c>
      <c r="X244" s="63">
        <f t="shared" si="409"/>
        <v>620.91899999999998</v>
      </c>
      <c r="Y244" s="63">
        <f t="shared" si="410"/>
        <v>6025.0553999999993</v>
      </c>
      <c r="Z244" s="63">
        <f t="shared" si="411"/>
        <v>68.515200000000007</v>
      </c>
      <c r="AA244" s="63">
        <f t="shared" si="412"/>
        <v>29.9754</v>
      </c>
      <c r="AB244" s="63">
        <f t="shared" si="413"/>
        <v>335</v>
      </c>
      <c r="AC244" s="63">
        <f t="shared" si="414"/>
        <v>10356.36</v>
      </c>
      <c r="AD244" s="63">
        <f t="shared" si="415"/>
        <v>106.9136</v>
      </c>
      <c r="AE244" s="170">
        <v>496</v>
      </c>
      <c r="AF244" s="69">
        <f t="shared" si="416"/>
        <v>0</v>
      </c>
      <c r="AG244" s="69">
        <f t="shared" si="417"/>
        <v>20197.702599999997</v>
      </c>
      <c r="AH244" s="67">
        <v>20604.509999999998</v>
      </c>
      <c r="AI244" s="69">
        <f t="shared" si="418"/>
        <v>-406.80740000000151</v>
      </c>
      <c r="AJ244" s="69">
        <f t="shared" si="419"/>
        <v>-406.80740000000151</v>
      </c>
    </row>
    <row r="245" spans="1:36" x14ac:dyDescent="0.25">
      <c r="A245" s="167">
        <v>496</v>
      </c>
      <c r="B245" s="92" t="s">
        <v>2807</v>
      </c>
      <c r="C245" s="168" t="s">
        <v>2808</v>
      </c>
      <c r="D245" s="168" t="s">
        <v>2803</v>
      </c>
      <c r="E245" s="168" t="s">
        <v>2804</v>
      </c>
      <c r="F245" s="58">
        <v>39472</v>
      </c>
      <c r="G245" s="59">
        <f t="shared" si="402"/>
        <v>13.93972602739726</v>
      </c>
      <c r="H245" s="57"/>
      <c r="I245" s="57">
        <v>35043</v>
      </c>
      <c r="J245" s="57">
        <v>35043</v>
      </c>
      <c r="K245" s="63"/>
      <c r="L245" s="63">
        <f t="shared" si="403"/>
        <v>16.847596153846155</v>
      </c>
      <c r="M245" s="63">
        <f t="shared" si="404"/>
        <v>1347.8076923076924</v>
      </c>
      <c r="N245" s="63">
        <v>0</v>
      </c>
      <c r="O245" s="169"/>
      <c r="P245" s="169"/>
      <c r="Q245" s="63">
        <f t="shared" si="405"/>
        <v>0</v>
      </c>
      <c r="R245" s="63">
        <f t="shared" si="406"/>
        <v>35043</v>
      </c>
      <c r="S245" s="169"/>
      <c r="T245" s="169"/>
      <c r="U245" s="169"/>
      <c r="V245" s="63">
        <f t="shared" si="407"/>
        <v>35043</v>
      </c>
      <c r="W245" s="63">
        <f t="shared" si="408"/>
        <v>2172.6660000000002</v>
      </c>
      <c r="X245" s="63">
        <f t="shared" si="409"/>
        <v>508.12350000000004</v>
      </c>
      <c r="Y245" s="63">
        <f t="shared" si="410"/>
        <v>4930.5500999999995</v>
      </c>
      <c r="Z245" s="63">
        <f t="shared" si="411"/>
        <v>56.068800000000003</v>
      </c>
      <c r="AA245" s="63">
        <f t="shared" si="412"/>
        <v>24.530100000000001</v>
      </c>
      <c r="AB245" s="63">
        <f t="shared" si="413"/>
        <v>335</v>
      </c>
      <c r="AC245" s="63">
        <f t="shared" si="414"/>
        <v>10356.36</v>
      </c>
      <c r="AD245" s="63">
        <f t="shared" si="415"/>
        <v>106.9136</v>
      </c>
      <c r="AE245" s="170">
        <v>496</v>
      </c>
      <c r="AF245" s="69">
        <f t="shared" si="416"/>
        <v>0</v>
      </c>
      <c r="AG245" s="69">
        <f t="shared" si="417"/>
        <v>18490.212100000001</v>
      </c>
      <c r="AH245" s="67">
        <v>18823.12</v>
      </c>
      <c r="AI245" s="69">
        <f t="shared" si="418"/>
        <v>-332.90789999999834</v>
      </c>
      <c r="AJ245" s="69">
        <f t="shared" si="419"/>
        <v>-332.90789999999834</v>
      </c>
    </row>
    <row r="246" spans="1:36" x14ac:dyDescent="0.25">
      <c r="A246" s="167">
        <v>496</v>
      </c>
      <c r="B246" s="138"/>
      <c r="C246" s="168" t="s">
        <v>2495</v>
      </c>
      <c r="D246" s="138"/>
      <c r="E246" s="138"/>
      <c r="F246" s="138"/>
      <c r="G246" s="167" t="s">
        <v>2422</v>
      </c>
      <c r="H246" s="88"/>
      <c r="I246" s="88">
        <v>7273</v>
      </c>
      <c r="J246" s="218">
        <v>7273</v>
      </c>
      <c r="K246" s="219"/>
      <c r="L246" s="219"/>
      <c r="M246" s="220">
        <v>279.73</v>
      </c>
      <c r="N246" s="220">
        <v>0</v>
      </c>
      <c r="O246" s="219"/>
      <c r="P246" s="219"/>
      <c r="Q246" s="220">
        <v>0</v>
      </c>
      <c r="R246" s="172">
        <v>7273</v>
      </c>
      <c r="S246" s="173"/>
      <c r="T246" s="173"/>
      <c r="U246" s="173"/>
      <c r="V246" s="172">
        <f t="shared" si="407"/>
        <v>7273</v>
      </c>
      <c r="W246" s="172">
        <f t="shared" si="408"/>
        <v>450.92599999999999</v>
      </c>
      <c r="X246" s="172">
        <f t="shared" si="409"/>
        <v>105.4585</v>
      </c>
      <c r="Y246" s="172">
        <f t="shared" si="410"/>
        <v>1023.3110999999999</v>
      </c>
      <c r="Z246" s="172">
        <f t="shared" si="411"/>
        <v>11.636800000000001</v>
      </c>
      <c r="AA246" s="172">
        <f t="shared" si="412"/>
        <v>5.0911</v>
      </c>
      <c r="AB246" s="172" t="s">
        <v>2422</v>
      </c>
      <c r="AC246" s="172" t="s">
        <v>2422</v>
      </c>
      <c r="AD246" s="172" t="s">
        <v>2422</v>
      </c>
      <c r="AE246" s="170">
        <v>496</v>
      </c>
      <c r="AF246" s="69">
        <f t="shared" si="416"/>
        <v>0</v>
      </c>
      <c r="AG246" s="69">
        <f t="shared" si="417"/>
        <v>1596.4235000000001</v>
      </c>
      <c r="AH246" s="67">
        <v>1665.52</v>
      </c>
      <c r="AI246" s="69">
        <f t="shared" si="418"/>
        <v>-69.096499999999878</v>
      </c>
      <c r="AJ246" s="100">
        <f t="shared" si="419"/>
        <v>-69.096499999999878</v>
      </c>
    </row>
    <row r="247" spans="1:36" x14ac:dyDescent="0.25">
      <c r="A247" s="167">
        <v>496</v>
      </c>
      <c r="B247" s="138"/>
      <c r="C247" s="138"/>
      <c r="D247" s="138"/>
      <c r="E247" s="138"/>
      <c r="F247" s="138"/>
      <c r="G247" s="138"/>
      <c r="H247" s="221"/>
      <c r="I247" s="222">
        <f t="shared" ref="I247:J247" si="420">SUM(I242:I246)</f>
        <v>216924</v>
      </c>
      <c r="J247" s="222">
        <f t="shared" si="420"/>
        <v>218368</v>
      </c>
      <c r="K247" s="223"/>
      <c r="L247" s="223">
        <f t="shared" ref="L247:AD247" si="421">SUM(L241:L246)</f>
        <v>101.48798076923077</v>
      </c>
      <c r="M247" s="223">
        <f t="shared" si="421"/>
        <v>8398.7684615384624</v>
      </c>
      <c r="N247" s="223">
        <f t="shared" si="421"/>
        <v>0</v>
      </c>
      <c r="O247" s="223">
        <f t="shared" si="421"/>
        <v>0</v>
      </c>
      <c r="P247" s="223">
        <f t="shared" si="421"/>
        <v>0</v>
      </c>
      <c r="Q247" s="223">
        <f t="shared" si="421"/>
        <v>0</v>
      </c>
      <c r="R247" s="223">
        <f t="shared" si="421"/>
        <v>218368</v>
      </c>
      <c r="S247" s="223">
        <f t="shared" si="421"/>
        <v>0</v>
      </c>
      <c r="T247" s="223">
        <f t="shared" si="421"/>
        <v>0</v>
      </c>
      <c r="U247" s="223">
        <f t="shared" si="421"/>
        <v>0</v>
      </c>
      <c r="V247" s="223">
        <f t="shared" si="421"/>
        <v>218368</v>
      </c>
      <c r="W247" s="223">
        <f t="shared" si="421"/>
        <v>13538.815999999999</v>
      </c>
      <c r="X247" s="223">
        <f t="shared" si="421"/>
        <v>3166.3360000000002</v>
      </c>
      <c r="Y247" s="223">
        <f t="shared" si="421"/>
        <v>30724.3776</v>
      </c>
      <c r="Z247" s="223">
        <f t="shared" si="421"/>
        <v>349.3888</v>
      </c>
      <c r="AA247" s="223">
        <f t="shared" si="421"/>
        <v>152.85760000000002</v>
      </c>
      <c r="AB247" s="223">
        <f t="shared" si="421"/>
        <v>1340</v>
      </c>
      <c r="AC247" s="223">
        <f t="shared" si="421"/>
        <v>41425.440000000002</v>
      </c>
      <c r="AD247" s="223">
        <f t="shared" si="421"/>
        <v>427.65440000000001</v>
      </c>
      <c r="AE247" s="170">
        <v>496</v>
      </c>
      <c r="AF247" s="230">
        <f>SUM(AF242:AF246)</f>
        <v>1444</v>
      </c>
      <c r="AG247" s="100">
        <f t="shared" si="417"/>
        <v>91124.8704</v>
      </c>
      <c r="AH247" s="225">
        <v>92868.69</v>
      </c>
      <c r="AI247" s="226">
        <f t="shared" si="418"/>
        <v>-1743.8196000000025</v>
      </c>
      <c r="AJ247" s="226">
        <f t="shared" si="419"/>
        <v>-299.81960000000254</v>
      </c>
    </row>
    <row r="248" spans="1:36" hidden="1" x14ac:dyDescent="0.25">
      <c r="A248" s="138"/>
      <c r="B248" s="138"/>
      <c r="C248" s="138"/>
      <c r="D248" s="138"/>
      <c r="E248" s="138"/>
      <c r="F248" s="138"/>
      <c r="G248" s="138"/>
      <c r="H248" s="78"/>
      <c r="I248" s="78">
        <v>209651</v>
      </c>
      <c r="J248" s="78">
        <f>SUM(J242:J245)</f>
        <v>211095</v>
      </c>
      <c r="K248" s="138"/>
      <c r="L248" s="138"/>
      <c r="M248" s="138"/>
      <c r="N248" s="138"/>
      <c r="O248" s="138"/>
      <c r="P248" s="138"/>
      <c r="Q248" s="138"/>
      <c r="R248" s="169"/>
      <c r="S248" s="169"/>
      <c r="T248" s="169"/>
      <c r="U248" s="169"/>
      <c r="V248" s="169"/>
      <c r="W248" s="63">
        <f>SUM(W247:X247)</f>
        <v>16705.151999999998</v>
      </c>
      <c r="X248" s="169"/>
      <c r="Y248" s="169"/>
      <c r="Z248" s="169"/>
      <c r="AA248" s="169"/>
      <c r="AB248" s="169"/>
      <c r="AC248" s="63">
        <f>SUM(AC247:AD247)</f>
        <v>41853.094400000002</v>
      </c>
      <c r="AD248" s="169"/>
      <c r="AE248" s="149"/>
      <c r="AF248" s="69">
        <f>SUM(AF242:AF246)</f>
        <v>1444</v>
      </c>
      <c r="AG248" s="178"/>
      <c r="AH248" s="65"/>
      <c r="AI248" s="69">
        <f t="shared" ref="AI248:AJ248" si="422">SUM(AI242:AI246)</f>
        <v>-1743.8296000000048</v>
      </c>
      <c r="AJ248" s="69">
        <f t="shared" si="422"/>
        <v>-299.8296000000048</v>
      </c>
    </row>
    <row r="249" spans="1:36" x14ac:dyDescent="0.25">
      <c r="A249" s="138"/>
      <c r="B249" s="138"/>
      <c r="C249" s="138"/>
      <c r="D249" s="138"/>
      <c r="E249" s="138"/>
      <c r="F249" s="138"/>
      <c r="G249" s="138"/>
      <c r="H249" s="148"/>
      <c r="I249" s="148"/>
      <c r="J249" s="148"/>
      <c r="K249" s="138"/>
      <c r="L249" s="138"/>
      <c r="M249" s="138"/>
      <c r="N249" s="138"/>
      <c r="O249" s="138"/>
      <c r="P249" s="138"/>
      <c r="Q249" s="138"/>
      <c r="R249" s="169"/>
      <c r="S249" s="169"/>
      <c r="T249" s="169"/>
      <c r="U249" s="169"/>
      <c r="V249" s="169"/>
      <c r="W249" s="169"/>
      <c r="X249" s="169"/>
      <c r="Y249" s="169"/>
      <c r="Z249" s="169"/>
      <c r="AA249" s="169"/>
      <c r="AB249" s="169"/>
      <c r="AC249" s="169"/>
      <c r="AD249" s="169"/>
      <c r="AE249" s="149"/>
      <c r="AF249" s="178"/>
      <c r="AG249" s="178"/>
      <c r="AH249" s="65"/>
      <c r="AI249" s="178"/>
      <c r="AJ249" s="178"/>
    </row>
    <row r="250" spans="1:36" x14ac:dyDescent="0.25">
      <c r="A250" s="167">
        <v>497</v>
      </c>
      <c r="B250" s="92" t="s">
        <v>2809</v>
      </c>
      <c r="C250" s="168" t="s">
        <v>1069</v>
      </c>
      <c r="D250" s="168" t="s">
        <v>2810</v>
      </c>
      <c r="E250" s="168" t="s">
        <v>2486</v>
      </c>
      <c r="F250" s="74">
        <v>39234</v>
      </c>
      <c r="G250" s="59">
        <f t="shared" ref="G250:G252" si="423">(DATE(2021,12,30)-(F250))/365</f>
        <v>14.591780821917808</v>
      </c>
      <c r="H250" s="57"/>
      <c r="I250" s="57">
        <v>59516</v>
      </c>
      <c r="J250" s="182">
        <v>60607</v>
      </c>
      <c r="K250" s="63"/>
      <c r="L250" s="63">
        <f t="shared" ref="L250:L252" si="424">SUM(J250/2080)</f>
        <v>29.137980769230769</v>
      </c>
      <c r="M250" s="63">
        <f t="shared" ref="M250:M252" si="425">SUM(J250/26)</f>
        <v>2331.0384615384614</v>
      </c>
      <c r="N250" s="63">
        <v>0</v>
      </c>
      <c r="O250" s="169"/>
      <c r="P250" s="169"/>
      <c r="Q250" s="63">
        <f t="shared" ref="Q250:Q252" si="426">IF(N250+P250&gt;5000,5000,N250+P250)</f>
        <v>0</v>
      </c>
      <c r="R250" s="63">
        <f t="shared" ref="R250:R252" si="427">Q250+J250</f>
        <v>60607</v>
      </c>
      <c r="S250" s="169"/>
      <c r="T250" s="169"/>
      <c r="U250" s="169"/>
      <c r="V250" s="63">
        <f t="shared" ref="V250:V253" si="428">SUM(R250:U250)</f>
        <v>60607</v>
      </c>
      <c r="W250" s="63">
        <f t="shared" ref="W250:W253" si="429">SUM(V250*$W$7)</f>
        <v>3757.634</v>
      </c>
      <c r="X250" s="63">
        <f t="shared" ref="X250:X253" si="430">SUM(V250*$X$7)</f>
        <v>878.80150000000003</v>
      </c>
      <c r="Y250" s="63">
        <f t="shared" ref="Y250:Y253" si="431">SUM(V250*$Y$7)</f>
        <v>8527.4048999999995</v>
      </c>
      <c r="Z250" s="63">
        <f t="shared" ref="Z250:Z253" si="432">SUM(V250*$Z$7)</f>
        <v>96.97120000000001</v>
      </c>
      <c r="AA250" s="63">
        <f t="shared" ref="AA250:AA253" si="433">SUM(V250*$AA$7)</f>
        <v>42.424900000000001</v>
      </c>
      <c r="AB250" s="63">
        <f t="shared" ref="AB250:AB252" si="434">SUM($AB$7)</f>
        <v>335</v>
      </c>
      <c r="AC250" s="63">
        <f t="shared" ref="AC250:AC252" si="435">$AC$7</f>
        <v>10356.36</v>
      </c>
      <c r="AD250" s="63">
        <f t="shared" ref="AD250:AD252" si="436">SUM(AB250+AC250)*$AD$7</f>
        <v>106.9136</v>
      </c>
      <c r="AE250" s="170">
        <v>497</v>
      </c>
      <c r="AF250" s="69">
        <f t="shared" ref="AF250:AF253" si="437">SUM(J250-I250)</f>
        <v>1091</v>
      </c>
      <c r="AG250" s="69">
        <f t="shared" ref="AG250:AG254" si="438">SUM(W250:AD250)</f>
        <v>24101.5101</v>
      </c>
      <c r="AH250" s="67">
        <v>24427.439999999999</v>
      </c>
      <c r="AI250" s="69">
        <f t="shared" ref="AI250:AI254" si="439">AG250-AH250</f>
        <v>-325.92989999999918</v>
      </c>
      <c r="AJ250" s="69">
        <f t="shared" ref="AJ250:AJ254" si="440">AF250+AI250</f>
        <v>765.07010000000082</v>
      </c>
    </row>
    <row r="251" spans="1:36" x14ac:dyDescent="0.25">
      <c r="A251" s="167">
        <v>497</v>
      </c>
      <c r="B251" s="92" t="s">
        <v>2811</v>
      </c>
      <c r="C251" s="71" t="s">
        <v>2812</v>
      </c>
      <c r="D251" s="168" t="s">
        <v>2979</v>
      </c>
      <c r="E251" s="168" t="s">
        <v>3785</v>
      </c>
      <c r="F251" s="58">
        <v>36703</v>
      </c>
      <c r="G251" s="59">
        <f t="shared" si="423"/>
        <v>21.526027397260275</v>
      </c>
      <c r="H251" s="57"/>
      <c r="I251" s="66">
        <v>41011</v>
      </c>
      <c r="J251" s="66">
        <v>41011</v>
      </c>
      <c r="K251" s="63"/>
      <c r="L251" s="63">
        <f t="shared" si="424"/>
        <v>19.716826923076923</v>
      </c>
      <c r="M251" s="63">
        <f t="shared" si="425"/>
        <v>1577.3461538461538</v>
      </c>
      <c r="N251" s="63">
        <v>0</v>
      </c>
      <c r="O251" s="169"/>
      <c r="P251" s="169"/>
      <c r="Q251" s="63">
        <f t="shared" si="426"/>
        <v>0</v>
      </c>
      <c r="R251" s="63">
        <f t="shared" si="427"/>
        <v>41011</v>
      </c>
      <c r="S251" s="169"/>
      <c r="T251" s="169"/>
      <c r="U251" s="169"/>
      <c r="V251" s="63">
        <f t="shared" si="428"/>
        <v>41011</v>
      </c>
      <c r="W251" s="63">
        <f t="shared" si="429"/>
        <v>2542.6819999999998</v>
      </c>
      <c r="X251" s="63">
        <f t="shared" si="430"/>
        <v>594.65949999999998</v>
      </c>
      <c r="Y251" s="63">
        <f t="shared" si="431"/>
        <v>5770.2476999999999</v>
      </c>
      <c r="Z251" s="63">
        <f t="shared" si="432"/>
        <v>65.61760000000001</v>
      </c>
      <c r="AA251" s="63">
        <f t="shared" si="433"/>
        <v>28.707699999999999</v>
      </c>
      <c r="AB251" s="63">
        <f t="shared" si="434"/>
        <v>335</v>
      </c>
      <c r="AC251" s="63">
        <f t="shared" si="435"/>
        <v>10356.36</v>
      </c>
      <c r="AD251" s="63">
        <f t="shared" si="436"/>
        <v>106.9136</v>
      </c>
      <c r="AE251" s="170">
        <v>497</v>
      </c>
      <c r="AF251" s="69">
        <f t="shared" si="437"/>
        <v>0</v>
      </c>
      <c r="AG251" s="69">
        <f t="shared" si="438"/>
        <v>19800.188099999999</v>
      </c>
      <c r="AH251" s="67">
        <v>22122.09</v>
      </c>
      <c r="AI251" s="69">
        <f t="shared" si="439"/>
        <v>-2321.9019000000008</v>
      </c>
      <c r="AJ251" s="69">
        <f t="shared" si="440"/>
        <v>-2321.9019000000008</v>
      </c>
    </row>
    <row r="252" spans="1:36" x14ac:dyDescent="0.25">
      <c r="A252" s="167">
        <v>497</v>
      </c>
      <c r="B252" s="92" t="s">
        <v>2815</v>
      </c>
      <c r="C252" s="71" t="s">
        <v>2816</v>
      </c>
      <c r="D252" s="168" t="s">
        <v>2609</v>
      </c>
      <c r="E252" s="168" t="s">
        <v>2817</v>
      </c>
      <c r="F252" s="74">
        <v>37643</v>
      </c>
      <c r="G252" s="59">
        <f t="shared" si="423"/>
        <v>18.950684931506849</v>
      </c>
      <c r="H252" s="57"/>
      <c r="I252" s="66">
        <v>49449</v>
      </c>
      <c r="J252" s="182">
        <v>50355</v>
      </c>
      <c r="K252" s="63"/>
      <c r="L252" s="63">
        <f t="shared" si="424"/>
        <v>24.209134615384617</v>
      </c>
      <c r="M252" s="63">
        <f t="shared" si="425"/>
        <v>1936.7307692307693</v>
      </c>
      <c r="N252" s="63">
        <v>0</v>
      </c>
      <c r="O252" s="169"/>
      <c r="P252" s="169"/>
      <c r="Q252" s="63">
        <f t="shared" si="426"/>
        <v>0</v>
      </c>
      <c r="R252" s="63">
        <f t="shared" si="427"/>
        <v>50355</v>
      </c>
      <c r="S252" s="169"/>
      <c r="T252" s="169"/>
      <c r="U252" s="169"/>
      <c r="V252" s="63">
        <f t="shared" si="428"/>
        <v>50355</v>
      </c>
      <c r="W252" s="63">
        <f t="shared" si="429"/>
        <v>3122.0099999999998</v>
      </c>
      <c r="X252" s="63">
        <f t="shared" si="430"/>
        <v>730.14750000000004</v>
      </c>
      <c r="Y252" s="63">
        <f t="shared" si="431"/>
        <v>7084.9484999999995</v>
      </c>
      <c r="Z252" s="63">
        <f t="shared" si="432"/>
        <v>80.567999999999998</v>
      </c>
      <c r="AA252" s="63">
        <f t="shared" si="433"/>
        <v>35.2485</v>
      </c>
      <c r="AB252" s="63">
        <f t="shared" si="434"/>
        <v>335</v>
      </c>
      <c r="AC252" s="63">
        <f t="shared" si="435"/>
        <v>10356.36</v>
      </c>
      <c r="AD252" s="63">
        <f t="shared" si="436"/>
        <v>106.9136</v>
      </c>
      <c r="AE252" s="170">
        <v>497</v>
      </c>
      <c r="AF252" s="69">
        <f t="shared" si="437"/>
        <v>906</v>
      </c>
      <c r="AG252" s="69">
        <f t="shared" si="438"/>
        <v>21851.196100000001</v>
      </c>
      <c r="AH252" s="67">
        <v>20189.79</v>
      </c>
      <c r="AI252" s="69">
        <f t="shared" si="439"/>
        <v>1661.4061000000002</v>
      </c>
      <c r="AJ252" s="69">
        <f t="shared" si="440"/>
        <v>2567.4061000000002</v>
      </c>
    </row>
    <row r="253" spans="1:36" x14ac:dyDescent="0.25">
      <c r="A253" s="167">
        <v>497</v>
      </c>
      <c r="B253" s="138"/>
      <c r="C253" s="168" t="s">
        <v>2495</v>
      </c>
      <c r="D253" s="138"/>
      <c r="E253" s="138"/>
      <c r="F253" s="138"/>
      <c r="G253" s="167" t="s">
        <v>2422</v>
      </c>
      <c r="H253" s="88"/>
      <c r="I253" s="88">
        <v>4000</v>
      </c>
      <c r="J253" s="218">
        <v>4000</v>
      </c>
      <c r="K253" s="219"/>
      <c r="L253" s="219"/>
      <c r="M253" s="219"/>
      <c r="N253" s="220" t="s">
        <v>27</v>
      </c>
      <c r="O253" s="219"/>
      <c r="P253" s="219"/>
      <c r="Q253" s="220">
        <v>0</v>
      </c>
      <c r="R253" s="172">
        <v>4000</v>
      </c>
      <c r="S253" s="173"/>
      <c r="T253" s="173"/>
      <c r="U253" s="173"/>
      <c r="V253" s="172">
        <f t="shared" si="428"/>
        <v>4000</v>
      </c>
      <c r="W253" s="172">
        <f t="shared" si="429"/>
        <v>248</v>
      </c>
      <c r="X253" s="172">
        <f t="shared" si="430"/>
        <v>58</v>
      </c>
      <c r="Y253" s="172">
        <f t="shared" si="431"/>
        <v>562.79999999999995</v>
      </c>
      <c r="Z253" s="172">
        <f t="shared" si="432"/>
        <v>6.4</v>
      </c>
      <c r="AA253" s="172">
        <f t="shared" si="433"/>
        <v>2.8</v>
      </c>
      <c r="AB253" s="172" t="s">
        <v>2422</v>
      </c>
      <c r="AC253" s="172" t="s">
        <v>2422</v>
      </c>
      <c r="AD253" s="172" t="s">
        <v>2422</v>
      </c>
      <c r="AE253" s="170">
        <v>497</v>
      </c>
      <c r="AF253" s="69">
        <f t="shared" si="437"/>
        <v>0</v>
      </c>
      <c r="AG253" s="69">
        <f t="shared" si="438"/>
        <v>877.99999999999989</v>
      </c>
      <c r="AH253" s="67">
        <v>916</v>
      </c>
      <c r="AI253" s="69">
        <f t="shared" si="439"/>
        <v>-38.000000000000114</v>
      </c>
      <c r="AJ253" s="100">
        <f t="shared" si="440"/>
        <v>-38.000000000000114</v>
      </c>
    </row>
    <row r="254" spans="1:36" x14ac:dyDescent="0.25">
      <c r="A254" s="167">
        <v>497</v>
      </c>
      <c r="B254" s="138"/>
      <c r="C254" s="138"/>
      <c r="G254" s="138"/>
      <c r="H254" s="221"/>
      <c r="I254" s="222">
        <f t="shared" ref="I254:J254" si="441">SUM(I250:I253)</f>
        <v>153976</v>
      </c>
      <c r="J254" s="222">
        <f t="shared" si="441"/>
        <v>155973</v>
      </c>
      <c r="K254" s="223"/>
      <c r="L254" s="223">
        <f t="shared" ref="L254:AD254" si="442">SUM(L249:L253)</f>
        <v>73.063942307692301</v>
      </c>
      <c r="M254" s="223">
        <f t="shared" si="442"/>
        <v>5845.1153846153848</v>
      </c>
      <c r="N254" s="223">
        <f t="shared" si="442"/>
        <v>0</v>
      </c>
      <c r="O254" s="223">
        <f t="shared" si="442"/>
        <v>0</v>
      </c>
      <c r="P254" s="223">
        <f t="shared" si="442"/>
        <v>0</v>
      </c>
      <c r="Q254" s="223">
        <f t="shared" si="442"/>
        <v>0</v>
      </c>
      <c r="R254" s="223">
        <f t="shared" si="442"/>
        <v>155973</v>
      </c>
      <c r="S254" s="223">
        <f t="shared" si="442"/>
        <v>0</v>
      </c>
      <c r="T254" s="223">
        <f t="shared" si="442"/>
        <v>0</v>
      </c>
      <c r="U254" s="223">
        <f t="shared" si="442"/>
        <v>0</v>
      </c>
      <c r="V254" s="223">
        <f t="shared" si="442"/>
        <v>155973</v>
      </c>
      <c r="W254" s="223">
        <f t="shared" si="442"/>
        <v>9670.3259999999991</v>
      </c>
      <c r="X254" s="223">
        <f t="shared" si="442"/>
        <v>2261.6085000000003</v>
      </c>
      <c r="Y254" s="223">
        <f t="shared" si="442"/>
        <v>21945.401099999999</v>
      </c>
      <c r="Z254" s="223">
        <f t="shared" si="442"/>
        <v>249.55680000000004</v>
      </c>
      <c r="AA254" s="223">
        <f t="shared" si="442"/>
        <v>109.1811</v>
      </c>
      <c r="AB254" s="223">
        <f t="shared" si="442"/>
        <v>1005</v>
      </c>
      <c r="AC254" s="223">
        <f t="shared" si="442"/>
        <v>31069.08</v>
      </c>
      <c r="AD254" s="223">
        <f t="shared" si="442"/>
        <v>320.74080000000004</v>
      </c>
      <c r="AE254" s="170">
        <v>497</v>
      </c>
      <c r="AF254" s="230">
        <f>SUM(AF250:AF253)</f>
        <v>1997</v>
      </c>
      <c r="AG254" s="100">
        <f t="shared" si="438"/>
        <v>66630.8943</v>
      </c>
      <c r="AH254" s="225">
        <v>67655.320000000007</v>
      </c>
      <c r="AI254" s="226">
        <f t="shared" si="439"/>
        <v>-1024.4257000000071</v>
      </c>
      <c r="AJ254" s="226">
        <f t="shared" si="440"/>
        <v>972.57429999999295</v>
      </c>
    </row>
    <row r="255" spans="1:36" hidden="1" x14ac:dyDescent="0.25">
      <c r="A255" s="138"/>
      <c r="B255" s="138"/>
      <c r="C255" s="138"/>
      <c r="D255" s="138"/>
      <c r="E255" s="138"/>
      <c r="F255" s="138"/>
      <c r="G255" s="138"/>
      <c r="H255" s="78"/>
      <c r="I255" s="78">
        <v>90460</v>
      </c>
      <c r="J255" s="78">
        <f>SUM(J251:J252)</f>
        <v>91366</v>
      </c>
      <c r="K255" s="138"/>
      <c r="L255" s="138"/>
      <c r="M255" s="138"/>
      <c r="N255" s="138"/>
      <c r="O255" s="138"/>
      <c r="P255" s="138"/>
      <c r="Q255" s="138"/>
      <c r="R255" s="169"/>
      <c r="S255" s="169"/>
      <c r="T255" s="169"/>
      <c r="U255" s="169"/>
      <c r="V255" s="169"/>
      <c r="W255" s="63">
        <f>SUM(W254:X254)</f>
        <v>11931.934499999999</v>
      </c>
      <c r="X255" s="169"/>
      <c r="Y255" s="169"/>
      <c r="Z255" s="169"/>
      <c r="AA255" s="169"/>
      <c r="AB255" s="169"/>
      <c r="AC255" s="63">
        <f>SUM(AC254:AD254)</f>
        <v>31389.820800000001</v>
      </c>
      <c r="AD255" s="169"/>
      <c r="AE255" s="149"/>
      <c r="AF255" s="69">
        <f>SUM(AF250:AF253)</f>
        <v>1997</v>
      </c>
      <c r="AG255" s="178"/>
      <c r="AH255" s="65"/>
      <c r="AI255" s="69">
        <f t="shared" ref="AI255:AJ255" si="443">SUM(AI250:AI253)</f>
        <v>-1024.4256999999998</v>
      </c>
      <c r="AJ255" s="69">
        <f t="shared" si="443"/>
        <v>972.57430000000011</v>
      </c>
    </row>
    <row r="256" spans="1:36" x14ac:dyDescent="0.25">
      <c r="A256" s="138"/>
      <c r="B256" s="138"/>
      <c r="C256" s="138"/>
      <c r="D256" s="138"/>
      <c r="E256" s="138"/>
      <c r="F256" s="138"/>
      <c r="G256" s="138"/>
      <c r="H256" s="148"/>
      <c r="I256" s="148"/>
      <c r="J256" s="148"/>
      <c r="K256" s="138"/>
      <c r="L256" s="138"/>
      <c r="M256" s="138"/>
      <c r="N256" s="138"/>
      <c r="O256" s="138"/>
      <c r="P256" s="138"/>
      <c r="Q256" s="138"/>
      <c r="R256" s="169"/>
      <c r="S256" s="169"/>
      <c r="T256" s="169"/>
      <c r="U256" s="169"/>
      <c r="V256" s="169"/>
      <c r="W256" s="173"/>
      <c r="X256" s="173"/>
      <c r="Y256" s="173"/>
      <c r="Z256" s="173"/>
      <c r="AA256" s="173"/>
      <c r="AB256" s="173"/>
      <c r="AC256" s="173"/>
      <c r="AD256" s="173"/>
      <c r="AE256" s="149"/>
      <c r="AF256" s="243"/>
      <c r="AG256" s="178"/>
      <c r="AH256" s="65"/>
      <c r="AI256" s="178"/>
      <c r="AJ256" s="178"/>
    </row>
    <row r="257" spans="1:36" x14ac:dyDescent="0.25">
      <c r="A257" s="167"/>
      <c r="B257" s="167"/>
      <c r="C257" s="168"/>
      <c r="D257" s="168"/>
      <c r="E257" s="168"/>
      <c r="F257" s="58"/>
      <c r="G257" s="59"/>
      <c r="H257" s="57"/>
      <c r="I257" s="57"/>
      <c r="J257" s="57"/>
      <c r="K257" s="57"/>
      <c r="L257" s="57"/>
      <c r="M257" s="57"/>
      <c r="N257" s="57"/>
      <c r="O257" s="179"/>
      <c r="P257" s="179"/>
      <c r="Q257" s="57"/>
      <c r="R257" s="57"/>
      <c r="S257" s="179"/>
      <c r="T257" s="179"/>
      <c r="U257" s="179"/>
      <c r="V257" s="57"/>
      <c r="W257" s="175"/>
      <c r="X257" s="175"/>
      <c r="Y257" s="175"/>
      <c r="Z257" s="175"/>
      <c r="AA257" s="175"/>
      <c r="AB257" s="175"/>
      <c r="AC257" s="175"/>
      <c r="AD257" s="175"/>
      <c r="AE257" s="170"/>
      <c r="AF257" s="244"/>
      <c r="AG257" s="69"/>
      <c r="AH257" s="69"/>
      <c r="AI257" s="176"/>
      <c r="AJ257" s="176"/>
    </row>
    <row r="258" spans="1:36" x14ac:dyDescent="0.25">
      <c r="A258" s="167">
        <v>498</v>
      </c>
      <c r="B258" s="92" t="s">
        <v>2818</v>
      </c>
      <c r="C258" s="168" t="s">
        <v>2819</v>
      </c>
      <c r="D258" s="71" t="s">
        <v>2820</v>
      </c>
      <c r="E258" s="71" t="s">
        <v>2821</v>
      </c>
      <c r="F258" s="73">
        <v>43570</v>
      </c>
      <c r="G258" s="59">
        <f>(DATE(2021,12,30)-(F258))/365</f>
        <v>2.7123287671232879</v>
      </c>
      <c r="H258" s="68"/>
      <c r="I258" s="174">
        <v>55939</v>
      </c>
      <c r="J258" s="245">
        <v>56964</v>
      </c>
      <c r="K258" s="174"/>
      <c r="L258" s="174">
        <f>SUM(J258/2080)</f>
        <v>27.386538461538461</v>
      </c>
      <c r="M258" s="174">
        <f>SUM(J258/26)</f>
        <v>2190.9230769230771</v>
      </c>
      <c r="N258" s="174">
        <f>IF(G258&lt;4,0,(G258-1)*$N$7)</f>
        <v>0</v>
      </c>
      <c r="O258" s="246"/>
      <c r="P258" s="246"/>
      <c r="Q258" s="174">
        <f>IF(N258+P258&gt;5000,5000,N258+P258)</f>
        <v>0</v>
      </c>
      <c r="R258" s="174">
        <f>Q258+J258</f>
        <v>56964</v>
      </c>
      <c r="S258" s="246"/>
      <c r="T258" s="246"/>
      <c r="U258" s="246"/>
      <c r="V258" s="174">
        <f>SUM(R258:U258)</f>
        <v>56964</v>
      </c>
      <c r="W258" s="175">
        <f>SUM(V258*$W$7)</f>
        <v>3531.768</v>
      </c>
      <c r="X258" s="175">
        <f>SUM(V258*$X$7)</f>
        <v>825.97800000000007</v>
      </c>
      <c r="Y258" s="175">
        <f>SUM(V258*$Y$7)</f>
        <v>8014.8347999999996</v>
      </c>
      <c r="Z258" s="175">
        <f>SUM(V258*$Z$7)</f>
        <v>91.142400000000009</v>
      </c>
      <c r="AA258" s="175">
        <f>SUM(V258*$AA$7)</f>
        <v>39.8748</v>
      </c>
      <c r="AB258" s="175">
        <f>SUM($AB$7)</f>
        <v>335</v>
      </c>
      <c r="AC258" s="175">
        <f>$AC$7</f>
        <v>10356.36</v>
      </c>
      <c r="AD258" s="175">
        <f>SUM(AB258+AC258)*$AD$7</f>
        <v>106.9136</v>
      </c>
      <c r="AE258" s="170">
        <v>498</v>
      </c>
      <c r="AF258" s="195">
        <f>SUM(J258-I258)</f>
        <v>1025</v>
      </c>
      <c r="AG258" s="69">
        <f>SUM(W258:AD258)</f>
        <v>23301.871599999999</v>
      </c>
      <c r="AH258" s="67">
        <v>23608.3</v>
      </c>
      <c r="AI258" s="176">
        <f>AG258-AH258</f>
        <v>-306.42840000000069</v>
      </c>
      <c r="AJ258" s="176">
        <f>AF258+AI258</f>
        <v>718.57159999999931</v>
      </c>
    </row>
    <row r="259" spans="1:36" x14ac:dyDescent="0.25">
      <c r="A259" s="138"/>
      <c r="B259" s="138"/>
      <c r="C259" s="138"/>
      <c r="D259" s="138"/>
      <c r="E259" s="138"/>
      <c r="F259" s="138"/>
      <c r="G259" s="138"/>
      <c r="H259" s="148"/>
      <c r="I259" s="148"/>
      <c r="J259" s="148"/>
      <c r="K259" s="138"/>
      <c r="L259" s="138"/>
      <c r="M259" s="138"/>
      <c r="N259" s="138"/>
      <c r="O259" s="138"/>
      <c r="P259" s="138"/>
      <c r="Q259" s="138"/>
      <c r="R259" s="169"/>
      <c r="S259" s="169"/>
      <c r="T259" s="169"/>
      <c r="U259" s="169"/>
      <c r="V259" s="169"/>
      <c r="W259" s="69">
        <f>SUM(W258:X258)</f>
        <v>4357.7460000000001</v>
      </c>
      <c r="X259" s="169"/>
      <c r="Y259" s="169"/>
      <c r="Z259" s="169"/>
      <c r="AA259" s="169"/>
      <c r="AB259" s="169"/>
      <c r="AC259" s="169">
        <f>SUM(AC258:AD258)</f>
        <v>10463.2736</v>
      </c>
      <c r="AD259" s="169"/>
      <c r="AE259" s="149"/>
      <c r="AF259" s="178"/>
      <c r="AG259" s="178"/>
      <c r="AH259" s="65"/>
      <c r="AI259" s="178"/>
      <c r="AJ259" s="178"/>
    </row>
    <row r="260" spans="1:36" x14ac:dyDescent="0.25">
      <c r="A260" s="138"/>
      <c r="B260" s="138"/>
      <c r="C260" s="138"/>
      <c r="D260" s="138"/>
      <c r="E260" s="138"/>
      <c r="F260" s="138"/>
      <c r="G260" s="138"/>
      <c r="H260" s="148"/>
      <c r="I260" s="148"/>
      <c r="J260" s="148"/>
      <c r="K260" s="138"/>
      <c r="L260" s="138"/>
      <c r="M260" s="138"/>
      <c r="N260" s="138"/>
      <c r="O260" s="138"/>
      <c r="P260" s="138"/>
      <c r="Q260" s="138"/>
      <c r="R260" s="169"/>
      <c r="S260" s="169"/>
      <c r="T260" s="169"/>
      <c r="U260" s="169"/>
      <c r="V260" s="169"/>
      <c r="W260" s="169"/>
      <c r="X260" s="169"/>
      <c r="Y260" s="169"/>
      <c r="Z260" s="169"/>
      <c r="AA260" s="169"/>
      <c r="AB260" s="169"/>
      <c r="AC260" s="169"/>
      <c r="AD260" s="169"/>
      <c r="AE260" s="149"/>
      <c r="AF260" s="178"/>
      <c r="AG260" s="178"/>
      <c r="AH260" s="65"/>
      <c r="AI260" s="178"/>
      <c r="AJ260" s="178"/>
    </row>
    <row r="261" spans="1:36" x14ac:dyDescent="0.25">
      <c r="A261" s="167">
        <v>499</v>
      </c>
      <c r="B261" s="92" t="s">
        <v>2824</v>
      </c>
      <c r="C261" s="168" t="s">
        <v>2825</v>
      </c>
      <c r="D261" s="185" t="s">
        <v>2826</v>
      </c>
      <c r="E261" s="185" t="s">
        <v>2827</v>
      </c>
      <c r="F261" s="74">
        <v>34960</v>
      </c>
      <c r="G261" s="59">
        <f t="shared" ref="G261:G274" si="444">(DATE(2021,12,30)-(F261))/365</f>
        <v>26.301369863013697</v>
      </c>
      <c r="H261" s="57"/>
      <c r="I261" s="57">
        <v>60607</v>
      </c>
      <c r="J261" s="182">
        <v>61718</v>
      </c>
      <c r="K261" s="63"/>
      <c r="L261" s="63">
        <f t="shared" ref="L261:L274" si="445">SUM(J261/2080)</f>
        <v>29.672115384615385</v>
      </c>
      <c r="M261" s="63">
        <f t="shared" ref="M261:M274" si="446">SUM(J261/26)</f>
        <v>2373.7692307692309</v>
      </c>
      <c r="N261" s="63">
        <v>0</v>
      </c>
      <c r="O261" s="169"/>
      <c r="P261" s="169"/>
      <c r="Q261" s="63">
        <f t="shared" ref="Q261:Q274" si="447">IF(N261+P261&gt;5000,5000,N261+P261)</f>
        <v>0</v>
      </c>
      <c r="R261" s="63">
        <f t="shared" ref="R261:R276" si="448">Q261+J261</f>
        <v>61718</v>
      </c>
      <c r="S261" s="169"/>
      <c r="T261" s="169"/>
      <c r="U261" s="169"/>
      <c r="V261" s="63">
        <f t="shared" ref="V261:V276" si="449">SUM(R261:U261)</f>
        <v>61718</v>
      </c>
      <c r="W261" s="63">
        <f t="shared" ref="W261:W276" si="450">SUM(V261*$W$7)</f>
        <v>3826.5160000000001</v>
      </c>
      <c r="X261" s="63">
        <f t="shared" ref="X261:X276" si="451">SUM(V261*$X$7)</f>
        <v>894.91100000000006</v>
      </c>
      <c r="Y261" s="63">
        <f t="shared" ref="Y261:Y276" si="452">SUM(V261*$Y$7)</f>
        <v>8683.7225999999991</v>
      </c>
      <c r="Z261" s="63">
        <f t="shared" ref="Z261:Z276" si="453">SUM(V261*$Z$7)</f>
        <v>98.748800000000003</v>
      </c>
      <c r="AA261" s="63">
        <f t="shared" ref="AA261:AA276" si="454">SUM(V261*$AA$7)</f>
        <v>43.202599999999997</v>
      </c>
      <c r="AB261" s="63">
        <f t="shared" ref="AB261:AB274" si="455">SUM($AB$7)</f>
        <v>335</v>
      </c>
      <c r="AC261" s="63">
        <f t="shared" ref="AC261:AC274" si="456">$AC$7</f>
        <v>10356.36</v>
      </c>
      <c r="AD261" s="63">
        <f t="shared" ref="AD261:AD274" si="457">SUM(AB261+AC261)*$AD$7</f>
        <v>106.9136</v>
      </c>
      <c r="AE261" s="170">
        <v>499</v>
      </c>
      <c r="AF261" s="69">
        <f t="shared" ref="AF261:AF276" si="458">SUM(J261-I261)</f>
        <v>1111</v>
      </c>
      <c r="AG261" s="69">
        <f t="shared" ref="AG261:AG277" si="459">SUM(W261:AD261)</f>
        <v>24345.374599999999</v>
      </c>
      <c r="AH261" s="65"/>
      <c r="AI261" s="69">
        <f t="shared" ref="AI261:AI277" si="460">AG261-AH261</f>
        <v>24345.374599999999</v>
      </c>
      <c r="AJ261" s="69">
        <f t="shared" ref="AJ261:AJ277" si="461">AF261+AI261</f>
        <v>25456.374599999999</v>
      </c>
    </row>
    <row r="262" spans="1:36" x14ac:dyDescent="0.25">
      <c r="A262" s="167">
        <v>499</v>
      </c>
      <c r="B262" s="92" t="s">
        <v>2828</v>
      </c>
      <c r="C262" s="71" t="s">
        <v>2829</v>
      </c>
      <c r="D262" s="168" t="s">
        <v>2830</v>
      </c>
      <c r="E262" s="168" t="s">
        <v>2831</v>
      </c>
      <c r="F262" s="58">
        <v>38880</v>
      </c>
      <c r="G262" s="59">
        <f t="shared" si="444"/>
        <v>15.561643835616438</v>
      </c>
      <c r="H262" s="57"/>
      <c r="I262" s="57">
        <v>42552</v>
      </c>
      <c r="J262" s="57">
        <v>42552</v>
      </c>
      <c r="K262" s="63"/>
      <c r="L262" s="63">
        <f t="shared" si="445"/>
        <v>20.457692307692309</v>
      </c>
      <c r="M262" s="63">
        <f t="shared" si="446"/>
        <v>1636.6153846153845</v>
      </c>
      <c r="N262" s="63">
        <v>0</v>
      </c>
      <c r="O262" s="169"/>
      <c r="P262" s="169"/>
      <c r="Q262" s="63">
        <f t="shared" si="447"/>
        <v>0</v>
      </c>
      <c r="R262" s="63">
        <f t="shared" si="448"/>
        <v>42552</v>
      </c>
      <c r="S262" s="169"/>
      <c r="T262" s="169"/>
      <c r="U262" s="169"/>
      <c r="V262" s="63">
        <f t="shared" si="449"/>
        <v>42552</v>
      </c>
      <c r="W262" s="63">
        <f t="shared" si="450"/>
        <v>2638.2240000000002</v>
      </c>
      <c r="X262" s="63">
        <f t="shared" si="451"/>
        <v>617.00400000000002</v>
      </c>
      <c r="Y262" s="63">
        <f t="shared" si="452"/>
        <v>5987.0663999999997</v>
      </c>
      <c r="Z262" s="63">
        <f t="shared" si="453"/>
        <v>68.083200000000005</v>
      </c>
      <c r="AA262" s="63">
        <f t="shared" si="454"/>
        <v>29.7864</v>
      </c>
      <c r="AB262" s="63">
        <f t="shared" si="455"/>
        <v>335</v>
      </c>
      <c r="AC262" s="63">
        <f t="shared" si="456"/>
        <v>10356.36</v>
      </c>
      <c r="AD262" s="63">
        <f t="shared" si="457"/>
        <v>106.9136</v>
      </c>
      <c r="AE262" s="170">
        <v>499</v>
      </c>
      <c r="AF262" s="69">
        <f t="shared" si="458"/>
        <v>0</v>
      </c>
      <c r="AG262" s="69">
        <f t="shared" si="459"/>
        <v>20138.437599999997</v>
      </c>
      <c r="AH262" s="65"/>
      <c r="AI262" s="69">
        <f t="shared" si="460"/>
        <v>20138.437599999997</v>
      </c>
      <c r="AJ262" s="69">
        <f t="shared" si="461"/>
        <v>20138.437599999997</v>
      </c>
    </row>
    <row r="263" spans="1:36" x14ac:dyDescent="0.25">
      <c r="A263" s="167">
        <v>499</v>
      </c>
      <c r="B263" s="92" t="s">
        <v>2832</v>
      </c>
      <c r="C263" s="71" t="s">
        <v>2833</v>
      </c>
      <c r="D263" s="168" t="s">
        <v>2834</v>
      </c>
      <c r="E263" s="168" t="s">
        <v>2835</v>
      </c>
      <c r="F263" s="74">
        <v>38516</v>
      </c>
      <c r="G263" s="59">
        <f t="shared" si="444"/>
        <v>16.55890410958904</v>
      </c>
      <c r="H263" s="57"/>
      <c r="I263" s="57">
        <v>43349</v>
      </c>
      <c r="J263" s="182">
        <v>44143</v>
      </c>
      <c r="K263" s="63"/>
      <c r="L263" s="63">
        <f t="shared" si="445"/>
        <v>21.222596153846155</v>
      </c>
      <c r="M263" s="63">
        <f t="shared" si="446"/>
        <v>1697.8076923076924</v>
      </c>
      <c r="N263" s="63">
        <v>0</v>
      </c>
      <c r="O263" s="169"/>
      <c r="P263" s="169"/>
      <c r="Q263" s="63">
        <f t="shared" si="447"/>
        <v>0</v>
      </c>
      <c r="R263" s="63">
        <f t="shared" si="448"/>
        <v>44143</v>
      </c>
      <c r="S263" s="169"/>
      <c r="T263" s="169"/>
      <c r="U263" s="169"/>
      <c r="V263" s="63">
        <f t="shared" si="449"/>
        <v>44143</v>
      </c>
      <c r="W263" s="63">
        <f t="shared" si="450"/>
        <v>2736.866</v>
      </c>
      <c r="X263" s="63">
        <f t="shared" si="451"/>
        <v>640.07350000000008</v>
      </c>
      <c r="Y263" s="63">
        <f t="shared" si="452"/>
        <v>6210.9200999999994</v>
      </c>
      <c r="Z263" s="63">
        <f t="shared" si="453"/>
        <v>70.628799999999998</v>
      </c>
      <c r="AA263" s="63">
        <f t="shared" si="454"/>
        <v>30.900099999999998</v>
      </c>
      <c r="AB263" s="63">
        <f t="shared" si="455"/>
        <v>335</v>
      </c>
      <c r="AC263" s="63">
        <f t="shared" si="456"/>
        <v>10356.36</v>
      </c>
      <c r="AD263" s="63">
        <f t="shared" si="457"/>
        <v>106.9136</v>
      </c>
      <c r="AE263" s="170">
        <v>499</v>
      </c>
      <c r="AF263" s="69">
        <f t="shared" si="458"/>
        <v>794</v>
      </c>
      <c r="AG263" s="69">
        <f t="shared" si="459"/>
        <v>20487.662100000001</v>
      </c>
      <c r="AH263" s="65"/>
      <c r="AI263" s="69">
        <f t="shared" si="460"/>
        <v>20487.662100000001</v>
      </c>
      <c r="AJ263" s="69">
        <f t="shared" si="461"/>
        <v>21281.662100000001</v>
      </c>
    </row>
    <row r="264" spans="1:36" x14ac:dyDescent="0.25">
      <c r="A264" s="167">
        <v>499</v>
      </c>
      <c r="B264" s="92" t="s">
        <v>2836</v>
      </c>
      <c r="C264" s="71" t="s">
        <v>2837</v>
      </c>
      <c r="D264" s="185" t="s">
        <v>3786</v>
      </c>
      <c r="E264" s="185" t="s">
        <v>2469</v>
      </c>
      <c r="F264" s="58">
        <v>36696</v>
      </c>
      <c r="G264" s="59">
        <f t="shared" si="444"/>
        <v>21.545205479452054</v>
      </c>
      <c r="H264" s="57"/>
      <c r="I264" s="66">
        <v>44143</v>
      </c>
      <c r="J264" s="66">
        <v>44143</v>
      </c>
      <c r="K264" s="63"/>
      <c r="L264" s="63">
        <f t="shared" si="445"/>
        <v>21.222596153846155</v>
      </c>
      <c r="M264" s="63">
        <f t="shared" si="446"/>
        <v>1697.8076923076924</v>
      </c>
      <c r="N264" s="63">
        <v>0</v>
      </c>
      <c r="O264" s="169"/>
      <c r="P264" s="169"/>
      <c r="Q264" s="63">
        <f t="shared" si="447"/>
        <v>0</v>
      </c>
      <c r="R264" s="63">
        <f t="shared" si="448"/>
        <v>44143</v>
      </c>
      <c r="S264" s="169"/>
      <c r="T264" s="169"/>
      <c r="U264" s="169"/>
      <c r="V264" s="63">
        <f t="shared" si="449"/>
        <v>44143</v>
      </c>
      <c r="W264" s="63">
        <f t="shared" si="450"/>
        <v>2736.866</v>
      </c>
      <c r="X264" s="63">
        <f t="shared" si="451"/>
        <v>640.07350000000008</v>
      </c>
      <c r="Y264" s="63">
        <f t="shared" si="452"/>
        <v>6210.9200999999994</v>
      </c>
      <c r="Z264" s="63">
        <f t="shared" si="453"/>
        <v>70.628799999999998</v>
      </c>
      <c r="AA264" s="63">
        <f t="shared" si="454"/>
        <v>30.900099999999998</v>
      </c>
      <c r="AB264" s="63">
        <f t="shared" si="455"/>
        <v>335</v>
      </c>
      <c r="AC264" s="63">
        <f t="shared" si="456"/>
        <v>10356.36</v>
      </c>
      <c r="AD264" s="63">
        <f t="shared" si="457"/>
        <v>106.9136</v>
      </c>
      <c r="AE264" s="170">
        <v>499</v>
      </c>
      <c r="AF264" s="69">
        <f t="shared" si="458"/>
        <v>0</v>
      </c>
      <c r="AG264" s="69">
        <f t="shared" si="459"/>
        <v>20487.662100000001</v>
      </c>
      <c r="AH264" s="65"/>
      <c r="AI264" s="69">
        <f t="shared" si="460"/>
        <v>20487.662100000001</v>
      </c>
      <c r="AJ264" s="69">
        <f t="shared" si="461"/>
        <v>20487.662100000001</v>
      </c>
    </row>
    <row r="265" spans="1:36" x14ac:dyDescent="0.25">
      <c r="A265" s="167">
        <v>499</v>
      </c>
      <c r="B265" s="92" t="s">
        <v>2840</v>
      </c>
      <c r="C265" s="71" t="s">
        <v>2841</v>
      </c>
      <c r="D265" s="168" t="s">
        <v>2842</v>
      </c>
      <c r="E265" s="168" t="s">
        <v>2707</v>
      </c>
      <c r="F265" s="58">
        <v>40413</v>
      </c>
      <c r="G265" s="59">
        <f t="shared" si="444"/>
        <v>11.361643835616439</v>
      </c>
      <c r="H265" s="57"/>
      <c r="I265" s="66">
        <v>35043</v>
      </c>
      <c r="J265" s="66">
        <v>35685</v>
      </c>
      <c r="K265" s="63"/>
      <c r="L265" s="63">
        <f t="shared" si="445"/>
        <v>17.15625</v>
      </c>
      <c r="M265" s="63">
        <f t="shared" si="446"/>
        <v>1372.5</v>
      </c>
      <c r="N265" s="63">
        <v>0</v>
      </c>
      <c r="O265" s="169"/>
      <c r="P265" s="169"/>
      <c r="Q265" s="63">
        <f t="shared" si="447"/>
        <v>0</v>
      </c>
      <c r="R265" s="63">
        <f t="shared" si="448"/>
        <v>35685</v>
      </c>
      <c r="S265" s="169"/>
      <c r="T265" s="169"/>
      <c r="U265" s="169"/>
      <c r="V265" s="63">
        <f t="shared" si="449"/>
        <v>35685</v>
      </c>
      <c r="W265" s="63">
        <f t="shared" si="450"/>
        <v>2212.4699999999998</v>
      </c>
      <c r="X265" s="63">
        <f t="shared" si="451"/>
        <v>517.4325</v>
      </c>
      <c r="Y265" s="63">
        <f t="shared" si="452"/>
        <v>5020.8795</v>
      </c>
      <c r="Z265" s="63">
        <f t="shared" si="453"/>
        <v>57.096000000000004</v>
      </c>
      <c r="AA265" s="63">
        <f t="shared" si="454"/>
        <v>24.979499999999998</v>
      </c>
      <c r="AB265" s="63">
        <f t="shared" si="455"/>
        <v>335</v>
      </c>
      <c r="AC265" s="63">
        <f t="shared" si="456"/>
        <v>10356.36</v>
      </c>
      <c r="AD265" s="63">
        <f t="shared" si="457"/>
        <v>106.9136</v>
      </c>
      <c r="AE265" s="170">
        <v>499</v>
      </c>
      <c r="AF265" s="69">
        <f t="shared" si="458"/>
        <v>642</v>
      </c>
      <c r="AG265" s="69">
        <f t="shared" si="459"/>
        <v>18631.131099999999</v>
      </c>
      <c r="AH265" s="65"/>
      <c r="AI265" s="69">
        <f t="shared" si="460"/>
        <v>18631.131099999999</v>
      </c>
      <c r="AJ265" s="69">
        <f t="shared" si="461"/>
        <v>19273.131099999999</v>
      </c>
    </row>
    <row r="266" spans="1:36" x14ac:dyDescent="0.25">
      <c r="A266" s="167">
        <v>499</v>
      </c>
      <c r="B266" s="92" t="s">
        <v>2843</v>
      </c>
      <c r="C266" s="71" t="s">
        <v>2844</v>
      </c>
      <c r="D266" s="168" t="s">
        <v>2845</v>
      </c>
      <c r="E266" s="168" t="s">
        <v>2846</v>
      </c>
      <c r="F266" s="58">
        <v>42499</v>
      </c>
      <c r="G266" s="59">
        <f t="shared" si="444"/>
        <v>5.646575342465753</v>
      </c>
      <c r="H266" s="57"/>
      <c r="I266" s="57">
        <v>33183</v>
      </c>
      <c r="J266" s="57">
        <v>33183</v>
      </c>
      <c r="K266" s="63"/>
      <c r="L266" s="63">
        <f t="shared" si="445"/>
        <v>15.953365384615385</v>
      </c>
      <c r="M266" s="63">
        <f t="shared" si="446"/>
        <v>1276.2692307692307</v>
      </c>
      <c r="N266" s="63">
        <v>0</v>
      </c>
      <c r="O266" s="169"/>
      <c r="P266" s="169"/>
      <c r="Q266" s="63">
        <f t="shared" si="447"/>
        <v>0</v>
      </c>
      <c r="R266" s="63">
        <f t="shared" si="448"/>
        <v>33183</v>
      </c>
      <c r="S266" s="169"/>
      <c r="T266" s="169"/>
      <c r="U266" s="169"/>
      <c r="V266" s="63">
        <f t="shared" si="449"/>
        <v>33183</v>
      </c>
      <c r="W266" s="63">
        <f t="shared" si="450"/>
        <v>2057.346</v>
      </c>
      <c r="X266" s="63">
        <f t="shared" si="451"/>
        <v>481.15350000000001</v>
      </c>
      <c r="Y266" s="63">
        <f t="shared" si="452"/>
        <v>4668.8481000000002</v>
      </c>
      <c r="Z266" s="63">
        <f t="shared" si="453"/>
        <v>53.092800000000004</v>
      </c>
      <c r="AA266" s="63">
        <f t="shared" si="454"/>
        <v>23.228100000000001</v>
      </c>
      <c r="AB266" s="63">
        <f t="shared" si="455"/>
        <v>335</v>
      </c>
      <c r="AC266" s="63">
        <f t="shared" si="456"/>
        <v>10356.36</v>
      </c>
      <c r="AD266" s="63">
        <f t="shared" si="457"/>
        <v>106.9136</v>
      </c>
      <c r="AE266" s="170">
        <v>499</v>
      </c>
      <c r="AF266" s="69">
        <f t="shared" si="458"/>
        <v>0</v>
      </c>
      <c r="AG266" s="69">
        <f t="shared" si="459"/>
        <v>18081.9421</v>
      </c>
      <c r="AH266" s="65"/>
      <c r="AI266" s="69">
        <f t="shared" si="460"/>
        <v>18081.9421</v>
      </c>
      <c r="AJ266" s="69">
        <f t="shared" si="461"/>
        <v>18081.9421</v>
      </c>
    </row>
    <row r="267" spans="1:36" x14ac:dyDescent="0.25">
      <c r="A267" s="167">
        <v>499</v>
      </c>
      <c r="B267" s="92" t="s">
        <v>2847</v>
      </c>
      <c r="C267" s="71" t="s">
        <v>2844</v>
      </c>
      <c r="D267" s="185" t="s">
        <v>2848</v>
      </c>
      <c r="E267" s="185" t="s">
        <v>2849</v>
      </c>
      <c r="F267" s="74">
        <v>36514</v>
      </c>
      <c r="G267" s="59">
        <f t="shared" si="444"/>
        <v>22.043835616438358</v>
      </c>
      <c r="H267" s="57"/>
      <c r="I267" s="57">
        <v>37004</v>
      </c>
      <c r="J267" s="182">
        <v>37682</v>
      </c>
      <c r="K267" s="63"/>
      <c r="L267" s="63">
        <f t="shared" si="445"/>
        <v>18.116346153846155</v>
      </c>
      <c r="M267" s="63">
        <f t="shared" si="446"/>
        <v>1449.3076923076924</v>
      </c>
      <c r="N267" s="63">
        <v>0</v>
      </c>
      <c r="O267" s="169"/>
      <c r="P267" s="169"/>
      <c r="Q267" s="63">
        <f t="shared" si="447"/>
        <v>0</v>
      </c>
      <c r="R267" s="63">
        <f t="shared" si="448"/>
        <v>37682</v>
      </c>
      <c r="S267" s="169"/>
      <c r="T267" s="169"/>
      <c r="U267" s="169"/>
      <c r="V267" s="63">
        <f t="shared" si="449"/>
        <v>37682</v>
      </c>
      <c r="W267" s="63">
        <f t="shared" si="450"/>
        <v>2336.2840000000001</v>
      </c>
      <c r="X267" s="63">
        <f t="shared" si="451"/>
        <v>546.38900000000001</v>
      </c>
      <c r="Y267" s="63">
        <f t="shared" si="452"/>
        <v>5301.8573999999999</v>
      </c>
      <c r="Z267" s="63">
        <f t="shared" si="453"/>
        <v>60.291200000000003</v>
      </c>
      <c r="AA267" s="63">
        <f t="shared" si="454"/>
        <v>26.377399999999998</v>
      </c>
      <c r="AB267" s="63">
        <f t="shared" si="455"/>
        <v>335</v>
      </c>
      <c r="AC267" s="63">
        <f t="shared" si="456"/>
        <v>10356.36</v>
      </c>
      <c r="AD267" s="63">
        <f t="shared" si="457"/>
        <v>106.9136</v>
      </c>
      <c r="AE267" s="170">
        <v>499</v>
      </c>
      <c r="AF267" s="69">
        <f t="shared" si="458"/>
        <v>678</v>
      </c>
      <c r="AG267" s="69">
        <f t="shared" si="459"/>
        <v>19069.472600000001</v>
      </c>
      <c r="AH267" s="67">
        <v>24677.279999999999</v>
      </c>
      <c r="AI267" s="69">
        <f t="shared" si="460"/>
        <v>-5607.8073999999979</v>
      </c>
      <c r="AJ267" s="69">
        <f t="shared" si="461"/>
        <v>-4929.8073999999979</v>
      </c>
    </row>
    <row r="268" spans="1:36" x14ac:dyDescent="0.25">
      <c r="A268" s="167">
        <v>499</v>
      </c>
      <c r="B268" s="92" t="s">
        <v>2850</v>
      </c>
      <c r="C268" s="71" t="s">
        <v>2851</v>
      </c>
      <c r="D268" s="168" t="s">
        <v>2852</v>
      </c>
      <c r="E268" s="168" t="s">
        <v>2445</v>
      </c>
      <c r="F268" s="58">
        <v>43194</v>
      </c>
      <c r="G268" s="59">
        <f t="shared" si="444"/>
        <v>3.7424657534246575</v>
      </c>
      <c r="H268" s="57"/>
      <c r="I268" s="57">
        <v>31999</v>
      </c>
      <c r="J268" s="57">
        <v>31999</v>
      </c>
      <c r="K268" s="63"/>
      <c r="L268" s="63">
        <f t="shared" si="445"/>
        <v>15.384134615384616</v>
      </c>
      <c r="M268" s="63">
        <f t="shared" si="446"/>
        <v>1230.7307692307693</v>
      </c>
      <c r="N268" s="63">
        <v>0</v>
      </c>
      <c r="O268" s="169"/>
      <c r="P268" s="169"/>
      <c r="Q268" s="63">
        <f t="shared" si="447"/>
        <v>0</v>
      </c>
      <c r="R268" s="63">
        <f t="shared" si="448"/>
        <v>31999</v>
      </c>
      <c r="S268" s="169"/>
      <c r="T268" s="169"/>
      <c r="U268" s="169"/>
      <c r="V268" s="63">
        <f t="shared" si="449"/>
        <v>31999</v>
      </c>
      <c r="W268" s="63">
        <f t="shared" si="450"/>
        <v>1983.9379999999999</v>
      </c>
      <c r="X268" s="63">
        <f t="shared" si="451"/>
        <v>463.9855</v>
      </c>
      <c r="Y268" s="63">
        <f t="shared" si="452"/>
        <v>4502.2592999999997</v>
      </c>
      <c r="Z268" s="63">
        <f t="shared" si="453"/>
        <v>51.198399999999999</v>
      </c>
      <c r="AA268" s="63">
        <f t="shared" si="454"/>
        <v>22.3993</v>
      </c>
      <c r="AB268" s="63">
        <f t="shared" si="455"/>
        <v>335</v>
      </c>
      <c r="AC268" s="63">
        <f t="shared" si="456"/>
        <v>10356.36</v>
      </c>
      <c r="AD268" s="63">
        <f t="shared" si="457"/>
        <v>106.9136</v>
      </c>
      <c r="AE268" s="170">
        <v>499</v>
      </c>
      <c r="AF268" s="69">
        <f t="shared" si="458"/>
        <v>0</v>
      </c>
      <c r="AG268" s="69">
        <f t="shared" si="459"/>
        <v>17822.054100000001</v>
      </c>
      <c r="AH268" s="67">
        <v>20542.68</v>
      </c>
      <c r="AI268" s="69">
        <f t="shared" si="460"/>
        <v>-2720.6258999999991</v>
      </c>
      <c r="AJ268" s="69">
        <f t="shared" si="461"/>
        <v>-2720.6258999999991</v>
      </c>
    </row>
    <row r="269" spans="1:36" x14ac:dyDescent="0.25">
      <c r="A269" s="167">
        <v>499</v>
      </c>
      <c r="B269" s="92" t="s">
        <v>2853</v>
      </c>
      <c r="C269" s="71" t="s">
        <v>2844</v>
      </c>
      <c r="D269" s="183" t="s">
        <v>2854</v>
      </c>
      <c r="E269" s="183" t="s">
        <v>2855</v>
      </c>
      <c r="F269" s="84">
        <v>43333</v>
      </c>
      <c r="G269" s="59">
        <f t="shared" si="444"/>
        <v>3.3616438356164382</v>
      </c>
      <c r="H269" s="57"/>
      <c r="I269" s="66">
        <v>31999</v>
      </c>
      <c r="J269" s="66">
        <v>31999</v>
      </c>
      <c r="K269" s="63"/>
      <c r="L269" s="63">
        <f t="shared" si="445"/>
        <v>15.384134615384616</v>
      </c>
      <c r="M269" s="63">
        <f t="shared" si="446"/>
        <v>1230.7307692307693</v>
      </c>
      <c r="N269" s="63">
        <v>0</v>
      </c>
      <c r="O269" s="169"/>
      <c r="P269" s="169"/>
      <c r="Q269" s="63">
        <f t="shared" si="447"/>
        <v>0</v>
      </c>
      <c r="R269" s="63">
        <f t="shared" si="448"/>
        <v>31999</v>
      </c>
      <c r="S269" s="169"/>
      <c r="T269" s="169"/>
      <c r="U269" s="169"/>
      <c r="V269" s="63">
        <f t="shared" si="449"/>
        <v>31999</v>
      </c>
      <c r="W269" s="63">
        <f t="shared" si="450"/>
        <v>1983.9379999999999</v>
      </c>
      <c r="X269" s="63">
        <f t="shared" si="451"/>
        <v>463.9855</v>
      </c>
      <c r="Y269" s="63">
        <f t="shared" si="452"/>
        <v>4502.2592999999997</v>
      </c>
      <c r="Z269" s="63">
        <f t="shared" si="453"/>
        <v>51.198399999999999</v>
      </c>
      <c r="AA269" s="63">
        <f t="shared" si="454"/>
        <v>22.3993</v>
      </c>
      <c r="AB269" s="63">
        <f t="shared" si="455"/>
        <v>335</v>
      </c>
      <c r="AC269" s="63">
        <f t="shared" si="456"/>
        <v>10356.36</v>
      </c>
      <c r="AD269" s="63">
        <f t="shared" si="457"/>
        <v>106.9136</v>
      </c>
      <c r="AE269" s="170">
        <v>499</v>
      </c>
      <c r="AF269" s="69">
        <f t="shared" si="458"/>
        <v>0</v>
      </c>
      <c r="AG269" s="69">
        <f t="shared" si="459"/>
        <v>17822.054100000001</v>
      </c>
      <c r="AH269" s="67">
        <v>20725.189999999999</v>
      </c>
      <c r="AI269" s="69">
        <f t="shared" si="460"/>
        <v>-2903.1358999999975</v>
      </c>
      <c r="AJ269" s="69">
        <f t="shared" si="461"/>
        <v>-2903.1358999999975</v>
      </c>
    </row>
    <row r="270" spans="1:36" x14ac:dyDescent="0.25">
      <c r="A270" s="167">
        <v>499</v>
      </c>
      <c r="B270" s="92" t="s">
        <v>2856</v>
      </c>
      <c r="C270" s="71" t="s">
        <v>2844</v>
      </c>
      <c r="D270" s="168" t="s">
        <v>2557</v>
      </c>
      <c r="E270" s="168" t="s">
        <v>2857</v>
      </c>
      <c r="F270" s="58">
        <v>41064</v>
      </c>
      <c r="G270" s="59">
        <f t="shared" si="444"/>
        <v>9.5780821917808225</v>
      </c>
      <c r="H270" s="57"/>
      <c r="I270" s="66">
        <v>33791</v>
      </c>
      <c r="J270" s="66">
        <v>33791</v>
      </c>
      <c r="K270" s="63"/>
      <c r="L270" s="63">
        <f t="shared" si="445"/>
        <v>16.245673076923076</v>
      </c>
      <c r="M270" s="63">
        <f t="shared" si="446"/>
        <v>1299.6538461538462</v>
      </c>
      <c r="N270" s="63">
        <f>IF(G270&lt;4,0,(G270-1)*$N$7)</f>
        <v>2264.6136986301372</v>
      </c>
      <c r="O270" s="169"/>
      <c r="P270" s="169"/>
      <c r="Q270" s="63">
        <f t="shared" si="447"/>
        <v>2264.6136986301372</v>
      </c>
      <c r="R270" s="63">
        <f t="shared" si="448"/>
        <v>36055.613698630135</v>
      </c>
      <c r="S270" s="169"/>
      <c r="T270" s="169"/>
      <c r="U270" s="169"/>
      <c r="V270" s="63">
        <f t="shared" si="449"/>
        <v>36055.613698630135</v>
      </c>
      <c r="W270" s="63">
        <f t="shared" si="450"/>
        <v>2235.4480493150686</v>
      </c>
      <c r="X270" s="63">
        <f t="shared" si="451"/>
        <v>522.80639863013698</v>
      </c>
      <c r="Y270" s="63">
        <f t="shared" si="452"/>
        <v>5073.0248473972597</v>
      </c>
      <c r="Z270" s="63">
        <f t="shared" si="453"/>
        <v>57.688981917808221</v>
      </c>
      <c r="AA270" s="63">
        <f t="shared" si="454"/>
        <v>25.238929589041096</v>
      </c>
      <c r="AB270" s="63">
        <f t="shared" si="455"/>
        <v>335</v>
      </c>
      <c r="AC270" s="63">
        <f t="shared" si="456"/>
        <v>10356.36</v>
      </c>
      <c r="AD270" s="63">
        <f t="shared" si="457"/>
        <v>106.9136</v>
      </c>
      <c r="AE270" s="170">
        <v>499</v>
      </c>
      <c r="AF270" s="69">
        <f t="shared" si="458"/>
        <v>0</v>
      </c>
      <c r="AG270" s="69">
        <f t="shared" si="459"/>
        <v>18712.480806849315</v>
      </c>
      <c r="AH270" s="67">
        <v>18536.41</v>
      </c>
      <c r="AI270" s="69">
        <f t="shared" si="460"/>
        <v>176.07080684931498</v>
      </c>
      <c r="AJ270" s="69">
        <f t="shared" si="461"/>
        <v>176.07080684931498</v>
      </c>
    </row>
    <row r="271" spans="1:36" x14ac:dyDescent="0.25">
      <c r="A271" s="167">
        <v>499</v>
      </c>
      <c r="B271" s="92" t="s">
        <v>2858</v>
      </c>
      <c r="C271" s="71" t="s">
        <v>2859</v>
      </c>
      <c r="D271" s="168" t="s">
        <v>2838</v>
      </c>
      <c r="E271" s="168" t="s">
        <v>2839</v>
      </c>
      <c r="F271" s="74">
        <v>42282</v>
      </c>
      <c r="G271" s="59">
        <f t="shared" si="444"/>
        <v>6.2410958904109588</v>
      </c>
      <c r="H271" s="57"/>
      <c r="I271" s="57">
        <v>33791</v>
      </c>
      <c r="J271" s="182">
        <v>34410</v>
      </c>
      <c r="K271" s="63"/>
      <c r="L271" s="63">
        <f t="shared" si="445"/>
        <v>16.54326923076923</v>
      </c>
      <c r="M271" s="63">
        <f t="shared" si="446"/>
        <v>1323.4615384615386</v>
      </c>
      <c r="N271" s="63">
        <v>0</v>
      </c>
      <c r="O271" s="169"/>
      <c r="P271" s="169"/>
      <c r="Q271" s="63">
        <f t="shared" si="447"/>
        <v>0</v>
      </c>
      <c r="R271" s="63">
        <f t="shared" si="448"/>
        <v>34410</v>
      </c>
      <c r="S271" s="169"/>
      <c r="T271" s="169"/>
      <c r="U271" s="169"/>
      <c r="V271" s="63">
        <f t="shared" si="449"/>
        <v>34410</v>
      </c>
      <c r="W271" s="63">
        <f t="shared" si="450"/>
        <v>2133.42</v>
      </c>
      <c r="X271" s="63">
        <f t="shared" si="451"/>
        <v>498.94500000000005</v>
      </c>
      <c r="Y271" s="63">
        <f t="shared" si="452"/>
        <v>4841.4870000000001</v>
      </c>
      <c r="Z271" s="63">
        <f t="shared" si="453"/>
        <v>55.056000000000004</v>
      </c>
      <c r="AA271" s="63">
        <f t="shared" si="454"/>
        <v>24.087</v>
      </c>
      <c r="AB271" s="63">
        <f t="shared" si="455"/>
        <v>335</v>
      </c>
      <c r="AC271" s="63">
        <f t="shared" si="456"/>
        <v>10356.36</v>
      </c>
      <c r="AD271" s="63">
        <f t="shared" si="457"/>
        <v>106.9136</v>
      </c>
      <c r="AE271" s="170">
        <v>499</v>
      </c>
      <c r="AF271" s="69">
        <f t="shared" si="458"/>
        <v>619</v>
      </c>
      <c r="AG271" s="69">
        <f t="shared" si="459"/>
        <v>18351.268600000003</v>
      </c>
      <c r="AH271" s="67">
        <v>20907.02</v>
      </c>
      <c r="AI271" s="69">
        <f t="shared" si="460"/>
        <v>-2555.7513999999974</v>
      </c>
      <c r="AJ271" s="69">
        <f t="shared" si="461"/>
        <v>-1936.7513999999974</v>
      </c>
    </row>
    <row r="272" spans="1:36" x14ac:dyDescent="0.25">
      <c r="A272" s="167">
        <v>499</v>
      </c>
      <c r="B272" s="92" t="s">
        <v>2861</v>
      </c>
      <c r="C272" s="71" t="s">
        <v>2859</v>
      </c>
      <c r="D272" s="168" t="s">
        <v>3787</v>
      </c>
      <c r="E272" s="168" t="s">
        <v>3262</v>
      </c>
      <c r="F272" s="74">
        <v>39395</v>
      </c>
      <c r="G272" s="59">
        <f t="shared" si="444"/>
        <v>14.150684931506849</v>
      </c>
      <c r="H272" s="57"/>
      <c r="I272" s="57">
        <v>35041</v>
      </c>
      <c r="J272" s="182">
        <v>35683</v>
      </c>
      <c r="K272" s="63"/>
      <c r="L272" s="63">
        <f t="shared" si="445"/>
        <v>17.155288461538461</v>
      </c>
      <c r="M272" s="63">
        <f t="shared" si="446"/>
        <v>1372.4230769230769</v>
      </c>
      <c r="N272" s="63">
        <v>0</v>
      </c>
      <c r="O272" s="169"/>
      <c r="P272" s="169"/>
      <c r="Q272" s="63">
        <f t="shared" si="447"/>
        <v>0</v>
      </c>
      <c r="R272" s="63">
        <f t="shared" si="448"/>
        <v>35683</v>
      </c>
      <c r="S272" s="169"/>
      <c r="T272" s="169"/>
      <c r="U272" s="169"/>
      <c r="V272" s="63">
        <f t="shared" si="449"/>
        <v>35683</v>
      </c>
      <c r="W272" s="63">
        <f t="shared" si="450"/>
        <v>2212.346</v>
      </c>
      <c r="X272" s="63">
        <f t="shared" si="451"/>
        <v>517.40350000000001</v>
      </c>
      <c r="Y272" s="63">
        <f t="shared" si="452"/>
        <v>5020.5981000000002</v>
      </c>
      <c r="Z272" s="63">
        <f t="shared" si="453"/>
        <v>57.092800000000004</v>
      </c>
      <c r="AA272" s="63">
        <f t="shared" si="454"/>
        <v>24.978100000000001</v>
      </c>
      <c r="AB272" s="63">
        <f t="shared" si="455"/>
        <v>335</v>
      </c>
      <c r="AC272" s="63">
        <f t="shared" si="456"/>
        <v>10356.36</v>
      </c>
      <c r="AD272" s="63">
        <f t="shared" si="457"/>
        <v>106.9136</v>
      </c>
      <c r="AE272" s="170">
        <v>499</v>
      </c>
      <c r="AF272" s="69">
        <f t="shared" si="458"/>
        <v>642</v>
      </c>
      <c r="AG272" s="69">
        <f t="shared" si="459"/>
        <v>18630.6921</v>
      </c>
      <c r="AH272" s="67">
        <v>18397.18</v>
      </c>
      <c r="AI272" s="69">
        <f t="shared" si="460"/>
        <v>233.51209999999992</v>
      </c>
      <c r="AJ272" s="69">
        <f t="shared" si="461"/>
        <v>875.51209999999992</v>
      </c>
    </row>
    <row r="273" spans="1:36" x14ac:dyDescent="0.25">
      <c r="A273" s="167">
        <v>499</v>
      </c>
      <c r="B273" s="92" t="s">
        <v>2863</v>
      </c>
      <c r="C273" s="71" t="s">
        <v>2859</v>
      </c>
      <c r="D273" s="168" t="s">
        <v>2864</v>
      </c>
      <c r="E273" s="168" t="s">
        <v>2865</v>
      </c>
      <c r="F273" s="74">
        <v>39428</v>
      </c>
      <c r="G273" s="59">
        <f t="shared" si="444"/>
        <v>14.06027397260274</v>
      </c>
      <c r="H273" s="57"/>
      <c r="I273" s="57">
        <v>35041</v>
      </c>
      <c r="J273" s="182">
        <v>35683</v>
      </c>
      <c r="K273" s="63"/>
      <c r="L273" s="63">
        <f t="shared" si="445"/>
        <v>17.155288461538461</v>
      </c>
      <c r="M273" s="63">
        <f t="shared" si="446"/>
        <v>1372.4230769230769</v>
      </c>
      <c r="N273" s="63">
        <v>0</v>
      </c>
      <c r="O273" s="169"/>
      <c r="P273" s="169"/>
      <c r="Q273" s="63">
        <f t="shared" si="447"/>
        <v>0</v>
      </c>
      <c r="R273" s="63">
        <f t="shared" si="448"/>
        <v>35683</v>
      </c>
      <c r="S273" s="169"/>
      <c r="T273" s="169"/>
      <c r="U273" s="169"/>
      <c r="V273" s="63">
        <f t="shared" si="449"/>
        <v>35683</v>
      </c>
      <c r="W273" s="63">
        <f t="shared" si="450"/>
        <v>2212.346</v>
      </c>
      <c r="X273" s="63">
        <f t="shared" si="451"/>
        <v>517.40350000000001</v>
      </c>
      <c r="Y273" s="63">
        <f t="shared" si="452"/>
        <v>5020.5981000000002</v>
      </c>
      <c r="Z273" s="63">
        <f t="shared" si="453"/>
        <v>57.092800000000004</v>
      </c>
      <c r="AA273" s="63">
        <f t="shared" si="454"/>
        <v>24.978100000000001</v>
      </c>
      <c r="AB273" s="63">
        <f t="shared" si="455"/>
        <v>335</v>
      </c>
      <c r="AC273" s="63">
        <f t="shared" si="456"/>
        <v>10356.36</v>
      </c>
      <c r="AD273" s="63">
        <f t="shared" si="457"/>
        <v>106.9136</v>
      </c>
      <c r="AE273" s="170">
        <v>499</v>
      </c>
      <c r="AF273" s="69">
        <f t="shared" si="458"/>
        <v>642</v>
      </c>
      <c r="AG273" s="69">
        <f t="shared" si="459"/>
        <v>18630.6921</v>
      </c>
      <c r="AH273" s="67">
        <v>19272.189999999999</v>
      </c>
      <c r="AI273" s="69">
        <f t="shared" si="460"/>
        <v>-641.49789999999848</v>
      </c>
      <c r="AJ273" s="69">
        <f t="shared" si="461"/>
        <v>0.50210000000151922</v>
      </c>
    </row>
    <row r="274" spans="1:36" x14ac:dyDescent="0.25">
      <c r="A274" s="167">
        <v>499</v>
      </c>
      <c r="B274" s="92" t="s">
        <v>2866</v>
      </c>
      <c r="C274" s="71" t="s">
        <v>2851</v>
      </c>
      <c r="D274" s="185" t="s">
        <v>2867</v>
      </c>
      <c r="E274" s="185" t="s">
        <v>2868</v>
      </c>
      <c r="F274" s="58">
        <v>35870</v>
      </c>
      <c r="G274" s="59">
        <f t="shared" si="444"/>
        <v>23.80821917808219</v>
      </c>
      <c r="H274" s="57"/>
      <c r="I274" s="57">
        <v>37004</v>
      </c>
      <c r="J274" s="57">
        <v>37004</v>
      </c>
      <c r="K274" s="63"/>
      <c r="L274" s="63">
        <f t="shared" si="445"/>
        <v>17.790384615384614</v>
      </c>
      <c r="M274" s="63">
        <f t="shared" si="446"/>
        <v>1423.2307692307693</v>
      </c>
      <c r="N274" s="63">
        <v>0</v>
      </c>
      <c r="O274" s="169"/>
      <c r="P274" s="169"/>
      <c r="Q274" s="63">
        <f t="shared" si="447"/>
        <v>0</v>
      </c>
      <c r="R274" s="63">
        <f t="shared" si="448"/>
        <v>37004</v>
      </c>
      <c r="S274" s="169"/>
      <c r="T274" s="169"/>
      <c r="U274" s="169"/>
      <c r="V274" s="63">
        <f t="shared" si="449"/>
        <v>37004</v>
      </c>
      <c r="W274" s="63">
        <f t="shared" si="450"/>
        <v>2294.248</v>
      </c>
      <c r="X274" s="63">
        <f t="shared" si="451"/>
        <v>536.55799999999999</v>
      </c>
      <c r="Y274" s="63">
        <f t="shared" si="452"/>
        <v>5206.4627999999993</v>
      </c>
      <c r="Z274" s="63">
        <f t="shared" si="453"/>
        <v>59.206400000000002</v>
      </c>
      <c r="AA274" s="63">
        <f t="shared" si="454"/>
        <v>25.902799999999999</v>
      </c>
      <c r="AB274" s="63">
        <f t="shared" si="455"/>
        <v>335</v>
      </c>
      <c r="AC274" s="63">
        <f t="shared" si="456"/>
        <v>10356.36</v>
      </c>
      <c r="AD274" s="63">
        <f t="shared" si="457"/>
        <v>106.9136</v>
      </c>
      <c r="AE274" s="170">
        <v>499</v>
      </c>
      <c r="AF274" s="69">
        <f t="shared" si="458"/>
        <v>0</v>
      </c>
      <c r="AG274" s="69">
        <f t="shared" si="459"/>
        <v>18920.651600000001</v>
      </c>
      <c r="AH274" s="67">
        <v>18126.04</v>
      </c>
      <c r="AI274" s="69">
        <f t="shared" si="460"/>
        <v>794.61160000000018</v>
      </c>
      <c r="AJ274" s="69">
        <f t="shared" si="461"/>
        <v>794.61160000000018</v>
      </c>
    </row>
    <row r="275" spans="1:36" x14ac:dyDescent="0.25">
      <c r="A275" s="167">
        <v>499</v>
      </c>
      <c r="B275" s="138"/>
      <c r="C275" s="168" t="s">
        <v>2611</v>
      </c>
      <c r="D275" s="168" t="s">
        <v>2860</v>
      </c>
      <c r="E275" s="168" t="s">
        <v>2604</v>
      </c>
      <c r="F275" s="58">
        <v>43242</v>
      </c>
      <c r="G275" s="167" t="s">
        <v>2422</v>
      </c>
      <c r="H275" s="88"/>
      <c r="I275" s="88">
        <v>15600</v>
      </c>
      <c r="J275" s="88">
        <v>15600</v>
      </c>
      <c r="K275" s="138"/>
      <c r="L275" s="138"/>
      <c r="M275" s="138"/>
      <c r="N275" s="167" t="s">
        <v>27</v>
      </c>
      <c r="O275" s="138"/>
      <c r="P275" s="138"/>
      <c r="Q275" s="167">
        <v>0</v>
      </c>
      <c r="R275" s="63">
        <f t="shared" si="448"/>
        <v>15600</v>
      </c>
      <c r="S275" s="169"/>
      <c r="T275" s="169"/>
      <c r="U275" s="169"/>
      <c r="V275" s="63">
        <f t="shared" si="449"/>
        <v>15600</v>
      </c>
      <c r="W275" s="63">
        <f t="shared" si="450"/>
        <v>967.2</v>
      </c>
      <c r="X275" s="63">
        <f t="shared" si="451"/>
        <v>226.20000000000002</v>
      </c>
      <c r="Y275" s="63">
        <f t="shared" si="452"/>
        <v>2194.92</v>
      </c>
      <c r="Z275" s="63">
        <f t="shared" si="453"/>
        <v>24.96</v>
      </c>
      <c r="AA275" s="63">
        <f t="shared" si="454"/>
        <v>10.92</v>
      </c>
      <c r="AB275" s="63" t="s">
        <v>2422</v>
      </c>
      <c r="AC275" s="63" t="s">
        <v>2422</v>
      </c>
      <c r="AD275" s="63" t="s">
        <v>2422</v>
      </c>
      <c r="AE275" s="170">
        <v>499</v>
      </c>
      <c r="AF275" s="69">
        <f t="shared" si="458"/>
        <v>0</v>
      </c>
      <c r="AG275" s="69">
        <f t="shared" si="459"/>
        <v>3424.2000000000003</v>
      </c>
      <c r="AH275" s="67">
        <v>18823.12</v>
      </c>
      <c r="AI275" s="69">
        <f t="shared" si="460"/>
        <v>-15398.919999999998</v>
      </c>
      <c r="AJ275" s="100">
        <f t="shared" si="461"/>
        <v>-15398.919999999998</v>
      </c>
    </row>
    <row r="276" spans="1:36" x14ac:dyDescent="0.25">
      <c r="A276" s="167">
        <v>499</v>
      </c>
      <c r="B276" s="138"/>
      <c r="C276" s="168" t="s">
        <v>2495</v>
      </c>
      <c r="D276" s="138"/>
      <c r="E276" s="138"/>
      <c r="F276" s="138"/>
      <c r="G276" s="167" t="s">
        <v>2422</v>
      </c>
      <c r="H276" s="88"/>
      <c r="I276" s="88">
        <v>1000</v>
      </c>
      <c r="J276" s="218">
        <v>1000</v>
      </c>
      <c r="K276" s="219"/>
      <c r="L276" s="219"/>
      <c r="M276" s="219"/>
      <c r="N276" s="220" t="s">
        <v>27</v>
      </c>
      <c r="O276" s="219"/>
      <c r="P276" s="219"/>
      <c r="Q276" s="220">
        <v>0</v>
      </c>
      <c r="R276" s="172">
        <f t="shared" si="448"/>
        <v>1000</v>
      </c>
      <c r="S276" s="173"/>
      <c r="T276" s="173"/>
      <c r="U276" s="173"/>
      <c r="V276" s="172">
        <f t="shared" si="449"/>
        <v>1000</v>
      </c>
      <c r="W276" s="172">
        <f t="shared" si="450"/>
        <v>62</v>
      </c>
      <c r="X276" s="172">
        <f t="shared" si="451"/>
        <v>14.5</v>
      </c>
      <c r="Y276" s="172">
        <f t="shared" si="452"/>
        <v>140.69999999999999</v>
      </c>
      <c r="Z276" s="172">
        <f t="shared" si="453"/>
        <v>1.6</v>
      </c>
      <c r="AA276" s="172">
        <f t="shared" si="454"/>
        <v>0.7</v>
      </c>
      <c r="AB276" s="172" t="s">
        <v>2422</v>
      </c>
      <c r="AC276" s="172" t="s">
        <v>2422</v>
      </c>
      <c r="AD276" s="172" t="s">
        <v>2422</v>
      </c>
      <c r="AE276" s="170">
        <v>499</v>
      </c>
      <c r="AF276" s="69">
        <f t="shared" si="458"/>
        <v>0</v>
      </c>
      <c r="AG276" s="69">
        <f t="shared" si="459"/>
        <v>219.49999999999997</v>
      </c>
      <c r="AH276" s="67">
        <v>18126.04</v>
      </c>
      <c r="AI276" s="69">
        <f t="shared" si="460"/>
        <v>-17906.54</v>
      </c>
      <c r="AJ276" s="100">
        <f t="shared" si="461"/>
        <v>-17906.54</v>
      </c>
    </row>
    <row r="277" spans="1:36" x14ac:dyDescent="0.25">
      <c r="A277" s="167">
        <v>499</v>
      </c>
      <c r="B277" s="138"/>
      <c r="C277" s="138"/>
      <c r="G277" s="138"/>
      <c r="H277" s="221"/>
      <c r="I277" s="222">
        <f t="shared" ref="I277:J277" si="462">SUM(I261:I276)</f>
        <v>551147</v>
      </c>
      <c r="J277" s="222">
        <f t="shared" si="462"/>
        <v>556275</v>
      </c>
      <c r="K277" s="223"/>
      <c r="L277" s="223">
        <f t="shared" ref="L277:AD277" si="463">SUM(L260:L276)</f>
        <v>259.45913461538464</v>
      </c>
      <c r="M277" s="223">
        <f t="shared" si="463"/>
        <v>20756.73076923077</v>
      </c>
      <c r="N277" s="223">
        <f t="shared" si="463"/>
        <v>2264.6136986301372</v>
      </c>
      <c r="O277" s="223">
        <f t="shared" si="463"/>
        <v>0</v>
      </c>
      <c r="P277" s="223">
        <f t="shared" si="463"/>
        <v>0</v>
      </c>
      <c r="Q277" s="223">
        <f t="shared" si="463"/>
        <v>2264.6136986301372</v>
      </c>
      <c r="R277" s="223">
        <f t="shared" si="463"/>
        <v>558539.61369863013</v>
      </c>
      <c r="S277" s="223">
        <f t="shared" si="463"/>
        <v>0</v>
      </c>
      <c r="T277" s="223">
        <f t="shared" si="463"/>
        <v>0</v>
      </c>
      <c r="U277" s="223">
        <f t="shared" si="463"/>
        <v>0</v>
      </c>
      <c r="V277" s="223">
        <f t="shared" si="463"/>
        <v>558539.61369863013</v>
      </c>
      <c r="W277" s="223">
        <f t="shared" si="463"/>
        <v>34629.456049315064</v>
      </c>
      <c r="X277" s="223">
        <f t="shared" si="463"/>
        <v>8098.8243986301359</v>
      </c>
      <c r="Y277" s="223">
        <f t="shared" si="463"/>
        <v>78586.523647397247</v>
      </c>
      <c r="Z277" s="223">
        <f t="shared" si="463"/>
        <v>893.66338191780835</v>
      </c>
      <c r="AA277" s="223">
        <f t="shared" si="463"/>
        <v>390.97772958904108</v>
      </c>
      <c r="AB277" s="223">
        <f t="shared" si="463"/>
        <v>4690</v>
      </c>
      <c r="AC277" s="223">
        <f t="shared" si="463"/>
        <v>144989.03999999998</v>
      </c>
      <c r="AD277" s="223">
        <f t="shared" si="463"/>
        <v>1496.7904000000003</v>
      </c>
      <c r="AE277" s="170">
        <v>499</v>
      </c>
      <c r="AF277" s="230">
        <f>SUM(AF261:AF276)</f>
        <v>5128</v>
      </c>
      <c r="AG277" s="100">
        <f t="shared" si="459"/>
        <v>273775.27560684929</v>
      </c>
      <c r="AH277" s="225">
        <v>18536.41</v>
      </c>
      <c r="AI277" s="226">
        <f t="shared" si="460"/>
        <v>255238.86560684929</v>
      </c>
      <c r="AJ277" s="226">
        <f t="shared" si="461"/>
        <v>260366.86560684929</v>
      </c>
    </row>
    <row r="278" spans="1:36" hidden="1" x14ac:dyDescent="0.25">
      <c r="A278" s="138"/>
      <c r="B278" s="138"/>
      <c r="C278" s="138"/>
      <c r="D278" s="138"/>
      <c r="E278" s="138"/>
      <c r="F278" s="138"/>
      <c r="G278" s="138"/>
      <c r="H278" s="78"/>
      <c r="I278" s="78">
        <v>473940</v>
      </c>
      <c r="J278" s="78">
        <f>SUM(J262:J274)</f>
        <v>477957</v>
      </c>
      <c r="K278" s="138"/>
      <c r="L278" s="138"/>
      <c r="M278" s="138"/>
      <c r="N278" s="138"/>
      <c r="O278" s="138"/>
      <c r="P278" s="138"/>
      <c r="Q278" s="138"/>
      <c r="R278" s="169"/>
      <c r="S278" s="169"/>
      <c r="T278" s="169"/>
      <c r="U278" s="169"/>
      <c r="V278" s="169"/>
      <c r="W278" s="63">
        <f>SUM(W277:X277)</f>
        <v>42728.280447945202</v>
      </c>
      <c r="X278" s="169"/>
      <c r="Y278" s="169"/>
      <c r="Z278" s="169"/>
      <c r="AA278" s="169"/>
      <c r="AB278" s="169"/>
      <c r="AC278" s="63">
        <f>AC277+AD277</f>
        <v>146485.83039999998</v>
      </c>
      <c r="AD278" s="169"/>
      <c r="AE278" s="149"/>
      <c r="AF278" s="69">
        <f>SUM(AF261:AF276)</f>
        <v>5128</v>
      </c>
      <c r="AG278" s="178"/>
      <c r="AH278" s="67">
        <v>18822.66</v>
      </c>
      <c r="AI278" s="69">
        <f t="shared" ref="AI278:AJ278" si="464">SUM(AI261:AI276)</f>
        <v>75642.125606849324</v>
      </c>
      <c r="AJ278" s="69">
        <f t="shared" si="464"/>
        <v>80770.125606849324</v>
      </c>
    </row>
    <row r="279" spans="1:36" x14ac:dyDescent="0.25">
      <c r="A279" s="138"/>
      <c r="B279" s="138"/>
      <c r="G279" s="138"/>
      <c r="H279" s="148"/>
      <c r="I279" s="148"/>
      <c r="J279" s="148"/>
      <c r="K279" s="138"/>
      <c r="L279" s="138"/>
      <c r="M279" s="138"/>
      <c r="N279" s="138"/>
      <c r="O279" s="138"/>
      <c r="P279" s="138"/>
      <c r="Q279" s="138"/>
      <c r="R279" s="169"/>
      <c r="S279" s="169"/>
      <c r="T279" s="169"/>
      <c r="U279" s="169"/>
      <c r="V279" s="169"/>
      <c r="W279" s="169"/>
      <c r="X279" s="169"/>
      <c r="Y279" s="169"/>
      <c r="Z279" s="169"/>
      <c r="AA279" s="169"/>
      <c r="AB279" s="169"/>
      <c r="AC279" s="169"/>
      <c r="AD279" s="169"/>
      <c r="AE279" s="149"/>
      <c r="AF279" s="178"/>
      <c r="AG279" s="178"/>
      <c r="AH279" s="67">
        <v>18822.66</v>
      </c>
      <c r="AI279" s="178"/>
      <c r="AJ279" s="178"/>
    </row>
    <row r="280" spans="1:36" x14ac:dyDescent="0.25">
      <c r="A280" s="138"/>
      <c r="B280" s="138"/>
      <c r="C280" s="138"/>
      <c r="D280" s="138"/>
      <c r="E280" s="138"/>
      <c r="F280" s="138"/>
      <c r="G280" s="138"/>
      <c r="H280" s="148"/>
      <c r="I280" s="148"/>
      <c r="J280" s="148"/>
      <c r="K280" s="138"/>
      <c r="L280" s="138"/>
      <c r="M280" s="138"/>
      <c r="N280" s="138"/>
      <c r="O280" s="138"/>
      <c r="P280" s="138"/>
      <c r="Q280" s="138"/>
      <c r="R280" s="169"/>
      <c r="S280" s="169"/>
      <c r="T280" s="169"/>
      <c r="U280" s="169"/>
      <c r="V280" s="169"/>
      <c r="W280" s="169"/>
      <c r="X280" s="169"/>
      <c r="Y280" s="169"/>
      <c r="Z280" s="169"/>
      <c r="AA280" s="169"/>
      <c r="AB280" s="169"/>
      <c r="AC280" s="169"/>
      <c r="AD280" s="169"/>
      <c r="AE280" s="149"/>
      <c r="AF280" s="178"/>
      <c r="AG280" s="178"/>
      <c r="AH280" s="67">
        <v>19272.189999999999</v>
      </c>
      <c r="AI280" s="178"/>
      <c r="AJ280" s="178"/>
    </row>
    <row r="281" spans="1:36" x14ac:dyDescent="0.25">
      <c r="A281" s="167">
        <v>510</v>
      </c>
      <c r="B281" s="92" t="s">
        <v>2869</v>
      </c>
      <c r="C281" s="168" t="s">
        <v>2870</v>
      </c>
      <c r="D281" s="168" t="s">
        <v>2871</v>
      </c>
      <c r="E281" s="168" t="s">
        <v>2872</v>
      </c>
      <c r="F281" s="74">
        <v>39090</v>
      </c>
      <c r="G281" s="59">
        <f t="shared" ref="G281:G290" si="465">(DATE(2021,12,30)-(F281))/365</f>
        <v>14.986301369863014</v>
      </c>
      <c r="H281" s="57"/>
      <c r="I281" s="66">
        <v>44981</v>
      </c>
      <c r="J281" s="182">
        <v>45806</v>
      </c>
      <c r="K281" s="63"/>
      <c r="L281" s="63">
        <f t="shared" ref="L281:L290" si="466">SUM(J281/2080)</f>
        <v>22.022115384615386</v>
      </c>
      <c r="M281" s="63">
        <f t="shared" ref="M281:M290" si="467">SUM(J281/26)</f>
        <v>1761.7692307692307</v>
      </c>
      <c r="N281" s="63">
        <v>0</v>
      </c>
      <c r="O281" s="169"/>
      <c r="P281" s="169"/>
      <c r="Q281" s="63">
        <f t="shared" ref="Q281:Q288" si="468">IF(N281+P281&gt;5000,5000,N281+P281)</f>
        <v>0</v>
      </c>
      <c r="R281" s="63">
        <f t="shared" ref="R281:R292" si="469">Q281+J281</f>
        <v>45806</v>
      </c>
      <c r="S281" s="169"/>
      <c r="T281" s="169"/>
      <c r="U281" s="169"/>
      <c r="V281" s="63">
        <f t="shared" ref="V281:V292" si="470">SUM(R281:U281)</f>
        <v>45806</v>
      </c>
      <c r="W281" s="63">
        <f t="shared" ref="W281:W292" si="471">SUM(V281*$W$7)</f>
        <v>2839.9719999999998</v>
      </c>
      <c r="X281" s="63">
        <f t="shared" ref="X281:X292" si="472">SUM(V281*$X$7)</f>
        <v>664.18700000000001</v>
      </c>
      <c r="Y281" s="63">
        <f t="shared" ref="Y281:Y292" si="473">SUM(V281*$Y$7)</f>
        <v>6444.9041999999999</v>
      </c>
      <c r="Z281" s="63">
        <f t="shared" ref="Z281:Z292" si="474">SUM(V281*$Z$7)</f>
        <v>73.289600000000007</v>
      </c>
      <c r="AA281" s="63">
        <f t="shared" ref="AA281:AA292" si="475">SUM(V281*$AA$7)</f>
        <v>32.0642</v>
      </c>
      <c r="AB281" s="63">
        <f t="shared" ref="AB281:AB290" si="476">SUM($AB$7)</f>
        <v>335</v>
      </c>
      <c r="AC281" s="63">
        <f t="shared" ref="AC281:AC290" si="477">$AC$7</f>
        <v>10356.36</v>
      </c>
      <c r="AD281" s="63">
        <f t="shared" ref="AD281:AD290" si="478">SUM(AB281+AC281)*$AD$7</f>
        <v>106.9136</v>
      </c>
      <c r="AE281" s="170">
        <v>510</v>
      </c>
      <c r="AF281" s="69">
        <f t="shared" ref="AF281:AF292" si="479">SUM(J281-I281)</f>
        <v>825</v>
      </c>
      <c r="AG281" s="69">
        <f t="shared" ref="AG281:AG293" si="480">SUM(W281:AD281)</f>
        <v>20852.690600000002</v>
      </c>
      <c r="AH281" s="67">
        <v>3572.4</v>
      </c>
      <c r="AI281" s="69">
        <f t="shared" ref="AI281:AI293" si="481">AG281-AH281</f>
        <v>17280.2906</v>
      </c>
      <c r="AJ281" s="69">
        <f t="shared" ref="AJ281:AJ293" si="482">AF281+AI281</f>
        <v>18105.2906</v>
      </c>
    </row>
    <row r="282" spans="1:36" x14ac:dyDescent="0.25">
      <c r="A282" s="167">
        <v>510</v>
      </c>
      <c r="B282" s="92" t="s">
        <v>2873</v>
      </c>
      <c r="C282" s="71" t="s">
        <v>3287</v>
      </c>
      <c r="D282" s="168" t="s">
        <v>2875</v>
      </c>
      <c r="E282" s="168" t="s">
        <v>2486</v>
      </c>
      <c r="F282" s="58">
        <v>41771</v>
      </c>
      <c r="G282" s="59">
        <f t="shared" si="465"/>
        <v>7.6410958904109592</v>
      </c>
      <c r="H282" s="57"/>
      <c r="I282" s="66">
        <v>39548</v>
      </c>
      <c r="J282" s="66">
        <v>39548</v>
      </c>
      <c r="K282" s="63"/>
      <c r="L282" s="63">
        <f t="shared" si="466"/>
        <v>19.013461538461538</v>
      </c>
      <c r="M282" s="63">
        <f t="shared" si="467"/>
        <v>1521.0769230769231</v>
      </c>
      <c r="N282" s="63">
        <v>0</v>
      </c>
      <c r="O282" s="169"/>
      <c r="P282" s="169"/>
      <c r="Q282" s="63">
        <f t="shared" si="468"/>
        <v>0</v>
      </c>
      <c r="R282" s="63">
        <f t="shared" si="469"/>
        <v>39548</v>
      </c>
      <c r="S282" s="169"/>
      <c r="T282" s="169"/>
      <c r="U282" s="169"/>
      <c r="V282" s="63">
        <f t="shared" si="470"/>
        <v>39548</v>
      </c>
      <c r="W282" s="63">
        <f t="shared" si="471"/>
        <v>2451.9760000000001</v>
      </c>
      <c r="X282" s="63">
        <f t="shared" si="472"/>
        <v>573.44600000000003</v>
      </c>
      <c r="Y282" s="63">
        <f t="shared" si="473"/>
        <v>5564.4035999999996</v>
      </c>
      <c r="Z282" s="63">
        <f t="shared" si="474"/>
        <v>63.276800000000001</v>
      </c>
      <c r="AA282" s="63">
        <f t="shared" si="475"/>
        <v>27.683599999999998</v>
      </c>
      <c r="AB282" s="63">
        <f t="shared" si="476"/>
        <v>335</v>
      </c>
      <c r="AC282" s="63">
        <f t="shared" si="477"/>
        <v>10356.36</v>
      </c>
      <c r="AD282" s="63">
        <f t="shared" si="478"/>
        <v>106.9136</v>
      </c>
      <c r="AE282" s="170">
        <v>510</v>
      </c>
      <c r="AF282" s="69">
        <f t="shared" si="479"/>
        <v>0</v>
      </c>
      <c r="AG282" s="69">
        <f t="shared" si="480"/>
        <v>19479.059600000001</v>
      </c>
      <c r="AH282" s="67">
        <v>229</v>
      </c>
      <c r="AI282" s="69">
        <f t="shared" si="481"/>
        <v>19250.059600000001</v>
      </c>
      <c r="AJ282" s="69">
        <f t="shared" si="482"/>
        <v>19250.059600000001</v>
      </c>
    </row>
    <row r="283" spans="1:36" x14ac:dyDescent="0.25">
      <c r="A283" s="167">
        <v>510</v>
      </c>
      <c r="B283" s="92" t="s">
        <v>2876</v>
      </c>
      <c r="C283" s="71" t="s">
        <v>3287</v>
      </c>
      <c r="D283" s="168" t="s">
        <v>3288</v>
      </c>
      <c r="E283" s="168" t="s">
        <v>3289</v>
      </c>
      <c r="F283" s="58">
        <v>43178</v>
      </c>
      <c r="G283" s="59">
        <f t="shared" si="465"/>
        <v>3.7863013698630139</v>
      </c>
      <c r="H283" s="57"/>
      <c r="I283" s="66">
        <v>38137</v>
      </c>
      <c r="J283" s="66">
        <v>38137</v>
      </c>
      <c r="K283" s="63"/>
      <c r="L283" s="63">
        <f t="shared" si="466"/>
        <v>18.335096153846155</v>
      </c>
      <c r="M283" s="63">
        <f t="shared" si="467"/>
        <v>1466.8076923076924</v>
      </c>
      <c r="N283" s="63">
        <v>0</v>
      </c>
      <c r="O283" s="169"/>
      <c r="P283" s="169"/>
      <c r="Q283" s="63">
        <f t="shared" si="468"/>
        <v>0</v>
      </c>
      <c r="R283" s="63">
        <f t="shared" si="469"/>
        <v>38137</v>
      </c>
      <c r="S283" s="169"/>
      <c r="T283" s="169"/>
      <c r="U283" s="169"/>
      <c r="V283" s="63">
        <f t="shared" si="470"/>
        <v>38137</v>
      </c>
      <c r="W283" s="63">
        <f t="shared" si="471"/>
        <v>2364.4940000000001</v>
      </c>
      <c r="X283" s="63">
        <f t="shared" si="472"/>
        <v>552.98649999999998</v>
      </c>
      <c r="Y283" s="63">
        <f t="shared" si="473"/>
        <v>5365.8759</v>
      </c>
      <c r="Z283" s="63">
        <f t="shared" si="474"/>
        <v>61.019200000000005</v>
      </c>
      <c r="AA283" s="63">
        <f t="shared" si="475"/>
        <v>26.695899999999998</v>
      </c>
      <c r="AB283" s="63">
        <f t="shared" si="476"/>
        <v>335</v>
      </c>
      <c r="AC283" s="63">
        <f t="shared" si="477"/>
        <v>10356.36</v>
      </c>
      <c r="AD283" s="63">
        <f t="shared" si="478"/>
        <v>106.9136</v>
      </c>
      <c r="AE283" s="170">
        <v>510</v>
      </c>
      <c r="AF283" s="69">
        <f t="shared" si="479"/>
        <v>0</v>
      </c>
      <c r="AG283" s="69">
        <f t="shared" si="480"/>
        <v>19169.345100000002</v>
      </c>
      <c r="AH283" s="67">
        <v>277388.49</v>
      </c>
      <c r="AI283" s="69">
        <f t="shared" si="481"/>
        <v>-258219.14489999998</v>
      </c>
      <c r="AJ283" s="69">
        <f t="shared" si="482"/>
        <v>-258219.14489999998</v>
      </c>
    </row>
    <row r="284" spans="1:36" x14ac:dyDescent="0.25">
      <c r="A284" s="167">
        <v>510</v>
      </c>
      <c r="B284" s="92" t="s">
        <v>2878</v>
      </c>
      <c r="C284" s="71" t="s">
        <v>2879</v>
      </c>
      <c r="D284" s="168" t="s">
        <v>2880</v>
      </c>
      <c r="E284" s="168" t="s">
        <v>2881</v>
      </c>
      <c r="F284" s="58">
        <v>42471</v>
      </c>
      <c r="G284" s="59">
        <f t="shared" si="465"/>
        <v>5.7232876712328764</v>
      </c>
      <c r="H284" s="57"/>
      <c r="I284" s="66">
        <v>27923</v>
      </c>
      <c r="J284" s="66">
        <v>27923</v>
      </c>
      <c r="K284" s="63"/>
      <c r="L284" s="63">
        <f t="shared" si="466"/>
        <v>13.424519230769231</v>
      </c>
      <c r="M284" s="63">
        <f t="shared" si="467"/>
        <v>1073.9615384615386</v>
      </c>
      <c r="N284" s="63">
        <f>IF(G284&lt;4,0,(G284-1)*$N$7)</f>
        <v>1246.9479452054793</v>
      </c>
      <c r="O284" s="169"/>
      <c r="P284" s="169"/>
      <c r="Q284" s="63">
        <f t="shared" si="468"/>
        <v>1246.9479452054793</v>
      </c>
      <c r="R284" s="63">
        <f t="shared" si="469"/>
        <v>29169.94794520548</v>
      </c>
      <c r="S284" s="169"/>
      <c r="T284" s="169"/>
      <c r="U284" s="169"/>
      <c r="V284" s="63">
        <f t="shared" si="470"/>
        <v>29169.94794520548</v>
      </c>
      <c r="W284" s="63">
        <f t="shared" si="471"/>
        <v>1808.5367726027398</v>
      </c>
      <c r="X284" s="63">
        <f t="shared" si="472"/>
        <v>422.96424520547947</v>
      </c>
      <c r="Y284" s="63">
        <f t="shared" si="473"/>
        <v>4104.2116758904112</v>
      </c>
      <c r="Z284" s="63">
        <f t="shared" si="474"/>
        <v>46.671916712328773</v>
      </c>
      <c r="AA284" s="63">
        <f t="shared" si="475"/>
        <v>20.418963561643835</v>
      </c>
      <c r="AB284" s="63">
        <f t="shared" si="476"/>
        <v>335</v>
      </c>
      <c r="AC284" s="63">
        <f t="shared" si="477"/>
        <v>10356.36</v>
      </c>
      <c r="AD284" s="63">
        <f t="shared" si="478"/>
        <v>106.9136</v>
      </c>
      <c r="AE284" s="170">
        <v>510</v>
      </c>
      <c r="AF284" s="69">
        <f t="shared" si="479"/>
        <v>0</v>
      </c>
      <c r="AG284" s="69">
        <f t="shared" si="480"/>
        <v>17201.077173972604</v>
      </c>
      <c r="AH284" s="65"/>
      <c r="AI284" s="69">
        <f t="shared" si="481"/>
        <v>17201.077173972604</v>
      </c>
      <c r="AJ284" s="69">
        <f t="shared" si="482"/>
        <v>17201.077173972604</v>
      </c>
    </row>
    <row r="285" spans="1:36" x14ac:dyDescent="0.25">
      <c r="A285" s="167">
        <v>510</v>
      </c>
      <c r="B285" s="92" t="s">
        <v>2882</v>
      </c>
      <c r="C285" s="71" t="s">
        <v>2879</v>
      </c>
      <c r="D285" s="247" t="s">
        <v>2883</v>
      </c>
      <c r="E285" s="247" t="s">
        <v>2758</v>
      </c>
      <c r="F285" s="58">
        <v>43258</v>
      </c>
      <c r="G285" s="59">
        <f t="shared" si="465"/>
        <v>3.5671232876712327</v>
      </c>
      <c r="H285" s="57"/>
      <c r="I285" s="66">
        <v>26927</v>
      </c>
      <c r="J285" s="66">
        <v>26927</v>
      </c>
      <c r="K285" s="63"/>
      <c r="L285" s="63">
        <f t="shared" si="466"/>
        <v>12.945673076923077</v>
      </c>
      <c r="M285" s="63">
        <f t="shared" si="467"/>
        <v>1035.6538461538462</v>
      </c>
      <c r="N285" s="63">
        <v>0</v>
      </c>
      <c r="O285" s="169"/>
      <c r="P285" s="169"/>
      <c r="Q285" s="63">
        <f t="shared" si="468"/>
        <v>0</v>
      </c>
      <c r="R285" s="63">
        <f t="shared" si="469"/>
        <v>26927</v>
      </c>
      <c r="S285" s="169"/>
      <c r="T285" s="169"/>
      <c r="U285" s="169"/>
      <c r="V285" s="63">
        <f t="shared" si="470"/>
        <v>26927</v>
      </c>
      <c r="W285" s="63">
        <f t="shared" si="471"/>
        <v>1669.4739999999999</v>
      </c>
      <c r="X285" s="63">
        <f t="shared" si="472"/>
        <v>390.44150000000002</v>
      </c>
      <c r="Y285" s="63">
        <f t="shared" si="473"/>
        <v>3788.6288999999997</v>
      </c>
      <c r="Z285" s="63">
        <f t="shared" si="474"/>
        <v>43.083200000000005</v>
      </c>
      <c r="AA285" s="63">
        <f t="shared" si="475"/>
        <v>18.8489</v>
      </c>
      <c r="AB285" s="63">
        <f t="shared" si="476"/>
        <v>335</v>
      </c>
      <c r="AC285" s="63">
        <f t="shared" si="477"/>
        <v>10356.36</v>
      </c>
      <c r="AD285" s="63">
        <f t="shared" si="478"/>
        <v>106.9136</v>
      </c>
      <c r="AE285" s="170">
        <v>510</v>
      </c>
      <c r="AF285" s="69">
        <f t="shared" si="479"/>
        <v>0</v>
      </c>
      <c r="AG285" s="69">
        <f t="shared" si="480"/>
        <v>16708.750100000001</v>
      </c>
      <c r="AH285" s="65"/>
      <c r="AI285" s="69">
        <f t="shared" si="481"/>
        <v>16708.750100000001</v>
      </c>
      <c r="AJ285" s="69">
        <f t="shared" si="482"/>
        <v>16708.750100000001</v>
      </c>
    </row>
    <row r="286" spans="1:36" x14ac:dyDescent="0.25">
      <c r="A286" s="167">
        <v>510</v>
      </c>
      <c r="B286" s="92" t="s">
        <v>2884</v>
      </c>
      <c r="C286" s="71" t="s">
        <v>2879</v>
      </c>
      <c r="D286" s="168" t="s">
        <v>2885</v>
      </c>
      <c r="E286" s="168" t="s">
        <v>2886</v>
      </c>
      <c r="F286" s="58">
        <v>43283</v>
      </c>
      <c r="G286" s="59">
        <f t="shared" si="465"/>
        <v>3.4986301369863013</v>
      </c>
      <c r="H286" s="57"/>
      <c r="I286" s="57">
        <v>26927</v>
      </c>
      <c r="J286" s="57">
        <v>26927</v>
      </c>
      <c r="K286" s="63"/>
      <c r="L286" s="63">
        <f t="shared" si="466"/>
        <v>12.945673076923077</v>
      </c>
      <c r="M286" s="63">
        <f t="shared" si="467"/>
        <v>1035.6538461538462</v>
      </c>
      <c r="N286" s="63">
        <f t="shared" ref="N286:N287" si="483">IF(G286&lt;4,0,(G286-1)*$N$7)</f>
        <v>0</v>
      </c>
      <c r="O286" s="169"/>
      <c r="P286" s="169"/>
      <c r="Q286" s="63">
        <f t="shared" si="468"/>
        <v>0</v>
      </c>
      <c r="R286" s="63">
        <f t="shared" si="469"/>
        <v>26927</v>
      </c>
      <c r="S286" s="169"/>
      <c r="T286" s="169"/>
      <c r="U286" s="169"/>
      <c r="V286" s="63">
        <f t="shared" si="470"/>
        <v>26927</v>
      </c>
      <c r="W286" s="63">
        <f t="shared" si="471"/>
        <v>1669.4739999999999</v>
      </c>
      <c r="X286" s="63">
        <f t="shared" si="472"/>
        <v>390.44150000000002</v>
      </c>
      <c r="Y286" s="63">
        <f t="shared" si="473"/>
        <v>3788.6288999999997</v>
      </c>
      <c r="Z286" s="63">
        <f t="shared" si="474"/>
        <v>43.083200000000005</v>
      </c>
      <c r="AA286" s="63">
        <f t="shared" si="475"/>
        <v>18.8489</v>
      </c>
      <c r="AB286" s="63">
        <f t="shared" si="476"/>
        <v>335</v>
      </c>
      <c r="AC286" s="63">
        <f t="shared" si="477"/>
        <v>10356.36</v>
      </c>
      <c r="AD286" s="63">
        <f t="shared" si="478"/>
        <v>106.9136</v>
      </c>
      <c r="AE286" s="170">
        <v>510</v>
      </c>
      <c r="AF286" s="69">
        <f t="shared" si="479"/>
        <v>0</v>
      </c>
      <c r="AG286" s="69">
        <f t="shared" si="480"/>
        <v>16708.750100000001</v>
      </c>
      <c r="AH286" s="65"/>
      <c r="AI286" s="69">
        <f t="shared" si="481"/>
        <v>16708.750100000001</v>
      </c>
      <c r="AJ286" s="69">
        <f t="shared" si="482"/>
        <v>16708.750100000001</v>
      </c>
    </row>
    <row r="287" spans="1:36" x14ac:dyDescent="0.25">
      <c r="A287" s="167">
        <v>510</v>
      </c>
      <c r="B287" s="92" t="s">
        <v>2887</v>
      </c>
      <c r="C287" s="71" t="s">
        <v>2879</v>
      </c>
      <c r="D287" s="185" t="s">
        <v>3788</v>
      </c>
      <c r="E287" s="185" t="s">
        <v>3789</v>
      </c>
      <c r="F287" s="87">
        <v>33833</v>
      </c>
      <c r="G287" s="59">
        <f t="shared" si="465"/>
        <v>29.389041095890413</v>
      </c>
      <c r="H287" s="57"/>
      <c r="I287" s="66">
        <v>31709</v>
      </c>
      <c r="J287" s="66">
        <v>31709</v>
      </c>
      <c r="K287" s="63"/>
      <c r="L287" s="63">
        <f t="shared" si="466"/>
        <v>15.244711538461539</v>
      </c>
      <c r="M287" s="63">
        <f t="shared" si="467"/>
        <v>1219.5769230769231</v>
      </c>
      <c r="N287" s="63">
        <f t="shared" si="483"/>
        <v>7494.7068493150691</v>
      </c>
      <c r="O287" s="169"/>
      <c r="P287" s="169"/>
      <c r="Q287" s="63">
        <f t="shared" si="468"/>
        <v>5000</v>
      </c>
      <c r="R287" s="63">
        <f t="shared" si="469"/>
        <v>36709</v>
      </c>
      <c r="S287" s="169"/>
      <c r="T287" s="169"/>
      <c r="U287" s="169"/>
      <c r="V287" s="63">
        <f t="shared" si="470"/>
        <v>36709</v>
      </c>
      <c r="W287" s="63">
        <f t="shared" si="471"/>
        <v>2275.9580000000001</v>
      </c>
      <c r="X287" s="63">
        <f t="shared" si="472"/>
        <v>532.28050000000007</v>
      </c>
      <c r="Y287" s="63">
        <f t="shared" si="473"/>
        <v>5164.9562999999998</v>
      </c>
      <c r="Z287" s="63">
        <f t="shared" si="474"/>
        <v>58.734400000000001</v>
      </c>
      <c r="AA287" s="63">
        <f t="shared" si="475"/>
        <v>25.696300000000001</v>
      </c>
      <c r="AB287" s="63">
        <f t="shared" si="476"/>
        <v>335</v>
      </c>
      <c r="AC287" s="63">
        <f t="shared" si="477"/>
        <v>10356.36</v>
      </c>
      <c r="AD287" s="63">
        <f t="shared" si="478"/>
        <v>106.9136</v>
      </c>
      <c r="AE287" s="170">
        <v>510</v>
      </c>
      <c r="AF287" s="69">
        <f t="shared" si="479"/>
        <v>0</v>
      </c>
      <c r="AG287" s="69">
        <f t="shared" si="480"/>
        <v>18855.899100000002</v>
      </c>
      <c r="AH287" s="67">
        <v>19854.77</v>
      </c>
      <c r="AI287" s="69">
        <f t="shared" si="481"/>
        <v>-998.87089999999807</v>
      </c>
      <c r="AJ287" s="69">
        <f t="shared" si="482"/>
        <v>-998.87089999999807</v>
      </c>
    </row>
    <row r="288" spans="1:36" x14ac:dyDescent="0.25">
      <c r="A288" s="167">
        <v>510</v>
      </c>
      <c r="B288" s="92" t="s">
        <v>2888</v>
      </c>
      <c r="C288" s="71" t="s">
        <v>2879</v>
      </c>
      <c r="D288" s="248" t="s">
        <v>2805</v>
      </c>
      <c r="E288" s="248" t="s">
        <v>3790</v>
      </c>
      <c r="F288" s="249">
        <v>43831</v>
      </c>
      <c r="G288" s="59">
        <f t="shared" si="465"/>
        <v>1.9972602739726026</v>
      </c>
      <c r="H288" s="57"/>
      <c r="I288" s="66">
        <v>26927</v>
      </c>
      <c r="J288" s="66">
        <v>26927</v>
      </c>
      <c r="K288" s="63"/>
      <c r="L288" s="63">
        <f t="shared" si="466"/>
        <v>12.945673076923077</v>
      </c>
      <c r="M288" s="63">
        <f t="shared" si="467"/>
        <v>1035.6538461538462</v>
      </c>
      <c r="N288" s="63">
        <v>0</v>
      </c>
      <c r="O288" s="169"/>
      <c r="P288" s="169"/>
      <c r="Q288" s="63">
        <f t="shared" si="468"/>
        <v>0</v>
      </c>
      <c r="R288" s="63">
        <f t="shared" si="469"/>
        <v>26927</v>
      </c>
      <c r="S288" s="169"/>
      <c r="T288" s="169"/>
      <c r="U288" s="169"/>
      <c r="V288" s="63">
        <f t="shared" si="470"/>
        <v>26927</v>
      </c>
      <c r="W288" s="63">
        <f t="shared" si="471"/>
        <v>1669.4739999999999</v>
      </c>
      <c r="X288" s="63">
        <f t="shared" si="472"/>
        <v>390.44150000000002</v>
      </c>
      <c r="Y288" s="63">
        <f t="shared" si="473"/>
        <v>3788.6288999999997</v>
      </c>
      <c r="Z288" s="63">
        <f t="shared" si="474"/>
        <v>43.083200000000005</v>
      </c>
      <c r="AA288" s="63">
        <f t="shared" si="475"/>
        <v>18.8489</v>
      </c>
      <c r="AB288" s="63">
        <f t="shared" si="476"/>
        <v>335</v>
      </c>
      <c r="AC288" s="63">
        <f t="shared" si="477"/>
        <v>10356.36</v>
      </c>
      <c r="AD288" s="63">
        <f t="shared" si="478"/>
        <v>106.9136</v>
      </c>
      <c r="AE288" s="170">
        <v>510</v>
      </c>
      <c r="AF288" s="69">
        <f t="shared" si="479"/>
        <v>0</v>
      </c>
      <c r="AG288" s="69">
        <f t="shared" si="480"/>
        <v>16708.750100000001</v>
      </c>
      <c r="AH288" s="67">
        <v>21098.92</v>
      </c>
      <c r="AI288" s="69">
        <f t="shared" si="481"/>
        <v>-4390.1698999999971</v>
      </c>
      <c r="AJ288" s="69">
        <f t="shared" si="482"/>
        <v>-4390.1698999999971</v>
      </c>
    </row>
    <row r="289" spans="1:36" x14ac:dyDescent="0.25">
      <c r="A289" s="167">
        <v>510</v>
      </c>
      <c r="B289" s="92" t="s">
        <v>2890</v>
      </c>
      <c r="C289" s="168" t="s">
        <v>3291</v>
      </c>
      <c r="D289" s="168" t="s">
        <v>3292</v>
      </c>
      <c r="E289" s="168" t="s">
        <v>3293</v>
      </c>
      <c r="F289" s="58">
        <v>38839</v>
      </c>
      <c r="G289" s="59">
        <f t="shared" si="465"/>
        <v>15.673972602739726</v>
      </c>
      <c r="H289" s="57"/>
      <c r="I289" s="66">
        <v>42569</v>
      </c>
      <c r="J289" s="66">
        <v>42569</v>
      </c>
      <c r="K289" s="63"/>
      <c r="L289" s="63">
        <f t="shared" si="466"/>
        <v>20.465865384615384</v>
      </c>
      <c r="M289" s="63">
        <f t="shared" si="467"/>
        <v>1637.2692307692307</v>
      </c>
      <c r="N289" s="63">
        <f t="shared" ref="N289:N290" si="484">IF(G289&lt;4,0,(G289-1)*$N$7)</f>
        <v>3873.9287671232878</v>
      </c>
      <c r="O289" s="169"/>
      <c r="P289" s="169"/>
      <c r="Q289" s="63">
        <v>1314.22</v>
      </c>
      <c r="R289" s="63">
        <f t="shared" si="469"/>
        <v>43883.22</v>
      </c>
      <c r="S289" s="169"/>
      <c r="T289" s="169"/>
      <c r="U289" s="169"/>
      <c r="V289" s="63">
        <f t="shared" si="470"/>
        <v>43883.22</v>
      </c>
      <c r="W289" s="63">
        <f t="shared" si="471"/>
        <v>2720.7596400000002</v>
      </c>
      <c r="X289" s="63">
        <f t="shared" si="472"/>
        <v>636.30669</v>
      </c>
      <c r="Y289" s="63">
        <f t="shared" si="473"/>
        <v>6174.3690539999998</v>
      </c>
      <c r="Z289" s="63">
        <f t="shared" si="474"/>
        <v>70.213152000000008</v>
      </c>
      <c r="AA289" s="63">
        <f t="shared" si="475"/>
        <v>30.718254000000002</v>
      </c>
      <c r="AB289" s="63">
        <f t="shared" si="476"/>
        <v>335</v>
      </c>
      <c r="AC289" s="63">
        <f t="shared" si="477"/>
        <v>10356.36</v>
      </c>
      <c r="AD289" s="63">
        <f t="shared" si="478"/>
        <v>106.9136</v>
      </c>
      <c r="AE289" s="170">
        <v>510</v>
      </c>
      <c r="AF289" s="69">
        <f t="shared" si="479"/>
        <v>0</v>
      </c>
      <c r="AG289" s="69">
        <f t="shared" si="480"/>
        <v>20430.64039</v>
      </c>
      <c r="AH289" s="67">
        <v>17192.64</v>
      </c>
      <c r="AI289" s="69">
        <f t="shared" si="481"/>
        <v>3238.0003900000011</v>
      </c>
      <c r="AJ289" s="69">
        <f t="shared" si="482"/>
        <v>3238.0003900000011</v>
      </c>
    </row>
    <row r="290" spans="1:36" x14ac:dyDescent="0.25">
      <c r="A290" s="167">
        <v>510</v>
      </c>
      <c r="B290" s="92" t="s">
        <v>2891</v>
      </c>
      <c r="C290" s="168" t="s">
        <v>3791</v>
      </c>
      <c r="D290" s="168" t="s">
        <v>2893</v>
      </c>
      <c r="E290" s="168" t="s">
        <v>2635</v>
      </c>
      <c r="F290" s="58">
        <v>43199</v>
      </c>
      <c r="G290" s="59">
        <f t="shared" si="465"/>
        <v>3.7287671232876711</v>
      </c>
      <c r="H290" s="57"/>
      <c r="I290" s="57">
        <v>35241</v>
      </c>
      <c r="J290" s="57">
        <v>35241</v>
      </c>
      <c r="K290" s="63"/>
      <c r="L290" s="63">
        <f t="shared" si="466"/>
        <v>16.942788461538463</v>
      </c>
      <c r="M290" s="63">
        <f t="shared" si="467"/>
        <v>1355.4230769230769</v>
      </c>
      <c r="N290" s="63">
        <f t="shared" si="484"/>
        <v>0</v>
      </c>
      <c r="O290" s="169"/>
      <c r="P290" s="169"/>
      <c r="Q290" s="63">
        <f>IF(N290+P290&gt;5000,5000,N290+P290)</f>
        <v>0</v>
      </c>
      <c r="R290" s="63">
        <f t="shared" si="469"/>
        <v>35241</v>
      </c>
      <c r="S290" s="169"/>
      <c r="T290" s="169"/>
      <c r="U290" s="169"/>
      <c r="V290" s="63">
        <f t="shared" si="470"/>
        <v>35241</v>
      </c>
      <c r="W290" s="63">
        <f t="shared" si="471"/>
        <v>2184.942</v>
      </c>
      <c r="X290" s="63">
        <f t="shared" si="472"/>
        <v>510.99450000000002</v>
      </c>
      <c r="Y290" s="63">
        <f t="shared" si="473"/>
        <v>4958.4087</v>
      </c>
      <c r="Z290" s="63">
        <f t="shared" si="474"/>
        <v>56.385600000000004</v>
      </c>
      <c r="AA290" s="63">
        <f t="shared" si="475"/>
        <v>24.668700000000001</v>
      </c>
      <c r="AB290" s="63">
        <f t="shared" si="476"/>
        <v>335</v>
      </c>
      <c r="AC290" s="63">
        <f t="shared" si="477"/>
        <v>10356.36</v>
      </c>
      <c r="AD290" s="63">
        <f t="shared" si="478"/>
        <v>106.9136</v>
      </c>
      <c r="AE290" s="170">
        <v>510</v>
      </c>
      <c r="AF290" s="69">
        <f t="shared" si="479"/>
        <v>0</v>
      </c>
      <c r="AG290" s="69">
        <f t="shared" si="480"/>
        <v>18533.6731</v>
      </c>
      <c r="AH290" s="67">
        <v>16964.560000000001</v>
      </c>
      <c r="AI290" s="69">
        <f t="shared" si="481"/>
        <v>1569.1130999999987</v>
      </c>
      <c r="AJ290" s="69">
        <f t="shared" si="482"/>
        <v>1569.1130999999987</v>
      </c>
    </row>
    <row r="291" spans="1:36" x14ac:dyDescent="0.25">
      <c r="A291" s="167">
        <v>510</v>
      </c>
      <c r="B291" s="138"/>
      <c r="C291" s="168" t="s">
        <v>2894</v>
      </c>
      <c r="D291" s="168" t="s">
        <v>2634</v>
      </c>
      <c r="E291" s="168" t="s">
        <v>2895</v>
      </c>
      <c r="F291" s="138"/>
      <c r="G291" s="167" t="s">
        <v>2422</v>
      </c>
      <c r="H291" s="88"/>
      <c r="I291" s="88">
        <v>5855.2</v>
      </c>
      <c r="J291" s="88">
        <v>5855.2</v>
      </c>
      <c r="K291" s="138"/>
      <c r="L291" s="138"/>
      <c r="M291" s="138"/>
      <c r="N291" s="167" t="s">
        <v>27</v>
      </c>
      <c r="O291" s="138"/>
      <c r="P291" s="138"/>
      <c r="Q291" s="167">
        <v>0</v>
      </c>
      <c r="R291" s="63">
        <f t="shared" si="469"/>
        <v>5855.2</v>
      </c>
      <c r="S291" s="169"/>
      <c r="T291" s="169"/>
      <c r="U291" s="169"/>
      <c r="V291" s="63">
        <f t="shared" si="470"/>
        <v>5855.2</v>
      </c>
      <c r="W291" s="63">
        <f t="shared" si="471"/>
        <v>363.0224</v>
      </c>
      <c r="X291" s="63">
        <f t="shared" si="472"/>
        <v>84.900400000000005</v>
      </c>
      <c r="Y291" s="63">
        <f t="shared" si="473"/>
        <v>823.82663999999988</v>
      </c>
      <c r="Z291" s="63">
        <f t="shared" si="474"/>
        <v>9.3683200000000006</v>
      </c>
      <c r="AA291" s="63">
        <f t="shared" si="475"/>
        <v>4.0986399999999996</v>
      </c>
      <c r="AB291" s="63" t="s">
        <v>2422</v>
      </c>
      <c r="AC291" s="63" t="s">
        <v>2422</v>
      </c>
      <c r="AD291" s="63" t="s">
        <v>2422</v>
      </c>
      <c r="AE291" s="170">
        <v>510</v>
      </c>
      <c r="AF291" s="69">
        <f t="shared" si="479"/>
        <v>0</v>
      </c>
      <c r="AG291" s="69">
        <f t="shared" si="480"/>
        <v>1285.2163999999998</v>
      </c>
      <c r="AH291" s="67">
        <v>18059.63</v>
      </c>
      <c r="AI291" s="69">
        <f t="shared" si="481"/>
        <v>-16774.4136</v>
      </c>
      <c r="AJ291" s="100">
        <f t="shared" si="482"/>
        <v>-16774.4136</v>
      </c>
    </row>
    <row r="292" spans="1:36" x14ac:dyDescent="0.25">
      <c r="A292" s="167">
        <v>510</v>
      </c>
      <c r="B292" s="138"/>
      <c r="C292" s="168" t="s">
        <v>2495</v>
      </c>
      <c r="D292" s="138"/>
      <c r="E292" s="138"/>
      <c r="F292" s="138"/>
      <c r="G292" s="167" t="s">
        <v>2422</v>
      </c>
      <c r="H292" s="88"/>
      <c r="I292" s="88">
        <v>20000</v>
      </c>
      <c r="J292" s="218">
        <v>20000</v>
      </c>
      <c r="K292" s="219"/>
      <c r="L292" s="219"/>
      <c r="M292" s="219"/>
      <c r="N292" s="220" t="s">
        <v>27</v>
      </c>
      <c r="O292" s="219"/>
      <c r="P292" s="219"/>
      <c r="Q292" s="220">
        <v>0</v>
      </c>
      <c r="R292" s="172">
        <f t="shared" si="469"/>
        <v>20000</v>
      </c>
      <c r="S292" s="173"/>
      <c r="T292" s="173"/>
      <c r="U292" s="173"/>
      <c r="V292" s="172">
        <f t="shared" si="470"/>
        <v>20000</v>
      </c>
      <c r="W292" s="172">
        <f t="shared" si="471"/>
        <v>1240</v>
      </c>
      <c r="X292" s="172">
        <f t="shared" si="472"/>
        <v>290</v>
      </c>
      <c r="Y292" s="172">
        <f t="shared" si="473"/>
        <v>2814</v>
      </c>
      <c r="Z292" s="172">
        <f t="shared" si="474"/>
        <v>32</v>
      </c>
      <c r="AA292" s="172">
        <f t="shared" si="475"/>
        <v>14</v>
      </c>
      <c r="AB292" s="172" t="s">
        <v>2422</v>
      </c>
      <c r="AC292" s="172" t="s">
        <v>2422</v>
      </c>
      <c r="AD292" s="172" t="s">
        <v>2422</v>
      </c>
      <c r="AE292" s="170">
        <v>510</v>
      </c>
      <c r="AF292" s="69">
        <f t="shared" si="479"/>
        <v>0</v>
      </c>
      <c r="AG292" s="69">
        <f t="shared" si="480"/>
        <v>4390</v>
      </c>
      <c r="AH292" s="67">
        <v>16964.560000000001</v>
      </c>
      <c r="AI292" s="69">
        <f t="shared" si="481"/>
        <v>-12574.560000000001</v>
      </c>
      <c r="AJ292" s="100">
        <f t="shared" si="482"/>
        <v>-12574.560000000001</v>
      </c>
    </row>
    <row r="293" spans="1:36" x14ac:dyDescent="0.25">
      <c r="A293" s="167">
        <v>510</v>
      </c>
      <c r="B293" s="138"/>
      <c r="C293" s="138"/>
      <c r="D293" s="138"/>
      <c r="E293" s="138"/>
      <c r="F293" s="138"/>
      <c r="G293" s="138"/>
      <c r="H293" s="221"/>
      <c r="I293" s="222">
        <f t="shared" ref="I293:J293" si="485">SUM(I281:I292)</f>
        <v>366744.2</v>
      </c>
      <c r="J293" s="222">
        <f t="shared" si="485"/>
        <v>367569.2</v>
      </c>
      <c r="K293" s="223"/>
      <c r="L293" s="223">
        <f t="shared" ref="L293:AD293" si="486">SUM(L280:L292)</f>
        <v>164.28557692307695</v>
      </c>
      <c r="M293" s="223">
        <f t="shared" si="486"/>
        <v>13142.846153846152</v>
      </c>
      <c r="N293" s="223">
        <f t="shared" si="486"/>
        <v>12615.583561643838</v>
      </c>
      <c r="O293" s="223">
        <f t="shared" si="486"/>
        <v>0</v>
      </c>
      <c r="P293" s="223">
        <f t="shared" si="486"/>
        <v>0</v>
      </c>
      <c r="Q293" s="223">
        <f t="shared" si="486"/>
        <v>7561.1679452054796</v>
      </c>
      <c r="R293" s="223">
        <f t="shared" si="486"/>
        <v>375130.36794520548</v>
      </c>
      <c r="S293" s="223">
        <f t="shared" si="486"/>
        <v>0</v>
      </c>
      <c r="T293" s="223">
        <f t="shared" si="486"/>
        <v>0</v>
      </c>
      <c r="U293" s="223">
        <f t="shared" si="486"/>
        <v>0</v>
      </c>
      <c r="V293" s="223">
        <f t="shared" si="486"/>
        <v>375130.36794520548</v>
      </c>
      <c r="W293" s="223">
        <f t="shared" si="486"/>
        <v>23258.082812602741</v>
      </c>
      <c r="X293" s="223">
        <f t="shared" si="486"/>
        <v>5439.3903352054795</v>
      </c>
      <c r="Y293" s="223">
        <f t="shared" si="486"/>
        <v>52780.842769890405</v>
      </c>
      <c r="Z293" s="223">
        <f t="shared" si="486"/>
        <v>600.20858871232883</v>
      </c>
      <c r="AA293" s="223">
        <f t="shared" si="486"/>
        <v>262.59125756164383</v>
      </c>
      <c r="AB293" s="223">
        <f t="shared" si="486"/>
        <v>3350</v>
      </c>
      <c r="AC293" s="223">
        <f t="shared" si="486"/>
        <v>103563.6</v>
      </c>
      <c r="AD293" s="223">
        <f t="shared" si="486"/>
        <v>1069.136</v>
      </c>
      <c r="AE293" s="170">
        <v>510</v>
      </c>
      <c r="AF293" s="230">
        <f>SUM(AF281:AF292)</f>
        <v>825</v>
      </c>
      <c r="AG293" s="100">
        <f t="shared" si="480"/>
        <v>190323.85176397261</v>
      </c>
      <c r="AH293" s="225">
        <v>16964.560000000001</v>
      </c>
      <c r="AI293" s="226">
        <f t="shared" si="481"/>
        <v>173359.29176397261</v>
      </c>
      <c r="AJ293" s="226">
        <f t="shared" si="482"/>
        <v>174184.29176397261</v>
      </c>
    </row>
    <row r="294" spans="1:36" x14ac:dyDescent="0.25">
      <c r="A294" s="138"/>
      <c r="B294" s="138"/>
      <c r="C294" s="138"/>
      <c r="D294" s="138"/>
      <c r="E294" s="138"/>
      <c r="F294" s="138"/>
      <c r="G294" s="138"/>
      <c r="H294" s="78"/>
      <c r="I294" s="78">
        <v>340889</v>
      </c>
      <c r="J294" s="78">
        <f>SUM(J281:J290)</f>
        <v>341714</v>
      </c>
      <c r="K294" s="138"/>
      <c r="L294" s="138"/>
      <c r="M294" s="138"/>
      <c r="N294" s="138"/>
      <c r="O294" s="138"/>
      <c r="P294" s="138"/>
      <c r="Q294" s="138"/>
      <c r="R294" s="169"/>
      <c r="S294" s="169"/>
      <c r="T294" s="169"/>
      <c r="U294" s="169"/>
      <c r="V294" s="169"/>
      <c r="W294" s="63">
        <f>SUM(W293:X293)</f>
        <v>28697.473147808221</v>
      </c>
      <c r="X294" s="169"/>
      <c r="Y294" s="169"/>
      <c r="Z294" s="169"/>
      <c r="AA294" s="169"/>
      <c r="AB294" s="169"/>
      <c r="AC294" s="63">
        <f>SUM(AC293:AD293)</f>
        <v>104632.736</v>
      </c>
      <c r="AD294" s="169"/>
      <c r="AE294" s="149"/>
      <c r="AF294" s="69">
        <f t="shared" ref="AF294:AG294" si="487">SUM(AF281:AF292)</f>
        <v>825</v>
      </c>
      <c r="AG294" s="69">
        <f t="shared" si="487"/>
        <v>190323.85176397263</v>
      </c>
      <c r="AH294" s="67">
        <v>20546.57</v>
      </c>
      <c r="AI294" s="69">
        <f t="shared" ref="AI294:AJ294" si="488">SUM(AI281:AI292)</f>
        <v>-201001.11823602737</v>
      </c>
      <c r="AJ294" s="69">
        <f t="shared" si="488"/>
        <v>-200176.11823602737</v>
      </c>
    </row>
    <row r="295" spans="1:36" x14ac:dyDescent="0.25">
      <c r="A295" s="138"/>
      <c r="B295" s="138"/>
      <c r="G295" s="138"/>
      <c r="H295" s="148"/>
      <c r="I295" s="148"/>
      <c r="J295" s="148"/>
      <c r="K295" s="138"/>
      <c r="L295" s="138"/>
      <c r="M295" s="138"/>
      <c r="N295" s="138"/>
      <c r="O295" s="138"/>
      <c r="P295" s="138"/>
      <c r="Q295" s="138"/>
      <c r="R295" s="169"/>
      <c r="S295" s="169"/>
      <c r="T295" s="169"/>
      <c r="U295" s="169"/>
      <c r="V295" s="169"/>
      <c r="W295" s="169"/>
      <c r="X295" s="169"/>
      <c r="Y295" s="169"/>
      <c r="Z295" s="169"/>
      <c r="AA295" s="169"/>
      <c r="AB295" s="169"/>
      <c r="AC295" s="169"/>
      <c r="AD295" s="169"/>
      <c r="AE295" s="149"/>
      <c r="AF295" s="178"/>
      <c r="AG295" s="178"/>
      <c r="AH295" s="67">
        <v>19832.599999999999</v>
      </c>
      <c r="AI295" s="178"/>
      <c r="AJ295" s="178"/>
    </row>
    <row r="296" spans="1:36" hidden="1" x14ac:dyDescent="0.25">
      <c r="A296" s="167">
        <v>511</v>
      </c>
      <c r="B296" s="167">
        <v>560521</v>
      </c>
      <c r="C296" s="168" t="s">
        <v>2896</v>
      </c>
      <c r="D296" s="168" t="s">
        <v>2805</v>
      </c>
      <c r="E296" s="138"/>
      <c r="F296" s="138"/>
      <c r="G296" s="167" t="s">
        <v>2422</v>
      </c>
      <c r="H296" s="88"/>
      <c r="I296" s="88">
        <v>0</v>
      </c>
      <c r="J296" s="218">
        <v>0</v>
      </c>
      <c r="K296" s="172"/>
      <c r="L296" s="172">
        <f>SUM(J296/2080)</f>
        <v>0</v>
      </c>
      <c r="M296" s="172">
        <f>SUM(J296/26)</f>
        <v>0</v>
      </c>
      <c r="N296" s="220" t="s">
        <v>27</v>
      </c>
      <c r="O296" s="219"/>
      <c r="P296" s="219"/>
      <c r="Q296" s="172">
        <v>0</v>
      </c>
      <c r="R296" s="172">
        <f>Q296+J296</f>
        <v>0</v>
      </c>
      <c r="S296" s="173"/>
      <c r="T296" s="173"/>
      <c r="U296" s="173"/>
      <c r="V296" s="172">
        <f>SUM(R296:U296)</f>
        <v>0</v>
      </c>
      <c r="W296" s="172">
        <f>SUM(V296*$W$7)</f>
        <v>0</v>
      </c>
      <c r="X296" s="172">
        <f>SUM(V296*$X$7)</f>
        <v>0</v>
      </c>
      <c r="Y296" s="172">
        <f>SUM(V296*$Y$7)</f>
        <v>0</v>
      </c>
      <c r="Z296" s="172">
        <f>SUM(V296*$Z$7)</f>
        <v>0</v>
      </c>
      <c r="AA296" s="172">
        <f>SUM(V296*$AA$7)</f>
        <v>0</v>
      </c>
      <c r="AB296" s="172" t="s">
        <v>2422</v>
      </c>
      <c r="AC296" s="172" t="s">
        <v>2422</v>
      </c>
      <c r="AD296" s="172" t="s">
        <v>2422</v>
      </c>
      <c r="AE296" s="170">
        <v>511</v>
      </c>
      <c r="AF296" s="229" t="e">
        <f t="shared" ref="AF296:AF297" si="489">SUM(J296-#REF!)</f>
        <v>#REF!</v>
      </c>
      <c r="AG296" s="69">
        <f t="shared" ref="AG296:AG297" si="490">SUM(W296:AD296)</f>
        <v>0</v>
      </c>
      <c r="AH296" s="67">
        <v>18868.46</v>
      </c>
      <c r="AI296" s="69">
        <f t="shared" ref="AI296:AI297" si="491">AG296-AH296</f>
        <v>-18868.46</v>
      </c>
      <c r="AJ296" s="100" t="e">
        <f t="shared" ref="AJ296:AJ297" si="492">AF296+AI296</f>
        <v>#REF!</v>
      </c>
    </row>
    <row r="297" spans="1:36" hidden="1" x14ac:dyDescent="0.25">
      <c r="A297" s="167">
        <v>511</v>
      </c>
      <c r="B297" s="138"/>
      <c r="C297" s="138"/>
      <c r="D297" s="138"/>
      <c r="E297" s="138"/>
      <c r="F297" s="138"/>
      <c r="G297" s="138"/>
      <c r="H297" s="221"/>
      <c r="I297" s="221">
        <v>0</v>
      </c>
      <c r="J297" s="222">
        <v>0</v>
      </c>
      <c r="K297" s="223"/>
      <c r="L297" s="223">
        <f t="shared" ref="L297:AD297" si="493">SUM(L296)</f>
        <v>0</v>
      </c>
      <c r="M297" s="223">
        <f t="shared" si="493"/>
        <v>0</v>
      </c>
      <c r="N297" s="223">
        <f t="shared" si="493"/>
        <v>0</v>
      </c>
      <c r="O297" s="223">
        <f t="shared" si="493"/>
        <v>0</v>
      </c>
      <c r="P297" s="223">
        <f t="shared" si="493"/>
        <v>0</v>
      </c>
      <c r="Q297" s="223">
        <f t="shared" si="493"/>
        <v>0</v>
      </c>
      <c r="R297" s="223">
        <f t="shared" si="493"/>
        <v>0</v>
      </c>
      <c r="S297" s="223">
        <f t="shared" si="493"/>
        <v>0</v>
      </c>
      <c r="T297" s="223">
        <f t="shared" si="493"/>
        <v>0</v>
      </c>
      <c r="U297" s="223">
        <f t="shared" si="493"/>
        <v>0</v>
      </c>
      <c r="V297" s="223">
        <f t="shared" si="493"/>
        <v>0</v>
      </c>
      <c r="W297" s="223">
        <f t="shared" si="493"/>
        <v>0</v>
      </c>
      <c r="X297" s="223">
        <f t="shared" si="493"/>
        <v>0</v>
      </c>
      <c r="Y297" s="223">
        <f t="shared" si="493"/>
        <v>0</v>
      </c>
      <c r="Z297" s="223">
        <f t="shared" si="493"/>
        <v>0</v>
      </c>
      <c r="AA297" s="223">
        <f t="shared" si="493"/>
        <v>0</v>
      </c>
      <c r="AB297" s="223">
        <f t="shared" si="493"/>
        <v>0</v>
      </c>
      <c r="AC297" s="223">
        <f t="shared" si="493"/>
        <v>0</v>
      </c>
      <c r="AD297" s="223">
        <f t="shared" si="493"/>
        <v>0</v>
      </c>
      <c r="AE297" s="170">
        <v>511</v>
      </c>
      <c r="AF297" s="230" t="e">
        <f t="shared" si="489"/>
        <v>#REF!</v>
      </c>
      <c r="AG297" s="100">
        <f t="shared" si="490"/>
        <v>0</v>
      </c>
      <c r="AH297" s="225">
        <v>1340.84</v>
      </c>
      <c r="AI297" s="226">
        <f t="shared" si="491"/>
        <v>-1340.84</v>
      </c>
      <c r="AJ297" s="226" t="e">
        <f t="shared" si="492"/>
        <v>#REF!</v>
      </c>
    </row>
    <row r="298" spans="1:36" hidden="1" x14ac:dyDescent="0.25">
      <c r="A298" s="138"/>
      <c r="B298" s="138"/>
      <c r="C298" s="138"/>
      <c r="D298" s="138"/>
      <c r="E298" s="138"/>
      <c r="F298" s="138"/>
      <c r="G298" s="138"/>
      <c r="H298" s="148"/>
      <c r="I298" s="148"/>
      <c r="J298" s="148"/>
      <c r="K298" s="138"/>
      <c r="L298" s="138"/>
      <c r="M298" s="138"/>
      <c r="N298" s="138"/>
      <c r="O298" s="138"/>
      <c r="P298" s="138"/>
      <c r="Q298" s="138"/>
      <c r="R298" s="169"/>
      <c r="S298" s="169"/>
      <c r="T298" s="169"/>
      <c r="U298" s="169"/>
      <c r="V298" s="169"/>
      <c r="W298" s="63">
        <f>SUM(W297:X297)</f>
        <v>0</v>
      </c>
      <c r="X298" s="169"/>
      <c r="Y298" s="169"/>
      <c r="Z298" s="169"/>
      <c r="AA298" s="169"/>
      <c r="AB298" s="169"/>
      <c r="AC298" s="63">
        <f>SUM(AC297:AD297)</f>
        <v>0</v>
      </c>
      <c r="AD298" s="169"/>
      <c r="AE298" s="149"/>
      <c r="AF298" s="178"/>
      <c r="AG298" s="178"/>
      <c r="AH298" s="67">
        <v>4580</v>
      </c>
      <c r="AI298" s="178"/>
      <c r="AJ298" s="178"/>
    </row>
    <row r="299" spans="1:36" hidden="1" x14ac:dyDescent="0.25">
      <c r="A299" s="138"/>
      <c r="B299" s="138"/>
      <c r="C299" s="138"/>
      <c r="D299" s="138"/>
      <c r="E299" s="138"/>
      <c r="F299" s="138"/>
      <c r="G299" s="138"/>
      <c r="H299" s="148"/>
      <c r="I299" s="148"/>
      <c r="J299" s="148"/>
      <c r="K299" s="138"/>
      <c r="L299" s="138"/>
      <c r="M299" s="138"/>
      <c r="N299" s="138"/>
      <c r="O299" s="138"/>
      <c r="P299" s="138"/>
      <c r="Q299" s="138"/>
      <c r="R299" s="169"/>
      <c r="S299" s="169"/>
      <c r="T299" s="169"/>
      <c r="U299" s="169"/>
      <c r="V299" s="169"/>
      <c r="W299" s="169"/>
      <c r="X299" s="169"/>
      <c r="Y299" s="169"/>
      <c r="Z299" s="169"/>
      <c r="AA299" s="169"/>
      <c r="AB299" s="169"/>
      <c r="AC299" s="169"/>
      <c r="AD299" s="169"/>
      <c r="AE299" s="149"/>
      <c r="AF299" s="178"/>
      <c r="AG299" s="178"/>
      <c r="AH299" s="67">
        <v>192268.11</v>
      </c>
      <c r="AI299" s="178"/>
      <c r="AJ299" s="178"/>
    </row>
    <row r="300" spans="1:36" x14ac:dyDescent="0.25">
      <c r="A300" s="138"/>
      <c r="B300" s="138"/>
      <c r="C300" s="138"/>
      <c r="D300" s="138"/>
      <c r="E300" s="138"/>
      <c r="F300" s="138"/>
      <c r="G300" s="138"/>
      <c r="H300" s="148"/>
      <c r="I300" s="148"/>
      <c r="J300" s="148"/>
      <c r="K300" s="138"/>
      <c r="L300" s="138"/>
      <c r="M300" s="138"/>
      <c r="N300" s="138"/>
      <c r="O300" s="138"/>
      <c r="P300" s="138"/>
      <c r="Q300" s="138"/>
      <c r="R300" s="169"/>
      <c r="S300" s="169"/>
      <c r="T300" s="169"/>
      <c r="U300" s="169"/>
      <c r="V300" s="169"/>
      <c r="W300" s="169"/>
      <c r="X300" s="169"/>
      <c r="Y300" s="169"/>
      <c r="Z300" s="169"/>
      <c r="AA300" s="169"/>
      <c r="AB300" s="169"/>
      <c r="AC300" s="169"/>
      <c r="AD300" s="169"/>
      <c r="AE300" s="149"/>
      <c r="AF300" s="178"/>
      <c r="AG300" s="178"/>
      <c r="AH300" s="67">
        <v>192268.11</v>
      </c>
      <c r="AI300" s="178"/>
      <c r="AJ300" s="178"/>
    </row>
    <row r="301" spans="1:36" x14ac:dyDescent="0.25">
      <c r="A301" s="167">
        <v>541</v>
      </c>
      <c r="B301" s="92" t="s">
        <v>2897</v>
      </c>
      <c r="C301" s="168" t="s">
        <v>2898</v>
      </c>
      <c r="D301" s="168" t="s">
        <v>3792</v>
      </c>
      <c r="E301" s="168" t="s">
        <v>2835</v>
      </c>
      <c r="F301" s="74">
        <v>32712</v>
      </c>
      <c r="G301" s="59">
        <f>(DATE(2021,12,30)-(F301))/365</f>
        <v>32.460273972602742</v>
      </c>
      <c r="H301" s="57"/>
      <c r="I301" s="57">
        <v>49885</v>
      </c>
      <c r="J301" s="182">
        <v>50800</v>
      </c>
      <c r="K301" s="63"/>
      <c r="L301" s="63">
        <f>SUM(J301/2080)</f>
        <v>24.423076923076923</v>
      </c>
      <c r="M301" s="63">
        <f>SUM(J301/26)</f>
        <v>1953.8461538461538</v>
      </c>
      <c r="N301" s="63"/>
      <c r="O301" s="169"/>
      <c r="P301" s="169"/>
      <c r="Q301" s="63">
        <f>IF(N301+P301&gt;5000,5000,N301+P301)</f>
        <v>0</v>
      </c>
      <c r="R301" s="63">
        <f>Q301+J301</f>
        <v>50800</v>
      </c>
      <c r="S301" s="169"/>
      <c r="T301" s="63">
        <v>1200</v>
      </c>
      <c r="U301" s="169"/>
      <c r="V301" s="63">
        <f t="shared" ref="V301:V302" si="494">SUM(R301:U301)</f>
        <v>52000</v>
      </c>
      <c r="W301" s="63">
        <f t="shared" ref="W301:W302" si="495">SUM(V301*$W$7)</f>
        <v>3224</v>
      </c>
      <c r="X301" s="63">
        <f t="shared" ref="X301:X302" si="496">SUM(V301*$X$7)</f>
        <v>754</v>
      </c>
      <c r="Y301" s="63">
        <f>SUM(V301*$Y$7)</f>
        <v>7316.4</v>
      </c>
      <c r="Z301" s="63">
        <f>SUM(V301*$Z$7)</f>
        <v>83.2</v>
      </c>
      <c r="AA301" s="63">
        <f>SUM(V301*$AA$7)</f>
        <v>36.4</v>
      </c>
      <c r="AB301" s="63">
        <f>SUM($AB$7)</f>
        <v>335</v>
      </c>
      <c r="AC301" s="63">
        <f>$AC$7</f>
        <v>10356.36</v>
      </c>
      <c r="AD301" s="63">
        <f>SUM(AB301+AC301)*$AD$7</f>
        <v>106.9136</v>
      </c>
      <c r="AE301" s="170">
        <v>541</v>
      </c>
      <c r="AF301" s="69">
        <f t="shared" ref="AF301:AF302" si="497">SUM(J301-I301)</f>
        <v>915</v>
      </c>
      <c r="AG301" s="69">
        <f t="shared" ref="AG301:AG303" si="498">SUM(W301:AD301)</f>
        <v>22212.2736</v>
      </c>
      <c r="AH301" s="65"/>
      <c r="AI301" s="69">
        <f t="shared" ref="AI301:AI303" si="499">AG301-AH301</f>
        <v>22212.2736</v>
      </c>
      <c r="AJ301" s="69">
        <f t="shared" ref="AJ301:AJ303" si="500">AF301+AI301</f>
        <v>23127.2736</v>
      </c>
    </row>
    <row r="302" spans="1:36" x14ac:dyDescent="0.25">
      <c r="A302" s="138"/>
      <c r="B302" s="138"/>
      <c r="C302" s="168" t="s">
        <v>2901</v>
      </c>
      <c r="D302" s="138"/>
      <c r="E302" s="138"/>
      <c r="F302" s="138"/>
      <c r="G302" s="138"/>
      <c r="H302" s="189"/>
      <c r="I302" s="189">
        <v>600</v>
      </c>
      <c r="J302" s="250">
        <v>0</v>
      </c>
      <c r="K302" s="219"/>
      <c r="L302" s="219"/>
      <c r="M302" s="219"/>
      <c r="N302" s="219"/>
      <c r="O302" s="219"/>
      <c r="P302" s="219"/>
      <c r="Q302" s="219"/>
      <c r="R302" s="172">
        <v>600</v>
      </c>
      <c r="S302" s="173"/>
      <c r="T302" s="173"/>
      <c r="U302" s="173"/>
      <c r="V302" s="172">
        <f t="shared" si="494"/>
        <v>600</v>
      </c>
      <c r="W302" s="172">
        <f t="shared" si="495"/>
        <v>37.200000000000003</v>
      </c>
      <c r="X302" s="172">
        <f t="shared" si="496"/>
        <v>8.7000000000000011</v>
      </c>
      <c r="Y302" s="172" t="s">
        <v>2422</v>
      </c>
      <c r="Z302" s="172" t="s">
        <v>2422</v>
      </c>
      <c r="AA302" s="172" t="s">
        <v>2422</v>
      </c>
      <c r="AB302" s="172" t="s">
        <v>2422</v>
      </c>
      <c r="AC302" s="172" t="s">
        <v>2422</v>
      </c>
      <c r="AD302" s="172" t="s">
        <v>2422</v>
      </c>
      <c r="AE302" s="149"/>
      <c r="AF302" s="69">
        <f t="shared" si="497"/>
        <v>-600</v>
      </c>
      <c r="AG302" s="69">
        <f t="shared" si="498"/>
        <v>45.900000000000006</v>
      </c>
      <c r="AH302" s="67">
        <v>0</v>
      </c>
      <c r="AI302" s="69">
        <f t="shared" si="499"/>
        <v>45.900000000000006</v>
      </c>
      <c r="AJ302" s="69">
        <f t="shared" si="500"/>
        <v>-554.1</v>
      </c>
    </row>
    <row r="303" spans="1:36" x14ac:dyDescent="0.25">
      <c r="A303" s="138"/>
      <c r="B303" s="138"/>
      <c r="C303" s="138"/>
      <c r="D303" s="138"/>
      <c r="E303" s="138"/>
      <c r="F303" s="138"/>
      <c r="G303" s="138"/>
      <c r="H303" s="221"/>
      <c r="I303" s="222">
        <f t="shared" ref="I303:J303" si="501">SUM(I301:I302)</f>
        <v>50485</v>
      </c>
      <c r="J303" s="222">
        <f t="shared" si="501"/>
        <v>50800</v>
      </c>
      <c r="K303" s="223"/>
      <c r="L303" s="223">
        <f t="shared" ref="L303:AD303" si="502">SUM(L300:L302)</f>
        <v>24.423076923076923</v>
      </c>
      <c r="M303" s="223">
        <f t="shared" si="502"/>
        <v>1953.8461538461538</v>
      </c>
      <c r="N303" s="223">
        <f t="shared" si="502"/>
        <v>0</v>
      </c>
      <c r="O303" s="223">
        <f t="shared" si="502"/>
        <v>0</v>
      </c>
      <c r="P303" s="223">
        <f t="shared" si="502"/>
        <v>0</v>
      </c>
      <c r="Q303" s="223">
        <f t="shared" si="502"/>
        <v>0</v>
      </c>
      <c r="R303" s="223">
        <f t="shared" si="502"/>
        <v>51400</v>
      </c>
      <c r="S303" s="223">
        <f t="shared" si="502"/>
        <v>0</v>
      </c>
      <c r="T303" s="223">
        <f t="shared" si="502"/>
        <v>1200</v>
      </c>
      <c r="U303" s="223">
        <f t="shared" si="502"/>
        <v>0</v>
      </c>
      <c r="V303" s="223">
        <f t="shared" si="502"/>
        <v>52600</v>
      </c>
      <c r="W303" s="223">
        <f t="shared" si="502"/>
        <v>3261.2</v>
      </c>
      <c r="X303" s="223">
        <f t="shared" si="502"/>
        <v>762.7</v>
      </c>
      <c r="Y303" s="223">
        <f t="shared" si="502"/>
        <v>7316.4</v>
      </c>
      <c r="Z303" s="223">
        <f t="shared" si="502"/>
        <v>83.2</v>
      </c>
      <c r="AA303" s="223">
        <f t="shared" si="502"/>
        <v>36.4</v>
      </c>
      <c r="AB303" s="223">
        <f t="shared" si="502"/>
        <v>335</v>
      </c>
      <c r="AC303" s="223">
        <f t="shared" si="502"/>
        <v>10356.36</v>
      </c>
      <c r="AD303" s="223">
        <f t="shared" si="502"/>
        <v>106.9136</v>
      </c>
      <c r="AE303" s="170">
        <v>541</v>
      </c>
      <c r="AF303" s="230">
        <f>SUM(AF301:AF302)</f>
        <v>315</v>
      </c>
      <c r="AG303" s="100">
        <f t="shared" si="498"/>
        <v>22258.173600000002</v>
      </c>
      <c r="AH303" s="225">
        <v>0</v>
      </c>
      <c r="AI303" s="226">
        <f t="shared" si="499"/>
        <v>22258.173600000002</v>
      </c>
      <c r="AJ303" s="226">
        <f t="shared" si="500"/>
        <v>22573.173600000002</v>
      </c>
    </row>
    <row r="304" spans="1:36" x14ac:dyDescent="0.25">
      <c r="A304" s="138"/>
      <c r="B304" s="138"/>
      <c r="C304" s="138"/>
      <c r="D304" s="138"/>
      <c r="E304" s="138"/>
      <c r="F304" s="138"/>
      <c r="G304" s="138"/>
      <c r="H304" s="148"/>
      <c r="I304" s="148"/>
      <c r="J304" s="148"/>
      <c r="K304" s="138"/>
      <c r="L304" s="138"/>
      <c r="M304" s="138"/>
      <c r="N304" s="138"/>
      <c r="O304" s="138"/>
      <c r="P304" s="138"/>
      <c r="Q304" s="138"/>
      <c r="R304" s="169"/>
      <c r="S304" s="169"/>
      <c r="T304" s="169"/>
      <c r="U304" s="169"/>
      <c r="V304" s="169"/>
      <c r="W304" s="63">
        <f>SUM(W303:X303)</f>
        <v>4023.8999999999996</v>
      </c>
      <c r="X304" s="169"/>
      <c r="Y304" s="169"/>
      <c r="Z304" s="169"/>
      <c r="AA304" s="169"/>
      <c r="AB304" s="169"/>
      <c r="AC304" s="63">
        <f>SUM(AC303:AD303)</f>
        <v>10463.2736</v>
      </c>
      <c r="AD304" s="169"/>
      <c r="AE304" s="149"/>
      <c r="AF304" s="178"/>
      <c r="AG304" s="178"/>
      <c r="AH304" s="65"/>
      <c r="AI304" s="178"/>
      <c r="AJ304" s="178"/>
    </row>
    <row r="305" spans="1:36" x14ac:dyDescent="0.25">
      <c r="A305" s="138"/>
      <c r="B305" s="138"/>
      <c r="C305" s="138"/>
      <c r="D305" s="138"/>
      <c r="E305" s="138"/>
      <c r="F305" s="138"/>
      <c r="G305" s="138"/>
      <c r="H305" s="148"/>
      <c r="I305" s="148"/>
      <c r="J305" s="148"/>
      <c r="K305" s="138"/>
      <c r="L305" s="138"/>
      <c r="M305" s="138"/>
      <c r="N305" s="138"/>
      <c r="O305" s="138"/>
      <c r="P305" s="138"/>
      <c r="Q305" s="138"/>
      <c r="R305" s="169"/>
      <c r="S305" s="169"/>
      <c r="T305" s="169"/>
      <c r="U305" s="169"/>
      <c r="V305" s="169"/>
      <c r="W305" s="169"/>
      <c r="X305" s="169"/>
      <c r="Y305" s="169"/>
      <c r="Z305" s="169"/>
      <c r="AA305" s="169"/>
      <c r="AB305" s="169"/>
      <c r="AC305" s="169"/>
      <c r="AD305" s="169"/>
      <c r="AE305" s="149"/>
      <c r="AF305" s="178"/>
      <c r="AG305" s="178"/>
      <c r="AH305" s="65"/>
      <c r="AI305" s="178"/>
      <c r="AJ305" s="178"/>
    </row>
    <row r="306" spans="1:36" x14ac:dyDescent="0.25">
      <c r="A306" s="167">
        <v>542</v>
      </c>
      <c r="B306" s="92" t="s">
        <v>2902</v>
      </c>
      <c r="C306" s="168" t="s">
        <v>2903</v>
      </c>
      <c r="D306" s="185" t="s">
        <v>2904</v>
      </c>
      <c r="E306" s="185" t="s">
        <v>2905</v>
      </c>
      <c r="F306" s="58">
        <v>36023</v>
      </c>
      <c r="G306" s="59">
        <f>(DATE(2021,12,30)-(F306))/365</f>
        <v>23.389041095890413</v>
      </c>
      <c r="H306" s="57"/>
      <c r="I306" s="57">
        <v>49885</v>
      </c>
      <c r="J306" s="57">
        <v>49885</v>
      </c>
      <c r="K306" s="63"/>
      <c r="L306" s="63">
        <f>SUM(J306/2080)</f>
        <v>23.983173076923077</v>
      </c>
      <c r="M306" s="63">
        <f>SUM(J306/26)</f>
        <v>1918.6538461538462</v>
      </c>
      <c r="N306" s="63"/>
      <c r="O306" s="169"/>
      <c r="P306" s="169"/>
      <c r="Q306" s="63">
        <f>IF(N306+P306&gt;5000,5000,N306+P306)</f>
        <v>0</v>
      </c>
      <c r="R306" s="63">
        <f>Q306+J306</f>
        <v>49885</v>
      </c>
      <c r="S306" s="169"/>
      <c r="T306" s="63">
        <v>1200</v>
      </c>
      <c r="U306" s="169"/>
      <c r="V306" s="63">
        <f t="shared" ref="V306:V307" si="503">SUM(R306:U306)</f>
        <v>51085</v>
      </c>
      <c r="W306" s="63">
        <f t="shared" ref="W306:W307" si="504">SUM(V306*$W$7)</f>
        <v>3167.27</v>
      </c>
      <c r="X306" s="63">
        <f t="shared" ref="X306:X307" si="505">SUM(V306*$X$7)</f>
        <v>740.73250000000007</v>
      </c>
      <c r="Y306" s="63">
        <f>SUM(V306*$Y$7)</f>
        <v>7187.6594999999998</v>
      </c>
      <c r="Z306" s="63">
        <f>SUM(V306*$Z$7)</f>
        <v>81.736000000000004</v>
      </c>
      <c r="AA306" s="63">
        <f>SUM(V306*$AA$7)</f>
        <v>35.759500000000003</v>
      </c>
      <c r="AB306" s="63">
        <f>SUM($AB$7)</f>
        <v>335</v>
      </c>
      <c r="AC306" s="63">
        <f>$AC$7</f>
        <v>10356.36</v>
      </c>
      <c r="AD306" s="63">
        <f>SUM(AB306+AC306)*$AD$7</f>
        <v>106.9136</v>
      </c>
      <c r="AE306" s="170">
        <v>542</v>
      </c>
      <c r="AF306" s="69">
        <f t="shared" ref="AF306:AF307" si="506">SUM(J306-I306)</f>
        <v>0</v>
      </c>
      <c r="AG306" s="69">
        <f t="shared" ref="AG306:AG308" si="507">SUM(W306:AD306)</f>
        <v>22011.431100000002</v>
      </c>
      <c r="AH306" s="65"/>
      <c r="AI306" s="69">
        <f t="shared" ref="AI306:AI308" si="508">AG306-AH306</f>
        <v>22011.431100000002</v>
      </c>
      <c r="AJ306" s="69">
        <f t="shared" ref="AJ306:AJ308" si="509">AF306+AI306</f>
        <v>22011.431100000002</v>
      </c>
    </row>
    <row r="307" spans="1:36" x14ac:dyDescent="0.25">
      <c r="A307" s="138"/>
      <c r="B307" s="138"/>
      <c r="C307" s="168" t="s">
        <v>2901</v>
      </c>
      <c r="D307" s="138"/>
      <c r="E307" s="138"/>
      <c r="F307" s="138"/>
      <c r="G307" s="138"/>
      <c r="H307" s="189"/>
      <c r="I307" s="189">
        <v>600</v>
      </c>
      <c r="J307" s="250">
        <v>0</v>
      </c>
      <c r="K307" s="219"/>
      <c r="L307" s="219"/>
      <c r="M307" s="219"/>
      <c r="N307" s="219"/>
      <c r="O307" s="219"/>
      <c r="P307" s="219"/>
      <c r="Q307" s="219"/>
      <c r="R307" s="172">
        <v>600</v>
      </c>
      <c r="S307" s="173"/>
      <c r="T307" s="173"/>
      <c r="U307" s="173"/>
      <c r="V307" s="172">
        <f t="shared" si="503"/>
        <v>600</v>
      </c>
      <c r="W307" s="172">
        <f t="shared" si="504"/>
        <v>37.200000000000003</v>
      </c>
      <c r="X307" s="172">
        <f t="shared" si="505"/>
        <v>8.7000000000000011</v>
      </c>
      <c r="Y307" s="172" t="s">
        <v>2422</v>
      </c>
      <c r="Z307" s="172" t="s">
        <v>2422</v>
      </c>
      <c r="AA307" s="172" t="s">
        <v>2422</v>
      </c>
      <c r="AB307" s="172" t="s">
        <v>2422</v>
      </c>
      <c r="AC307" s="172" t="s">
        <v>2422</v>
      </c>
      <c r="AD307" s="172" t="s">
        <v>2422</v>
      </c>
      <c r="AE307" s="149"/>
      <c r="AF307" s="69">
        <f t="shared" si="506"/>
        <v>-600</v>
      </c>
      <c r="AG307" s="69">
        <f t="shared" si="507"/>
        <v>45.900000000000006</v>
      </c>
      <c r="AH307" s="67">
        <v>22496.74</v>
      </c>
      <c r="AI307" s="69">
        <f t="shared" si="508"/>
        <v>-22450.84</v>
      </c>
      <c r="AJ307" s="69">
        <f t="shared" si="509"/>
        <v>-23050.84</v>
      </c>
    </row>
    <row r="308" spans="1:36" x14ac:dyDescent="0.25">
      <c r="A308" s="138"/>
      <c r="B308" s="138"/>
      <c r="C308" s="138"/>
      <c r="D308" s="138"/>
      <c r="E308" s="138"/>
      <c r="F308" s="138"/>
      <c r="G308" s="138"/>
      <c r="H308" s="221"/>
      <c r="I308" s="222">
        <f t="shared" ref="I308:J308" si="510">SUM(I306:I307)</f>
        <v>50485</v>
      </c>
      <c r="J308" s="222">
        <f t="shared" si="510"/>
        <v>49885</v>
      </c>
      <c r="K308" s="223"/>
      <c r="L308" s="223">
        <f t="shared" ref="L308:AD308" si="511">SUM(L305:L307)</f>
        <v>23.983173076923077</v>
      </c>
      <c r="M308" s="223">
        <f t="shared" si="511"/>
        <v>1918.6538461538462</v>
      </c>
      <c r="N308" s="223">
        <f t="shared" si="511"/>
        <v>0</v>
      </c>
      <c r="O308" s="223">
        <f t="shared" si="511"/>
        <v>0</v>
      </c>
      <c r="P308" s="223">
        <f t="shared" si="511"/>
        <v>0</v>
      </c>
      <c r="Q308" s="223">
        <f t="shared" si="511"/>
        <v>0</v>
      </c>
      <c r="R308" s="223">
        <f t="shared" si="511"/>
        <v>50485</v>
      </c>
      <c r="S308" s="223">
        <f t="shared" si="511"/>
        <v>0</v>
      </c>
      <c r="T308" s="223">
        <f t="shared" si="511"/>
        <v>1200</v>
      </c>
      <c r="U308" s="223">
        <f t="shared" si="511"/>
        <v>0</v>
      </c>
      <c r="V308" s="223">
        <f t="shared" si="511"/>
        <v>51685</v>
      </c>
      <c r="W308" s="223">
        <f t="shared" si="511"/>
        <v>3204.47</v>
      </c>
      <c r="X308" s="223">
        <f t="shared" si="511"/>
        <v>749.43250000000012</v>
      </c>
      <c r="Y308" s="223">
        <f t="shared" si="511"/>
        <v>7187.6594999999998</v>
      </c>
      <c r="Z308" s="223">
        <f t="shared" si="511"/>
        <v>81.736000000000004</v>
      </c>
      <c r="AA308" s="223">
        <f t="shared" si="511"/>
        <v>35.759500000000003</v>
      </c>
      <c r="AB308" s="223">
        <f t="shared" si="511"/>
        <v>335</v>
      </c>
      <c r="AC308" s="223">
        <f t="shared" si="511"/>
        <v>10356.36</v>
      </c>
      <c r="AD308" s="223">
        <f t="shared" si="511"/>
        <v>106.9136</v>
      </c>
      <c r="AE308" s="149"/>
      <c r="AF308" s="230">
        <f>SUM(AF306:AF307)</f>
        <v>-600</v>
      </c>
      <c r="AG308" s="100">
        <f t="shared" si="507"/>
        <v>22057.331100000003</v>
      </c>
      <c r="AH308" s="225">
        <v>45.9</v>
      </c>
      <c r="AI308" s="226">
        <f t="shared" si="508"/>
        <v>22011.431100000002</v>
      </c>
      <c r="AJ308" s="226">
        <f t="shared" si="509"/>
        <v>21411.431100000002</v>
      </c>
    </row>
    <row r="309" spans="1:36" x14ac:dyDescent="0.25">
      <c r="A309" s="138"/>
      <c r="B309" s="138"/>
      <c r="C309" s="138"/>
      <c r="D309" s="138"/>
      <c r="E309" s="138"/>
      <c r="F309" s="138"/>
      <c r="G309" s="138"/>
      <c r="H309" s="148"/>
      <c r="I309" s="148"/>
      <c r="J309" s="148"/>
      <c r="K309" s="138"/>
      <c r="L309" s="138"/>
      <c r="M309" s="138"/>
      <c r="N309" s="138"/>
      <c r="O309" s="138"/>
      <c r="P309" s="138"/>
      <c r="Q309" s="138"/>
      <c r="R309" s="169"/>
      <c r="S309" s="169"/>
      <c r="T309" s="169"/>
      <c r="U309" s="169"/>
      <c r="V309" s="169"/>
      <c r="W309" s="63">
        <f>SUM(W308:X308)</f>
        <v>3953.9025000000001</v>
      </c>
      <c r="X309" s="169"/>
      <c r="Y309" s="169"/>
      <c r="Z309" s="169"/>
      <c r="AA309" s="169"/>
      <c r="AB309" s="169"/>
      <c r="AC309" s="63">
        <f>SUM(AC308:AD308)</f>
        <v>10463.2736</v>
      </c>
      <c r="AD309" s="169"/>
      <c r="AE309" s="149"/>
      <c r="AF309" s="178"/>
      <c r="AG309" s="178"/>
      <c r="AH309" s="67">
        <v>22542.639999999999</v>
      </c>
      <c r="AI309" s="178"/>
      <c r="AJ309" s="178"/>
    </row>
    <row r="310" spans="1:36" x14ac:dyDescent="0.25">
      <c r="A310" s="138"/>
      <c r="B310" s="138"/>
      <c r="C310" s="138"/>
      <c r="D310" s="138"/>
      <c r="E310" s="138"/>
      <c r="F310" s="138"/>
      <c r="G310" s="138"/>
      <c r="H310" s="148"/>
      <c r="I310" s="148"/>
      <c r="J310" s="148"/>
      <c r="K310" s="138"/>
      <c r="L310" s="138"/>
      <c r="M310" s="138"/>
      <c r="N310" s="138"/>
      <c r="O310" s="138"/>
      <c r="P310" s="138"/>
      <c r="Q310" s="138"/>
      <c r="R310" s="169"/>
      <c r="S310" s="169"/>
      <c r="T310" s="169"/>
      <c r="U310" s="169"/>
      <c r="V310" s="169"/>
      <c r="W310" s="169"/>
      <c r="X310" s="169"/>
      <c r="Y310" s="169"/>
      <c r="Z310" s="169"/>
      <c r="AA310" s="169"/>
      <c r="AB310" s="169"/>
      <c r="AC310" s="169"/>
      <c r="AD310" s="169"/>
      <c r="AE310" s="149"/>
      <c r="AF310" s="178"/>
      <c r="AG310" s="178"/>
      <c r="AH310" s="65"/>
      <c r="AI310" s="178"/>
      <c r="AJ310" s="178"/>
    </row>
    <row r="311" spans="1:36" x14ac:dyDescent="0.25">
      <c r="A311" s="167">
        <v>543</v>
      </c>
      <c r="B311" s="92" t="s">
        <v>2906</v>
      </c>
      <c r="C311" s="168" t="s">
        <v>2907</v>
      </c>
      <c r="D311" s="168" t="s">
        <v>2908</v>
      </c>
      <c r="E311" s="168" t="s">
        <v>2909</v>
      </c>
      <c r="F311" s="74">
        <v>38353</v>
      </c>
      <c r="G311" s="59">
        <f>(DATE(2021,12,30)-(F311))/365</f>
        <v>17.005479452054793</v>
      </c>
      <c r="H311" s="57"/>
      <c r="I311" s="57">
        <v>48106</v>
      </c>
      <c r="J311" s="182">
        <v>48987</v>
      </c>
      <c r="K311" s="63"/>
      <c r="L311" s="63">
        <f>SUM(J311/2080)</f>
        <v>23.551442307692309</v>
      </c>
      <c r="M311" s="63">
        <f>SUM(J311/26)</f>
        <v>1884.1153846153845</v>
      </c>
      <c r="N311" s="63"/>
      <c r="O311" s="169"/>
      <c r="P311" s="169"/>
      <c r="Q311" s="63">
        <f>IF(N311+P311&gt;5000,5000,N311+P311)</f>
        <v>0</v>
      </c>
      <c r="R311" s="63">
        <f>Q311+J311</f>
        <v>48987</v>
      </c>
      <c r="S311" s="169"/>
      <c r="T311" s="63">
        <v>1200</v>
      </c>
      <c r="U311" s="169"/>
      <c r="V311" s="63">
        <f t="shared" ref="V311:V312" si="512">SUM(R311:U311)</f>
        <v>50187</v>
      </c>
      <c r="W311" s="63">
        <f t="shared" ref="W311:W312" si="513">SUM(V311*$W$7)</f>
        <v>3111.5940000000001</v>
      </c>
      <c r="X311" s="63">
        <f t="shared" ref="X311:X312" si="514">SUM(V311*$X$7)</f>
        <v>727.7115</v>
      </c>
      <c r="Y311" s="63">
        <f>SUM(V311*$Y$7)</f>
        <v>7061.3108999999995</v>
      </c>
      <c r="Z311" s="63">
        <f>SUM(V311*$Z$7)</f>
        <v>80.299199999999999</v>
      </c>
      <c r="AA311" s="63">
        <f>SUM(V311*$AA$7)</f>
        <v>35.130899999999997</v>
      </c>
      <c r="AB311" s="63">
        <f>SUM($AB$7)</f>
        <v>335</v>
      </c>
      <c r="AC311" s="63">
        <f>$AC$7</f>
        <v>10356.36</v>
      </c>
      <c r="AD311" s="63">
        <f>SUM(AB311+AC311)*$AD$7</f>
        <v>106.9136</v>
      </c>
      <c r="AE311" s="170">
        <v>543</v>
      </c>
      <c r="AF311" s="69">
        <f t="shared" ref="AF311:AF312" si="515">SUM(J311-I311)</f>
        <v>881</v>
      </c>
      <c r="AG311" s="69">
        <f t="shared" ref="AG311:AG313" si="516">SUM(W311:AD311)</f>
        <v>21814.320099999997</v>
      </c>
      <c r="AH311" s="65"/>
      <c r="AI311" s="69">
        <f>AG311-AH311</f>
        <v>21814.320099999997</v>
      </c>
      <c r="AJ311" s="69">
        <f>AF311+AI311</f>
        <v>22695.320099999997</v>
      </c>
    </row>
    <row r="312" spans="1:36" x14ac:dyDescent="0.25">
      <c r="A312" s="138"/>
      <c r="B312" s="138"/>
      <c r="C312" s="168" t="s">
        <v>2901</v>
      </c>
      <c r="D312" s="207" t="s">
        <v>2910</v>
      </c>
      <c r="E312" s="138"/>
      <c r="F312" s="138"/>
      <c r="G312" s="138"/>
      <c r="H312" s="189"/>
      <c r="I312" s="189">
        <v>600</v>
      </c>
      <c r="J312" s="242">
        <v>600</v>
      </c>
      <c r="K312" s="219"/>
      <c r="L312" s="219"/>
      <c r="M312" s="219"/>
      <c r="N312" s="219"/>
      <c r="O312" s="219"/>
      <c r="P312" s="219"/>
      <c r="Q312" s="219"/>
      <c r="R312" s="172">
        <v>600</v>
      </c>
      <c r="S312" s="173"/>
      <c r="T312" s="173"/>
      <c r="U312" s="173"/>
      <c r="V312" s="172">
        <f t="shared" si="512"/>
        <v>600</v>
      </c>
      <c r="W312" s="172">
        <f t="shared" si="513"/>
        <v>37.200000000000003</v>
      </c>
      <c r="X312" s="172">
        <f t="shared" si="514"/>
        <v>8.7000000000000011</v>
      </c>
      <c r="Y312" s="172" t="s">
        <v>2422</v>
      </c>
      <c r="Z312" s="172" t="s">
        <v>2422</v>
      </c>
      <c r="AA312" s="172" t="s">
        <v>2422</v>
      </c>
      <c r="AB312" s="172" t="s">
        <v>2422</v>
      </c>
      <c r="AC312" s="172" t="s">
        <v>2422</v>
      </c>
      <c r="AD312" s="172" t="s">
        <v>2422</v>
      </c>
      <c r="AE312" s="149"/>
      <c r="AF312" s="69">
        <f t="shared" si="515"/>
        <v>0</v>
      </c>
      <c r="AG312" s="69">
        <f t="shared" si="516"/>
        <v>45.900000000000006</v>
      </c>
      <c r="AH312" s="67">
        <v>22496.74</v>
      </c>
      <c r="AI312" s="178"/>
      <c r="AJ312" s="178"/>
    </row>
    <row r="313" spans="1:36" x14ac:dyDescent="0.25">
      <c r="A313" s="138"/>
      <c r="B313" s="138"/>
      <c r="C313" s="138"/>
      <c r="D313" s="138"/>
      <c r="E313" s="138"/>
      <c r="F313" s="138"/>
      <c r="G313" s="138"/>
      <c r="H313" s="221"/>
      <c r="I313" s="222">
        <f t="shared" ref="I313:J313" si="517">SUM(I311:I312)</f>
        <v>48706</v>
      </c>
      <c r="J313" s="222">
        <f t="shared" si="517"/>
        <v>49587</v>
      </c>
      <c r="K313" s="223"/>
      <c r="L313" s="223">
        <f t="shared" ref="L313:AD313" si="518">SUM(L310:L312)</f>
        <v>23.551442307692309</v>
      </c>
      <c r="M313" s="223">
        <f t="shared" si="518"/>
        <v>1884.1153846153845</v>
      </c>
      <c r="N313" s="223">
        <f t="shared" si="518"/>
        <v>0</v>
      </c>
      <c r="O313" s="223">
        <f t="shared" si="518"/>
        <v>0</v>
      </c>
      <c r="P313" s="223">
        <f t="shared" si="518"/>
        <v>0</v>
      </c>
      <c r="Q313" s="223">
        <f t="shared" si="518"/>
        <v>0</v>
      </c>
      <c r="R313" s="223">
        <f t="shared" si="518"/>
        <v>49587</v>
      </c>
      <c r="S313" s="223">
        <f t="shared" si="518"/>
        <v>0</v>
      </c>
      <c r="T313" s="223">
        <f t="shared" si="518"/>
        <v>1200</v>
      </c>
      <c r="U313" s="223">
        <f t="shared" si="518"/>
        <v>0</v>
      </c>
      <c r="V313" s="223">
        <f t="shared" si="518"/>
        <v>50787</v>
      </c>
      <c r="W313" s="223">
        <f t="shared" si="518"/>
        <v>3148.7939999999999</v>
      </c>
      <c r="X313" s="223">
        <f t="shared" si="518"/>
        <v>736.41150000000005</v>
      </c>
      <c r="Y313" s="223">
        <f t="shared" si="518"/>
        <v>7061.3108999999995</v>
      </c>
      <c r="Z313" s="223">
        <f t="shared" si="518"/>
        <v>80.299199999999999</v>
      </c>
      <c r="AA313" s="223">
        <f t="shared" si="518"/>
        <v>35.130899999999997</v>
      </c>
      <c r="AB313" s="223">
        <f t="shared" si="518"/>
        <v>335</v>
      </c>
      <c r="AC313" s="223">
        <f t="shared" si="518"/>
        <v>10356.36</v>
      </c>
      <c r="AD313" s="223">
        <f t="shared" si="518"/>
        <v>106.9136</v>
      </c>
      <c r="AE313" s="170">
        <v>543</v>
      </c>
      <c r="AF313" s="230">
        <f>SUM(AF311:AF312)</f>
        <v>881</v>
      </c>
      <c r="AG313" s="100">
        <f t="shared" si="516"/>
        <v>21860.220099999999</v>
      </c>
      <c r="AH313" s="225">
        <v>45.9</v>
      </c>
      <c r="AI313" s="226">
        <f>AG313-AH313</f>
        <v>21814.320099999997</v>
      </c>
      <c r="AJ313" s="226">
        <f>AF313+AI313</f>
        <v>22695.320099999997</v>
      </c>
    </row>
    <row r="314" spans="1:36" x14ac:dyDescent="0.25">
      <c r="A314" s="138"/>
      <c r="B314" s="138"/>
      <c r="C314" s="138"/>
      <c r="D314" s="138"/>
      <c r="E314" s="138"/>
      <c r="F314" s="138"/>
      <c r="G314" s="138"/>
      <c r="H314" s="148"/>
      <c r="I314" s="148"/>
      <c r="J314" s="148"/>
      <c r="K314" s="138"/>
      <c r="L314" s="138"/>
      <c r="M314" s="138"/>
      <c r="N314" s="138"/>
      <c r="O314" s="138"/>
      <c r="P314" s="138"/>
      <c r="Q314" s="138"/>
      <c r="R314" s="169"/>
      <c r="S314" s="169"/>
      <c r="T314" s="169"/>
      <c r="U314" s="169"/>
      <c r="V314" s="169"/>
      <c r="W314" s="63">
        <f>SUM(W313:X313)</f>
        <v>3885.2055</v>
      </c>
      <c r="X314" s="169"/>
      <c r="Y314" s="169"/>
      <c r="Z314" s="169"/>
      <c r="AA314" s="169"/>
      <c r="AB314" s="169"/>
      <c r="AC314" s="63">
        <f>SUM(AC313:AD313)</f>
        <v>10463.2736</v>
      </c>
      <c r="AD314" s="169"/>
      <c r="AE314" s="149"/>
      <c r="AF314" s="178"/>
      <c r="AG314" s="178"/>
      <c r="AH314" s="67">
        <v>22542.639999999999</v>
      </c>
      <c r="AI314" s="178"/>
      <c r="AJ314" s="178"/>
    </row>
    <row r="315" spans="1:36" x14ac:dyDescent="0.25">
      <c r="A315" s="168"/>
      <c r="B315" s="168"/>
      <c r="C315" s="168"/>
      <c r="D315" s="181"/>
      <c r="E315" s="181"/>
      <c r="F315" s="196"/>
      <c r="G315" s="59"/>
      <c r="H315" s="57"/>
      <c r="I315" s="57"/>
      <c r="J315" s="57"/>
      <c r="K315" s="167"/>
      <c r="L315" s="167"/>
      <c r="M315" s="61"/>
      <c r="N315" s="251"/>
      <c r="O315" s="138"/>
      <c r="P315" s="138"/>
      <c r="Q315" s="61"/>
      <c r="R315" s="63"/>
      <c r="S315" s="169"/>
      <c r="T315" s="63"/>
      <c r="U315" s="169"/>
      <c r="V315" s="63"/>
      <c r="W315" s="63"/>
      <c r="X315" s="63"/>
      <c r="Y315" s="63"/>
      <c r="Z315" s="63"/>
      <c r="AA315" s="63"/>
      <c r="AB315" s="63"/>
      <c r="AC315" s="63"/>
      <c r="AD315" s="63"/>
      <c r="AE315" s="149"/>
      <c r="AF315" s="178"/>
      <c r="AG315" s="178"/>
      <c r="AH315" s="65"/>
      <c r="AI315" s="178"/>
      <c r="AJ315" s="178"/>
    </row>
    <row r="316" spans="1:36" x14ac:dyDescent="0.25">
      <c r="A316" s="167">
        <v>544</v>
      </c>
      <c r="B316" s="92" t="s">
        <v>2911</v>
      </c>
      <c r="C316" s="168" t="s">
        <v>2912</v>
      </c>
      <c r="D316" s="181" t="s">
        <v>2913</v>
      </c>
      <c r="E316" s="181" t="s">
        <v>2914</v>
      </c>
      <c r="F316" s="74">
        <v>42736</v>
      </c>
      <c r="G316" s="59">
        <f>(DATE(2021,12,30)-(F316))/365</f>
        <v>4.9972602739726026</v>
      </c>
      <c r="H316" s="57"/>
      <c r="I316" s="57">
        <v>43929</v>
      </c>
      <c r="J316" s="182">
        <v>44734</v>
      </c>
      <c r="K316" s="63"/>
      <c r="L316" s="63">
        <f>SUM(J316/2080)</f>
        <v>21.506730769230771</v>
      </c>
      <c r="M316" s="63">
        <f>SUM(J316/26)</f>
        <v>1720.5384615384614</v>
      </c>
      <c r="N316" s="63">
        <f>IF(G316&lt;4,0,(G316-1)*$N$7)</f>
        <v>1055.2767123287672</v>
      </c>
      <c r="O316" s="169"/>
      <c r="P316" s="169"/>
      <c r="Q316" s="63">
        <f>IF(N316+P316&gt;5000,5000,N316+P316)</f>
        <v>1055.2767123287672</v>
      </c>
      <c r="R316" s="63">
        <f>Q316+J316</f>
        <v>45789.27671232877</v>
      </c>
      <c r="S316" s="169"/>
      <c r="T316" s="63">
        <v>1200</v>
      </c>
      <c r="U316" s="169"/>
      <c r="V316" s="63">
        <f t="shared" ref="V316:V317" si="519">SUM(R316:U316)</f>
        <v>46989.27671232877</v>
      </c>
      <c r="W316" s="63">
        <f t="shared" ref="W316:W317" si="520">SUM(V316*$W$7)</f>
        <v>2913.3351561643835</v>
      </c>
      <c r="X316" s="63">
        <f t="shared" ref="X316:X317" si="521">SUM(V316*$X$7)</f>
        <v>681.34451232876722</v>
      </c>
      <c r="Y316" s="63">
        <f>SUM(V316*$Y$7)</f>
        <v>6611.3912334246579</v>
      </c>
      <c r="Z316" s="63">
        <f>SUM(V316*$Z$7)</f>
        <v>75.182842739726041</v>
      </c>
      <c r="AA316" s="63">
        <f>SUM(V316*$AA$7)</f>
        <v>32.89249369863014</v>
      </c>
      <c r="AB316" s="63">
        <f>SUM($AB$7)</f>
        <v>335</v>
      </c>
      <c r="AC316" s="63">
        <f>$AC$7</f>
        <v>10356.36</v>
      </c>
      <c r="AD316" s="63">
        <f>SUM(AB316+AC316)*$AD$7</f>
        <v>106.9136</v>
      </c>
      <c r="AE316" s="170">
        <v>544</v>
      </c>
      <c r="AF316" s="69">
        <f t="shared" ref="AF316:AF317" si="522">SUM(J316-I316)</f>
        <v>805</v>
      </c>
      <c r="AG316" s="69">
        <f t="shared" ref="AG316:AG318" si="523">SUM(W316:AD316)</f>
        <v>21112.419838356167</v>
      </c>
      <c r="AH316" s="65"/>
      <c r="AI316" s="69">
        <f>AG316-AH316</f>
        <v>21112.419838356167</v>
      </c>
      <c r="AJ316" s="69">
        <f>AF316+AI316</f>
        <v>21917.419838356167</v>
      </c>
    </row>
    <row r="317" spans="1:36" x14ac:dyDescent="0.25">
      <c r="A317" s="138"/>
      <c r="B317" s="138"/>
      <c r="C317" s="168" t="s">
        <v>2901</v>
      </c>
      <c r="D317" s="138"/>
      <c r="E317" s="138"/>
      <c r="F317" s="138"/>
      <c r="G317" s="138"/>
      <c r="H317" s="189"/>
      <c r="I317" s="189">
        <v>600</v>
      </c>
      <c r="J317" s="250">
        <v>0</v>
      </c>
      <c r="K317" s="219"/>
      <c r="L317" s="219"/>
      <c r="M317" s="219"/>
      <c r="N317" s="219"/>
      <c r="O317" s="219"/>
      <c r="P317" s="219"/>
      <c r="Q317" s="219"/>
      <c r="R317" s="172">
        <v>600</v>
      </c>
      <c r="S317" s="173"/>
      <c r="T317" s="173"/>
      <c r="U317" s="173"/>
      <c r="V317" s="172">
        <f t="shared" si="519"/>
        <v>600</v>
      </c>
      <c r="W317" s="172">
        <f t="shared" si="520"/>
        <v>37.200000000000003</v>
      </c>
      <c r="X317" s="172">
        <f t="shared" si="521"/>
        <v>8.7000000000000011</v>
      </c>
      <c r="Y317" s="172" t="s">
        <v>2422</v>
      </c>
      <c r="Z317" s="172" t="s">
        <v>2422</v>
      </c>
      <c r="AA317" s="172" t="s">
        <v>2422</v>
      </c>
      <c r="AB317" s="172" t="s">
        <v>2422</v>
      </c>
      <c r="AC317" s="172" t="s">
        <v>2422</v>
      </c>
      <c r="AD317" s="172" t="s">
        <v>2422</v>
      </c>
      <c r="AE317" s="149"/>
      <c r="AF317" s="69">
        <f t="shared" si="522"/>
        <v>-600</v>
      </c>
      <c r="AG317" s="69">
        <f t="shared" si="523"/>
        <v>45.900000000000006</v>
      </c>
      <c r="AH317" s="67">
        <v>22089.35</v>
      </c>
      <c r="AI317" s="178"/>
      <c r="AJ317" s="178"/>
    </row>
    <row r="318" spans="1:36" x14ac:dyDescent="0.25">
      <c r="A318" s="138"/>
      <c r="B318" s="138"/>
      <c r="C318" s="138"/>
      <c r="D318" s="138"/>
      <c r="E318" s="138"/>
      <c r="F318" s="138"/>
      <c r="G318" s="138"/>
      <c r="H318" s="221"/>
      <c r="I318" s="222">
        <f t="shared" ref="I318:J318" si="524">SUM(I316:I317)</f>
        <v>44529</v>
      </c>
      <c r="J318" s="222">
        <f t="shared" si="524"/>
        <v>44734</v>
      </c>
      <c r="K318" s="223"/>
      <c r="L318" s="223">
        <f t="shared" ref="L318:AD318" si="525">SUM(L315:L317)</f>
        <v>21.506730769230771</v>
      </c>
      <c r="M318" s="223">
        <f t="shared" si="525"/>
        <v>1720.5384615384614</v>
      </c>
      <c r="N318" s="223">
        <f t="shared" si="525"/>
        <v>1055.2767123287672</v>
      </c>
      <c r="O318" s="223">
        <f t="shared" si="525"/>
        <v>0</v>
      </c>
      <c r="P318" s="223">
        <f t="shared" si="525"/>
        <v>0</v>
      </c>
      <c r="Q318" s="223">
        <f t="shared" si="525"/>
        <v>1055.2767123287672</v>
      </c>
      <c r="R318" s="223">
        <f t="shared" si="525"/>
        <v>46389.27671232877</v>
      </c>
      <c r="S318" s="223">
        <f t="shared" si="525"/>
        <v>0</v>
      </c>
      <c r="T318" s="223">
        <f t="shared" si="525"/>
        <v>1200</v>
      </c>
      <c r="U318" s="223">
        <f t="shared" si="525"/>
        <v>0</v>
      </c>
      <c r="V318" s="223">
        <f t="shared" si="525"/>
        <v>47589.27671232877</v>
      </c>
      <c r="W318" s="223">
        <f t="shared" si="525"/>
        <v>2950.5351561643834</v>
      </c>
      <c r="X318" s="223">
        <f t="shared" si="525"/>
        <v>690.04451232876727</v>
      </c>
      <c r="Y318" s="223">
        <f t="shared" si="525"/>
        <v>6611.3912334246579</v>
      </c>
      <c r="Z318" s="223">
        <f t="shared" si="525"/>
        <v>75.182842739726041</v>
      </c>
      <c r="AA318" s="223">
        <f t="shared" si="525"/>
        <v>32.89249369863014</v>
      </c>
      <c r="AB318" s="223">
        <f t="shared" si="525"/>
        <v>335</v>
      </c>
      <c r="AC318" s="223">
        <f t="shared" si="525"/>
        <v>10356.36</v>
      </c>
      <c r="AD318" s="223">
        <f t="shared" si="525"/>
        <v>106.9136</v>
      </c>
      <c r="AE318" s="170">
        <v>544</v>
      </c>
      <c r="AF318" s="230">
        <f>SUM(AF316:AF317)</f>
        <v>205</v>
      </c>
      <c r="AG318" s="100">
        <f t="shared" si="523"/>
        <v>21158.319838356165</v>
      </c>
      <c r="AH318" s="225">
        <v>45.9</v>
      </c>
      <c r="AI318" s="226">
        <f>AG318-AH318</f>
        <v>21112.419838356163</v>
      </c>
      <c r="AJ318" s="226">
        <f>AF318+AI318</f>
        <v>21317.419838356163</v>
      </c>
    </row>
    <row r="319" spans="1:36" x14ac:dyDescent="0.25">
      <c r="A319" s="138"/>
      <c r="B319" s="138"/>
      <c r="C319" s="138"/>
      <c r="D319" s="138"/>
      <c r="E319" s="138"/>
      <c r="F319" s="138"/>
      <c r="G319" s="138"/>
      <c r="H319" s="148"/>
      <c r="I319" s="148"/>
      <c r="J319" s="148"/>
      <c r="K319" s="138"/>
      <c r="L319" s="138"/>
      <c r="M319" s="138"/>
      <c r="N319" s="138"/>
      <c r="O319" s="138"/>
      <c r="P319" s="138"/>
      <c r="Q319" s="138"/>
      <c r="R319" s="169"/>
      <c r="S319" s="169"/>
      <c r="T319" s="169"/>
      <c r="U319" s="169"/>
      <c r="V319" s="169"/>
      <c r="W319" s="63">
        <f>SUM(W318:X318)</f>
        <v>3640.5796684931506</v>
      </c>
      <c r="X319" s="169"/>
      <c r="Y319" s="169"/>
      <c r="Z319" s="169"/>
      <c r="AA319" s="169"/>
      <c r="AB319" s="169"/>
      <c r="AC319" s="63">
        <f>SUM(AC318:AD318)</f>
        <v>10463.2736</v>
      </c>
      <c r="AD319" s="169"/>
      <c r="AE319" s="149"/>
      <c r="AF319" s="178"/>
      <c r="AG319" s="178"/>
      <c r="AH319" s="67">
        <v>22135.25</v>
      </c>
      <c r="AI319" s="178"/>
      <c r="AJ319" s="178"/>
    </row>
    <row r="320" spans="1:36" x14ac:dyDescent="0.25">
      <c r="A320" s="138"/>
      <c r="B320" s="138"/>
      <c r="C320" s="138"/>
      <c r="D320" s="138"/>
      <c r="E320" s="138"/>
      <c r="F320" s="138"/>
      <c r="G320" s="138"/>
      <c r="H320" s="148"/>
      <c r="I320" s="148"/>
      <c r="J320" s="148"/>
      <c r="K320" s="138"/>
      <c r="L320" s="138"/>
      <c r="M320" s="138"/>
      <c r="N320" s="138"/>
      <c r="O320" s="138"/>
      <c r="P320" s="138"/>
      <c r="Q320" s="138"/>
      <c r="R320" s="169"/>
      <c r="S320" s="169"/>
      <c r="T320" s="169"/>
      <c r="U320" s="169"/>
      <c r="V320" s="169"/>
      <c r="W320" s="169"/>
      <c r="X320" s="169"/>
      <c r="Y320" s="169"/>
      <c r="Z320" s="169"/>
      <c r="AA320" s="169"/>
      <c r="AB320" s="169"/>
      <c r="AC320" s="169"/>
      <c r="AD320" s="169"/>
      <c r="AE320" s="149"/>
      <c r="AF320" s="178"/>
      <c r="AG320" s="178"/>
      <c r="AH320" s="65"/>
      <c r="AI320" s="178"/>
      <c r="AJ320" s="178"/>
    </row>
    <row r="321" spans="1:36" x14ac:dyDescent="0.25">
      <c r="A321" s="167">
        <v>545</v>
      </c>
      <c r="B321" s="92" t="s">
        <v>2915</v>
      </c>
      <c r="C321" s="168" t="s">
        <v>2916</v>
      </c>
      <c r="D321" s="168" t="s">
        <v>2917</v>
      </c>
      <c r="E321" s="168" t="s">
        <v>2715</v>
      </c>
      <c r="F321" s="74">
        <v>38353</v>
      </c>
      <c r="G321" s="59">
        <f>(DATE(2021,12,30)-(F321))/365</f>
        <v>17.005479452054793</v>
      </c>
      <c r="H321" s="57"/>
      <c r="I321" s="57">
        <v>48106</v>
      </c>
      <c r="J321" s="182">
        <v>48987</v>
      </c>
      <c r="K321" s="63"/>
      <c r="L321" s="63">
        <f>SUM(J321/2080)</f>
        <v>23.551442307692309</v>
      </c>
      <c r="M321" s="63">
        <f>SUM(J321/26)</f>
        <v>1884.1153846153845</v>
      </c>
      <c r="N321" s="63"/>
      <c r="O321" s="169"/>
      <c r="P321" s="169"/>
      <c r="Q321" s="63">
        <f>IF(N321+P321&gt;5000,5000,N321+P321)</f>
        <v>0</v>
      </c>
      <c r="R321" s="63">
        <f>Q321+J321</f>
        <v>48987</v>
      </c>
      <c r="S321" s="169"/>
      <c r="T321" s="63">
        <v>1200</v>
      </c>
      <c r="U321" s="169"/>
      <c r="V321" s="63">
        <f t="shared" ref="V321:V322" si="526">SUM(R321:U321)</f>
        <v>50187</v>
      </c>
      <c r="W321" s="63">
        <f t="shared" ref="W321:W322" si="527">SUM(V321*$W$7)</f>
        <v>3111.5940000000001</v>
      </c>
      <c r="X321" s="63">
        <f t="shared" ref="X321:X322" si="528">SUM(V321*$X$7)</f>
        <v>727.7115</v>
      </c>
      <c r="Y321" s="63">
        <f>SUM(V321*$Y$7)</f>
        <v>7061.3108999999995</v>
      </c>
      <c r="Z321" s="63">
        <f>SUM(V321*$Z$7)</f>
        <v>80.299199999999999</v>
      </c>
      <c r="AA321" s="63">
        <f>SUM(V321*$AA$7)</f>
        <v>35.130899999999997</v>
      </c>
      <c r="AB321" s="63">
        <f>SUM($AB$7)</f>
        <v>335</v>
      </c>
      <c r="AC321" s="63">
        <f>$AC$7</f>
        <v>10356.36</v>
      </c>
      <c r="AD321" s="63">
        <f>SUM(AB321+AC321)*$AD$7</f>
        <v>106.9136</v>
      </c>
      <c r="AE321" s="170">
        <v>545</v>
      </c>
      <c r="AF321" s="69">
        <f t="shared" ref="AF321:AF322" si="529">SUM(J321-I321)</f>
        <v>881</v>
      </c>
      <c r="AG321" s="69">
        <f t="shared" ref="AG321:AG323" si="530">SUM(W321:AD321)</f>
        <v>21814.320099999997</v>
      </c>
      <c r="AH321" s="65"/>
      <c r="AI321" s="69">
        <f t="shared" ref="AI321:AI323" si="531">AG321-AH321</f>
        <v>21814.320099999997</v>
      </c>
      <c r="AJ321" s="69">
        <f t="shared" ref="AJ321:AJ323" si="532">AF321+AI321</f>
        <v>22695.320099999997</v>
      </c>
    </row>
    <row r="322" spans="1:36" x14ac:dyDescent="0.25">
      <c r="A322" s="138"/>
      <c r="B322" s="138"/>
      <c r="C322" s="168" t="s">
        <v>2901</v>
      </c>
      <c r="D322" s="138"/>
      <c r="E322" s="138"/>
      <c r="F322" s="138"/>
      <c r="G322" s="138"/>
      <c r="H322" s="189"/>
      <c r="I322" s="189">
        <v>600</v>
      </c>
      <c r="J322" s="250">
        <v>0</v>
      </c>
      <c r="K322" s="219"/>
      <c r="L322" s="219"/>
      <c r="M322" s="219"/>
      <c r="N322" s="219"/>
      <c r="O322" s="219"/>
      <c r="P322" s="219"/>
      <c r="Q322" s="219"/>
      <c r="R322" s="172">
        <v>600</v>
      </c>
      <c r="S322" s="173"/>
      <c r="T322" s="173"/>
      <c r="U322" s="173"/>
      <c r="V322" s="172">
        <f t="shared" si="526"/>
        <v>600</v>
      </c>
      <c r="W322" s="172">
        <f t="shared" si="527"/>
        <v>37.200000000000003</v>
      </c>
      <c r="X322" s="172">
        <f t="shared" si="528"/>
        <v>8.7000000000000011</v>
      </c>
      <c r="Y322" s="172" t="s">
        <v>2422</v>
      </c>
      <c r="Z322" s="172" t="s">
        <v>2422</v>
      </c>
      <c r="AA322" s="172" t="s">
        <v>2422</v>
      </c>
      <c r="AB322" s="172" t="s">
        <v>2422</v>
      </c>
      <c r="AC322" s="172" t="s">
        <v>2422</v>
      </c>
      <c r="AD322" s="172" t="s">
        <v>2422</v>
      </c>
      <c r="AE322" s="149"/>
      <c r="AF322" s="69">
        <f t="shared" si="529"/>
        <v>-600</v>
      </c>
      <c r="AG322" s="69">
        <f t="shared" si="530"/>
        <v>45.900000000000006</v>
      </c>
      <c r="AH322" s="67">
        <v>21132.81</v>
      </c>
      <c r="AI322" s="69">
        <f t="shared" si="531"/>
        <v>-21086.91</v>
      </c>
      <c r="AJ322" s="69">
        <f t="shared" si="532"/>
        <v>-21686.91</v>
      </c>
    </row>
    <row r="323" spans="1:36" x14ac:dyDescent="0.25">
      <c r="A323" s="138"/>
      <c r="B323" s="138"/>
      <c r="C323" s="138"/>
      <c r="G323" s="138"/>
      <c r="H323" s="221"/>
      <c r="I323" s="222">
        <f t="shared" ref="I323:J323" si="533">SUM(I321:I322)</f>
        <v>48706</v>
      </c>
      <c r="J323" s="222">
        <f t="shared" si="533"/>
        <v>48987</v>
      </c>
      <c r="K323" s="223"/>
      <c r="L323" s="223">
        <f t="shared" ref="L323:AD323" si="534">SUM(L320:L322)</f>
        <v>23.551442307692309</v>
      </c>
      <c r="M323" s="223">
        <f t="shared" si="534"/>
        <v>1884.1153846153845</v>
      </c>
      <c r="N323" s="223">
        <f t="shared" si="534"/>
        <v>0</v>
      </c>
      <c r="O323" s="223">
        <f t="shared" si="534"/>
        <v>0</v>
      </c>
      <c r="P323" s="223">
        <f t="shared" si="534"/>
        <v>0</v>
      </c>
      <c r="Q323" s="223">
        <f t="shared" si="534"/>
        <v>0</v>
      </c>
      <c r="R323" s="223">
        <f t="shared" si="534"/>
        <v>49587</v>
      </c>
      <c r="S323" s="223">
        <f t="shared" si="534"/>
        <v>0</v>
      </c>
      <c r="T323" s="223">
        <f t="shared" si="534"/>
        <v>1200</v>
      </c>
      <c r="U323" s="223">
        <f t="shared" si="534"/>
        <v>0</v>
      </c>
      <c r="V323" s="223">
        <f t="shared" si="534"/>
        <v>50787</v>
      </c>
      <c r="W323" s="223">
        <f t="shared" si="534"/>
        <v>3148.7939999999999</v>
      </c>
      <c r="X323" s="223">
        <f t="shared" si="534"/>
        <v>736.41150000000005</v>
      </c>
      <c r="Y323" s="223">
        <f t="shared" si="534"/>
        <v>7061.3108999999995</v>
      </c>
      <c r="Z323" s="223">
        <f t="shared" si="534"/>
        <v>80.299199999999999</v>
      </c>
      <c r="AA323" s="223">
        <f t="shared" si="534"/>
        <v>35.130899999999997</v>
      </c>
      <c r="AB323" s="223">
        <f t="shared" si="534"/>
        <v>335</v>
      </c>
      <c r="AC323" s="223">
        <f t="shared" si="534"/>
        <v>10356.36</v>
      </c>
      <c r="AD323" s="223">
        <f t="shared" si="534"/>
        <v>106.9136</v>
      </c>
      <c r="AE323" s="170">
        <v>545</v>
      </c>
      <c r="AF323" s="230">
        <f>SUM(AF321:AF322)</f>
        <v>281</v>
      </c>
      <c r="AG323" s="100">
        <f t="shared" si="530"/>
        <v>21860.220099999999</v>
      </c>
      <c r="AH323" s="225">
        <v>45.9</v>
      </c>
      <c r="AI323" s="226">
        <f t="shared" si="531"/>
        <v>21814.320099999997</v>
      </c>
      <c r="AJ323" s="226">
        <f t="shared" si="532"/>
        <v>22095.320099999997</v>
      </c>
    </row>
    <row r="324" spans="1:36" x14ac:dyDescent="0.25">
      <c r="A324" s="138"/>
      <c r="B324" s="138"/>
      <c r="C324" s="138"/>
      <c r="D324" s="181"/>
      <c r="E324" s="181"/>
      <c r="F324" s="87"/>
      <c r="G324" s="138"/>
      <c r="H324" s="148"/>
      <c r="I324" s="148"/>
      <c r="J324" s="148"/>
      <c r="K324" s="138"/>
      <c r="L324" s="138"/>
      <c r="M324" s="138"/>
      <c r="N324" s="138"/>
      <c r="O324" s="138"/>
      <c r="P324" s="138"/>
      <c r="Q324" s="138"/>
      <c r="R324" s="169"/>
      <c r="S324" s="169"/>
      <c r="T324" s="169"/>
      <c r="U324" s="169"/>
      <c r="V324" s="169"/>
      <c r="W324" s="63">
        <f>SUM(W323:X323)</f>
        <v>3885.2055</v>
      </c>
      <c r="X324" s="169"/>
      <c r="Y324" s="169"/>
      <c r="Z324" s="169"/>
      <c r="AA324" s="169"/>
      <c r="AB324" s="169"/>
      <c r="AC324" s="63">
        <f>SUM(AC323:AD323)</f>
        <v>10463.2736</v>
      </c>
      <c r="AD324" s="169"/>
      <c r="AE324" s="149"/>
      <c r="AF324" s="178"/>
      <c r="AG324" s="178"/>
      <c r="AH324" s="67">
        <v>21178.71</v>
      </c>
      <c r="AI324" s="178"/>
      <c r="AJ324" s="178"/>
    </row>
    <row r="325" spans="1:36" x14ac:dyDescent="0.25">
      <c r="A325" s="138"/>
      <c r="B325" s="138"/>
      <c r="C325" s="138"/>
      <c r="D325" s="168"/>
      <c r="E325" s="168"/>
      <c r="F325" s="58"/>
      <c r="G325" s="138"/>
      <c r="H325" s="148"/>
      <c r="I325" s="148"/>
      <c r="J325" s="148"/>
      <c r="K325" s="138"/>
      <c r="L325" s="138"/>
      <c r="M325" s="138"/>
      <c r="N325" s="138"/>
      <c r="O325" s="138"/>
      <c r="P325" s="138"/>
      <c r="Q325" s="138"/>
      <c r="R325" s="169"/>
      <c r="S325" s="169"/>
      <c r="T325" s="169"/>
      <c r="U325" s="169"/>
      <c r="V325" s="169"/>
      <c r="W325" s="169"/>
      <c r="X325" s="169"/>
      <c r="Y325" s="169"/>
      <c r="Z325" s="169"/>
      <c r="AA325" s="169"/>
      <c r="AB325" s="169"/>
      <c r="AC325" s="169"/>
      <c r="AD325" s="169"/>
      <c r="AE325" s="149"/>
      <c r="AF325" s="178"/>
      <c r="AG325" s="178"/>
      <c r="AH325" s="65"/>
      <c r="AI325" s="178"/>
      <c r="AJ325" s="178"/>
    </row>
    <row r="326" spans="1:36" x14ac:dyDescent="0.25">
      <c r="A326" s="138"/>
      <c r="B326" s="138"/>
      <c r="G326" s="138"/>
      <c r="H326" s="148"/>
      <c r="I326" s="148"/>
      <c r="J326" s="148"/>
      <c r="K326" s="138"/>
      <c r="L326" s="138"/>
      <c r="M326" s="138"/>
      <c r="N326" s="138"/>
      <c r="O326" s="138"/>
      <c r="P326" s="138"/>
      <c r="Q326" s="138"/>
      <c r="R326" s="169"/>
      <c r="S326" s="169"/>
      <c r="T326" s="169"/>
      <c r="U326" s="169"/>
      <c r="V326" s="169"/>
      <c r="W326" s="169"/>
      <c r="X326" s="169"/>
      <c r="Y326" s="169"/>
      <c r="Z326" s="169"/>
      <c r="AA326" s="169"/>
      <c r="AB326" s="169"/>
      <c r="AC326" s="169"/>
      <c r="AD326" s="169"/>
      <c r="AE326" s="149"/>
      <c r="AF326" s="178"/>
      <c r="AG326" s="178"/>
      <c r="AH326" s="65"/>
      <c r="AI326" s="178"/>
      <c r="AJ326" s="178"/>
    </row>
    <row r="327" spans="1:36" x14ac:dyDescent="0.25">
      <c r="A327" s="167">
        <v>560</v>
      </c>
      <c r="B327" s="92" t="s">
        <v>2918</v>
      </c>
      <c r="C327" s="168" t="s">
        <v>97</v>
      </c>
      <c r="D327" s="185" t="s">
        <v>2919</v>
      </c>
      <c r="E327" s="185" t="s">
        <v>2920</v>
      </c>
      <c r="F327" s="58">
        <v>35962</v>
      </c>
      <c r="G327" s="59">
        <f t="shared" ref="G327:G395" si="535">(DATE(2021,12,30)-(F327))/365</f>
        <v>23.556164383561644</v>
      </c>
      <c r="H327" s="57"/>
      <c r="I327" s="57">
        <v>79383</v>
      </c>
      <c r="J327" s="66">
        <v>79383</v>
      </c>
      <c r="K327" s="63"/>
      <c r="L327" s="63">
        <f t="shared" ref="L327:L395" si="536">SUM(J327/2080)</f>
        <v>38.164903846153848</v>
      </c>
      <c r="M327" s="63">
        <f t="shared" ref="M327:M395" si="537">SUM(J327/26)</f>
        <v>3053.1923076923076</v>
      </c>
      <c r="N327" s="63"/>
      <c r="O327" s="169"/>
      <c r="P327" s="169"/>
      <c r="Q327" s="63">
        <f t="shared" ref="Q327:Q395" si="538">IF(N327+P327&gt;5000,5000,N327+P327)</f>
        <v>0</v>
      </c>
      <c r="R327" s="63">
        <f t="shared" ref="R327:R397" si="539">Q327+J327</f>
        <v>79383</v>
      </c>
      <c r="S327" s="63">
        <v>4200</v>
      </c>
      <c r="T327" s="63" t="s">
        <v>2420</v>
      </c>
      <c r="U327" s="63" t="s">
        <v>2420</v>
      </c>
      <c r="V327" s="63">
        <f t="shared" ref="V327:V397" si="540">SUM(R327:U327)</f>
        <v>83583</v>
      </c>
      <c r="W327" s="63">
        <f t="shared" ref="W327:W397" si="541">SUM(V327*$W$7)</f>
        <v>5182.1459999999997</v>
      </c>
      <c r="X327" s="63">
        <f t="shared" ref="X327:X397" si="542">SUM(V327*$X$7)</f>
        <v>1211.9535000000001</v>
      </c>
      <c r="Y327" s="63">
        <f t="shared" ref="Y327:Y397" si="543">SUM(V327*$Y$7)</f>
        <v>11760.1281</v>
      </c>
      <c r="Z327" s="63">
        <f t="shared" ref="Z327:Z397" si="544">SUM(V327*$Z$7)</f>
        <v>133.7328</v>
      </c>
      <c r="AA327" s="82" t="s">
        <v>2420</v>
      </c>
      <c r="AB327" s="63">
        <f t="shared" ref="AB327:AB395" si="545">SUM($AB$7)</f>
        <v>335</v>
      </c>
      <c r="AC327" s="63">
        <f t="shared" ref="AC327:AC395" si="546">$AC$7</f>
        <v>10356.36</v>
      </c>
      <c r="AD327" s="63">
        <f t="shared" ref="AD327:AD395" si="547">SUM(AB327+AC327)*$AD$7</f>
        <v>106.9136</v>
      </c>
      <c r="AE327" s="170">
        <v>560</v>
      </c>
      <c r="AF327" s="69">
        <f t="shared" ref="AF327:AF397" si="548">SUM(J327-I327)</f>
        <v>0</v>
      </c>
      <c r="AG327" s="69">
        <f t="shared" ref="AG327:AG398" si="549">SUM(W327:AD327)</f>
        <v>29086.234</v>
      </c>
      <c r="AH327" s="67">
        <v>22089.35</v>
      </c>
      <c r="AI327" s="69">
        <f t="shared" ref="AI327:AI398" si="550">AG327-AH327</f>
        <v>6996.8840000000018</v>
      </c>
      <c r="AJ327" s="69">
        <f t="shared" ref="AJ327:AJ398" si="551">AF327+AI327</f>
        <v>6996.8840000000018</v>
      </c>
    </row>
    <row r="328" spans="1:36" x14ac:dyDescent="0.25">
      <c r="A328" s="167">
        <v>560</v>
      </c>
      <c r="B328" s="92" t="s">
        <v>2921</v>
      </c>
      <c r="C328" s="168" t="s">
        <v>2579</v>
      </c>
      <c r="D328" s="168" t="s">
        <v>2565</v>
      </c>
      <c r="E328" s="168" t="s">
        <v>2569</v>
      </c>
      <c r="F328" s="58">
        <v>42583</v>
      </c>
      <c r="G328" s="59">
        <f t="shared" si="535"/>
        <v>5.4164383561643836</v>
      </c>
      <c r="H328" s="57"/>
      <c r="I328" s="57">
        <v>57835</v>
      </c>
      <c r="J328" s="57">
        <v>57835</v>
      </c>
      <c r="K328" s="63"/>
      <c r="L328" s="63">
        <f t="shared" si="536"/>
        <v>27.80528846153846</v>
      </c>
      <c r="M328" s="63">
        <f t="shared" si="537"/>
        <v>2224.4230769230771</v>
      </c>
      <c r="N328" s="63"/>
      <c r="O328" s="169"/>
      <c r="P328" s="169"/>
      <c r="Q328" s="63">
        <f t="shared" si="538"/>
        <v>0</v>
      </c>
      <c r="R328" s="63">
        <f t="shared" si="539"/>
        <v>57835</v>
      </c>
      <c r="S328" s="169"/>
      <c r="T328" s="63">
        <v>1200</v>
      </c>
      <c r="U328" s="63" t="s">
        <v>2420</v>
      </c>
      <c r="V328" s="63">
        <f t="shared" si="540"/>
        <v>59035</v>
      </c>
      <c r="W328" s="63">
        <f t="shared" si="541"/>
        <v>3660.17</v>
      </c>
      <c r="X328" s="63">
        <f t="shared" si="542"/>
        <v>856.00750000000005</v>
      </c>
      <c r="Y328" s="63">
        <f t="shared" si="543"/>
        <v>8306.2245000000003</v>
      </c>
      <c r="Z328" s="63">
        <f t="shared" si="544"/>
        <v>94.456000000000003</v>
      </c>
      <c r="AA328" s="63">
        <f t="shared" ref="AA328:AA397" si="552">SUM(V328*$AA$7)</f>
        <v>41.3245</v>
      </c>
      <c r="AB328" s="63">
        <f t="shared" si="545"/>
        <v>335</v>
      </c>
      <c r="AC328" s="63">
        <f t="shared" si="546"/>
        <v>10356.36</v>
      </c>
      <c r="AD328" s="63">
        <f t="shared" si="547"/>
        <v>106.9136</v>
      </c>
      <c r="AE328" s="170">
        <v>560</v>
      </c>
      <c r="AF328" s="69">
        <f t="shared" si="548"/>
        <v>0</v>
      </c>
      <c r="AG328" s="69">
        <f t="shared" si="549"/>
        <v>23756.456100000003</v>
      </c>
      <c r="AH328" s="67">
        <v>45.9</v>
      </c>
      <c r="AI328" s="69">
        <f t="shared" si="550"/>
        <v>23710.556100000002</v>
      </c>
      <c r="AJ328" s="69">
        <f t="shared" si="551"/>
        <v>23710.556100000002</v>
      </c>
    </row>
    <row r="329" spans="1:36" x14ac:dyDescent="0.25">
      <c r="A329" s="167">
        <v>560</v>
      </c>
      <c r="B329" s="92" t="s">
        <v>2922</v>
      </c>
      <c r="C329" s="168" t="s">
        <v>2923</v>
      </c>
      <c r="D329" s="168" t="s">
        <v>2924</v>
      </c>
      <c r="E329" s="168" t="s">
        <v>2925</v>
      </c>
      <c r="F329" s="58">
        <v>38869</v>
      </c>
      <c r="G329" s="59">
        <f t="shared" si="535"/>
        <v>15.591780821917808</v>
      </c>
      <c r="H329" s="57"/>
      <c r="I329" s="57">
        <v>52620</v>
      </c>
      <c r="J329" s="57">
        <v>52620</v>
      </c>
      <c r="K329" s="63"/>
      <c r="L329" s="63">
        <f t="shared" si="536"/>
        <v>25.298076923076923</v>
      </c>
      <c r="M329" s="63">
        <f t="shared" si="537"/>
        <v>2023.8461538461538</v>
      </c>
      <c r="N329" s="63"/>
      <c r="O329" s="169"/>
      <c r="P329" s="169"/>
      <c r="Q329" s="63">
        <f t="shared" si="538"/>
        <v>0</v>
      </c>
      <c r="R329" s="63">
        <f t="shared" si="539"/>
        <v>52620</v>
      </c>
      <c r="S329" s="169"/>
      <c r="T329" s="63">
        <v>1200</v>
      </c>
      <c r="U329" s="63">
        <v>1500</v>
      </c>
      <c r="V329" s="63">
        <f t="shared" si="540"/>
        <v>55320</v>
      </c>
      <c r="W329" s="63">
        <f t="shared" si="541"/>
        <v>3429.84</v>
      </c>
      <c r="X329" s="63">
        <f t="shared" si="542"/>
        <v>802.14</v>
      </c>
      <c r="Y329" s="63">
        <f t="shared" si="543"/>
        <v>7783.5239999999994</v>
      </c>
      <c r="Z329" s="63">
        <f t="shared" si="544"/>
        <v>88.512</v>
      </c>
      <c r="AA329" s="63">
        <f t="shared" si="552"/>
        <v>38.723999999999997</v>
      </c>
      <c r="AB329" s="63">
        <f t="shared" si="545"/>
        <v>335</v>
      </c>
      <c r="AC329" s="63">
        <f t="shared" si="546"/>
        <v>10356.36</v>
      </c>
      <c r="AD329" s="63">
        <f t="shared" si="547"/>
        <v>106.9136</v>
      </c>
      <c r="AE329" s="170">
        <v>560</v>
      </c>
      <c r="AF329" s="69">
        <f t="shared" si="548"/>
        <v>0</v>
      </c>
      <c r="AG329" s="69">
        <f t="shared" si="549"/>
        <v>22941.013600000002</v>
      </c>
      <c r="AH329" s="67">
        <v>22135.25</v>
      </c>
      <c r="AI329" s="69">
        <f t="shared" si="550"/>
        <v>805.76360000000204</v>
      </c>
      <c r="AJ329" s="69">
        <f t="shared" si="551"/>
        <v>805.76360000000204</v>
      </c>
    </row>
    <row r="330" spans="1:36" x14ac:dyDescent="0.25">
      <c r="A330" s="167">
        <v>560</v>
      </c>
      <c r="B330" s="92" t="s">
        <v>2926</v>
      </c>
      <c r="C330" s="181" t="s">
        <v>2927</v>
      </c>
      <c r="D330" s="183" t="s">
        <v>2586</v>
      </c>
      <c r="E330" s="183" t="s">
        <v>2486</v>
      </c>
      <c r="F330" s="252">
        <v>43374</v>
      </c>
      <c r="G330" s="59">
        <f t="shared" si="535"/>
        <v>3.2493150684931509</v>
      </c>
      <c r="H330" s="57"/>
      <c r="I330" s="66">
        <v>52621</v>
      </c>
      <c r="J330" s="66">
        <v>52621</v>
      </c>
      <c r="K330" s="63"/>
      <c r="L330" s="63">
        <f t="shared" si="536"/>
        <v>25.298557692307693</v>
      </c>
      <c r="M330" s="63">
        <f t="shared" si="537"/>
        <v>2023.8846153846155</v>
      </c>
      <c r="N330" s="63"/>
      <c r="O330" s="169"/>
      <c r="P330" s="169"/>
      <c r="Q330" s="63">
        <f t="shared" si="538"/>
        <v>0</v>
      </c>
      <c r="R330" s="63">
        <f t="shared" si="539"/>
        <v>52621</v>
      </c>
      <c r="S330" s="169"/>
      <c r="T330" s="63">
        <v>1200</v>
      </c>
      <c r="U330" s="63">
        <v>1000</v>
      </c>
      <c r="V330" s="63">
        <f t="shared" si="540"/>
        <v>54821</v>
      </c>
      <c r="W330" s="63">
        <f t="shared" si="541"/>
        <v>3398.902</v>
      </c>
      <c r="X330" s="63">
        <f t="shared" si="542"/>
        <v>794.90449999999998</v>
      </c>
      <c r="Y330" s="63">
        <f t="shared" si="543"/>
        <v>7713.3146999999999</v>
      </c>
      <c r="Z330" s="63">
        <f t="shared" si="544"/>
        <v>87.7136</v>
      </c>
      <c r="AA330" s="63">
        <f t="shared" si="552"/>
        <v>38.374699999999997</v>
      </c>
      <c r="AB330" s="63">
        <f t="shared" si="545"/>
        <v>335</v>
      </c>
      <c r="AC330" s="63">
        <f t="shared" si="546"/>
        <v>10356.36</v>
      </c>
      <c r="AD330" s="63">
        <f t="shared" si="547"/>
        <v>106.9136</v>
      </c>
      <c r="AE330" s="170">
        <v>560</v>
      </c>
      <c r="AF330" s="69">
        <f t="shared" si="548"/>
        <v>0</v>
      </c>
      <c r="AG330" s="69">
        <f t="shared" si="549"/>
        <v>22831.483099999998</v>
      </c>
      <c r="AH330" s="65"/>
      <c r="AI330" s="69">
        <f t="shared" si="550"/>
        <v>22831.483099999998</v>
      </c>
      <c r="AJ330" s="69">
        <f t="shared" si="551"/>
        <v>22831.483099999998</v>
      </c>
    </row>
    <row r="331" spans="1:36" x14ac:dyDescent="0.25">
      <c r="A331" s="167">
        <v>560</v>
      </c>
      <c r="B331" s="92" t="s">
        <v>2928</v>
      </c>
      <c r="C331" s="70" t="s">
        <v>2929</v>
      </c>
      <c r="D331" s="168" t="s">
        <v>2441</v>
      </c>
      <c r="E331" s="168" t="s">
        <v>2930</v>
      </c>
      <c r="F331" s="74">
        <v>42857</v>
      </c>
      <c r="G331" s="59">
        <f t="shared" si="535"/>
        <v>4.6657534246575345</v>
      </c>
      <c r="H331" s="57"/>
      <c r="I331" s="66">
        <v>47880</v>
      </c>
      <c r="J331" s="182">
        <v>48758</v>
      </c>
      <c r="K331" s="63"/>
      <c r="L331" s="63">
        <f t="shared" si="536"/>
        <v>23.441346153846155</v>
      </c>
      <c r="M331" s="63">
        <f t="shared" si="537"/>
        <v>1875.3076923076924</v>
      </c>
      <c r="N331" s="63"/>
      <c r="O331" s="169"/>
      <c r="P331" s="169"/>
      <c r="Q331" s="63">
        <f t="shared" si="538"/>
        <v>0</v>
      </c>
      <c r="R331" s="63">
        <f t="shared" si="539"/>
        <v>48758</v>
      </c>
      <c r="S331" s="169"/>
      <c r="T331" s="63">
        <v>1200</v>
      </c>
      <c r="U331" s="63">
        <v>1000</v>
      </c>
      <c r="V331" s="63">
        <f t="shared" si="540"/>
        <v>50958</v>
      </c>
      <c r="W331" s="63">
        <f t="shared" si="541"/>
        <v>3159.3960000000002</v>
      </c>
      <c r="X331" s="63">
        <f t="shared" si="542"/>
        <v>738.89100000000008</v>
      </c>
      <c r="Y331" s="63">
        <f t="shared" si="543"/>
        <v>7169.7905999999994</v>
      </c>
      <c r="Z331" s="63">
        <f t="shared" si="544"/>
        <v>81.532800000000009</v>
      </c>
      <c r="AA331" s="63">
        <f t="shared" si="552"/>
        <v>35.6706</v>
      </c>
      <c r="AB331" s="63">
        <f t="shared" si="545"/>
        <v>335</v>
      </c>
      <c r="AC331" s="63">
        <f t="shared" si="546"/>
        <v>10356.36</v>
      </c>
      <c r="AD331" s="63">
        <f t="shared" si="547"/>
        <v>106.9136</v>
      </c>
      <c r="AE331" s="170">
        <v>560</v>
      </c>
      <c r="AF331" s="69">
        <f t="shared" si="548"/>
        <v>878</v>
      </c>
      <c r="AG331" s="69">
        <f t="shared" si="549"/>
        <v>21983.554600000003</v>
      </c>
      <c r="AH331" s="65"/>
      <c r="AI331" s="69">
        <f t="shared" si="550"/>
        <v>21983.554600000003</v>
      </c>
      <c r="AJ331" s="69">
        <f t="shared" si="551"/>
        <v>22861.554600000003</v>
      </c>
    </row>
    <row r="332" spans="1:36" x14ac:dyDescent="0.25">
      <c r="A332" s="167">
        <v>560</v>
      </c>
      <c r="B332" s="92" t="s">
        <v>2931</v>
      </c>
      <c r="C332" s="70" t="s">
        <v>2929</v>
      </c>
      <c r="D332" s="168" t="s">
        <v>2932</v>
      </c>
      <c r="E332" s="168" t="s">
        <v>2933</v>
      </c>
      <c r="F332" s="74">
        <v>41533</v>
      </c>
      <c r="G332" s="59">
        <f t="shared" si="535"/>
        <v>8.293150684931506</v>
      </c>
      <c r="H332" s="57"/>
      <c r="I332" s="66">
        <v>49651</v>
      </c>
      <c r="J332" s="182">
        <v>50561</v>
      </c>
      <c r="K332" s="63"/>
      <c r="L332" s="63">
        <f t="shared" si="536"/>
        <v>24.308173076923076</v>
      </c>
      <c r="M332" s="63">
        <f t="shared" si="537"/>
        <v>1944.6538461538462</v>
      </c>
      <c r="N332" s="63"/>
      <c r="O332" s="169"/>
      <c r="P332" s="169"/>
      <c r="Q332" s="63">
        <f t="shared" si="538"/>
        <v>0</v>
      </c>
      <c r="R332" s="63">
        <f t="shared" si="539"/>
        <v>50561</v>
      </c>
      <c r="S332" s="169"/>
      <c r="T332" s="63">
        <v>1200</v>
      </c>
      <c r="U332" s="63">
        <v>1500</v>
      </c>
      <c r="V332" s="63">
        <f t="shared" si="540"/>
        <v>53261</v>
      </c>
      <c r="W332" s="63">
        <f t="shared" si="541"/>
        <v>3302.1819999999998</v>
      </c>
      <c r="X332" s="63">
        <f t="shared" si="542"/>
        <v>772.28450000000009</v>
      </c>
      <c r="Y332" s="63">
        <f t="shared" si="543"/>
        <v>7493.8226999999997</v>
      </c>
      <c r="Z332" s="63">
        <f t="shared" si="544"/>
        <v>85.217600000000004</v>
      </c>
      <c r="AA332" s="63">
        <f t="shared" si="552"/>
        <v>37.282699999999998</v>
      </c>
      <c r="AB332" s="63">
        <f t="shared" si="545"/>
        <v>335</v>
      </c>
      <c r="AC332" s="63">
        <f t="shared" si="546"/>
        <v>10356.36</v>
      </c>
      <c r="AD332" s="63">
        <f t="shared" si="547"/>
        <v>106.9136</v>
      </c>
      <c r="AE332" s="170">
        <v>560</v>
      </c>
      <c r="AF332" s="69">
        <f t="shared" si="548"/>
        <v>910</v>
      </c>
      <c r="AG332" s="69">
        <f t="shared" si="549"/>
        <v>22489.063099999999</v>
      </c>
      <c r="AH332" s="65"/>
      <c r="AI332" s="69">
        <f t="shared" si="550"/>
        <v>22489.063099999999</v>
      </c>
      <c r="AJ332" s="69">
        <f t="shared" si="551"/>
        <v>23399.063099999999</v>
      </c>
    </row>
    <row r="333" spans="1:36" x14ac:dyDescent="0.25">
      <c r="A333" s="167">
        <v>560</v>
      </c>
      <c r="B333" s="92" t="s">
        <v>2934</v>
      </c>
      <c r="C333" s="70" t="s">
        <v>2929</v>
      </c>
      <c r="D333" s="168" t="s">
        <v>2717</v>
      </c>
      <c r="E333" s="168" t="s">
        <v>3793</v>
      </c>
      <c r="F333" s="74">
        <v>39308</v>
      </c>
      <c r="G333" s="59">
        <f t="shared" si="535"/>
        <v>14.389041095890411</v>
      </c>
      <c r="H333" s="57"/>
      <c r="I333" s="66">
        <v>51488</v>
      </c>
      <c r="J333" s="182">
        <v>52432</v>
      </c>
      <c r="K333" s="63"/>
      <c r="L333" s="63">
        <f t="shared" si="536"/>
        <v>25.207692307692309</v>
      </c>
      <c r="M333" s="63">
        <f t="shared" si="537"/>
        <v>2016.6153846153845</v>
      </c>
      <c r="N333" s="63"/>
      <c r="O333" s="169"/>
      <c r="P333" s="169"/>
      <c r="Q333" s="63">
        <f t="shared" si="538"/>
        <v>0</v>
      </c>
      <c r="R333" s="63">
        <f t="shared" si="539"/>
        <v>52432</v>
      </c>
      <c r="S333" s="169"/>
      <c r="T333" s="63">
        <v>1200</v>
      </c>
      <c r="U333" s="63">
        <v>1000</v>
      </c>
      <c r="V333" s="63">
        <f t="shared" si="540"/>
        <v>54632</v>
      </c>
      <c r="W333" s="63">
        <f t="shared" si="541"/>
        <v>3387.1840000000002</v>
      </c>
      <c r="X333" s="63">
        <f t="shared" si="542"/>
        <v>792.16399999999999</v>
      </c>
      <c r="Y333" s="63">
        <f t="shared" si="543"/>
        <v>7686.7223999999997</v>
      </c>
      <c r="Z333" s="63">
        <f t="shared" si="544"/>
        <v>87.411200000000008</v>
      </c>
      <c r="AA333" s="63">
        <f t="shared" si="552"/>
        <v>38.242399999999996</v>
      </c>
      <c r="AB333" s="63">
        <f t="shared" si="545"/>
        <v>335</v>
      </c>
      <c r="AC333" s="63">
        <f t="shared" si="546"/>
        <v>10356.36</v>
      </c>
      <c r="AD333" s="63">
        <f t="shared" si="547"/>
        <v>106.9136</v>
      </c>
      <c r="AE333" s="170">
        <v>560</v>
      </c>
      <c r="AF333" s="69">
        <f t="shared" si="548"/>
        <v>944</v>
      </c>
      <c r="AG333" s="69">
        <f t="shared" si="549"/>
        <v>22789.997600000002</v>
      </c>
      <c r="AH333" s="67">
        <v>29880.27</v>
      </c>
      <c r="AI333" s="69">
        <f t="shared" si="550"/>
        <v>-7090.272399999998</v>
      </c>
      <c r="AJ333" s="69">
        <f t="shared" si="551"/>
        <v>-6146.272399999998</v>
      </c>
    </row>
    <row r="334" spans="1:36" x14ac:dyDescent="0.25">
      <c r="A334" s="167">
        <v>560</v>
      </c>
      <c r="B334" s="92" t="s">
        <v>2935</v>
      </c>
      <c r="C334" s="70" t="s">
        <v>2929</v>
      </c>
      <c r="D334" s="185" t="s">
        <v>2899</v>
      </c>
      <c r="E334" s="185" t="s">
        <v>2900</v>
      </c>
      <c r="F334" s="74">
        <v>35491</v>
      </c>
      <c r="G334" s="59">
        <f t="shared" si="535"/>
        <v>24.846575342465755</v>
      </c>
      <c r="H334" s="57"/>
      <c r="I334" s="66">
        <v>53393</v>
      </c>
      <c r="J334" s="182">
        <v>54372</v>
      </c>
      <c r="K334" s="63"/>
      <c r="L334" s="63">
        <f t="shared" si="536"/>
        <v>26.140384615384615</v>
      </c>
      <c r="M334" s="63">
        <f t="shared" si="537"/>
        <v>2091.2307692307691</v>
      </c>
      <c r="N334" s="63"/>
      <c r="O334" s="169"/>
      <c r="P334" s="169"/>
      <c r="Q334" s="63">
        <f t="shared" si="538"/>
        <v>0</v>
      </c>
      <c r="R334" s="63">
        <f t="shared" si="539"/>
        <v>54372</v>
      </c>
      <c r="S334" s="169"/>
      <c r="T334" s="63">
        <v>1200</v>
      </c>
      <c r="U334" s="169"/>
      <c r="V334" s="63">
        <f t="shared" si="540"/>
        <v>55572</v>
      </c>
      <c r="W334" s="63">
        <f t="shared" si="541"/>
        <v>3445.4639999999999</v>
      </c>
      <c r="X334" s="63">
        <f t="shared" si="542"/>
        <v>805.7940000000001</v>
      </c>
      <c r="Y334" s="63">
        <f t="shared" si="543"/>
        <v>7818.9803999999995</v>
      </c>
      <c r="Z334" s="63">
        <f t="shared" si="544"/>
        <v>88.915199999999999</v>
      </c>
      <c r="AA334" s="63">
        <f t="shared" si="552"/>
        <v>38.900399999999998</v>
      </c>
      <c r="AB334" s="63">
        <f t="shared" si="545"/>
        <v>335</v>
      </c>
      <c r="AC334" s="63">
        <f t="shared" si="546"/>
        <v>10356.36</v>
      </c>
      <c r="AD334" s="63">
        <f t="shared" si="547"/>
        <v>106.9136</v>
      </c>
      <c r="AE334" s="170">
        <v>560</v>
      </c>
      <c r="AF334" s="69">
        <f t="shared" si="548"/>
        <v>979</v>
      </c>
      <c r="AG334" s="69">
        <f t="shared" si="549"/>
        <v>22996.327599999997</v>
      </c>
      <c r="AH334" s="67">
        <v>24317.29</v>
      </c>
      <c r="AI334" s="69">
        <f t="shared" si="550"/>
        <v>-1320.962400000004</v>
      </c>
      <c r="AJ334" s="69">
        <f t="shared" si="551"/>
        <v>-341.96240000000398</v>
      </c>
    </row>
    <row r="335" spans="1:36" x14ac:dyDescent="0.25">
      <c r="A335" s="167">
        <v>560</v>
      </c>
      <c r="B335" s="92" t="s">
        <v>2938</v>
      </c>
      <c r="C335" s="70" t="s">
        <v>2939</v>
      </c>
      <c r="D335" s="71" t="s">
        <v>2940</v>
      </c>
      <c r="E335" s="71" t="s">
        <v>2941</v>
      </c>
      <c r="F335" s="73">
        <v>43738</v>
      </c>
      <c r="G335" s="59">
        <f t="shared" si="535"/>
        <v>2.2520547945205478</v>
      </c>
      <c r="H335" s="57"/>
      <c r="I335" s="66">
        <v>45510</v>
      </c>
      <c r="J335" s="182">
        <v>46344</v>
      </c>
      <c r="K335" s="63"/>
      <c r="L335" s="63">
        <f t="shared" si="536"/>
        <v>22.280769230769231</v>
      </c>
      <c r="M335" s="63">
        <f t="shared" si="537"/>
        <v>1782.4615384615386</v>
      </c>
      <c r="N335" s="63"/>
      <c r="O335" s="169"/>
      <c r="P335" s="169"/>
      <c r="Q335" s="63">
        <f t="shared" si="538"/>
        <v>0</v>
      </c>
      <c r="R335" s="63">
        <f t="shared" si="539"/>
        <v>46344</v>
      </c>
      <c r="S335" s="169"/>
      <c r="T335" s="63">
        <v>1200</v>
      </c>
      <c r="U335" s="69">
        <v>500</v>
      </c>
      <c r="V335" s="63">
        <f t="shared" si="540"/>
        <v>48044</v>
      </c>
      <c r="W335" s="63">
        <f t="shared" si="541"/>
        <v>2978.7280000000001</v>
      </c>
      <c r="X335" s="63">
        <f t="shared" si="542"/>
        <v>696.63800000000003</v>
      </c>
      <c r="Y335" s="63">
        <f t="shared" si="543"/>
        <v>6759.7907999999998</v>
      </c>
      <c r="Z335" s="63">
        <f t="shared" si="544"/>
        <v>76.870400000000004</v>
      </c>
      <c r="AA335" s="63">
        <f t="shared" si="552"/>
        <v>33.630800000000001</v>
      </c>
      <c r="AB335" s="63">
        <f t="shared" si="545"/>
        <v>335</v>
      </c>
      <c r="AC335" s="63">
        <f t="shared" si="546"/>
        <v>10356.36</v>
      </c>
      <c r="AD335" s="63">
        <f t="shared" si="547"/>
        <v>106.9136</v>
      </c>
      <c r="AE335" s="170">
        <v>560</v>
      </c>
      <c r="AF335" s="69">
        <f t="shared" si="548"/>
        <v>834</v>
      </c>
      <c r="AG335" s="69">
        <f t="shared" si="549"/>
        <v>21343.931600000004</v>
      </c>
      <c r="AH335" s="67">
        <v>23466.55</v>
      </c>
      <c r="AI335" s="69">
        <f t="shared" si="550"/>
        <v>-2122.6183999999957</v>
      </c>
      <c r="AJ335" s="69">
        <f t="shared" si="551"/>
        <v>-1288.6183999999957</v>
      </c>
    </row>
    <row r="336" spans="1:36" x14ac:dyDescent="0.25">
      <c r="A336" s="167">
        <v>560</v>
      </c>
      <c r="B336" s="92" t="s">
        <v>2942</v>
      </c>
      <c r="C336" s="70" t="s">
        <v>2939</v>
      </c>
      <c r="D336" s="71" t="s">
        <v>2540</v>
      </c>
      <c r="E336" s="71" t="s">
        <v>2943</v>
      </c>
      <c r="F336" s="73">
        <v>43040</v>
      </c>
      <c r="G336" s="59">
        <f t="shared" si="535"/>
        <v>4.1643835616438354</v>
      </c>
      <c r="H336" s="57"/>
      <c r="I336" s="66">
        <v>45510</v>
      </c>
      <c r="J336" s="182">
        <v>46344</v>
      </c>
      <c r="K336" s="63"/>
      <c r="L336" s="63">
        <f t="shared" si="536"/>
        <v>22.280769230769231</v>
      </c>
      <c r="M336" s="63">
        <f t="shared" si="537"/>
        <v>1782.4615384615386</v>
      </c>
      <c r="N336" s="63"/>
      <c r="O336" s="169"/>
      <c r="P336" s="169"/>
      <c r="Q336" s="63">
        <f t="shared" si="538"/>
        <v>0</v>
      </c>
      <c r="R336" s="63">
        <f t="shared" si="539"/>
        <v>46344</v>
      </c>
      <c r="S336" s="169"/>
      <c r="T336" s="63">
        <v>1200</v>
      </c>
      <c r="U336" s="169"/>
      <c r="V336" s="63">
        <f t="shared" si="540"/>
        <v>47544</v>
      </c>
      <c r="W336" s="63">
        <f t="shared" si="541"/>
        <v>2947.7280000000001</v>
      </c>
      <c r="X336" s="63">
        <f t="shared" si="542"/>
        <v>689.38800000000003</v>
      </c>
      <c r="Y336" s="63">
        <f t="shared" si="543"/>
        <v>6689.4407999999994</v>
      </c>
      <c r="Z336" s="63">
        <f t="shared" si="544"/>
        <v>76.070400000000006</v>
      </c>
      <c r="AA336" s="63">
        <f t="shared" si="552"/>
        <v>33.280799999999999</v>
      </c>
      <c r="AB336" s="63">
        <f t="shared" si="545"/>
        <v>335</v>
      </c>
      <c r="AC336" s="63">
        <f t="shared" si="546"/>
        <v>10356.36</v>
      </c>
      <c r="AD336" s="63">
        <f t="shared" si="547"/>
        <v>106.9136</v>
      </c>
      <c r="AE336" s="170">
        <v>560</v>
      </c>
      <c r="AF336" s="69">
        <f t="shared" si="548"/>
        <v>834</v>
      </c>
      <c r="AG336" s="69">
        <f t="shared" si="549"/>
        <v>21234.1816</v>
      </c>
      <c r="AH336" s="67">
        <v>22672.15</v>
      </c>
      <c r="AI336" s="69">
        <f t="shared" si="550"/>
        <v>-1437.9684000000016</v>
      </c>
      <c r="AJ336" s="69">
        <f t="shared" si="551"/>
        <v>-603.96840000000157</v>
      </c>
    </row>
    <row r="337" spans="1:36" x14ac:dyDescent="0.25">
      <c r="A337" s="167">
        <v>560</v>
      </c>
      <c r="B337" s="92" t="s">
        <v>2944</v>
      </c>
      <c r="C337" s="70" t="s">
        <v>2939</v>
      </c>
      <c r="D337" s="168" t="s">
        <v>3067</v>
      </c>
      <c r="E337" s="168" t="s">
        <v>3068</v>
      </c>
      <c r="F337" s="58">
        <v>43287</v>
      </c>
      <c r="G337" s="59">
        <f t="shared" si="535"/>
        <v>3.4876712328767123</v>
      </c>
      <c r="H337" s="57"/>
      <c r="I337" s="66">
        <v>45510</v>
      </c>
      <c r="J337" s="57">
        <v>45510</v>
      </c>
      <c r="K337" s="63"/>
      <c r="L337" s="63">
        <f t="shared" si="536"/>
        <v>21.879807692307693</v>
      </c>
      <c r="M337" s="63">
        <f t="shared" si="537"/>
        <v>1750.3846153846155</v>
      </c>
      <c r="N337" s="63"/>
      <c r="O337" s="169"/>
      <c r="P337" s="169"/>
      <c r="Q337" s="63">
        <f t="shared" si="538"/>
        <v>0</v>
      </c>
      <c r="R337" s="63">
        <f t="shared" si="539"/>
        <v>45510</v>
      </c>
      <c r="S337" s="169"/>
      <c r="T337" s="63">
        <v>1200</v>
      </c>
      <c r="U337" s="63">
        <v>500</v>
      </c>
      <c r="V337" s="63">
        <f t="shared" si="540"/>
        <v>47210</v>
      </c>
      <c r="W337" s="63">
        <f t="shared" si="541"/>
        <v>2927.02</v>
      </c>
      <c r="X337" s="63">
        <f t="shared" si="542"/>
        <v>684.54500000000007</v>
      </c>
      <c r="Y337" s="63">
        <f t="shared" si="543"/>
        <v>6642.4469999999992</v>
      </c>
      <c r="Z337" s="63">
        <f t="shared" si="544"/>
        <v>75.536000000000001</v>
      </c>
      <c r="AA337" s="63">
        <f t="shared" si="552"/>
        <v>33.046999999999997</v>
      </c>
      <c r="AB337" s="63">
        <f t="shared" si="545"/>
        <v>335</v>
      </c>
      <c r="AC337" s="63">
        <f t="shared" si="546"/>
        <v>10356.36</v>
      </c>
      <c r="AD337" s="63">
        <f t="shared" si="547"/>
        <v>106.9136</v>
      </c>
      <c r="AE337" s="170">
        <v>560</v>
      </c>
      <c r="AF337" s="69">
        <f t="shared" si="548"/>
        <v>0</v>
      </c>
      <c r="AG337" s="69">
        <f t="shared" si="549"/>
        <v>21160.868600000002</v>
      </c>
      <c r="AH337" s="67">
        <v>23092.83</v>
      </c>
      <c r="AI337" s="69">
        <f t="shared" si="550"/>
        <v>-1931.9614000000001</v>
      </c>
      <c r="AJ337" s="69">
        <f t="shared" si="551"/>
        <v>-1931.9614000000001</v>
      </c>
    </row>
    <row r="338" spans="1:36" x14ac:dyDescent="0.25">
      <c r="A338" s="167">
        <v>560</v>
      </c>
      <c r="B338" s="92" t="s">
        <v>2946</v>
      </c>
      <c r="C338" s="70" t="s">
        <v>2939</v>
      </c>
      <c r="D338" s="71" t="s">
        <v>2947</v>
      </c>
      <c r="E338" s="71" t="s">
        <v>2948</v>
      </c>
      <c r="F338" s="72">
        <v>43215</v>
      </c>
      <c r="G338" s="59">
        <f t="shared" si="535"/>
        <v>3.6849315068493151</v>
      </c>
      <c r="H338" s="57"/>
      <c r="I338" s="66">
        <v>45510</v>
      </c>
      <c r="J338" s="66">
        <v>45510</v>
      </c>
      <c r="K338" s="63"/>
      <c r="L338" s="63">
        <f t="shared" si="536"/>
        <v>21.879807692307693</v>
      </c>
      <c r="M338" s="63">
        <f t="shared" si="537"/>
        <v>1750.3846153846155</v>
      </c>
      <c r="N338" s="63"/>
      <c r="O338" s="169"/>
      <c r="P338" s="169"/>
      <c r="Q338" s="63">
        <f t="shared" si="538"/>
        <v>0</v>
      </c>
      <c r="R338" s="63">
        <f t="shared" si="539"/>
        <v>45510</v>
      </c>
      <c r="S338" s="169"/>
      <c r="T338" s="63">
        <v>1200</v>
      </c>
      <c r="U338" s="169"/>
      <c r="V338" s="63">
        <f t="shared" si="540"/>
        <v>46710</v>
      </c>
      <c r="W338" s="63">
        <f t="shared" si="541"/>
        <v>2896.02</v>
      </c>
      <c r="X338" s="63">
        <f t="shared" si="542"/>
        <v>677.29500000000007</v>
      </c>
      <c r="Y338" s="63">
        <f t="shared" si="543"/>
        <v>6572.0969999999998</v>
      </c>
      <c r="Z338" s="63">
        <f t="shared" si="544"/>
        <v>74.736000000000004</v>
      </c>
      <c r="AA338" s="63">
        <f t="shared" si="552"/>
        <v>32.697000000000003</v>
      </c>
      <c r="AB338" s="63">
        <f t="shared" si="545"/>
        <v>335</v>
      </c>
      <c r="AC338" s="63">
        <f t="shared" si="546"/>
        <v>10356.36</v>
      </c>
      <c r="AD338" s="63">
        <f t="shared" si="547"/>
        <v>106.9136</v>
      </c>
      <c r="AE338" s="170">
        <v>560</v>
      </c>
      <c r="AF338" s="69">
        <f t="shared" si="548"/>
        <v>0</v>
      </c>
      <c r="AG338" s="69">
        <f t="shared" si="549"/>
        <v>21051.118600000002</v>
      </c>
      <c r="AH338" s="67">
        <v>23643.57</v>
      </c>
      <c r="AI338" s="69">
        <f t="shared" si="550"/>
        <v>-2592.4513999999981</v>
      </c>
      <c r="AJ338" s="69">
        <f t="shared" si="551"/>
        <v>-2592.4513999999981</v>
      </c>
    </row>
    <row r="339" spans="1:36" x14ac:dyDescent="0.25">
      <c r="A339" s="167">
        <v>560</v>
      </c>
      <c r="B339" s="92" t="s">
        <v>2949</v>
      </c>
      <c r="C339" s="70" t="s">
        <v>2939</v>
      </c>
      <c r="D339" s="71" t="s">
        <v>2950</v>
      </c>
      <c r="E339" s="71" t="s">
        <v>2951</v>
      </c>
      <c r="F339" s="72">
        <v>43136</v>
      </c>
      <c r="G339" s="59">
        <f t="shared" si="535"/>
        <v>3.9013698630136986</v>
      </c>
      <c r="H339" s="57"/>
      <c r="I339" s="66">
        <v>45510</v>
      </c>
      <c r="J339" s="66">
        <v>45510</v>
      </c>
      <c r="K339" s="63"/>
      <c r="L339" s="63">
        <f t="shared" si="536"/>
        <v>21.879807692307693</v>
      </c>
      <c r="M339" s="63">
        <f t="shared" si="537"/>
        <v>1750.3846153846155</v>
      </c>
      <c r="N339" s="63"/>
      <c r="O339" s="169"/>
      <c r="P339" s="169"/>
      <c r="Q339" s="63">
        <f t="shared" si="538"/>
        <v>0</v>
      </c>
      <c r="R339" s="63">
        <f t="shared" si="539"/>
        <v>45510</v>
      </c>
      <c r="S339" s="169"/>
      <c r="T339" s="63">
        <v>1200</v>
      </c>
      <c r="U339" s="169"/>
      <c r="V339" s="63">
        <f t="shared" si="540"/>
        <v>46710</v>
      </c>
      <c r="W339" s="63">
        <f t="shared" si="541"/>
        <v>2896.02</v>
      </c>
      <c r="X339" s="63">
        <f t="shared" si="542"/>
        <v>677.29500000000007</v>
      </c>
      <c r="Y339" s="63">
        <f t="shared" si="543"/>
        <v>6572.0969999999998</v>
      </c>
      <c r="Z339" s="63">
        <f t="shared" si="544"/>
        <v>74.736000000000004</v>
      </c>
      <c r="AA339" s="63">
        <f t="shared" si="552"/>
        <v>32.697000000000003</v>
      </c>
      <c r="AB339" s="63">
        <f t="shared" si="545"/>
        <v>335</v>
      </c>
      <c r="AC339" s="63">
        <f t="shared" si="546"/>
        <v>10356.36</v>
      </c>
      <c r="AD339" s="63">
        <f t="shared" si="547"/>
        <v>106.9136</v>
      </c>
      <c r="AE339" s="170">
        <v>560</v>
      </c>
      <c r="AF339" s="69">
        <f t="shared" si="548"/>
        <v>0</v>
      </c>
      <c r="AG339" s="69">
        <f t="shared" si="549"/>
        <v>21051.118600000002</v>
      </c>
      <c r="AH339" s="67">
        <v>22266.59</v>
      </c>
      <c r="AI339" s="69">
        <f t="shared" si="550"/>
        <v>-1215.4713999999985</v>
      </c>
      <c r="AJ339" s="69">
        <f t="shared" si="551"/>
        <v>-1215.4713999999985</v>
      </c>
    </row>
    <row r="340" spans="1:36" x14ac:dyDescent="0.25">
      <c r="A340" s="167">
        <v>560</v>
      </c>
      <c r="B340" s="92" t="s">
        <v>2952</v>
      </c>
      <c r="C340" s="70" t="s">
        <v>2939</v>
      </c>
      <c r="D340" s="71" t="s">
        <v>3794</v>
      </c>
      <c r="E340" s="71" t="s">
        <v>2997</v>
      </c>
      <c r="F340" s="253">
        <v>43900</v>
      </c>
      <c r="G340" s="59">
        <f t="shared" si="535"/>
        <v>1.8082191780821917</v>
      </c>
      <c r="H340" s="57"/>
      <c r="I340" s="66">
        <v>45510</v>
      </c>
      <c r="J340" s="66">
        <v>45510</v>
      </c>
      <c r="K340" s="63"/>
      <c r="L340" s="63">
        <f t="shared" si="536"/>
        <v>21.879807692307693</v>
      </c>
      <c r="M340" s="63">
        <f t="shared" si="537"/>
        <v>1750.3846153846155</v>
      </c>
      <c r="N340" s="63"/>
      <c r="O340" s="169"/>
      <c r="P340" s="169"/>
      <c r="Q340" s="63">
        <f t="shared" si="538"/>
        <v>0</v>
      </c>
      <c r="R340" s="63">
        <f t="shared" si="539"/>
        <v>45510</v>
      </c>
      <c r="S340" s="169"/>
      <c r="T340" s="63">
        <v>1200</v>
      </c>
      <c r="U340" s="169"/>
      <c r="V340" s="63">
        <f t="shared" si="540"/>
        <v>46710</v>
      </c>
      <c r="W340" s="63">
        <f t="shared" si="541"/>
        <v>2896.02</v>
      </c>
      <c r="X340" s="63">
        <f t="shared" si="542"/>
        <v>677.29500000000007</v>
      </c>
      <c r="Y340" s="63">
        <f t="shared" si="543"/>
        <v>6572.0969999999998</v>
      </c>
      <c r="Z340" s="63">
        <f t="shared" si="544"/>
        <v>74.736000000000004</v>
      </c>
      <c r="AA340" s="63">
        <f t="shared" si="552"/>
        <v>32.697000000000003</v>
      </c>
      <c r="AB340" s="63">
        <f t="shared" si="545"/>
        <v>335</v>
      </c>
      <c r="AC340" s="63">
        <f t="shared" si="546"/>
        <v>10356.36</v>
      </c>
      <c r="AD340" s="63">
        <f t="shared" si="547"/>
        <v>106.9136</v>
      </c>
      <c r="AE340" s="170">
        <v>560</v>
      </c>
      <c r="AF340" s="69">
        <f t="shared" si="548"/>
        <v>0</v>
      </c>
      <c r="AG340" s="69">
        <f t="shared" si="549"/>
        <v>21051.118600000002</v>
      </c>
      <c r="AH340" s="67">
        <v>21494.86</v>
      </c>
      <c r="AI340" s="69">
        <f t="shared" si="550"/>
        <v>-443.74139999999898</v>
      </c>
      <c r="AJ340" s="69">
        <f t="shared" si="551"/>
        <v>-443.74139999999898</v>
      </c>
    </row>
    <row r="341" spans="1:36" x14ac:dyDescent="0.25">
      <c r="A341" s="167">
        <v>560</v>
      </c>
      <c r="B341" s="92" t="s">
        <v>2954</v>
      </c>
      <c r="C341" s="70" t="s">
        <v>2939</v>
      </c>
      <c r="D341" s="71" t="s">
        <v>2955</v>
      </c>
      <c r="E341" s="71" t="s">
        <v>2956</v>
      </c>
      <c r="F341" s="254">
        <v>42967</v>
      </c>
      <c r="G341" s="59">
        <f t="shared" si="535"/>
        <v>4.3643835616438356</v>
      </c>
      <c r="H341" s="57"/>
      <c r="I341" s="66">
        <v>45510</v>
      </c>
      <c r="J341" s="182">
        <v>46344</v>
      </c>
      <c r="K341" s="63"/>
      <c r="L341" s="63">
        <f t="shared" si="536"/>
        <v>22.280769230769231</v>
      </c>
      <c r="M341" s="63">
        <f t="shared" si="537"/>
        <v>1782.4615384615386</v>
      </c>
      <c r="N341" s="63"/>
      <c r="O341" s="169"/>
      <c r="P341" s="169"/>
      <c r="Q341" s="63">
        <f t="shared" si="538"/>
        <v>0</v>
      </c>
      <c r="R341" s="63">
        <f t="shared" si="539"/>
        <v>46344</v>
      </c>
      <c r="S341" s="169"/>
      <c r="T341" s="63">
        <v>1200</v>
      </c>
      <c r="U341" s="169"/>
      <c r="V341" s="63">
        <f t="shared" si="540"/>
        <v>47544</v>
      </c>
      <c r="W341" s="63">
        <f t="shared" si="541"/>
        <v>2947.7280000000001</v>
      </c>
      <c r="X341" s="63">
        <f t="shared" si="542"/>
        <v>689.38800000000003</v>
      </c>
      <c r="Y341" s="63">
        <f t="shared" si="543"/>
        <v>6689.4407999999994</v>
      </c>
      <c r="Z341" s="63">
        <f t="shared" si="544"/>
        <v>76.070400000000006</v>
      </c>
      <c r="AA341" s="63">
        <f t="shared" si="552"/>
        <v>33.280799999999999</v>
      </c>
      <c r="AB341" s="63">
        <f t="shared" si="545"/>
        <v>335</v>
      </c>
      <c r="AC341" s="63">
        <f t="shared" si="546"/>
        <v>10356.36</v>
      </c>
      <c r="AD341" s="63">
        <f t="shared" si="547"/>
        <v>106.9136</v>
      </c>
      <c r="AE341" s="170">
        <v>560</v>
      </c>
      <c r="AF341" s="69">
        <f t="shared" si="548"/>
        <v>834</v>
      </c>
      <c r="AG341" s="69">
        <f t="shared" si="549"/>
        <v>21234.1816</v>
      </c>
      <c r="AH341" s="67">
        <v>22152.09</v>
      </c>
      <c r="AI341" s="69">
        <f t="shared" si="550"/>
        <v>-917.90840000000026</v>
      </c>
      <c r="AJ341" s="69">
        <f t="shared" si="551"/>
        <v>-83.908400000000256</v>
      </c>
    </row>
    <row r="342" spans="1:36" x14ac:dyDescent="0.25">
      <c r="A342" s="167">
        <v>560</v>
      </c>
      <c r="B342" s="92" t="s">
        <v>2957</v>
      </c>
      <c r="C342" s="70" t="s">
        <v>2939</v>
      </c>
      <c r="D342" s="71" t="s">
        <v>3795</v>
      </c>
      <c r="E342" s="71" t="s">
        <v>2589</v>
      </c>
      <c r="F342" s="72">
        <v>42373</v>
      </c>
      <c r="G342" s="59">
        <f t="shared" si="535"/>
        <v>5.9917808219178079</v>
      </c>
      <c r="H342" s="57"/>
      <c r="I342" s="66">
        <v>45510</v>
      </c>
      <c r="J342" s="57">
        <v>45510</v>
      </c>
      <c r="K342" s="63"/>
      <c r="L342" s="63">
        <f t="shared" si="536"/>
        <v>21.879807692307693</v>
      </c>
      <c r="M342" s="63">
        <f t="shared" si="537"/>
        <v>1750.3846153846155</v>
      </c>
      <c r="N342" s="63"/>
      <c r="O342" s="169"/>
      <c r="P342" s="169"/>
      <c r="Q342" s="63">
        <f t="shared" si="538"/>
        <v>0</v>
      </c>
      <c r="R342" s="63">
        <f t="shared" si="539"/>
        <v>45510</v>
      </c>
      <c r="S342" s="169"/>
      <c r="T342" s="63">
        <v>1200</v>
      </c>
      <c r="U342" s="169">
        <v>1000</v>
      </c>
      <c r="V342" s="63">
        <f t="shared" si="540"/>
        <v>47710</v>
      </c>
      <c r="W342" s="63">
        <f t="shared" si="541"/>
        <v>2958.02</v>
      </c>
      <c r="X342" s="63">
        <f t="shared" si="542"/>
        <v>691.79500000000007</v>
      </c>
      <c r="Y342" s="63">
        <f t="shared" si="543"/>
        <v>6712.7969999999996</v>
      </c>
      <c r="Z342" s="63">
        <f t="shared" si="544"/>
        <v>76.335999999999999</v>
      </c>
      <c r="AA342" s="63">
        <f t="shared" si="552"/>
        <v>33.396999999999998</v>
      </c>
      <c r="AB342" s="63">
        <f t="shared" si="545"/>
        <v>335</v>
      </c>
      <c r="AC342" s="63">
        <f t="shared" si="546"/>
        <v>10356.36</v>
      </c>
      <c r="AD342" s="63">
        <f t="shared" si="547"/>
        <v>106.9136</v>
      </c>
      <c r="AE342" s="170">
        <v>560</v>
      </c>
      <c r="AF342" s="69">
        <f t="shared" si="548"/>
        <v>0</v>
      </c>
      <c r="AG342" s="69">
        <f t="shared" si="549"/>
        <v>21270.618600000002</v>
      </c>
      <c r="AH342" s="67">
        <v>21494.86</v>
      </c>
      <c r="AI342" s="69">
        <f t="shared" si="550"/>
        <v>-224.24139999999898</v>
      </c>
      <c r="AJ342" s="69">
        <f t="shared" si="551"/>
        <v>-224.24139999999898</v>
      </c>
    </row>
    <row r="343" spans="1:36" x14ac:dyDescent="0.25">
      <c r="A343" s="167">
        <v>560</v>
      </c>
      <c r="B343" s="92" t="s">
        <v>2958</v>
      </c>
      <c r="C343" s="70" t="s">
        <v>2939</v>
      </c>
      <c r="D343" s="70" t="s">
        <v>2959</v>
      </c>
      <c r="E343" s="70" t="s">
        <v>2960</v>
      </c>
      <c r="F343" s="73">
        <v>42262</v>
      </c>
      <c r="G343" s="59">
        <f t="shared" si="535"/>
        <v>6.2958904109589042</v>
      </c>
      <c r="H343" s="57"/>
      <c r="I343" s="66">
        <v>45510</v>
      </c>
      <c r="J343" s="182">
        <v>46344</v>
      </c>
      <c r="K343" s="63"/>
      <c r="L343" s="63">
        <f t="shared" si="536"/>
        <v>22.280769230769231</v>
      </c>
      <c r="M343" s="63">
        <f t="shared" si="537"/>
        <v>1782.4615384615386</v>
      </c>
      <c r="N343" s="63"/>
      <c r="O343" s="169"/>
      <c r="P343" s="169"/>
      <c r="Q343" s="63">
        <f t="shared" si="538"/>
        <v>0</v>
      </c>
      <c r="R343" s="63">
        <f t="shared" si="539"/>
        <v>46344</v>
      </c>
      <c r="S343" s="169"/>
      <c r="T343" s="63">
        <v>1200</v>
      </c>
      <c r="U343" s="63">
        <v>1000</v>
      </c>
      <c r="V343" s="63">
        <f t="shared" si="540"/>
        <v>48544</v>
      </c>
      <c r="W343" s="63">
        <f t="shared" si="541"/>
        <v>3009.7280000000001</v>
      </c>
      <c r="X343" s="63">
        <f t="shared" si="542"/>
        <v>703.88800000000003</v>
      </c>
      <c r="Y343" s="63">
        <f t="shared" si="543"/>
        <v>6830.1407999999992</v>
      </c>
      <c r="Z343" s="63">
        <f t="shared" si="544"/>
        <v>77.670400000000001</v>
      </c>
      <c r="AA343" s="63">
        <f t="shared" si="552"/>
        <v>33.980800000000002</v>
      </c>
      <c r="AB343" s="63">
        <f t="shared" si="545"/>
        <v>335</v>
      </c>
      <c r="AC343" s="63">
        <f t="shared" si="546"/>
        <v>10356.36</v>
      </c>
      <c r="AD343" s="63">
        <f t="shared" si="547"/>
        <v>106.9136</v>
      </c>
      <c r="AE343" s="170">
        <v>560</v>
      </c>
      <c r="AF343" s="69">
        <f t="shared" si="548"/>
        <v>834</v>
      </c>
      <c r="AG343" s="69">
        <f t="shared" si="549"/>
        <v>21453.6816</v>
      </c>
      <c r="AH343" s="67">
        <v>21609.360000000001</v>
      </c>
      <c r="AI343" s="69">
        <f t="shared" si="550"/>
        <v>-155.67840000000069</v>
      </c>
      <c r="AJ343" s="69">
        <f t="shared" si="551"/>
        <v>678.32159999999931</v>
      </c>
    </row>
    <row r="344" spans="1:36" x14ac:dyDescent="0.25">
      <c r="A344" s="167">
        <v>560</v>
      </c>
      <c r="B344" s="92" t="s">
        <v>2961</v>
      </c>
      <c r="C344" s="70" t="s">
        <v>2939</v>
      </c>
      <c r="D344" s="71" t="s">
        <v>2962</v>
      </c>
      <c r="E344" s="71" t="s">
        <v>2486</v>
      </c>
      <c r="F344" s="72">
        <v>41683</v>
      </c>
      <c r="G344" s="59">
        <f t="shared" si="535"/>
        <v>7.882191780821918</v>
      </c>
      <c r="H344" s="57"/>
      <c r="I344" s="66">
        <v>46344</v>
      </c>
      <c r="J344" s="66">
        <v>46344</v>
      </c>
      <c r="K344" s="63"/>
      <c r="L344" s="63">
        <f t="shared" si="536"/>
        <v>22.280769230769231</v>
      </c>
      <c r="M344" s="63">
        <f t="shared" si="537"/>
        <v>1782.4615384615386</v>
      </c>
      <c r="N344" s="63"/>
      <c r="O344" s="169"/>
      <c r="P344" s="169"/>
      <c r="Q344" s="63">
        <f t="shared" si="538"/>
        <v>0</v>
      </c>
      <c r="R344" s="63">
        <f t="shared" si="539"/>
        <v>46344</v>
      </c>
      <c r="S344" s="169"/>
      <c r="T344" s="63">
        <v>1200</v>
      </c>
      <c r="U344" s="169"/>
      <c r="V344" s="63">
        <f t="shared" si="540"/>
        <v>47544</v>
      </c>
      <c r="W344" s="63">
        <f t="shared" si="541"/>
        <v>2947.7280000000001</v>
      </c>
      <c r="X344" s="63">
        <f t="shared" si="542"/>
        <v>689.38800000000003</v>
      </c>
      <c r="Y344" s="63">
        <f t="shared" si="543"/>
        <v>6689.4407999999994</v>
      </c>
      <c r="Z344" s="63">
        <f t="shared" si="544"/>
        <v>76.070400000000006</v>
      </c>
      <c r="AA344" s="63">
        <f t="shared" si="552"/>
        <v>33.280799999999999</v>
      </c>
      <c r="AB344" s="63">
        <f t="shared" si="545"/>
        <v>335</v>
      </c>
      <c r="AC344" s="63">
        <f t="shared" si="546"/>
        <v>10356.36</v>
      </c>
      <c r="AD344" s="63">
        <f t="shared" si="547"/>
        <v>106.9136</v>
      </c>
      <c r="AE344" s="170">
        <v>560</v>
      </c>
      <c r="AF344" s="69">
        <f t="shared" si="548"/>
        <v>0</v>
      </c>
      <c r="AG344" s="69">
        <f t="shared" si="549"/>
        <v>21234.1816</v>
      </c>
      <c r="AH344" s="67">
        <v>21874.77</v>
      </c>
      <c r="AI344" s="69">
        <f t="shared" si="550"/>
        <v>-640.58840000000055</v>
      </c>
      <c r="AJ344" s="69">
        <f t="shared" si="551"/>
        <v>-640.58840000000055</v>
      </c>
    </row>
    <row r="345" spans="1:36" x14ac:dyDescent="0.25">
      <c r="A345" s="167">
        <v>560</v>
      </c>
      <c r="B345" s="92" t="s">
        <v>2963</v>
      </c>
      <c r="C345" s="70" t="s">
        <v>2939</v>
      </c>
      <c r="D345" s="71" t="s">
        <v>2964</v>
      </c>
      <c r="E345" s="71" t="s">
        <v>2483</v>
      </c>
      <c r="F345" s="73">
        <v>43686</v>
      </c>
      <c r="G345" s="59">
        <f t="shared" si="535"/>
        <v>2.3945205479452056</v>
      </c>
      <c r="H345" s="57"/>
      <c r="I345" s="66">
        <v>45510</v>
      </c>
      <c r="J345" s="182">
        <v>46344</v>
      </c>
      <c r="K345" s="63"/>
      <c r="L345" s="63">
        <f t="shared" si="536"/>
        <v>22.280769230769231</v>
      </c>
      <c r="M345" s="63">
        <f t="shared" si="537"/>
        <v>1782.4615384615386</v>
      </c>
      <c r="N345" s="63"/>
      <c r="O345" s="169"/>
      <c r="P345" s="169"/>
      <c r="Q345" s="63">
        <f t="shared" si="538"/>
        <v>0</v>
      </c>
      <c r="R345" s="63">
        <f t="shared" si="539"/>
        <v>46344</v>
      </c>
      <c r="S345" s="169"/>
      <c r="T345" s="63">
        <v>1200</v>
      </c>
      <c r="U345" s="69">
        <v>500</v>
      </c>
      <c r="V345" s="63">
        <f t="shared" si="540"/>
        <v>48044</v>
      </c>
      <c r="W345" s="63">
        <f t="shared" si="541"/>
        <v>2978.7280000000001</v>
      </c>
      <c r="X345" s="63">
        <f t="shared" si="542"/>
        <v>696.63800000000003</v>
      </c>
      <c r="Y345" s="63">
        <f t="shared" si="543"/>
        <v>6759.7907999999998</v>
      </c>
      <c r="Z345" s="63">
        <f t="shared" si="544"/>
        <v>76.870400000000004</v>
      </c>
      <c r="AA345" s="63">
        <f t="shared" si="552"/>
        <v>33.630800000000001</v>
      </c>
      <c r="AB345" s="63">
        <f t="shared" si="545"/>
        <v>335</v>
      </c>
      <c r="AC345" s="63">
        <f t="shared" si="546"/>
        <v>10356.36</v>
      </c>
      <c r="AD345" s="63">
        <f t="shared" si="547"/>
        <v>106.9136</v>
      </c>
      <c r="AE345" s="170">
        <v>560</v>
      </c>
      <c r="AF345" s="69">
        <f t="shared" si="548"/>
        <v>834</v>
      </c>
      <c r="AG345" s="69">
        <f t="shared" si="549"/>
        <v>21343.931600000004</v>
      </c>
      <c r="AH345" s="67">
        <v>21494.86</v>
      </c>
      <c r="AI345" s="69">
        <f t="shared" si="550"/>
        <v>-150.92839999999705</v>
      </c>
      <c r="AJ345" s="69">
        <f t="shared" si="551"/>
        <v>683.07160000000295</v>
      </c>
    </row>
    <row r="346" spans="1:36" x14ac:dyDescent="0.25">
      <c r="A346" s="167">
        <v>560</v>
      </c>
      <c r="B346" s="92" t="s">
        <v>2965</v>
      </c>
      <c r="C346" s="70" t="s">
        <v>2939</v>
      </c>
      <c r="D346" s="168" t="s">
        <v>3796</v>
      </c>
      <c r="E346" s="168" t="s">
        <v>3099</v>
      </c>
      <c r="F346" s="74">
        <v>41444</v>
      </c>
      <c r="G346" s="59">
        <f t="shared" si="535"/>
        <v>8.536986301369863</v>
      </c>
      <c r="H346" s="57"/>
      <c r="I346" s="57">
        <v>46344</v>
      </c>
      <c r="J346" s="182">
        <v>47193</v>
      </c>
      <c r="K346" s="63"/>
      <c r="L346" s="63">
        <f t="shared" si="536"/>
        <v>22.688942307692308</v>
      </c>
      <c r="M346" s="63">
        <f t="shared" si="537"/>
        <v>1815.1153846153845</v>
      </c>
      <c r="N346" s="63"/>
      <c r="O346" s="169"/>
      <c r="P346" s="169"/>
      <c r="Q346" s="63">
        <f t="shared" si="538"/>
        <v>0</v>
      </c>
      <c r="R346" s="63">
        <f t="shared" si="539"/>
        <v>47193</v>
      </c>
      <c r="S346" s="169"/>
      <c r="T346" s="63">
        <v>1200</v>
      </c>
      <c r="U346" s="169"/>
      <c r="V346" s="63">
        <f t="shared" si="540"/>
        <v>48393</v>
      </c>
      <c r="W346" s="63">
        <f t="shared" si="541"/>
        <v>3000.366</v>
      </c>
      <c r="X346" s="63">
        <f t="shared" si="542"/>
        <v>701.69850000000008</v>
      </c>
      <c r="Y346" s="63">
        <f t="shared" si="543"/>
        <v>6808.8950999999997</v>
      </c>
      <c r="Z346" s="63">
        <f t="shared" si="544"/>
        <v>77.42880000000001</v>
      </c>
      <c r="AA346" s="63">
        <f t="shared" si="552"/>
        <v>33.875099999999996</v>
      </c>
      <c r="AB346" s="63">
        <f t="shared" si="545"/>
        <v>335</v>
      </c>
      <c r="AC346" s="63">
        <f t="shared" si="546"/>
        <v>10356.36</v>
      </c>
      <c r="AD346" s="63">
        <f t="shared" si="547"/>
        <v>106.9136</v>
      </c>
      <c r="AE346" s="170">
        <v>560</v>
      </c>
      <c r="AF346" s="69">
        <f t="shared" si="548"/>
        <v>849</v>
      </c>
      <c r="AG346" s="69">
        <f t="shared" si="549"/>
        <v>21420.537100000001</v>
      </c>
      <c r="AH346" s="67">
        <v>21494.86</v>
      </c>
      <c r="AI346" s="69">
        <f t="shared" si="550"/>
        <v>-74.322899999999208</v>
      </c>
      <c r="AJ346" s="69">
        <f t="shared" si="551"/>
        <v>774.67710000000079</v>
      </c>
    </row>
    <row r="347" spans="1:36" x14ac:dyDescent="0.25">
      <c r="A347" s="167">
        <v>560</v>
      </c>
      <c r="B347" s="92" t="s">
        <v>2968</v>
      </c>
      <c r="C347" s="70" t="s">
        <v>2939</v>
      </c>
      <c r="D347" s="71" t="s">
        <v>3797</v>
      </c>
      <c r="E347" s="71" t="s">
        <v>2473</v>
      </c>
      <c r="F347" s="73">
        <v>43700</v>
      </c>
      <c r="G347" s="59">
        <f t="shared" si="535"/>
        <v>2.3561643835616439</v>
      </c>
      <c r="H347" s="57"/>
      <c r="I347" s="66">
        <v>45510</v>
      </c>
      <c r="J347" s="182">
        <v>46344</v>
      </c>
      <c r="K347" s="63"/>
      <c r="L347" s="63">
        <f t="shared" si="536"/>
        <v>22.280769230769231</v>
      </c>
      <c r="M347" s="63">
        <f t="shared" si="537"/>
        <v>1782.4615384615386</v>
      </c>
      <c r="N347" s="63"/>
      <c r="O347" s="169"/>
      <c r="P347" s="169"/>
      <c r="Q347" s="63">
        <f t="shared" si="538"/>
        <v>0</v>
      </c>
      <c r="R347" s="63">
        <f t="shared" si="539"/>
        <v>46344</v>
      </c>
      <c r="S347" s="169"/>
      <c r="T347" s="63">
        <v>1200</v>
      </c>
      <c r="U347" s="63">
        <v>1500</v>
      </c>
      <c r="V347" s="63">
        <f t="shared" si="540"/>
        <v>49044</v>
      </c>
      <c r="W347" s="63">
        <f t="shared" si="541"/>
        <v>3040.7280000000001</v>
      </c>
      <c r="X347" s="63">
        <f t="shared" si="542"/>
        <v>711.13800000000003</v>
      </c>
      <c r="Y347" s="63">
        <f t="shared" si="543"/>
        <v>6900.4907999999996</v>
      </c>
      <c r="Z347" s="63">
        <f t="shared" si="544"/>
        <v>78.470399999999998</v>
      </c>
      <c r="AA347" s="63">
        <f t="shared" si="552"/>
        <v>34.330799999999996</v>
      </c>
      <c r="AB347" s="63">
        <f t="shared" si="545"/>
        <v>335</v>
      </c>
      <c r="AC347" s="63">
        <f t="shared" si="546"/>
        <v>10356.36</v>
      </c>
      <c r="AD347" s="63">
        <f t="shared" si="547"/>
        <v>106.9136</v>
      </c>
      <c r="AE347" s="170">
        <v>560</v>
      </c>
      <c r="AF347" s="69">
        <f t="shared" si="548"/>
        <v>834</v>
      </c>
      <c r="AG347" s="69">
        <f t="shared" si="549"/>
        <v>21563.4316</v>
      </c>
      <c r="AH347" s="67">
        <v>21494.86</v>
      </c>
      <c r="AI347" s="69">
        <f t="shared" si="550"/>
        <v>68.571599999999307</v>
      </c>
      <c r="AJ347" s="69">
        <f t="shared" si="551"/>
        <v>902.57159999999931</v>
      </c>
    </row>
    <row r="348" spans="1:36" x14ac:dyDescent="0.25">
      <c r="A348" s="167">
        <v>560</v>
      </c>
      <c r="B348" s="92" t="s">
        <v>2969</v>
      </c>
      <c r="C348" s="70" t="s">
        <v>2939</v>
      </c>
      <c r="D348" s="71" t="s">
        <v>2936</v>
      </c>
      <c r="E348" s="71" t="s">
        <v>2937</v>
      </c>
      <c r="F348" s="72">
        <v>38284</v>
      </c>
      <c r="G348" s="59">
        <f t="shared" si="535"/>
        <v>17.194520547945206</v>
      </c>
      <c r="H348" s="57"/>
      <c r="I348" s="66">
        <v>48939</v>
      </c>
      <c r="J348" s="66">
        <v>48939</v>
      </c>
      <c r="K348" s="63"/>
      <c r="L348" s="63">
        <f t="shared" si="536"/>
        <v>23.528365384615384</v>
      </c>
      <c r="M348" s="63">
        <f t="shared" si="537"/>
        <v>1882.2692307692307</v>
      </c>
      <c r="N348" s="63"/>
      <c r="O348" s="169"/>
      <c r="P348" s="255">
        <v>0</v>
      </c>
      <c r="Q348" s="63">
        <f t="shared" si="538"/>
        <v>0</v>
      </c>
      <c r="R348" s="63">
        <f t="shared" si="539"/>
        <v>48939</v>
      </c>
      <c r="S348" s="169"/>
      <c r="T348" s="63">
        <v>1200</v>
      </c>
      <c r="U348" s="63">
        <v>500</v>
      </c>
      <c r="V348" s="63">
        <f t="shared" si="540"/>
        <v>50639</v>
      </c>
      <c r="W348" s="63">
        <f t="shared" si="541"/>
        <v>3139.6179999999999</v>
      </c>
      <c r="X348" s="63">
        <f t="shared" si="542"/>
        <v>734.26550000000009</v>
      </c>
      <c r="Y348" s="63">
        <f t="shared" si="543"/>
        <v>7124.9072999999999</v>
      </c>
      <c r="Z348" s="63">
        <f t="shared" si="544"/>
        <v>81.022400000000005</v>
      </c>
      <c r="AA348" s="63">
        <f t="shared" si="552"/>
        <v>35.447299999999998</v>
      </c>
      <c r="AB348" s="63">
        <f t="shared" si="545"/>
        <v>335</v>
      </c>
      <c r="AC348" s="63">
        <f t="shared" si="546"/>
        <v>10356.36</v>
      </c>
      <c r="AD348" s="63">
        <f t="shared" si="547"/>
        <v>106.9136</v>
      </c>
      <c r="AE348" s="170">
        <v>560</v>
      </c>
      <c r="AF348" s="69">
        <f t="shared" si="548"/>
        <v>0</v>
      </c>
      <c r="AG348" s="69">
        <f t="shared" si="549"/>
        <v>21913.534099999997</v>
      </c>
      <c r="AH348" s="67">
        <v>21723.86</v>
      </c>
      <c r="AI348" s="69">
        <f t="shared" si="550"/>
        <v>189.67409999999654</v>
      </c>
      <c r="AJ348" s="69">
        <f t="shared" si="551"/>
        <v>189.67409999999654</v>
      </c>
    </row>
    <row r="349" spans="1:36" x14ac:dyDescent="0.25">
      <c r="A349" s="167">
        <v>560</v>
      </c>
      <c r="B349" s="92" t="s">
        <v>2972</v>
      </c>
      <c r="C349" s="70" t="s">
        <v>2939</v>
      </c>
      <c r="D349" s="71" t="s">
        <v>2973</v>
      </c>
      <c r="E349" s="71" t="s">
        <v>2974</v>
      </c>
      <c r="F349" s="256">
        <v>42611</v>
      </c>
      <c r="G349" s="59">
        <f t="shared" si="535"/>
        <v>5.3397260273972602</v>
      </c>
      <c r="H349" s="57"/>
      <c r="I349" s="66">
        <v>45510</v>
      </c>
      <c r="J349" s="66">
        <v>45510</v>
      </c>
      <c r="K349" s="63"/>
      <c r="L349" s="63">
        <f t="shared" si="536"/>
        <v>21.879807692307693</v>
      </c>
      <c r="M349" s="63">
        <f t="shared" si="537"/>
        <v>1750.3846153846155</v>
      </c>
      <c r="N349" s="63"/>
      <c r="O349" s="169"/>
      <c r="P349" s="169"/>
      <c r="Q349" s="63">
        <f t="shared" si="538"/>
        <v>0</v>
      </c>
      <c r="R349" s="63">
        <f t="shared" si="539"/>
        <v>45510</v>
      </c>
      <c r="S349" s="169"/>
      <c r="T349" s="63">
        <v>1200</v>
      </c>
      <c r="U349" s="69"/>
      <c r="V349" s="63">
        <f t="shared" si="540"/>
        <v>46710</v>
      </c>
      <c r="W349" s="63">
        <f t="shared" si="541"/>
        <v>2896.02</v>
      </c>
      <c r="X349" s="63">
        <f t="shared" si="542"/>
        <v>677.29500000000007</v>
      </c>
      <c r="Y349" s="63">
        <f t="shared" si="543"/>
        <v>6572.0969999999998</v>
      </c>
      <c r="Z349" s="63">
        <f t="shared" si="544"/>
        <v>74.736000000000004</v>
      </c>
      <c r="AA349" s="63">
        <f t="shared" si="552"/>
        <v>32.697000000000003</v>
      </c>
      <c r="AB349" s="63">
        <f t="shared" si="545"/>
        <v>335</v>
      </c>
      <c r="AC349" s="63">
        <f t="shared" si="546"/>
        <v>10356.36</v>
      </c>
      <c r="AD349" s="63">
        <f t="shared" si="547"/>
        <v>106.9136</v>
      </c>
      <c r="AE349" s="170">
        <v>560</v>
      </c>
      <c r="AF349" s="69">
        <f t="shared" si="548"/>
        <v>0</v>
      </c>
      <c r="AG349" s="69">
        <f t="shared" si="549"/>
        <v>21051.118600000002</v>
      </c>
      <c r="AH349" s="67">
        <v>21723.86</v>
      </c>
      <c r="AI349" s="69">
        <f t="shared" si="550"/>
        <v>-672.74139999999898</v>
      </c>
      <c r="AJ349" s="69">
        <f t="shared" si="551"/>
        <v>-672.74139999999898</v>
      </c>
    </row>
    <row r="350" spans="1:36" x14ac:dyDescent="0.25">
      <c r="A350" s="167">
        <v>560</v>
      </c>
      <c r="B350" s="92" t="s">
        <v>2975</v>
      </c>
      <c r="C350" s="70" t="s">
        <v>2939</v>
      </c>
      <c r="D350" s="71" t="s">
        <v>2976</v>
      </c>
      <c r="E350" s="71" t="s">
        <v>2977</v>
      </c>
      <c r="F350" s="76">
        <v>41660</v>
      </c>
      <c r="G350" s="59">
        <f t="shared" si="535"/>
        <v>7.9452054794520546</v>
      </c>
      <c r="H350" s="57"/>
      <c r="I350" s="66">
        <v>46344</v>
      </c>
      <c r="J350" s="66">
        <v>46344</v>
      </c>
      <c r="K350" s="63"/>
      <c r="L350" s="63">
        <f t="shared" si="536"/>
        <v>22.280769230769231</v>
      </c>
      <c r="M350" s="63">
        <f t="shared" si="537"/>
        <v>1782.4615384615386</v>
      </c>
      <c r="N350" s="63"/>
      <c r="O350" s="169"/>
      <c r="P350" s="169"/>
      <c r="Q350" s="63">
        <f t="shared" si="538"/>
        <v>0</v>
      </c>
      <c r="R350" s="63">
        <f t="shared" si="539"/>
        <v>46344</v>
      </c>
      <c r="S350" s="169"/>
      <c r="T350" s="63">
        <v>1200</v>
      </c>
      <c r="U350" s="63"/>
      <c r="V350" s="63">
        <f t="shared" si="540"/>
        <v>47544</v>
      </c>
      <c r="W350" s="63">
        <f t="shared" si="541"/>
        <v>2947.7280000000001</v>
      </c>
      <c r="X350" s="63">
        <f t="shared" si="542"/>
        <v>689.38800000000003</v>
      </c>
      <c r="Y350" s="63">
        <f t="shared" si="543"/>
        <v>6689.4407999999994</v>
      </c>
      <c r="Z350" s="63">
        <f t="shared" si="544"/>
        <v>76.070400000000006</v>
      </c>
      <c r="AA350" s="63">
        <f t="shared" si="552"/>
        <v>33.280799999999999</v>
      </c>
      <c r="AB350" s="63">
        <f t="shared" si="545"/>
        <v>335</v>
      </c>
      <c r="AC350" s="63">
        <f t="shared" si="546"/>
        <v>10356.36</v>
      </c>
      <c r="AD350" s="63">
        <f t="shared" si="547"/>
        <v>106.9136</v>
      </c>
      <c r="AE350" s="170">
        <v>560</v>
      </c>
      <c r="AF350" s="69">
        <f t="shared" si="548"/>
        <v>0</v>
      </c>
      <c r="AG350" s="69">
        <f t="shared" si="549"/>
        <v>21234.1816</v>
      </c>
      <c r="AH350" s="67">
        <v>21494.86</v>
      </c>
      <c r="AI350" s="69">
        <f t="shared" si="550"/>
        <v>-260.67840000000069</v>
      </c>
      <c r="AJ350" s="69">
        <f t="shared" si="551"/>
        <v>-260.67840000000069</v>
      </c>
    </row>
    <row r="351" spans="1:36" x14ac:dyDescent="0.25">
      <c r="A351" s="167">
        <v>560</v>
      </c>
      <c r="B351" s="92" t="s">
        <v>2978</v>
      </c>
      <c r="C351" s="70" t="s">
        <v>2939</v>
      </c>
      <c r="D351" s="71" t="s">
        <v>2979</v>
      </c>
      <c r="E351" s="71" t="s">
        <v>2980</v>
      </c>
      <c r="F351" s="73">
        <v>42752</v>
      </c>
      <c r="G351" s="59">
        <f t="shared" si="535"/>
        <v>4.9534246575342467</v>
      </c>
      <c r="H351" s="57"/>
      <c r="I351" s="66">
        <v>45510</v>
      </c>
      <c r="J351" s="182">
        <v>45510</v>
      </c>
      <c r="K351" s="63"/>
      <c r="L351" s="63">
        <f t="shared" si="536"/>
        <v>21.879807692307693</v>
      </c>
      <c r="M351" s="63">
        <f t="shared" si="537"/>
        <v>1750.3846153846155</v>
      </c>
      <c r="N351" s="63"/>
      <c r="O351" s="169"/>
      <c r="P351" s="169"/>
      <c r="Q351" s="63">
        <f t="shared" si="538"/>
        <v>0</v>
      </c>
      <c r="R351" s="63">
        <f t="shared" si="539"/>
        <v>45510</v>
      </c>
      <c r="S351" s="169"/>
      <c r="T351" s="63">
        <v>1200</v>
      </c>
      <c r="U351" s="63">
        <v>1000</v>
      </c>
      <c r="V351" s="63">
        <f t="shared" si="540"/>
        <v>47710</v>
      </c>
      <c r="W351" s="63">
        <f t="shared" si="541"/>
        <v>2958.02</v>
      </c>
      <c r="X351" s="63">
        <f t="shared" si="542"/>
        <v>691.79500000000007</v>
      </c>
      <c r="Y351" s="63">
        <f t="shared" si="543"/>
        <v>6712.7969999999996</v>
      </c>
      <c r="Z351" s="63">
        <f t="shared" si="544"/>
        <v>76.335999999999999</v>
      </c>
      <c r="AA351" s="63">
        <f t="shared" si="552"/>
        <v>33.396999999999998</v>
      </c>
      <c r="AB351" s="63">
        <f t="shared" si="545"/>
        <v>335</v>
      </c>
      <c r="AC351" s="63">
        <f t="shared" si="546"/>
        <v>10356.36</v>
      </c>
      <c r="AD351" s="63">
        <f t="shared" si="547"/>
        <v>106.9136</v>
      </c>
      <c r="AE351" s="170">
        <v>560</v>
      </c>
      <c r="AF351" s="69">
        <f t="shared" si="548"/>
        <v>0</v>
      </c>
      <c r="AG351" s="69">
        <f t="shared" si="549"/>
        <v>21270.618600000002</v>
      </c>
      <c r="AH351" s="67">
        <v>21800.35</v>
      </c>
      <c r="AI351" s="69">
        <f t="shared" si="550"/>
        <v>-529.73139999999694</v>
      </c>
      <c r="AJ351" s="69">
        <f t="shared" si="551"/>
        <v>-529.73139999999694</v>
      </c>
    </row>
    <row r="352" spans="1:36" x14ac:dyDescent="0.25">
      <c r="A352" s="167">
        <v>560</v>
      </c>
      <c r="B352" s="92" t="s">
        <v>2981</v>
      </c>
      <c r="C352" s="70" t="s">
        <v>2939</v>
      </c>
      <c r="D352" s="71" t="s">
        <v>2777</v>
      </c>
      <c r="E352" s="71" t="s">
        <v>2982</v>
      </c>
      <c r="F352" s="73">
        <v>43472</v>
      </c>
      <c r="G352" s="59">
        <f t="shared" si="535"/>
        <v>2.9808219178082194</v>
      </c>
      <c r="H352" s="57"/>
      <c r="I352" s="66">
        <v>45510</v>
      </c>
      <c r="J352" s="235">
        <v>46344</v>
      </c>
      <c r="K352" s="63"/>
      <c r="L352" s="63">
        <f t="shared" si="536"/>
        <v>22.280769230769231</v>
      </c>
      <c r="M352" s="63">
        <f t="shared" si="537"/>
        <v>1782.4615384615386</v>
      </c>
      <c r="N352" s="63"/>
      <c r="O352" s="169"/>
      <c r="P352" s="169"/>
      <c r="Q352" s="63">
        <f t="shared" si="538"/>
        <v>0</v>
      </c>
      <c r="R352" s="63">
        <f t="shared" si="539"/>
        <v>46344</v>
      </c>
      <c r="S352" s="169"/>
      <c r="T352" s="63">
        <v>1200</v>
      </c>
      <c r="U352" s="63"/>
      <c r="V352" s="63">
        <f t="shared" si="540"/>
        <v>47544</v>
      </c>
      <c r="W352" s="63">
        <f t="shared" si="541"/>
        <v>2947.7280000000001</v>
      </c>
      <c r="X352" s="63">
        <f t="shared" si="542"/>
        <v>689.38800000000003</v>
      </c>
      <c r="Y352" s="63">
        <f t="shared" si="543"/>
        <v>6689.4407999999994</v>
      </c>
      <c r="Z352" s="63">
        <f t="shared" si="544"/>
        <v>76.070400000000006</v>
      </c>
      <c r="AA352" s="63">
        <f t="shared" si="552"/>
        <v>33.280799999999999</v>
      </c>
      <c r="AB352" s="63">
        <f t="shared" si="545"/>
        <v>335</v>
      </c>
      <c r="AC352" s="63">
        <f t="shared" si="546"/>
        <v>10356.36</v>
      </c>
      <c r="AD352" s="63">
        <f t="shared" si="547"/>
        <v>106.9136</v>
      </c>
      <c r="AE352" s="170">
        <v>560</v>
      </c>
      <c r="AF352" s="69">
        <f t="shared" si="548"/>
        <v>834</v>
      </c>
      <c r="AG352" s="69">
        <f t="shared" si="549"/>
        <v>21234.1816</v>
      </c>
      <c r="AH352" s="67">
        <v>21685.85</v>
      </c>
      <c r="AI352" s="69">
        <f t="shared" si="550"/>
        <v>-451.66839999999866</v>
      </c>
      <c r="AJ352" s="69">
        <f t="shared" si="551"/>
        <v>382.33160000000134</v>
      </c>
    </row>
    <row r="353" spans="1:36" x14ac:dyDescent="0.25">
      <c r="A353" s="167">
        <v>560</v>
      </c>
      <c r="B353" s="92" t="s">
        <v>2983</v>
      </c>
      <c r="C353" s="70" t="s">
        <v>2984</v>
      </c>
      <c r="D353" s="70" t="s">
        <v>2985</v>
      </c>
      <c r="E353" s="70" t="s">
        <v>2986</v>
      </c>
      <c r="F353" s="73">
        <v>42268</v>
      </c>
      <c r="G353" s="59">
        <f t="shared" si="535"/>
        <v>6.279452054794521</v>
      </c>
      <c r="H353" s="57"/>
      <c r="I353" s="66">
        <v>47169</v>
      </c>
      <c r="J353" s="182">
        <v>48033</v>
      </c>
      <c r="K353" s="63"/>
      <c r="L353" s="63">
        <f t="shared" si="536"/>
        <v>23.092788461538461</v>
      </c>
      <c r="M353" s="63">
        <f t="shared" si="537"/>
        <v>1847.4230769230769</v>
      </c>
      <c r="N353" s="63"/>
      <c r="O353" s="169"/>
      <c r="P353" s="169"/>
      <c r="Q353" s="63">
        <f t="shared" si="538"/>
        <v>0</v>
      </c>
      <c r="R353" s="63">
        <f t="shared" si="539"/>
        <v>48033</v>
      </c>
      <c r="S353" s="169"/>
      <c r="T353" s="63">
        <v>1200</v>
      </c>
      <c r="U353" s="169"/>
      <c r="V353" s="63">
        <f t="shared" si="540"/>
        <v>49233</v>
      </c>
      <c r="W353" s="63">
        <f t="shared" si="541"/>
        <v>3052.4459999999999</v>
      </c>
      <c r="X353" s="63">
        <f t="shared" si="542"/>
        <v>713.87850000000003</v>
      </c>
      <c r="Y353" s="63">
        <f t="shared" si="543"/>
        <v>6927.0830999999998</v>
      </c>
      <c r="Z353" s="63">
        <f t="shared" si="544"/>
        <v>78.772800000000004</v>
      </c>
      <c r="AA353" s="63">
        <f t="shared" si="552"/>
        <v>34.463099999999997</v>
      </c>
      <c r="AB353" s="63">
        <f t="shared" si="545"/>
        <v>335</v>
      </c>
      <c r="AC353" s="63">
        <f t="shared" si="546"/>
        <v>10356.36</v>
      </c>
      <c r="AD353" s="63">
        <f t="shared" si="547"/>
        <v>106.9136</v>
      </c>
      <c r="AE353" s="170">
        <v>560</v>
      </c>
      <c r="AF353" s="69">
        <f t="shared" si="548"/>
        <v>864</v>
      </c>
      <c r="AG353" s="69">
        <f t="shared" si="549"/>
        <v>21604.917099999999</v>
      </c>
      <c r="AH353" s="67">
        <v>21838.36</v>
      </c>
      <c r="AI353" s="69">
        <f t="shared" si="550"/>
        <v>-233.44290000000183</v>
      </c>
      <c r="AJ353" s="69">
        <f t="shared" si="551"/>
        <v>630.55709999999817</v>
      </c>
    </row>
    <row r="354" spans="1:36" x14ac:dyDescent="0.25">
      <c r="A354" s="167">
        <v>560</v>
      </c>
      <c r="B354" s="92" t="s">
        <v>2987</v>
      </c>
      <c r="C354" s="70" t="s">
        <v>2984</v>
      </c>
      <c r="D354" s="193" t="s">
        <v>2988</v>
      </c>
      <c r="E354" s="193" t="s">
        <v>2989</v>
      </c>
      <c r="F354" s="73">
        <v>39831</v>
      </c>
      <c r="G354" s="59">
        <f t="shared" si="535"/>
        <v>12.956164383561644</v>
      </c>
      <c r="H354" s="57"/>
      <c r="I354" s="66">
        <v>48033</v>
      </c>
      <c r="J354" s="182">
        <v>48914</v>
      </c>
      <c r="K354" s="63"/>
      <c r="L354" s="63">
        <f t="shared" si="536"/>
        <v>23.516346153846154</v>
      </c>
      <c r="M354" s="63">
        <f t="shared" si="537"/>
        <v>1881.3076923076924</v>
      </c>
      <c r="N354" s="63"/>
      <c r="O354" s="169"/>
      <c r="P354" s="169"/>
      <c r="Q354" s="63">
        <f t="shared" si="538"/>
        <v>0</v>
      </c>
      <c r="R354" s="63">
        <f t="shared" si="539"/>
        <v>48914</v>
      </c>
      <c r="S354" s="169"/>
      <c r="T354" s="63">
        <v>1200</v>
      </c>
      <c r="U354" s="63"/>
      <c r="V354" s="63">
        <f t="shared" si="540"/>
        <v>50114</v>
      </c>
      <c r="W354" s="63">
        <f t="shared" si="541"/>
        <v>3107.0679999999998</v>
      </c>
      <c r="X354" s="63">
        <f t="shared" si="542"/>
        <v>726.65300000000002</v>
      </c>
      <c r="Y354" s="63">
        <f t="shared" si="543"/>
        <v>7051.0397999999996</v>
      </c>
      <c r="Z354" s="63">
        <f t="shared" si="544"/>
        <v>80.182400000000001</v>
      </c>
      <c r="AA354" s="63">
        <f t="shared" si="552"/>
        <v>35.079799999999999</v>
      </c>
      <c r="AB354" s="63">
        <f t="shared" si="545"/>
        <v>335</v>
      </c>
      <c r="AC354" s="63">
        <f t="shared" si="546"/>
        <v>10356.36</v>
      </c>
      <c r="AD354" s="63">
        <f t="shared" si="547"/>
        <v>106.9136</v>
      </c>
      <c r="AE354" s="170">
        <v>560</v>
      </c>
      <c r="AF354" s="69">
        <f t="shared" si="548"/>
        <v>881</v>
      </c>
      <c r="AG354" s="69">
        <f t="shared" si="549"/>
        <v>21798.296600000001</v>
      </c>
      <c r="AH354" s="67">
        <v>21609.360000000001</v>
      </c>
      <c r="AI354" s="69">
        <f t="shared" si="550"/>
        <v>188.93660000000091</v>
      </c>
      <c r="AJ354" s="69">
        <f t="shared" si="551"/>
        <v>1069.9366000000009</v>
      </c>
    </row>
    <row r="355" spans="1:36" x14ac:dyDescent="0.25">
      <c r="A355" s="167">
        <v>560</v>
      </c>
      <c r="B355" s="92" t="s">
        <v>2990</v>
      </c>
      <c r="C355" s="70" t="s">
        <v>2984</v>
      </c>
      <c r="D355" s="71" t="s">
        <v>2991</v>
      </c>
      <c r="E355" s="71" t="s">
        <v>2974</v>
      </c>
      <c r="F355" s="73">
        <v>41433</v>
      </c>
      <c r="G355" s="59">
        <f t="shared" si="535"/>
        <v>8.5671232876712331</v>
      </c>
      <c r="H355" s="57"/>
      <c r="I355" s="66">
        <v>48033</v>
      </c>
      <c r="J355" s="182">
        <v>48914</v>
      </c>
      <c r="K355" s="63"/>
      <c r="L355" s="63">
        <f t="shared" si="536"/>
        <v>23.516346153846154</v>
      </c>
      <c r="M355" s="63">
        <f t="shared" si="537"/>
        <v>1881.3076923076924</v>
      </c>
      <c r="N355" s="63"/>
      <c r="O355" s="169"/>
      <c r="P355" s="169"/>
      <c r="Q355" s="63">
        <f t="shared" si="538"/>
        <v>0</v>
      </c>
      <c r="R355" s="63">
        <f t="shared" si="539"/>
        <v>48914</v>
      </c>
      <c r="S355" s="169"/>
      <c r="T355" s="63">
        <v>1200</v>
      </c>
      <c r="U355" s="63">
        <v>1500</v>
      </c>
      <c r="V355" s="63">
        <f t="shared" si="540"/>
        <v>51614</v>
      </c>
      <c r="W355" s="63">
        <f t="shared" si="541"/>
        <v>3200.0679999999998</v>
      </c>
      <c r="X355" s="63">
        <f t="shared" si="542"/>
        <v>748.40300000000002</v>
      </c>
      <c r="Y355" s="63">
        <f t="shared" si="543"/>
        <v>7262.0897999999997</v>
      </c>
      <c r="Z355" s="63">
        <f t="shared" si="544"/>
        <v>82.582400000000007</v>
      </c>
      <c r="AA355" s="63">
        <f t="shared" si="552"/>
        <v>36.129800000000003</v>
      </c>
      <c r="AB355" s="63">
        <f t="shared" si="545"/>
        <v>335</v>
      </c>
      <c r="AC355" s="63">
        <f t="shared" si="546"/>
        <v>10356.36</v>
      </c>
      <c r="AD355" s="63">
        <f t="shared" si="547"/>
        <v>106.9136</v>
      </c>
      <c r="AE355" s="170">
        <v>560</v>
      </c>
      <c r="AF355" s="69">
        <f t="shared" si="548"/>
        <v>881</v>
      </c>
      <c r="AG355" s="69">
        <f t="shared" si="549"/>
        <v>22127.546600000001</v>
      </c>
      <c r="AH355" s="67">
        <v>21685.85</v>
      </c>
      <c r="AI355" s="69">
        <f t="shared" si="550"/>
        <v>441.69660000000295</v>
      </c>
      <c r="AJ355" s="69">
        <f t="shared" si="551"/>
        <v>1322.6966000000029</v>
      </c>
    </row>
    <row r="356" spans="1:36" x14ac:dyDescent="0.25">
      <c r="A356" s="167">
        <v>560</v>
      </c>
      <c r="B356" s="92" t="s">
        <v>2992</v>
      </c>
      <c r="C356" s="70" t="s">
        <v>2984</v>
      </c>
      <c r="D356" s="71" t="s">
        <v>2993</v>
      </c>
      <c r="E356" s="71" t="s">
        <v>2909</v>
      </c>
      <c r="F356" s="72">
        <v>42613</v>
      </c>
      <c r="G356" s="59">
        <f t="shared" si="535"/>
        <v>5.3342465753424655</v>
      </c>
      <c r="H356" s="57"/>
      <c r="I356" s="66">
        <v>47169</v>
      </c>
      <c r="J356" s="66">
        <v>47169</v>
      </c>
      <c r="K356" s="63"/>
      <c r="L356" s="63">
        <f t="shared" si="536"/>
        <v>22.677403846153847</v>
      </c>
      <c r="M356" s="63">
        <f t="shared" si="537"/>
        <v>1814.1923076923076</v>
      </c>
      <c r="N356" s="63"/>
      <c r="O356" s="169"/>
      <c r="P356" s="169"/>
      <c r="Q356" s="63">
        <f t="shared" si="538"/>
        <v>0</v>
      </c>
      <c r="R356" s="63">
        <f t="shared" si="539"/>
        <v>47169</v>
      </c>
      <c r="S356" s="169"/>
      <c r="T356" s="63">
        <v>1200</v>
      </c>
      <c r="U356" s="63">
        <v>500</v>
      </c>
      <c r="V356" s="63">
        <f t="shared" si="540"/>
        <v>48869</v>
      </c>
      <c r="W356" s="63">
        <f t="shared" si="541"/>
        <v>3029.8780000000002</v>
      </c>
      <c r="X356" s="63">
        <f t="shared" si="542"/>
        <v>708.60050000000001</v>
      </c>
      <c r="Y356" s="63">
        <f t="shared" si="543"/>
        <v>6875.8682999999992</v>
      </c>
      <c r="Z356" s="63">
        <f t="shared" si="544"/>
        <v>78.190399999999997</v>
      </c>
      <c r="AA356" s="63">
        <f t="shared" si="552"/>
        <v>34.208300000000001</v>
      </c>
      <c r="AB356" s="63">
        <f t="shared" si="545"/>
        <v>335</v>
      </c>
      <c r="AC356" s="63">
        <f t="shared" si="546"/>
        <v>10356.36</v>
      </c>
      <c r="AD356" s="63">
        <f t="shared" si="547"/>
        <v>106.9136</v>
      </c>
      <c r="AE356" s="170">
        <v>560</v>
      </c>
      <c r="AF356" s="69">
        <f t="shared" si="548"/>
        <v>0</v>
      </c>
      <c r="AG356" s="69">
        <f t="shared" si="549"/>
        <v>21525.019099999998</v>
      </c>
      <c r="AH356" s="67">
        <v>21874.77</v>
      </c>
      <c r="AI356" s="69">
        <f t="shared" si="550"/>
        <v>-349.75090000000273</v>
      </c>
      <c r="AJ356" s="69">
        <f t="shared" si="551"/>
        <v>-349.75090000000273</v>
      </c>
    </row>
    <row r="357" spans="1:36" x14ac:dyDescent="0.25">
      <c r="A357" s="167">
        <v>560</v>
      </c>
      <c r="B357" s="92" t="s">
        <v>2994</v>
      </c>
      <c r="C357" s="70" t="s">
        <v>2984</v>
      </c>
      <c r="D357" s="71" t="s">
        <v>3798</v>
      </c>
      <c r="E357" s="71" t="s">
        <v>2982</v>
      </c>
      <c r="F357" s="72">
        <v>42720</v>
      </c>
      <c r="G357" s="59">
        <f t="shared" si="535"/>
        <v>5.0410958904109586</v>
      </c>
      <c r="H357" s="57"/>
      <c r="I357" s="66">
        <v>47169</v>
      </c>
      <c r="J357" s="66">
        <v>47169</v>
      </c>
      <c r="K357" s="63"/>
      <c r="L357" s="63">
        <f t="shared" si="536"/>
        <v>22.677403846153847</v>
      </c>
      <c r="M357" s="63">
        <f t="shared" si="537"/>
        <v>1814.1923076923076</v>
      </c>
      <c r="N357" s="63"/>
      <c r="O357" s="169"/>
      <c r="P357" s="63"/>
      <c r="Q357" s="63">
        <f t="shared" si="538"/>
        <v>0</v>
      </c>
      <c r="R357" s="63">
        <f t="shared" si="539"/>
        <v>47169</v>
      </c>
      <c r="S357" s="169"/>
      <c r="T357" s="63">
        <v>1200</v>
      </c>
      <c r="U357" s="63">
        <v>1000</v>
      </c>
      <c r="V357" s="63">
        <f t="shared" si="540"/>
        <v>49369</v>
      </c>
      <c r="W357" s="63">
        <f t="shared" si="541"/>
        <v>3060.8780000000002</v>
      </c>
      <c r="X357" s="63">
        <f t="shared" si="542"/>
        <v>715.85050000000001</v>
      </c>
      <c r="Y357" s="63">
        <f t="shared" si="543"/>
        <v>6946.2182999999995</v>
      </c>
      <c r="Z357" s="63">
        <f t="shared" si="544"/>
        <v>78.990400000000008</v>
      </c>
      <c r="AA357" s="63">
        <f t="shared" si="552"/>
        <v>34.558300000000003</v>
      </c>
      <c r="AB357" s="63">
        <f t="shared" si="545"/>
        <v>335</v>
      </c>
      <c r="AC357" s="63">
        <f t="shared" si="546"/>
        <v>10356.36</v>
      </c>
      <c r="AD357" s="63">
        <f t="shared" si="547"/>
        <v>106.9136</v>
      </c>
      <c r="AE357" s="170">
        <v>560</v>
      </c>
      <c r="AF357" s="69">
        <f t="shared" si="548"/>
        <v>0</v>
      </c>
      <c r="AG357" s="69">
        <f t="shared" si="549"/>
        <v>21634.769100000001</v>
      </c>
      <c r="AH357" s="67">
        <v>22509.1</v>
      </c>
      <c r="AI357" s="69">
        <f t="shared" si="550"/>
        <v>-874.3308999999972</v>
      </c>
      <c r="AJ357" s="69">
        <f t="shared" si="551"/>
        <v>-874.3308999999972</v>
      </c>
    </row>
    <row r="358" spans="1:36" x14ac:dyDescent="0.25">
      <c r="A358" s="167">
        <v>560</v>
      </c>
      <c r="B358" s="92" t="s">
        <v>2995</v>
      </c>
      <c r="C358" s="70" t="s">
        <v>2760</v>
      </c>
      <c r="D358" s="71" t="s">
        <v>2557</v>
      </c>
      <c r="E358" s="71" t="s">
        <v>3025</v>
      </c>
      <c r="F358" s="72">
        <v>43381</v>
      </c>
      <c r="G358" s="59">
        <f t="shared" si="535"/>
        <v>3.2301369863013698</v>
      </c>
      <c r="H358" s="57"/>
      <c r="I358" s="57">
        <v>47880</v>
      </c>
      <c r="J358" s="57">
        <v>47880</v>
      </c>
      <c r="K358" s="63"/>
      <c r="L358" s="63">
        <f t="shared" si="536"/>
        <v>23.01923076923077</v>
      </c>
      <c r="M358" s="63">
        <f t="shared" si="537"/>
        <v>1841.5384615384614</v>
      </c>
      <c r="N358" s="63"/>
      <c r="O358" s="169"/>
      <c r="P358" s="169"/>
      <c r="Q358" s="63">
        <f t="shared" si="538"/>
        <v>0</v>
      </c>
      <c r="R358" s="63">
        <f t="shared" si="539"/>
        <v>47880</v>
      </c>
      <c r="S358" s="169"/>
      <c r="T358" s="63">
        <v>1200</v>
      </c>
      <c r="U358" s="63"/>
      <c r="V358" s="63">
        <f t="shared" si="540"/>
        <v>49080</v>
      </c>
      <c r="W358" s="63">
        <f t="shared" si="541"/>
        <v>3042.96</v>
      </c>
      <c r="X358" s="63">
        <f t="shared" si="542"/>
        <v>711.66000000000008</v>
      </c>
      <c r="Y358" s="63">
        <f t="shared" si="543"/>
        <v>6905.5559999999996</v>
      </c>
      <c r="Z358" s="63">
        <f t="shared" si="544"/>
        <v>78.528000000000006</v>
      </c>
      <c r="AA358" s="63">
        <f t="shared" si="552"/>
        <v>34.356000000000002</v>
      </c>
      <c r="AB358" s="63">
        <f t="shared" si="545"/>
        <v>335</v>
      </c>
      <c r="AC358" s="63">
        <f t="shared" si="546"/>
        <v>10356.36</v>
      </c>
      <c r="AD358" s="63">
        <f t="shared" si="547"/>
        <v>106.9136</v>
      </c>
      <c r="AE358" s="170">
        <v>560</v>
      </c>
      <c r="AF358" s="69">
        <f t="shared" si="548"/>
        <v>0</v>
      </c>
      <c r="AG358" s="69">
        <f t="shared" si="549"/>
        <v>21571.333599999998</v>
      </c>
      <c r="AH358" s="67">
        <v>21685.85</v>
      </c>
      <c r="AI358" s="69">
        <f t="shared" si="550"/>
        <v>-114.51640000000043</v>
      </c>
      <c r="AJ358" s="69">
        <f t="shared" si="551"/>
        <v>-114.51640000000043</v>
      </c>
    </row>
    <row r="359" spans="1:36" x14ac:dyDescent="0.25">
      <c r="A359" s="167">
        <v>560</v>
      </c>
      <c r="B359" s="92" t="s">
        <v>2998</v>
      </c>
      <c r="C359" s="70" t="s">
        <v>2760</v>
      </c>
      <c r="D359" s="71" t="s">
        <v>2999</v>
      </c>
      <c r="E359" s="71" t="s">
        <v>3000</v>
      </c>
      <c r="F359" s="76">
        <v>43349</v>
      </c>
      <c r="G359" s="59">
        <f t="shared" si="535"/>
        <v>3.3178082191780822</v>
      </c>
      <c r="H359" s="57"/>
      <c r="I359" s="57">
        <v>47880</v>
      </c>
      <c r="J359" s="66">
        <v>47880</v>
      </c>
      <c r="K359" s="63"/>
      <c r="L359" s="63">
        <f t="shared" si="536"/>
        <v>23.01923076923077</v>
      </c>
      <c r="M359" s="63">
        <f t="shared" si="537"/>
        <v>1841.5384615384614</v>
      </c>
      <c r="N359" s="63"/>
      <c r="O359" s="169"/>
      <c r="P359" s="169"/>
      <c r="Q359" s="63">
        <f t="shared" si="538"/>
        <v>0</v>
      </c>
      <c r="R359" s="63">
        <f t="shared" si="539"/>
        <v>47880</v>
      </c>
      <c r="S359" s="169"/>
      <c r="T359" s="63">
        <v>1200</v>
      </c>
      <c r="U359" s="179"/>
      <c r="V359" s="63">
        <f t="shared" si="540"/>
        <v>49080</v>
      </c>
      <c r="W359" s="63">
        <f t="shared" si="541"/>
        <v>3042.96</v>
      </c>
      <c r="X359" s="63">
        <f t="shared" si="542"/>
        <v>711.66000000000008</v>
      </c>
      <c r="Y359" s="63">
        <f t="shared" si="543"/>
        <v>6905.5559999999996</v>
      </c>
      <c r="Z359" s="63">
        <f t="shared" si="544"/>
        <v>78.528000000000006</v>
      </c>
      <c r="AA359" s="63">
        <f t="shared" si="552"/>
        <v>34.356000000000002</v>
      </c>
      <c r="AB359" s="63">
        <f t="shared" si="545"/>
        <v>335</v>
      </c>
      <c r="AC359" s="63">
        <f t="shared" si="546"/>
        <v>10356.36</v>
      </c>
      <c r="AD359" s="63">
        <f t="shared" si="547"/>
        <v>106.9136</v>
      </c>
      <c r="AE359" s="170">
        <v>560</v>
      </c>
      <c r="AF359" s="69">
        <f t="shared" si="548"/>
        <v>0</v>
      </c>
      <c r="AG359" s="69">
        <f t="shared" si="549"/>
        <v>21571.333599999998</v>
      </c>
      <c r="AH359" s="67">
        <v>21494.86</v>
      </c>
      <c r="AI359" s="69">
        <f t="shared" si="550"/>
        <v>76.473599999997532</v>
      </c>
      <c r="AJ359" s="69">
        <f t="shared" si="551"/>
        <v>76.473599999997532</v>
      </c>
    </row>
    <row r="360" spans="1:36" x14ac:dyDescent="0.25">
      <c r="A360" s="167">
        <v>560</v>
      </c>
      <c r="B360" s="92" t="s">
        <v>3001</v>
      </c>
      <c r="C360" s="70" t="s">
        <v>2760</v>
      </c>
      <c r="D360" s="71" t="s">
        <v>2433</v>
      </c>
      <c r="E360" s="71" t="s">
        <v>2614</v>
      </c>
      <c r="F360" s="73">
        <v>41444</v>
      </c>
      <c r="G360" s="59">
        <f t="shared" si="535"/>
        <v>8.536986301369863</v>
      </c>
      <c r="H360" s="57"/>
      <c r="I360" s="57">
        <v>47880</v>
      </c>
      <c r="J360" s="182">
        <v>48758</v>
      </c>
      <c r="K360" s="63"/>
      <c r="L360" s="63">
        <f t="shared" si="536"/>
        <v>23.441346153846155</v>
      </c>
      <c r="M360" s="63">
        <f t="shared" si="537"/>
        <v>1875.3076923076924</v>
      </c>
      <c r="N360" s="63"/>
      <c r="O360" s="169"/>
      <c r="P360" s="169"/>
      <c r="Q360" s="63">
        <f t="shared" si="538"/>
        <v>0</v>
      </c>
      <c r="R360" s="63">
        <f t="shared" si="539"/>
        <v>48758</v>
      </c>
      <c r="S360" s="169"/>
      <c r="T360" s="63">
        <v>1200</v>
      </c>
      <c r="U360" s="63"/>
      <c r="V360" s="63">
        <f t="shared" si="540"/>
        <v>49958</v>
      </c>
      <c r="W360" s="63">
        <f t="shared" si="541"/>
        <v>3097.3960000000002</v>
      </c>
      <c r="X360" s="63">
        <f t="shared" si="542"/>
        <v>724.39100000000008</v>
      </c>
      <c r="Y360" s="63">
        <f t="shared" si="543"/>
        <v>7029.0905999999995</v>
      </c>
      <c r="Z360" s="63">
        <f t="shared" si="544"/>
        <v>79.9328</v>
      </c>
      <c r="AA360" s="63">
        <f t="shared" si="552"/>
        <v>34.970599999999997</v>
      </c>
      <c r="AB360" s="63">
        <f t="shared" si="545"/>
        <v>335</v>
      </c>
      <c r="AC360" s="63">
        <f t="shared" si="546"/>
        <v>10356.36</v>
      </c>
      <c r="AD360" s="63">
        <f t="shared" si="547"/>
        <v>106.9136</v>
      </c>
      <c r="AE360" s="170">
        <v>560</v>
      </c>
      <c r="AF360" s="69">
        <f t="shared" si="548"/>
        <v>878</v>
      </c>
      <c r="AG360" s="69">
        <f t="shared" si="549"/>
        <v>21764.054600000003</v>
      </c>
      <c r="AH360" s="67">
        <v>21494.86</v>
      </c>
      <c r="AI360" s="69">
        <f t="shared" si="550"/>
        <v>269.19460000000254</v>
      </c>
      <c r="AJ360" s="69">
        <f t="shared" si="551"/>
        <v>1147.1946000000025</v>
      </c>
    </row>
    <row r="361" spans="1:36" x14ac:dyDescent="0.25">
      <c r="A361" s="167">
        <v>560</v>
      </c>
      <c r="B361" s="92" t="s">
        <v>3002</v>
      </c>
      <c r="C361" s="70" t="s">
        <v>2760</v>
      </c>
      <c r="D361" s="71" t="s">
        <v>3003</v>
      </c>
      <c r="E361" s="71" t="s">
        <v>3004</v>
      </c>
      <c r="F361" s="97">
        <v>42535</v>
      </c>
      <c r="G361" s="59">
        <f t="shared" si="535"/>
        <v>5.5479452054794525</v>
      </c>
      <c r="H361" s="57"/>
      <c r="I361" s="66">
        <v>47880</v>
      </c>
      <c r="J361" s="57">
        <v>47880</v>
      </c>
      <c r="K361" s="63"/>
      <c r="L361" s="63">
        <f t="shared" si="536"/>
        <v>23.01923076923077</v>
      </c>
      <c r="M361" s="63">
        <f t="shared" si="537"/>
        <v>1841.5384615384614</v>
      </c>
      <c r="N361" s="63"/>
      <c r="O361" s="169"/>
      <c r="P361" s="63">
        <v>0</v>
      </c>
      <c r="Q361" s="63">
        <f t="shared" si="538"/>
        <v>0</v>
      </c>
      <c r="R361" s="63">
        <f t="shared" si="539"/>
        <v>47880</v>
      </c>
      <c r="S361" s="169"/>
      <c r="T361" s="63">
        <v>1200</v>
      </c>
      <c r="U361" s="63">
        <v>1500</v>
      </c>
      <c r="V361" s="63">
        <f t="shared" si="540"/>
        <v>50580</v>
      </c>
      <c r="W361" s="63">
        <f t="shared" si="541"/>
        <v>3135.96</v>
      </c>
      <c r="X361" s="63">
        <f t="shared" si="542"/>
        <v>733.41000000000008</v>
      </c>
      <c r="Y361" s="63">
        <f t="shared" si="543"/>
        <v>7116.6059999999998</v>
      </c>
      <c r="Z361" s="63">
        <f t="shared" si="544"/>
        <v>80.927999999999997</v>
      </c>
      <c r="AA361" s="63">
        <f t="shared" si="552"/>
        <v>35.405999999999999</v>
      </c>
      <c r="AB361" s="63">
        <f t="shared" si="545"/>
        <v>335</v>
      </c>
      <c r="AC361" s="63">
        <f t="shared" si="546"/>
        <v>10356.36</v>
      </c>
      <c r="AD361" s="63">
        <f t="shared" si="547"/>
        <v>106.9136</v>
      </c>
      <c r="AE361" s="170">
        <v>560</v>
      </c>
      <c r="AF361" s="69">
        <f t="shared" si="548"/>
        <v>0</v>
      </c>
      <c r="AG361" s="69">
        <f t="shared" si="549"/>
        <v>21900.583599999998</v>
      </c>
      <c r="AH361" s="67">
        <v>22381.09</v>
      </c>
      <c r="AI361" s="69">
        <f t="shared" si="550"/>
        <v>-480.50640000000203</v>
      </c>
      <c r="AJ361" s="69">
        <f t="shared" si="551"/>
        <v>-480.50640000000203</v>
      </c>
    </row>
    <row r="362" spans="1:36" x14ac:dyDescent="0.25">
      <c r="A362" s="167">
        <v>560</v>
      </c>
      <c r="B362" s="92" t="s">
        <v>3005</v>
      </c>
      <c r="C362" s="70" t="s">
        <v>2760</v>
      </c>
      <c r="D362" s="71" t="s">
        <v>3006</v>
      </c>
      <c r="E362" s="71" t="s">
        <v>3007</v>
      </c>
      <c r="F362" s="72">
        <v>42401</v>
      </c>
      <c r="G362" s="59">
        <f t="shared" si="535"/>
        <v>5.9150684931506845</v>
      </c>
      <c r="H362" s="57"/>
      <c r="I362" s="66">
        <v>47880</v>
      </c>
      <c r="J362" s="66">
        <v>47880</v>
      </c>
      <c r="K362" s="63"/>
      <c r="L362" s="63">
        <f t="shared" si="536"/>
        <v>23.01923076923077</v>
      </c>
      <c r="M362" s="63">
        <f t="shared" si="537"/>
        <v>1841.5384615384614</v>
      </c>
      <c r="N362" s="63"/>
      <c r="O362" s="169"/>
      <c r="P362" s="169"/>
      <c r="Q362" s="63">
        <f t="shared" si="538"/>
        <v>0</v>
      </c>
      <c r="R362" s="63">
        <f t="shared" si="539"/>
        <v>47880</v>
      </c>
      <c r="S362" s="169"/>
      <c r="T362" s="63">
        <v>1200</v>
      </c>
      <c r="U362" s="63">
        <v>1500</v>
      </c>
      <c r="V362" s="63">
        <f t="shared" si="540"/>
        <v>50580</v>
      </c>
      <c r="W362" s="63">
        <f t="shared" si="541"/>
        <v>3135.96</v>
      </c>
      <c r="X362" s="63">
        <f t="shared" si="542"/>
        <v>733.41000000000008</v>
      </c>
      <c r="Y362" s="63">
        <f t="shared" si="543"/>
        <v>7116.6059999999998</v>
      </c>
      <c r="Z362" s="63">
        <f t="shared" si="544"/>
        <v>80.927999999999997</v>
      </c>
      <c r="AA362" s="63">
        <f t="shared" si="552"/>
        <v>35.405999999999999</v>
      </c>
      <c r="AB362" s="63">
        <f t="shared" si="545"/>
        <v>335</v>
      </c>
      <c r="AC362" s="63">
        <f t="shared" si="546"/>
        <v>10356.36</v>
      </c>
      <c r="AD362" s="63">
        <f t="shared" si="547"/>
        <v>106.9136</v>
      </c>
      <c r="AE362" s="170">
        <v>560</v>
      </c>
      <c r="AF362" s="69">
        <f t="shared" si="548"/>
        <v>0</v>
      </c>
      <c r="AG362" s="69">
        <f t="shared" si="549"/>
        <v>21900.583599999998</v>
      </c>
      <c r="AH362" s="67">
        <v>22353.16</v>
      </c>
      <c r="AI362" s="69">
        <f t="shared" si="550"/>
        <v>-452.57640000000174</v>
      </c>
      <c r="AJ362" s="69">
        <f t="shared" si="551"/>
        <v>-452.57640000000174</v>
      </c>
    </row>
    <row r="363" spans="1:36" x14ac:dyDescent="0.25">
      <c r="A363" s="167">
        <v>560</v>
      </c>
      <c r="B363" s="92" t="s">
        <v>3008</v>
      </c>
      <c r="C363" s="70" t="s">
        <v>2760</v>
      </c>
      <c r="D363" s="71" t="s">
        <v>3009</v>
      </c>
      <c r="E363" s="71" t="s">
        <v>2731</v>
      </c>
      <c r="F363" s="73">
        <v>42192</v>
      </c>
      <c r="G363" s="59">
        <f t="shared" si="535"/>
        <v>6.4876712328767123</v>
      </c>
      <c r="H363" s="57"/>
      <c r="I363" s="66">
        <v>47880</v>
      </c>
      <c r="J363" s="182">
        <v>48758</v>
      </c>
      <c r="K363" s="63"/>
      <c r="L363" s="63">
        <f t="shared" si="536"/>
        <v>23.441346153846155</v>
      </c>
      <c r="M363" s="63">
        <f t="shared" si="537"/>
        <v>1875.3076923076924</v>
      </c>
      <c r="N363" s="63"/>
      <c r="O363" s="169"/>
      <c r="P363" s="169"/>
      <c r="Q363" s="63">
        <f t="shared" si="538"/>
        <v>0</v>
      </c>
      <c r="R363" s="63">
        <f t="shared" si="539"/>
        <v>48758</v>
      </c>
      <c r="S363" s="169"/>
      <c r="T363" s="63">
        <v>1200</v>
      </c>
      <c r="U363" s="69">
        <v>1000</v>
      </c>
      <c r="V363" s="63">
        <f t="shared" si="540"/>
        <v>50958</v>
      </c>
      <c r="W363" s="63">
        <f t="shared" si="541"/>
        <v>3159.3960000000002</v>
      </c>
      <c r="X363" s="63">
        <f t="shared" si="542"/>
        <v>738.89100000000008</v>
      </c>
      <c r="Y363" s="63">
        <f t="shared" si="543"/>
        <v>7169.7905999999994</v>
      </c>
      <c r="Z363" s="63">
        <f t="shared" si="544"/>
        <v>81.532800000000009</v>
      </c>
      <c r="AA363" s="63">
        <f t="shared" si="552"/>
        <v>35.6706</v>
      </c>
      <c r="AB363" s="63">
        <f t="shared" si="545"/>
        <v>335</v>
      </c>
      <c r="AC363" s="63">
        <f t="shared" si="546"/>
        <v>10356.36</v>
      </c>
      <c r="AD363" s="63">
        <f t="shared" si="547"/>
        <v>106.9136</v>
      </c>
      <c r="AE363" s="170">
        <v>560</v>
      </c>
      <c r="AF363" s="69">
        <f t="shared" si="548"/>
        <v>878</v>
      </c>
      <c r="AG363" s="69">
        <f t="shared" si="549"/>
        <v>21983.554600000003</v>
      </c>
      <c r="AH363" s="67">
        <v>22266.59</v>
      </c>
      <c r="AI363" s="69">
        <f t="shared" si="550"/>
        <v>-283.03539999999703</v>
      </c>
      <c r="AJ363" s="69">
        <f t="shared" si="551"/>
        <v>594.96460000000297</v>
      </c>
    </row>
    <row r="364" spans="1:36" x14ac:dyDescent="0.25">
      <c r="A364" s="167">
        <v>560</v>
      </c>
      <c r="B364" s="92" t="s">
        <v>3010</v>
      </c>
      <c r="C364" s="70" t="s">
        <v>2760</v>
      </c>
      <c r="D364" s="168" t="s">
        <v>3011</v>
      </c>
      <c r="E364" s="168" t="s">
        <v>3012</v>
      </c>
      <c r="F364" s="74">
        <v>41456</v>
      </c>
      <c r="G364" s="59">
        <f t="shared" si="535"/>
        <v>8.5041095890410965</v>
      </c>
      <c r="H364" s="57"/>
      <c r="I364" s="57">
        <v>47880</v>
      </c>
      <c r="J364" s="182">
        <v>48758</v>
      </c>
      <c r="K364" s="63"/>
      <c r="L364" s="63">
        <f t="shared" si="536"/>
        <v>23.441346153846155</v>
      </c>
      <c r="M364" s="63">
        <f t="shared" si="537"/>
        <v>1875.3076923076924</v>
      </c>
      <c r="N364" s="63"/>
      <c r="O364" s="169"/>
      <c r="P364" s="169"/>
      <c r="Q364" s="63">
        <f t="shared" si="538"/>
        <v>0</v>
      </c>
      <c r="R364" s="63">
        <f t="shared" si="539"/>
        <v>48758</v>
      </c>
      <c r="S364" s="169"/>
      <c r="T364" s="63">
        <v>1200</v>
      </c>
      <c r="U364" s="63"/>
      <c r="V364" s="63">
        <f t="shared" si="540"/>
        <v>49958</v>
      </c>
      <c r="W364" s="63">
        <f t="shared" si="541"/>
        <v>3097.3960000000002</v>
      </c>
      <c r="X364" s="63">
        <f t="shared" si="542"/>
        <v>724.39100000000008</v>
      </c>
      <c r="Y364" s="63">
        <f t="shared" si="543"/>
        <v>7029.0905999999995</v>
      </c>
      <c r="Z364" s="63">
        <f t="shared" si="544"/>
        <v>79.9328</v>
      </c>
      <c r="AA364" s="63">
        <f t="shared" si="552"/>
        <v>34.970599999999997</v>
      </c>
      <c r="AB364" s="63">
        <f t="shared" si="545"/>
        <v>335</v>
      </c>
      <c r="AC364" s="63">
        <f t="shared" si="546"/>
        <v>10356.36</v>
      </c>
      <c r="AD364" s="63">
        <f t="shared" si="547"/>
        <v>106.9136</v>
      </c>
      <c r="AE364" s="170">
        <v>560</v>
      </c>
      <c r="AF364" s="69">
        <f t="shared" si="548"/>
        <v>878</v>
      </c>
      <c r="AG364" s="69">
        <f t="shared" si="549"/>
        <v>21764.054600000003</v>
      </c>
      <c r="AH364" s="67">
        <v>22037.59</v>
      </c>
      <c r="AI364" s="69">
        <f t="shared" si="550"/>
        <v>-273.53539999999703</v>
      </c>
      <c r="AJ364" s="69">
        <f t="shared" si="551"/>
        <v>604.46460000000297</v>
      </c>
    </row>
    <row r="365" spans="1:36" x14ac:dyDescent="0.25">
      <c r="A365" s="167">
        <v>560</v>
      </c>
      <c r="B365" s="92" t="s">
        <v>3013</v>
      </c>
      <c r="C365" s="70" t="s">
        <v>2760</v>
      </c>
      <c r="D365" s="71" t="s">
        <v>3014</v>
      </c>
      <c r="E365" s="71" t="s">
        <v>3015</v>
      </c>
      <c r="F365" s="73">
        <v>41449</v>
      </c>
      <c r="G365" s="59">
        <f t="shared" si="535"/>
        <v>8.5232876712328771</v>
      </c>
      <c r="H365" s="57"/>
      <c r="I365" s="66">
        <v>47880</v>
      </c>
      <c r="J365" s="182">
        <v>48758</v>
      </c>
      <c r="K365" s="63"/>
      <c r="L365" s="63">
        <f t="shared" si="536"/>
        <v>23.441346153846155</v>
      </c>
      <c r="M365" s="63">
        <f t="shared" si="537"/>
        <v>1875.3076923076924</v>
      </c>
      <c r="N365" s="63"/>
      <c r="O365" s="169"/>
      <c r="P365" s="169"/>
      <c r="Q365" s="63">
        <f t="shared" si="538"/>
        <v>0</v>
      </c>
      <c r="R365" s="63">
        <f t="shared" si="539"/>
        <v>48758</v>
      </c>
      <c r="S365" s="169"/>
      <c r="T365" s="169"/>
      <c r="U365" s="169"/>
      <c r="V365" s="63">
        <f t="shared" si="540"/>
        <v>48758</v>
      </c>
      <c r="W365" s="63">
        <f t="shared" si="541"/>
        <v>3022.9960000000001</v>
      </c>
      <c r="X365" s="63">
        <f t="shared" si="542"/>
        <v>706.99099999999999</v>
      </c>
      <c r="Y365" s="63">
        <f t="shared" si="543"/>
        <v>6860.2505999999994</v>
      </c>
      <c r="Z365" s="63">
        <f t="shared" si="544"/>
        <v>78.012799999999999</v>
      </c>
      <c r="AA365" s="63">
        <f t="shared" si="552"/>
        <v>34.130600000000001</v>
      </c>
      <c r="AB365" s="63">
        <f t="shared" si="545"/>
        <v>335</v>
      </c>
      <c r="AC365" s="63">
        <f t="shared" si="546"/>
        <v>10356.36</v>
      </c>
      <c r="AD365" s="63">
        <f t="shared" si="547"/>
        <v>106.9136</v>
      </c>
      <c r="AE365" s="170">
        <v>560</v>
      </c>
      <c r="AF365" s="69">
        <f t="shared" si="548"/>
        <v>878</v>
      </c>
      <c r="AG365" s="69">
        <f t="shared" si="549"/>
        <v>21500.654600000002</v>
      </c>
      <c r="AH365" s="67">
        <v>22037.59</v>
      </c>
      <c r="AI365" s="69">
        <f t="shared" si="550"/>
        <v>-536.93539999999848</v>
      </c>
      <c r="AJ365" s="69">
        <f t="shared" si="551"/>
        <v>341.06460000000152</v>
      </c>
    </row>
    <row r="366" spans="1:36" x14ac:dyDescent="0.25">
      <c r="A366" s="167">
        <v>560</v>
      </c>
      <c r="B366" s="92" t="s">
        <v>3016</v>
      </c>
      <c r="C366" s="70" t="s">
        <v>2760</v>
      </c>
      <c r="D366" s="71" t="s">
        <v>3017</v>
      </c>
      <c r="E366" s="71" t="s">
        <v>3018</v>
      </c>
      <c r="F366" s="73">
        <v>41352</v>
      </c>
      <c r="G366" s="59">
        <f t="shared" si="535"/>
        <v>8.7890410958904113</v>
      </c>
      <c r="H366" s="57"/>
      <c r="I366" s="66">
        <v>47880</v>
      </c>
      <c r="J366" s="182">
        <v>48758</v>
      </c>
      <c r="K366" s="63"/>
      <c r="L366" s="63">
        <f t="shared" si="536"/>
        <v>23.441346153846155</v>
      </c>
      <c r="M366" s="63">
        <f t="shared" si="537"/>
        <v>1875.3076923076924</v>
      </c>
      <c r="N366" s="63"/>
      <c r="O366" s="169"/>
      <c r="P366" s="169"/>
      <c r="Q366" s="63">
        <f t="shared" si="538"/>
        <v>0</v>
      </c>
      <c r="R366" s="63">
        <f t="shared" si="539"/>
        <v>48758</v>
      </c>
      <c r="S366" s="169"/>
      <c r="T366" s="169"/>
      <c r="U366" s="169"/>
      <c r="V366" s="63">
        <f t="shared" si="540"/>
        <v>48758</v>
      </c>
      <c r="W366" s="63">
        <f t="shared" si="541"/>
        <v>3022.9960000000001</v>
      </c>
      <c r="X366" s="63">
        <f t="shared" si="542"/>
        <v>706.99099999999999</v>
      </c>
      <c r="Y366" s="63">
        <f t="shared" si="543"/>
        <v>6860.2505999999994</v>
      </c>
      <c r="Z366" s="63">
        <f t="shared" si="544"/>
        <v>78.012799999999999</v>
      </c>
      <c r="AA366" s="63">
        <f t="shared" si="552"/>
        <v>34.130600000000001</v>
      </c>
      <c r="AB366" s="63">
        <f t="shared" si="545"/>
        <v>335</v>
      </c>
      <c r="AC366" s="63">
        <f t="shared" si="546"/>
        <v>10356.36</v>
      </c>
      <c r="AD366" s="63">
        <f t="shared" si="547"/>
        <v>106.9136</v>
      </c>
      <c r="AE366" s="170">
        <v>560</v>
      </c>
      <c r="AF366" s="69">
        <f t="shared" si="548"/>
        <v>878</v>
      </c>
      <c r="AG366" s="69">
        <f t="shared" si="549"/>
        <v>21500.654600000002</v>
      </c>
      <c r="AH366" s="67">
        <v>22037.59</v>
      </c>
      <c r="AI366" s="69">
        <f t="shared" si="550"/>
        <v>-536.93539999999848</v>
      </c>
      <c r="AJ366" s="69">
        <f t="shared" si="551"/>
        <v>341.06460000000152</v>
      </c>
    </row>
    <row r="367" spans="1:36" x14ac:dyDescent="0.25">
      <c r="A367" s="167">
        <v>560</v>
      </c>
      <c r="B367" s="92" t="s">
        <v>3019</v>
      </c>
      <c r="C367" s="70" t="s">
        <v>2760</v>
      </c>
      <c r="D367" s="71" t="s">
        <v>3020</v>
      </c>
      <c r="E367" s="71" t="s">
        <v>2469</v>
      </c>
      <c r="F367" s="72">
        <v>40211</v>
      </c>
      <c r="G367" s="59">
        <f t="shared" si="535"/>
        <v>11.915068493150685</v>
      </c>
      <c r="H367" s="57"/>
      <c r="I367" s="66">
        <v>48758</v>
      </c>
      <c r="J367" s="66">
        <v>48758</v>
      </c>
      <c r="K367" s="63"/>
      <c r="L367" s="63">
        <f t="shared" si="536"/>
        <v>23.441346153846155</v>
      </c>
      <c r="M367" s="63">
        <f t="shared" si="537"/>
        <v>1875.3076923076924</v>
      </c>
      <c r="N367" s="63"/>
      <c r="O367" s="169"/>
      <c r="P367" s="169"/>
      <c r="Q367" s="63">
        <f t="shared" si="538"/>
        <v>0</v>
      </c>
      <c r="R367" s="63">
        <f t="shared" si="539"/>
        <v>48758</v>
      </c>
      <c r="S367" s="169"/>
      <c r="T367" s="169"/>
      <c r="U367" s="169"/>
      <c r="V367" s="63">
        <f t="shared" si="540"/>
        <v>48758</v>
      </c>
      <c r="W367" s="63">
        <f t="shared" si="541"/>
        <v>3022.9960000000001</v>
      </c>
      <c r="X367" s="63">
        <f t="shared" si="542"/>
        <v>706.99099999999999</v>
      </c>
      <c r="Y367" s="63">
        <f t="shared" si="543"/>
        <v>6860.2505999999994</v>
      </c>
      <c r="Z367" s="63">
        <f t="shared" si="544"/>
        <v>78.012799999999999</v>
      </c>
      <c r="AA367" s="63">
        <f t="shared" si="552"/>
        <v>34.130600000000001</v>
      </c>
      <c r="AB367" s="63">
        <f t="shared" si="545"/>
        <v>335</v>
      </c>
      <c r="AC367" s="63">
        <f t="shared" si="546"/>
        <v>10356.36</v>
      </c>
      <c r="AD367" s="63">
        <f t="shared" si="547"/>
        <v>106.9136</v>
      </c>
      <c r="AE367" s="170">
        <v>560</v>
      </c>
      <c r="AF367" s="69">
        <f t="shared" si="548"/>
        <v>0</v>
      </c>
      <c r="AG367" s="69">
        <f t="shared" si="549"/>
        <v>21500.654600000002</v>
      </c>
      <c r="AH367" s="67">
        <v>22381.09</v>
      </c>
      <c r="AI367" s="69">
        <f t="shared" si="550"/>
        <v>-880.43539999999848</v>
      </c>
      <c r="AJ367" s="69">
        <f t="shared" si="551"/>
        <v>-880.43539999999848</v>
      </c>
    </row>
    <row r="368" spans="1:36" x14ac:dyDescent="0.25">
      <c r="A368" s="167">
        <v>560</v>
      </c>
      <c r="B368" s="92" t="s">
        <v>3021</v>
      </c>
      <c r="C368" s="70" t="s">
        <v>2760</v>
      </c>
      <c r="D368" s="71" t="s">
        <v>3022</v>
      </c>
      <c r="E368" s="71" t="s">
        <v>2982</v>
      </c>
      <c r="F368" s="73">
        <v>43623</v>
      </c>
      <c r="G368" s="59">
        <f t="shared" si="535"/>
        <v>2.5671232876712327</v>
      </c>
      <c r="H368" s="57"/>
      <c r="I368" s="66">
        <v>47880</v>
      </c>
      <c r="J368" s="182">
        <v>48758</v>
      </c>
      <c r="K368" s="63"/>
      <c r="L368" s="63">
        <f t="shared" si="536"/>
        <v>23.441346153846155</v>
      </c>
      <c r="M368" s="63">
        <f t="shared" si="537"/>
        <v>1875.3076923076924</v>
      </c>
      <c r="N368" s="63"/>
      <c r="O368" s="169"/>
      <c r="P368" s="169"/>
      <c r="Q368" s="63">
        <f t="shared" si="538"/>
        <v>0</v>
      </c>
      <c r="R368" s="63">
        <f t="shared" si="539"/>
        <v>48758</v>
      </c>
      <c r="S368" s="169"/>
      <c r="T368" s="169"/>
      <c r="U368" s="169"/>
      <c r="V368" s="63">
        <f t="shared" si="540"/>
        <v>48758</v>
      </c>
      <c r="W368" s="63">
        <f t="shared" si="541"/>
        <v>3022.9960000000001</v>
      </c>
      <c r="X368" s="63">
        <f t="shared" si="542"/>
        <v>706.99099999999999</v>
      </c>
      <c r="Y368" s="63">
        <f t="shared" si="543"/>
        <v>6860.2505999999994</v>
      </c>
      <c r="Z368" s="63">
        <f t="shared" si="544"/>
        <v>78.012799999999999</v>
      </c>
      <c r="AA368" s="63">
        <f t="shared" si="552"/>
        <v>34.130600000000001</v>
      </c>
      <c r="AB368" s="63">
        <f t="shared" si="545"/>
        <v>335</v>
      </c>
      <c r="AC368" s="63">
        <f t="shared" si="546"/>
        <v>10356.36</v>
      </c>
      <c r="AD368" s="63">
        <f t="shared" si="547"/>
        <v>106.9136</v>
      </c>
      <c r="AE368" s="170">
        <v>560</v>
      </c>
      <c r="AF368" s="69">
        <f t="shared" si="548"/>
        <v>878</v>
      </c>
      <c r="AG368" s="69">
        <f t="shared" si="549"/>
        <v>21500.654600000002</v>
      </c>
      <c r="AH368" s="67">
        <v>22786.65</v>
      </c>
      <c r="AI368" s="69">
        <f t="shared" si="550"/>
        <v>-1285.9953999999998</v>
      </c>
      <c r="AJ368" s="69">
        <f t="shared" si="551"/>
        <v>-407.99539999999979</v>
      </c>
    </row>
    <row r="369" spans="1:36" x14ac:dyDescent="0.25">
      <c r="A369" s="167">
        <v>560</v>
      </c>
      <c r="B369" s="92" t="s">
        <v>3028</v>
      </c>
      <c r="C369" s="70" t="s">
        <v>3029</v>
      </c>
      <c r="D369" s="71" t="s">
        <v>3030</v>
      </c>
      <c r="E369" s="71" t="s">
        <v>3031</v>
      </c>
      <c r="F369" s="76">
        <v>42521</v>
      </c>
      <c r="G369" s="59">
        <f t="shared" si="535"/>
        <v>5.5863013698630137</v>
      </c>
      <c r="H369" s="57"/>
      <c r="I369" s="66">
        <v>36028</v>
      </c>
      <c r="J369" s="66">
        <v>36028</v>
      </c>
      <c r="K369" s="63"/>
      <c r="L369" s="63">
        <f t="shared" si="536"/>
        <v>17.321153846153845</v>
      </c>
      <c r="M369" s="63">
        <f t="shared" si="537"/>
        <v>1385.6923076923076</v>
      </c>
      <c r="N369" s="63"/>
      <c r="O369" s="169"/>
      <c r="P369" s="169"/>
      <c r="Q369" s="63">
        <f t="shared" si="538"/>
        <v>0</v>
      </c>
      <c r="R369" s="63">
        <f t="shared" si="539"/>
        <v>36028</v>
      </c>
      <c r="S369" s="169"/>
      <c r="T369" s="169"/>
      <c r="U369" s="169"/>
      <c r="V369" s="63">
        <f t="shared" si="540"/>
        <v>36028</v>
      </c>
      <c r="W369" s="63">
        <f t="shared" si="541"/>
        <v>2233.7359999999999</v>
      </c>
      <c r="X369" s="63">
        <f t="shared" si="542"/>
        <v>522.40600000000006</v>
      </c>
      <c r="Y369" s="63">
        <f t="shared" si="543"/>
        <v>5069.1395999999995</v>
      </c>
      <c r="Z369" s="63">
        <f t="shared" si="544"/>
        <v>57.644800000000004</v>
      </c>
      <c r="AA369" s="63">
        <f t="shared" si="552"/>
        <v>25.2196</v>
      </c>
      <c r="AB369" s="63">
        <f t="shared" si="545"/>
        <v>335</v>
      </c>
      <c r="AC369" s="63">
        <f t="shared" si="546"/>
        <v>10356.36</v>
      </c>
      <c r="AD369" s="63">
        <f t="shared" si="547"/>
        <v>106.9136</v>
      </c>
      <c r="AE369" s="170">
        <v>560</v>
      </c>
      <c r="AF369" s="69">
        <f t="shared" si="548"/>
        <v>0</v>
      </c>
      <c r="AG369" s="69">
        <f t="shared" si="549"/>
        <v>18706.419600000001</v>
      </c>
      <c r="AH369" s="67">
        <v>22266.59</v>
      </c>
      <c r="AI369" s="69">
        <f t="shared" si="550"/>
        <v>-3560.1703999999991</v>
      </c>
      <c r="AJ369" s="69">
        <f t="shared" si="551"/>
        <v>-3560.1703999999991</v>
      </c>
    </row>
    <row r="370" spans="1:36" x14ac:dyDescent="0.25">
      <c r="A370" s="167">
        <v>560</v>
      </c>
      <c r="B370" s="92" t="s">
        <v>3032</v>
      </c>
      <c r="C370" s="70" t="s">
        <v>3033</v>
      </c>
      <c r="D370" s="71" t="s">
        <v>2936</v>
      </c>
      <c r="E370" s="71" t="s">
        <v>2527</v>
      </c>
      <c r="F370" s="72">
        <v>42521</v>
      </c>
      <c r="G370" s="59">
        <f t="shared" si="535"/>
        <v>5.5863013698630137</v>
      </c>
      <c r="H370" s="57"/>
      <c r="I370" s="66">
        <v>33310</v>
      </c>
      <c r="J370" s="66">
        <v>33310</v>
      </c>
      <c r="K370" s="63"/>
      <c r="L370" s="63">
        <f t="shared" si="536"/>
        <v>16.014423076923077</v>
      </c>
      <c r="M370" s="63">
        <f t="shared" si="537"/>
        <v>1281.1538461538462</v>
      </c>
      <c r="N370" s="63"/>
      <c r="O370" s="169"/>
      <c r="P370" s="169"/>
      <c r="Q370" s="63">
        <f t="shared" si="538"/>
        <v>0</v>
      </c>
      <c r="R370" s="63">
        <f t="shared" si="539"/>
        <v>33310</v>
      </c>
      <c r="S370" s="169"/>
      <c r="T370" s="63">
        <v>1200</v>
      </c>
      <c r="U370" s="63">
        <v>500</v>
      </c>
      <c r="V370" s="63">
        <f t="shared" si="540"/>
        <v>35010</v>
      </c>
      <c r="W370" s="63">
        <f t="shared" si="541"/>
        <v>2170.62</v>
      </c>
      <c r="X370" s="63">
        <f t="shared" si="542"/>
        <v>507.64500000000004</v>
      </c>
      <c r="Y370" s="63">
        <f t="shared" si="543"/>
        <v>4925.9070000000002</v>
      </c>
      <c r="Z370" s="63">
        <f t="shared" si="544"/>
        <v>56.016000000000005</v>
      </c>
      <c r="AA370" s="63">
        <f t="shared" si="552"/>
        <v>24.507000000000001</v>
      </c>
      <c r="AB370" s="63">
        <f t="shared" si="545"/>
        <v>335</v>
      </c>
      <c r="AC370" s="63">
        <f t="shared" si="546"/>
        <v>10356.36</v>
      </c>
      <c r="AD370" s="63">
        <f t="shared" si="547"/>
        <v>106.9136</v>
      </c>
      <c r="AE370" s="170">
        <v>560</v>
      </c>
      <c r="AF370" s="69">
        <f t="shared" si="548"/>
        <v>0</v>
      </c>
      <c r="AG370" s="69">
        <f t="shared" si="549"/>
        <v>18482.9686</v>
      </c>
      <c r="AH370" s="67">
        <v>22037.59</v>
      </c>
      <c r="AI370" s="69">
        <f t="shared" si="550"/>
        <v>-3554.6214</v>
      </c>
      <c r="AJ370" s="69">
        <f t="shared" si="551"/>
        <v>-3554.6214</v>
      </c>
    </row>
    <row r="371" spans="1:36" x14ac:dyDescent="0.25">
      <c r="A371" s="167">
        <v>560</v>
      </c>
      <c r="B371" s="92" t="s">
        <v>3034</v>
      </c>
      <c r="C371" s="70" t="s">
        <v>3033</v>
      </c>
      <c r="D371" s="71" t="s">
        <v>3035</v>
      </c>
      <c r="E371" s="71" t="s">
        <v>3036</v>
      </c>
      <c r="F371" s="76">
        <v>42509</v>
      </c>
      <c r="G371" s="59">
        <f t="shared" si="535"/>
        <v>5.6191780821917812</v>
      </c>
      <c r="H371" s="57"/>
      <c r="I371" s="66">
        <v>33310</v>
      </c>
      <c r="J371" s="66">
        <v>33310</v>
      </c>
      <c r="K371" s="63"/>
      <c r="L371" s="63">
        <f t="shared" si="536"/>
        <v>16.014423076923077</v>
      </c>
      <c r="M371" s="63">
        <f t="shared" si="537"/>
        <v>1281.1538461538462</v>
      </c>
      <c r="N371" s="63"/>
      <c r="O371" s="169"/>
      <c r="P371" s="169"/>
      <c r="Q371" s="63">
        <f t="shared" si="538"/>
        <v>0</v>
      </c>
      <c r="R371" s="63">
        <f t="shared" si="539"/>
        <v>33310</v>
      </c>
      <c r="S371" s="169"/>
      <c r="T371" s="63">
        <v>1200</v>
      </c>
      <c r="U371" s="63">
        <v>1500</v>
      </c>
      <c r="V371" s="63">
        <f t="shared" si="540"/>
        <v>36010</v>
      </c>
      <c r="W371" s="63">
        <f t="shared" si="541"/>
        <v>2232.62</v>
      </c>
      <c r="X371" s="63">
        <f t="shared" si="542"/>
        <v>522.14499999999998</v>
      </c>
      <c r="Y371" s="63">
        <f t="shared" si="543"/>
        <v>5066.607</v>
      </c>
      <c r="Z371" s="63">
        <f t="shared" si="544"/>
        <v>57.616</v>
      </c>
      <c r="AA371" s="63">
        <f t="shared" si="552"/>
        <v>25.207000000000001</v>
      </c>
      <c r="AB371" s="63">
        <f t="shared" si="545"/>
        <v>335</v>
      </c>
      <c r="AC371" s="63">
        <f t="shared" si="546"/>
        <v>10356.36</v>
      </c>
      <c r="AD371" s="63">
        <f t="shared" si="547"/>
        <v>106.9136</v>
      </c>
      <c r="AE371" s="170">
        <v>560</v>
      </c>
      <c r="AF371" s="69">
        <f t="shared" si="548"/>
        <v>0</v>
      </c>
      <c r="AG371" s="69">
        <f t="shared" si="549"/>
        <v>18702.4686</v>
      </c>
      <c r="AH371" s="67">
        <v>19048.689999999999</v>
      </c>
      <c r="AI371" s="69">
        <f t="shared" si="550"/>
        <v>-346.22139999999854</v>
      </c>
      <c r="AJ371" s="69">
        <f t="shared" si="551"/>
        <v>-346.22139999999854</v>
      </c>
    </row>
    <row r="372" spans="1:36" x14ac:dyDescent="0.25">
      <c r="A372" s="167">
        <v>560</v>
      </c>
      <c r="B372" s="92" t="s">
        <v>3037</v>
      </c>
      <c r="C372" s="70" t="s">
        <v>3033</v>
      </c>
      <c r="D372" s="71" t="s">
        <v>2737</v>
      </c>
      <c r="E372" s="71" t="s">
        <v>3038</v>
      </c>
      <c r="F372" s="73">
        <v>42323</v>
      </c>
      <c r="G372" s="59">
        <f t="shared" si="535"/>
        <v>6.1287671232876715</v>
      </c>
      <c r="H372" s="57"/>
      <c r="I372" s="66">
        <v>33310</v>
      </c>
      <c r="J372" s="182">
        <v>33920</v>
      </c>
      <c r="K372" s="63"/>
      <c r="L372" s="63">
        <f t="shared" si="536"/>
        <v>16.307692307692307</v>
      </c>
      <c r="M372" s="63">
        <f t="shared" si="537"/>
        <v>1304.6153846153845</v>
      </c>
      <c r="N372" s="63"/>
      <c r="O372" s="169"/>
      <c r="P372" s="63">
        <v>0</v>
      </c>
      <c r="Q372" s="63">
        <f t="shared" si="538"/>
        <v>0</v>
      </c>
      <c r="R372" s="63">
        <f t="shared" si="539"/>
        <v>33920</v>
      </c>
      <c r="S372" s="169"/>
      <c r="T372" s="63">
        <v>1200</v>
      </c>
      <c r="U372" s="63">
        <v>1500</v>
      </c>
      <c r="V372" s="63">
        <f t="shared" si="540"/>
        <v>36620</v>
      </c>
      <c r="W372" s="63">
        <f t="shared" si="541"/>
        <v>2270.44</v>
      </c>
      <c r="X372" s="63">
        <f t="shared" si="542"/>
        <v>530.99</v>
      </c>
      <c r="Y372" s="63">
        <f t="shared" si="543"/>
        <v>5152.4339999999993</v>
      </c>
      <c r="Z372" s="63">
        <f t="shared" si="544"/>
        <v>58.592000000000006</v>
      </c>
      <c r="AA372" s="63">
        <f t="shared" si="552"/>
        <v>25.634</v>
      </c>
      <c r="AB372" s="63">
        <f t="shared" si="545"/>
        <v>335</v>
      </c>
      <c r="AC372" s="63">
        <f t="shared" si="546"/>
        <v>10356.36</v>
      </c>
      <c r="AD372" s="63">
        <f t="shared" si="547"/>
        <v>106.9136</v>
      </c>
      <c r="AE372" s="170">
        <v>560</v>
      </c>
      <c r="AF372" s="69">
        <f t="shared" si="548"/>
        <v>610</v>
      </c>
      <c r="AG372" s="69">
        <f t="shared" si="549"/>
        <v>18836.363600000001</v>
      </c>
      <c r="AH372" s="67">
        <v>18426.259999999998</v>
      </c>
      <c r="AI372" s="69">
        <f t="shared" si="550"/>
        <v>410.10360000000219</v>
      </c>
      <c r="AJ372" s="69">
        <f t="shared" si="551"/>
        <v>1020.1036000000022</v>
      </c>
    </row>
    <row r="373" spans="1:36" x14ac:dyDescent="0.25">
      <c r="A373" s="167">
        <v>560</v>
      </c>
      <c r="B373" s="92" t="s">
        <v>3039</v>
      </c>
      <c r="C373" s="70" t="s">
        <v>3033</v>
      </c>
      <c r="D373" s="71" t="s">
        <v>2899</v>
      </c>
      <c r="E373" s="71" t="s">
        <v>3040</v>
      </c>
      <c r="F373" s="76">
        <v>38876</v>
      </c>
      <c r="G373" s="59">
        <f t="shared" si="535"/>
        <v>15.572602739726028</v>
      </c>
      <c r="H373" s="57"/>
      <c r="I373" s="66">
        <v>35820</v>
      </c>
      <c r="J373" s="66">
        <v>35820</v>
      </c>
      <c r="K373" s="63"/>
      <c r="L373" s="63">
        <f t="shared" si="536"/>
        <v>17.221153846153847</v>
      </c>
      <c r="M373" s="63">
        <f t="shared" si="537"/>
        <v>1377.6923076923076</v>
      </c>
      <c r="N373" s="63"/>
      <c r="O373" s="169"/>
      <c r="P373" s="169"/>
      <c r="Q373" s="63">
        <f t="shared" si="538"/>
        <v>0</v>
      </c>
      <c r="R373" s="63">
        <f t="shared" si="539"/>
        <v>35820</v>
      </c>
      <c r="S373" s="169"/>
      <c r="T373" s="63">
        <v>1200</v>
      </c>
      <c r="U373" s="63">
        <v>1500</v>
      </c>
      <c r="V373" s="63">
        <f t="shared" si="540"/>
        <v>38520</v>
      </c>
      <c r="W373" s="63">
        <f t="shared" si="541"/>
        <v>2388.2399999999998</v>
      </c>
      <c r="X373" s="63">
        <f t="shared" si="542"/>
        <v>558.54000000000008</v>
      </c>
      <c r="Y373" s="63">
        <f t="shared" si="543"/>
        <v>5419.7640000000001</v>
      </c>
      <c r="Z373" s="63">
        <f t="shared" si="544"/>
        <v>61.632000000000005</v>
      </c>
      <c r="AA373" s="63">
        <f t="shared" si="552"/>
        <v>26.963999999999999</v>
      </c>
      <c r="AB373" s="63">
        <f t="shared" si="545"/>
        <v>335</v>
      </c>
      <c r="AC373" s="63">
        <f t="shared" si="546"/>
        <v>10356.36</v>
      </c>
      <c r="AD373" s="63">
        <f t="shared" si="547"/>
        <v>106.9136</v>
      </c>
      <c r="AE373" s="170">
        <v>560</v>
      </c>
      <c r="AF373" s="69">
        <f t="shared" si="548"/>
        <v>0</v>
      </c>
      <c r="AG373" s="69">
        <f t="shared" si="549"/>
        <v>19253.4136</v>
      </c>
      <c r="AH373" s="67">
        <v>19001.05</v>
      </c>
      <c r="AI373" s="69">
        <f t="shared" si="550"/>
        <v>252.36360000000059</v>
      </c>
      <c r="AJ373" s="69">
        <f t="shared" si="551"/>
        <v>252.36360000000059</v>
      </c>
    </row>
    <row r="374" spans="1:36" x14ac:dyDescent="0.25">
      <c r="A374" s="167">
        <v>560</v>
      </c>
      <c r="B374" s="92" t="s">
        <v>3041</v>
      </c>
      <c r="C374" s="70" t="s">
        <v>3042</v>
      </c>
      <c r="D374" s="70" t="s">
        <v>2919</v>
      </c>
      <c r="E374" s="70" t="s">
        <v>3043</v>
      </c>
      <c r="F374" s="76">
        <v>37266</v>
      </c>
      <c r="G374" s="59">
        <f t="shared" si="535"/>
        <v>19.983561643835618</v>
      </c>
      <c r="H374" s="57"/>
      <c r="I374" s="66">
        <v>51488</v>
      </c>
      <c r="J374" s="66">
        <v>51488</v>
      </c>
      <c r="K374" s="63"/>
      <c r="L374" s="63">
        <f t="shared" si="536"/>
        <v>24.753846153846155</v>
      </c>
      <c r="M374" s="63">
        <f t="shared" si="537"/>
        <v>1980.3076923076924</v>
      </c>
      <c r="N374" s="63"/>
      <c r="O374" s="169"/>
      <c r="P374" s="169"/>
      <c r="Q374" s="63">
        <f t="shared" si="538"/>
        <v>0</v>
      </c>
      <c r="R374" s="63">
        <f t="shared" si="539"/>
        <v>51488</v>
      </c>
      <c r="S374" s="169"/>
      <c r="T374" s="63">
        <v>1200</v>
      </c>
      <c r="U374" s="63">
        <v>1000</v>
      </c>
      <c r="V374" s="63">
        <f t="shared" si="540"/>
        <v>53688</v>
      </c>
      <c r="W374" s="63">
        <f t="shared" si="541"/>
        <v>3328.6559999999999</v>
      </c>
      <c r="X374" s="63">
        <f t="shared" si="542"/>
        <v>778.476</v>
      </c>
      <c r="Y374" s="63">
        <f t="shared" si="543"/>
        <v>7553.9015999999992</v>
      </c>
      <c r="Z374" s="63">
        <f t="shared" si="544"/>
        <v>85.900800000000004</v>
      </c>
      <c r="AA374" s="63">
        <f t="shared" si="552"/>
        <v>37.581600000000002</v>
      </c>
      <c r="AB374" s="63">
        <f t="shared" si="545"/>
        <v>335</v>
      </c>
      <c r="AC374" s="63">
        <f t="shared" si="546"/>
        <v>10356.36</v>
      </c>
      <c r="AD374" s="63">
        <f t="shared" si="547"/>
        <v>106.9136</v>
      </c>
      <c r="AE374" s="170">
        <v>560</v>
      </c>
      <c r="AF374" s="69">
        <f t="shared" si="548"/>
        <v>0</v>
      </c>
      <c r="AG374" s="69">
        <f t="shared" si="549"/>
        <v>22582.789599999996</v>
      </c>
      <c r="AH374" s="67">
        <v>18426.259999999998</v>
      </c>
      <c r="AI374" s="69">
        <f t="shared" si="550"/>
        <v>4156.529599999998</v>
      </c>
      <c r="AJ374" s="69">
        <f t="shared" si="551"/>
        <v>4156.529599999998</v>
      </c>
    </row>
    <row r="375" spans="1:36" x14ac:dyDescent="0.25">
      <c r="A375" s="167">
        <v>560</v>
      </c>
      <c r="B375" s="92" t="s">
        <v>3044</v>
      </c>
      <c r="C375" s="70" t="s">
        <v>3045</v>
      </c>
      <c r="D375" s="168" t="s">
        <v>2497</v>
      </c>
      <c r="E375" s="168" t="s">
        <v>3046</v>
      </c>
      <c r="F375" s="74">
        <v>42984</v>
      </c>
      <c r="G375" s="59">
        <f t="shared" si="535"/>
        <v>4.3178082191780822</v>
      </c>
      <c r="H375" s="57"/>
      <c r="I375" s="57">
        <v>45510</v>
      </c>
      <c r="J375" s="182">
        <v>46344</v>
      </c>
      <c r="K375" s="63"/>
      <c r="L375" s="63">
        <f t="shared" si="536"/>
        <v>22.280769230769231</v>
      </c>
      <c r="M375" s="63">
        <f t="shared" si="537"/>
        <v>1782.4615384615386</v>
      </c>
      <c r="N375" s="63"/>
      <c r="O375" s="169"/>
      <c r="P375" s="169"/>
      <c r="Q375" s="63">
        <f t="shared" si="538"/>
        <v>0</v>
      </c>
      <c r="R375" s="63">
        <f t="shared" si="539"/>
        <v>46344</v>
      </c>
      <c r="S375" s="169"/>
      <c r="T375" s="63">
        <v>1200</v>
      </c>
      <c r="U375" s="63">
        <v>1500</v>
      </c>
      <c r="V375" s="63">
        <f t="shared" si="540"/>
        <v>49044</v>
      </c>
      <c r="W375" s="63">
        <f t="shared" si="541"/>
        <v>3040.7280000000001</v>
      </c>
      <c r="X375" s="63">
        <f t="shared" si="542"/>
        <v>711.13800000000003</v>
      </c>
      <c r="Y375" s="63">
        <f t="shared" si="543"/>
        <v>6900.4907999999996</v>
      </c>
      <c r="Z375" s="63">
        <f t="shared" si="544"/>
        <v>78.470399999999998</v>
      </c>
      <c r="AA375" s="63">
        <f t="shared" si="552"/>
        <v>34.330799999999996</v>
      </c>
      <c r="AB375" s="63">
        <f t="shared" si="545"/>
        <v>335</v>
      </c>
      <c r="AC375" s="63">
        <f t="shared" si="546"/>
        <v>10356.36</v>
      </c>
      <c r="AD375" s="63">
        <f t="shared" si="547"/>
        <v>106.9136</v>
      </c>
      <c r="AE375" s="170">
        <v>560</v>
      </c>
      <c r="AF375" s="69">
        <f t="shared" si="548"/>
        <v>834</v>
      </c>
      <c r="AG375" s="69">
        <f t="shared" si="549"/>
        <v>21563.4316</v>
      </c>
      <c r="AH375" s="67">
        <v>18426.259999999998</v>
      </c>
      <c r="AI375" s="69">
        <f t="shared" si="550"/>
        <v>3137.1716000000015</v>
      </c>
      <c r="AJ375" s="69">
        <f t="shared" si="551"/>
        <v>3971.1716000000015</v>
      </c>
    </row>
    <row r="376" spans="1:36" x14ac:dyDescent="0.25">
      <c r="A376" s="167">
        <v>560</v>
      </c>
      <c r="B376" s="92" t="s">
        <v>3047</v>
      </c>
      <c r="C376" s="181"/>
      <c r="D376" s="168" t="s">
        <v>3048</v>
      </c>
      <c r="E376" s="168" t="s">
        <v>3049</v>
      </c>
      <c r="F376" s="58">
        <v>38803</v>
      </c>
      <c r="G376" s="59">
        <f t="shared" si="535"/>
        <v>15.772602739726027</v>
      </c>
      <c r="H376" s="57"/>
      <c r="I376" s="66">
        <v>48058</v>
      </c>
      <c r="J376" s="57">
        <v>48058</v>
      </c>
      <c r="K376" s="63"/>
      <c r="L376" s="63">
        <f t="shared" si="536"/>
        <v>23.104807692307691</v>
      </c>
      <c r="M376" s="63">
        <f t="shared" si="537"/>
        <v>1848.3846153846155</v>
      </c>
      <c r="N376" s="63"/>
      <c r="O376" s="169"/>
      <c r="P376" s="169"/>
      <c r="Q376" s="63">
        <f t="shared" si="538"/>
        <v>0</v>
      </c>
      <c r="R376" s="63">
        <f t="shared" si="539"/>
        <v>48058</v>
      </c>
      <c r="S376" s="169"/>
      <c r="T376" s="63">
        <v>1200</v>
      </c>
      <c r="U376" s="63">
        <v>1000</v>
      </c>
      <c r="V376" s="63">
        <f t="shared" si="540"/>
        <v>50258</v>
      </c>
      <c r="W376" s="63">
        <f t="shared" si="541"/>
        <v>3115.9960000000001</v>
      </c>
      <c r="X376" s="63">
        <f t="shared" si="542"/>
        <v>728.74099999999999</v>
      </c>
      <c r="Y376" s="63">
        <f t="shared" si="543"/>
        <v>7071.3005999999996</v>
      </c>
      <c r="Z376" s="63">
        <f t="shared" si="544"/>
        <v>80.412800000000004</v>
      </c>
      <c r="AA376" s="63">
        <f t="shared" si="552"/>
        <v>35.180599999999998</v>
      </c>
      <c r="AB376" s="63">
        <f t="shared" si="545"/>
        <v>335</v>
      </c>
      <c r="AC376" s="63">
        <f t="shared" si="546"/>
        <v>10356.36</v>
      </c>
      <c r="AD376" s="63">
        <f t="shared" si="547"/>
        <v>106.9136</v>
      </c>
      <c r="AE376" s="170">
        <v>560</v>
      </c>
      <c r="AF376" s="69">
        <f t="shared" si="548"/>
        <v>0</v>
      </c>
      <c r="AG376" s="69">
        <f t="shared" si="549"/>
        <v>21829.904600000002</v>
      </c>
      <c r="AH376" s="67">
        <v>22978.33</v>
      </c>
      <c r="AI376" s="69">
        <f t="shared" si="550"/>
        <v>-1148.4254000000001</v>
      </c>
      <c r="AJ376" s="69">
        <f t="shared" si="551"/>
        <v>-1148.4254000000001</v>
      </c>
    </row>
    <row r="377" spans="1:36" x14ac:dyDescent="0.25">
      <c r="A377" s="167">
        <v>560</v>
      </c>
      <c r="B377" s="92" t="s">
        <v>3050</v>
      </c>
      <c r="C377" s="181"/>
      <c r="D377" s="71" t="s">
        <v>2497</v>
      </c>
      <c r="E377" s="71" t="s">
        <v>3051</v>
      </c>
      <c r="F377" s="73">
        <v>36306</v>
      </c>
      <c r="G377" s="59">
        <f t="shared" si="535"/>
        <v>22.613698630136987</v>
      </c>
      <c r="H377" s="57"/>
      <c r="I377" s="66">
        <v>49836</v>
      </c>
      <c r="J377" s="182">
        <v>50750</v>
      </c>
      <c r="K377" s="63"/>
      <c r="L377" s="63">
        <f t="shared" si="536"/>
        <v>24.39903846153846</v>
      </c>
      <c r="M377" s="63">
        <f t="shared" si="537"/>
        <v>1951.9230769230769</v>
      </c>
      <c r="N377" s="63"/>
      <c r="O377" s="169"/>
      <c r="P377" s="169"/>
      <c r="Q377" s="63">
        <f t="shared" si="538"/>
        <v>0</v>
      </c>
      <c r="R377" s="63">
        <f t="shared" si="539"/>
        <v>50750</v>
      </c>
      <c r="S377" s="169"/>
      <c r="T377" s="63">
        <v>1200</v>
      </c>
      <c r="U377" s="169"/>
      <c r="V377" s="63">
        <f t="shared" si="540"/>
        <v>51950</v>
      </c>
      <c r="W377" s="63">
        <f t="shared" si="541"/>
        <v>3220.9</v>
      </c>
      <c r="X377" s="63">
        <f t="shared" si="542"/>
        <v>753.27500000000009</v>
      </c>
      <c r="Y377" s="63">
        <f t="shared" si="543"/>
        <v>7309.3649999999998</v>
      </c>
      <c r="Z377" s="63">
        <f t="shared" si="544"/>
        <v>83.12</v>
      </c>
      <c r="AA377" s="63">
        <f t="shared" si="552"/>
        <v>36.365000000000002</v>
      </c>
      <c r="AB377" s="63">
        <f t="shared" si="545"/>
        <v>335</v>
      </c>
      <c r="AC377" s="63">
        <f t="shared" si="546"/>
        <v>10356.36</v>
      </c>
      <c r="AD377" s="63">
        <f t="shared" si="547"/>
        <v>106.9136</v>
      </c>
      <c r="AE377" s="170">
        <v>560</v>
      </c>
      <c r="AF377" s="69">
        <f t="shared" si="548"/>
        <v>914</v>
      </c>
      <c r="AG377" s="69">
        <f t="shared" si="549"/>
        <v>22201.298600000002</v>
      </c>
      <c r="AH377" s="67">
        <v>22829.02</v>
      </c>
      <c r="AI377" s="69">
        <f t="shared" si="550"/>
        <v>-627.72139999999854</v>
      </c>
      <c r="AJ377" s="69">
        <f t="shared" si="551"/>
        <v>286.27860000000146</v>
      </c>
    </row>
    <row r="378" spans="1:36" x14ac:dyDescent="0.25">
      <c r="A378" s="167">
        <v>560</v>
      </c>
      <c r="B378" s="92" t="s">
        <v>3052</v>
      </c>
      <c r="C378" s="181"/>
      <c r="D378" s="71" t="s">
        <v>3053</v>
      </c>
      <c r="E378" s="71" t="s">
        <v>3054</v>
      </c>
      <c r="F378" s="73">
        <v>35690</v>
      </c>
      <c r="G378" s="59">
        <f t="shared" si="535"/>
        <v>24.301369863013697</v>
      </c>
      <c r="H378" s="57"/>
      <c r="I378" s="66">
        <v>49836</v>
      </c>
      <c r="J378" s="182">
        <v>50750</v>
      </c>
      <c r="K378" s="63"/>
      <c r="L378" s="63">
        <f t="shared" si="536"/>
        <v>24.39903846153846</v>
      </c>
      <c r="M378" s="63">
        <f t="shared" si="537"/>
        <v>1951.9230769230769</v>
      </c>
      <c r="N378" s="63"/>
      <c r="O378" s="169"/>
      <c r="P378" s="169"/>
      <c r="Q378" s="63">
        <f t="shared" si="538"/>
        <v>0</v>
      </c>
      <c r="R378" s="63">
        <f t="shared" si="539"/>
        <v>50750</v>
      </c>
      <c r="S378" s="169"/>
      <c r="T378" s="63">
        <v>1200</v>
      </c>
      <c r="U378" s="63">
        <v>1000</v>
      </c>
      <c r="V378" s="63">
        <f t="shared" si="540"/>
        <v>52950</v>
      </c>
      <c r="W378" s="63">
        <f t="shared" si="541"/>
        <v>3282.9</v>
      </c>
      <c r="X378" s="63">
        <f t="shared" si="542"/>
        <v>767.77500000000009</v>
      </c>
      <c r="Y378" s="63">
        <f t="shared" si="543"/>
        <v>7450.0649999999996</v>
      </c>
      <c r="Z378" s="63">
        <f t="shared" si="544"/>
        <v>84.72</v>
      </c>
      <c r="AA378" s="63">
        <f t="shared" si="552"/>
        <v>37.064999999999998</v>
      </c>
      <c r="AB378" s="63">
        <f t="shared" si="545"/>
        <v>335</v>
      </c>
      <c r="AC378" s="63">
        <f t="shared" si="546"/>
        <v>10356.36</v>
      </c>
      <c r="AD378" s="63">
        <f t="shared" si="547"/>
        <v>106.9136</v>
      </c>
      <c r="AE378" s="170">
        <v>560</v>
      </c>
      <c r="AF378" s="69">
        <f t="shared" si="548"/>
        <v>914</v>
      </c>
      <c r="AG378" s="69">
        <f t="shared" si="549"/>
        <v>22420.798600000002</v>
      </c>
      <c r="AH378" s="67">
        <v>22416.13</v>
      </c>
      <c r="AI378" s="69">
        <f t="shared" si="550"/>
        <v>4.6686000000008789</v>
      </c>
      <c r="AJ378" s="69">
        <f t="shared" si="551"/>
        <v>918.66860000000088</v>
      </c>
    </row>
    <row r="379" spans="1:36" x14ac:dyDescent="0.25">
      <c r="A379" s="167">
        <v>560</v>
      </c>
      <c r="B379" s="92" t="s">
        <v>3055</v>
      </c>
      <c r="C379" s="70" t="s">
        <v>3056</v>
      </c>
      <c r="D379" s="71" t="s">
        <v>3057</v>
      </c>
      <c r="E379" s="71" t="s">
        <v>3058</v>
      </c>
      <c r="F379" s="97">
        <v>43332</v>
      </c>
      <c r="G379" s="59">
        <f t="shared" si="535"/>
        <v>3.3643835616438356</v>
      </c>
      <c r="H379" s="57"/>
      <c r="I379" s="66">
        <v>45510</v>
      </c>
      <c r="J379" s="66">
        <v>45510</v>
      </c>
      <c r="K379" s="63"/>
      <c r="L379" s="63">
        <f t="shared" si="536"/>
        <v>21.879807692307693</v>
      </c>
      <c r="M379" s="63">
        <f t="shared" si="537"/>
        <v>1750.3846153846155</v>
      </c>
      <c r="N379" s="63"/>
      <c r="O379" s="169"/>
      <c r="P379" s="169"/>
      <c r="Q379" s="63">
        <f t="shared" si="538"/>
        <v>0</v>
      </c>
      <c r="R379" s="63">
        <f t="shared" si="539"/>
        <v>45510</v>
      </c>
      <c r="S379" s="169"/>
      <c r="T379" s="63">
        <v>1200</v>
      </c>
      <c r="U379" s="63">
        <v>1000</v>
      </c>
      <c r="V379" s="63">
        <f t="shared" si="540"/>
        <v>47710</v>
      </c>
      <c r="W379" s="63">
        <f t="shared" si="541"/>
        <v>2958.02</v>
      </c>
      <c r="X379" s="63">
        <f t="shared" si="542"/>
        <v>691.79500000000007</v>
      </c>
      <c r="Y379" s="63">
        <f t="shared" si="543"/>
        <v>6712.7969999999996</v>
      </c>
      <c r="Z379" s="63">
        <f t="shared" si="544"/>
        <v>76.335999999999999</v>
      </c>
      <c r="AA379" s="63">
        <f t="shared" si="552"/>
        <v>33.396999999999998</v>
      </c>
      <c r="AB379" s="63">
        <f t="shared" si="545"/>
        <v>335</v>
      </c>
      <c r="AC379" s="63">
        <f t="shared" si="546"/>
        <v>10356.36</v>
      </c>
      <c r="AD379" s="63">
        <f t="shared" si="547"/>
        <v>106.9136</v>
      </c>
      <c r="AE379" s="170">
        <v>560</v>
      </c>
      <c r="AF379" s="69">
        <f t="shared" si="548"/>
        <v>0</v>
      </c>
      <c r="AG379" s="69">
        <f t="shared" si="549"/>
        <v>21270.618600000002</v>
      </c>
      <c r="AH379" s="67">
        <v>22829.02</v>
      </c>
      <c r="AI379" s="69">
        <f t="shared" si="550"/>
        <v>-1558.4013999999988</v>
      </c>
      <c r="AJ379" s="69">
        <f t="shared" si="551"/>
        <v>-1558.4013999999988</v>
      </c>
    </row>
    <row r="380" spans="1:36" x14ac:dyDescent="0.25">
      <c r="A380" s="167">
        <v>560</v>
      </c>
      <c r="B380" s="92" t="s">
        <v>3059</v>
      </c>
      <c r="C380" s="70" t="s">
        <v>3056</v>
      </c>
      <c r="D380" s="71" t="s">
        <v>2970</v>
      </c>
      <c r="E380" s="71" t="s">
        <v>2971</v>
      </c>
      <c r="F380" s="73">
        <v>42150</v>
      </c>
      <c r="G380" s="59">
        <f t="shared" si="535"/>
        <v>6.602739726027397</v>
      </c>
      <c r="H380" s="57"/>
      <c r="I380" s="57">
        <v>45510</v>
      </c>
      <c r="J380" s="182">
        <v>46344</v>
      </c>
      <c r="K380" s="63"/>
      <c r="L380" s="63">
        <f t="shared" si="536"/>
        <v>22.280769230769231</v>
      </c>
      <c r="M380" s="63">
        <f t="shared" si="537"/>
        <v>1782.4615384615386</v>
      </c>
      <c r="N380" s="63"/>
      <c r="O380" s="169"/>
      <c r="P380" s="169"/>
      <c r="Q380" s="63">
        <f t="shared" si="538"/>
        <v>0</v>
      </c>
      <c r="R380" s="63">
        <f t="shared" si="539"/>
        <v>46344</v>
      </c>
      <c r="S380" s="169"/>
      <c r="T380" s="63">
        <v>1200</v>
      </c>
      <c r="U380" s="63"/>
      <c r="V380" s="63">
        <f t="shared" si="540"/>
        <v>47544</v>
      </c>
      <c r="W380" s="63">
        <f t="shared" si="541"/>
        <v>2947.7280000000001</v>
      </c>
      <c r="X380" s="63">
        <f t="shared" si="542"/>
        <v>689.38800000000003</v>
      </c>
      <c r="Y380" s="63">
        <f t="shared" si="543"/>
        <v>6689.4407999999994</v>
      </c>
      <c r="Z380" s="63">
        <f t="shared" si="544"/>
        <v>76.070400000000006</v>
      </c>
      <c r="AA380" s="63">
        <f t="shared" si="552"/>
        <v>33.280799999999999</v>
      </c>
      <c r="AB380" s="63">
        <f t="shared" si="545"/>
        <v>335</v>
      </c>
      <c r="AC380" s="63">
        <f t="shared" si="546"/>
        <v>10356.36</v>
      </c>
      <c r="AD380" s="63">
        <f t="shared" si="547"/>
        <v>106.9136</v>
      </c>
      <c r="AE380" s="170">
        <v>560</v>
      </c>
      <c r="AF380" s="69">
        <f t="shared" si="548"/>
        <v>834</v>
      </c>
      <c r="AG380" s="69">
        <f t="shared" si="549"/>
        <v>21234.1816</v>
      </c>
      <c r="AH380" s="67">
        <v>22301.63</v>
      </c>
      <c r="AI380" s="69">
        <f t="shared" si="550"/>
        <v>-1067.4484000000011</v>
      </c>
      <c r="AJ380" s="69">
        <f t="shared" si="551"/>
        <v>-233.44840000000113</v>
      </c>
    </row>
    <row r="381" spans="1:36" x14ac:dyDescent="0.25">
      <c r="A381" s="167">
        <v>560</v>
      </c>
      <c r="B381" s="92" t="s">
        <v>3060</v>
      </c>
      <c r="C381" s="70" t="s">
        <v>3056</v>
      </c>
      <c r="D381" s="71" t="s">
        <v>3061</v>
      </c>
      <c r="E381" s="71" t="s">
        <v>2589</v>
      </c>
      <c r="F381" s="73">
        <v>43556</v>
      </c>
      <c r="G381" s="59">
        <f t="shared" si="535"/>
        <v>2.7506849315068491</v>
      </c>
      <c r="H381" s="57"/>
      <c r="I381" s="66">
        <v>45510</v>
      </c>
      <c r="J381" s="235">
        <v>46344</v>
      </c>
      <c r="K381" s="63"/>
      <c r="L381" s="63">
        <f t="shared" si="536"/>
        <v>22.280769230769231</v>
      </c>
      <c r="M381" s="63">
        <f t="shared" si="537"/>
        <v>1782.4615384615386</v>
      </c>
      <c r="N381" s="63"/>
      <c r="O381" s="169"/>
      <c r="P381" s="169"/>
      <c r="Q381" s="63">
        <f t="shared" si="538"/>
        <v>0</v>
      </c>
      <c r="R381" s="63">
        <f t="shared" si="539"/>
        <v>46344</v>
      </c>
      <c r="S381" s="169"/>
      <c r="T381" s="63">
        <v>1200</v>
      </c>
      <c r="U381" s="169"/>
      <c r="V381" s="63">
        <f t="shared" si="540"/>
        <v>47544</v>
      </c>
      <c r="W381" s="63">
        <f t="shared" si="541"/>
        <v>2947.7280000000001</v>
      </c>
      <c r="X381" s="63">
        <f t="shared" si="542"/>
        <v>689.38800000000003</v>
      </c>
      <c r="Y381" s="63">
        <f t="shared" si="543"/>
        <v>6689.4407999999994</v>
      </c>
      <c r="Z381" s="63">
        <f t="shared" si="544"/>
        <v>76.070400000000006</v>
      </c>
      <c r="AA381" s="63">
        <f t="shared" si="552"/>
        <v>33.280799999999999</v>
      </c>
      <c r="AB381" s="63">
        <f t="shared" si="545"/>
        <v>335</v>
      </c>
      <c r="AC381" s="63">
        <f t="shared" si="546"/>
        <v>10356.36</v>
      </c>
      <c r="AD381" s="63">
        <f t="shared" si="547"/>
        <v>106.9136</v>
      </c>
      <c r="AE381" s="170">
        <v>560</v>
      </c>
      <c r="AF381" s="69">
        <f t="shared" si="548"/>
        <v>834</v>
      </c>
      <c r="AG381" s="69">
        <f t="shared" si="549"/>
        <v>21234.1816</v>
      </c>
      <c r="AH381" s="67">
        <v>21838.36</v>
      </c>
      <c r="AI381" s="69">
        <f t="shared" si="550"/>
        <v>-604.17840000000069</v>
      </c>
      <c r="AJ381" s="69">
        <f t="shared" si="551"/>
        <v>229.82159999999931</v>
      </c>
    </row>
    <row r="382" spans="1:36" x14ac:dyDescent="0.25">
      <c r="A382" s="167">
        <v>560</v>
      </c>
      <c r="B382" s="92" t="s">
        <v>3062</v>
      </c>
      <c r="C382" s="181"/>
      <c r="D382" s="71" t="s">
        <v>2468</v>
      </c>
      <c r="E382" s="71" t="s">
        <v>3064</v>
      </c>
      <c r="F382" s="72">
        <v>41834</v>
      </c>
      <c r="G382" s="59">
        <f t="shared" si="535"/>
        <v>7.4684931506849317</v>
      </c>
      <c r="H382" s="57"/>
      <c r="I382" s="66">
        <v>46344</v>
      </c>
      <c r="J382" s="66">
        <v>46344</v>
      </c>
      <c r="K382" s="63"/>
      <c r="L382" s="63">
        <f t="shared" si="536"/>
        <v>22.280769230769231</v>
      </c>
      <c r="M382" s="63">
        <f t="shared" si="537"/>
        <v>1782.4615384615386</v>
      </c>
      <c r="N382" s="63"/>
      <c r="O382" s="169"/>
      <c r="P382" s="63">
        <v>0</v>
      </c>
      <c r="Q382" s="63">
        <f t="shared" si="538"/>
        <v>0</v>
      </c>
      <c r="R382" s="63">
        <f t="shared" si="539"/>
        <v>46344</v>
      </c>
      <c r="S382" s="169"/>
      <c r="T382" s="169"/>
      <c r="U382" s="63">
        <v>1000</v>
      </c>
      <c r="V382" s="63">
        <f t="shared" si="540"/>
        <v>47344</v>
      </c>
      <c r="W382" s="63">
        <f t="shared" si="541"/>
        <v>2935.328</v>
      </c>
      <c r="X382" s="63">
        <f t="shared" si="542"/>
        <v>686.48800000000006</v>
      </c>
      <c r="Y382" s="63">
        <f t="shared" si="543"/>
        <v>6661.3008</v>
      </c>
      <c r="Z382" s="63">
        <f t="shared" si="544"/>
        <v>75.750399999999999</v>
      </c>
      <c r="AA382" s="63">
        <f t="shared" si="552"/>
        <v>33.140799999999999</v>
      </c>
      <c r="AB382" s="63">
        <f t="shared" si="545"/>
        <v>335</v>
      </c>
      <c r="AC382" s="63">
        <f t="shared" si="546"/>
        <v>10356.36</v>
      </c>
      <c r="AD382" s="63">
        <f t="shared" si="547"/>
        <v>106.9136</v>
      </c>
      <c r="AE382" s="170">
        <v>560</v>
      </c>
      <c r="AF382" s="69">
        <f t="shared" si="548"/>
        <v>0</v>
      </c>
      <c r="AG382" s="69">
        <f t="shared" si="549"/>
        <v>21190.281600000002</v>
      </c>
      <c r="AH382" s="67">
        <v>22307.360000000001</v>
      </c>
      <c r="AI382" s="69">
        <f t="shared" si="550"/>
        <v>-1117.0783999999985</v>
      </c>
      <c r="AJ382" s="69">
        <f t="shared" si="551"/>
        <v>-1117.0783999999985</v>
      </c>
    </row>
    <row r="383" spans="1:36" x14ac:dyDescent="0.25">
      <c r="A383" s="167">
        <v>560</v>
      </c>
      <c r="B383" s="92" t="s">
        <v>3069</v>
      </c>
      <c r="C383" s="70" t="s">
        <v>3070</v>
      </c>
      <c r="D383" s="70" t="s">
        <v>3067</v>
      </c>
      <c r="E383" s="70" t="s">
        <v>3071</v>
      </c>
      <c r="F383" s="73">
        <v>39360</v>
      </c>
      <c r="G383" s="59">
        <f t="shared" si="535"/>
        <v>14.246575342465754</v>
      </c>
      <c r="H383" s="57"/>
      <c r="I383" s="66">
        <v>41717</v>
      </c>
      <c r="J383" s="182">
        <v>42482</v>
      </c>
      <c r="K383" s="63"/>
      <c r="L383" s="63">
        <f t="shared" si="536"/>
        <v>20.424038461538462</v>
      </c>
      <c r="M383" s="63">
        <f t="shared" si="537"/>
        <v>1633.9230769230769</v>
      </c>
      <c r="N383" s="63"/>
      <c r="O383" s="169"/>
      <c r="P383" s="169"/>
      <c r="Q383" s="63">
        <f t="shared" si="538"/>
        <v>0</v>
      </c>
      <c r="R383" s="63">
        <f t="shared" si="539"/>
        <v>42482</v>
      </c>
      <c r="S383" s="169"/>
      <c r="T383" s="169"/>
      <c r="U383" s="63"/>
      <c r="V383" s="63">
        <f t="shared" si="540"/>
        <v>42482</v>
      </c>
      <c r="W383" s="63">
        <f t="shared" si="541"/>
        <v>2633.884</v>
      </c>
      <c r="X383" s="63">
        <f t="shared" si="542"/>
        <v>615.98900000000003</v>
      </c>
      <c r="Y383" s="63">
        <f t="shared" si="543"/>
        <v>5977.2173999999995</v>
      </c>
      <c r="Z383" s="63">
        <f t="shared" si="544"/>
        <v>67.97120000000001</v>
      </c>
      <c r="AA383" s="63">
        <f t="shared" si="552"/>
        <v>29.737400000000001</v>
      </c>
      <c r="AB383" s="63">
        <f t="shared" si="545"/>
        <v>335</v>
      </c>
      <c r="AC383" s="63">
        <f t="shared" si="546"/>
        <v>10356.36</v>
      </c>
      <c r="AD383" s="63">
        <f t="shared" si="547"/>
        <v>106.9136</v>
      </c>
      <c r="AE383" s="170">
        <v>560</v>
      </c>
      <c r="AF383" s="69">
        <f t="shared" si="548"/>
        <v>765</v>
      </c>
      <c r="AG383" s="69">
        <f t="shared" si="549"/>
        <v>20123.0726</v>
      </c>
      <c r="AH383" s="67">
        <v>21494.86</v>
      </c>
      <c r="AI383" s="69">
        <f t="shared" si="550"/>
        <v>-1371.7874000000011</v>
      </c>
      <c r="AJ383" s="69">
        <f t="shared" si="551"/>
        <v>-606.78740000000107</v>
      </c>
    </row>
    <row r="384" spans="1:36" x14ac:dyDescent="0.25">
      <c r="A384" s="167">
        <v>560</v>
      </c>
      <c r="B384" s="92" t="s">
        <v>3072</v>
      </c>
      <c r="C384" s="70" t="s">
        <v>3073</v>
      </c>
      <c r="D384" s="71" t="s">
        <v>3074</v>
      </c>
      <c r="E384" s="71" t="s">
        <v>3075</v>
      </c>
      <c r="F384" s="73">
        <v>43794</v>
      </c>
      <c r="G384" s="59">
        <f t="shared" si="535"/>
        <v>2.0986301369863014</v>
      </c>
      <c r="H384" s="57"/>
      <c r="I384" s="66">
        <v>35791</v>
      </c>
      <c r="J384" s="182">
        <v>36447</v>
      </c>
      <c r="K384" s="63"/>
      <c r="L384" s="63">
        <f t="shared" si="536"/>
        <v>17.522596153846155</v>
      </c>
      <c r="M384" s="63">
        <f t="shared" si="537"/>
        <v>1401.8076923076924</v>
      </c>
      <c r="N384" s="63"/>
      <c r="O384" s="169"/>
      <c r="P384" s="169"/>
      <c r="Q384" s="63">
        <f t="shared" si="538"/>
        <v>0</v>
      </c>
      <c r="R384" s="63">
        <f t="shared" si="539"/>
        <v>36447</v>
      </c>
      <c r="S384" s="169"/>
      <c r="T384" s="169"/>
      <c r="U384" s="169"/>
      <c r="V384" s="63">
        <f t="shared" si="540"/>
        <v>36447</v>
      </c>
      <c r="W384" s="63">
        <f t="shared" si="541"/>
        <v>2259.7139999999999</v>
      </c>
      <c r="X384" s="63">
        <f t="shared" si="542"/>
        <v>528.48149999999998</v>
      </c>
      <c r="Y384" s="63">
        <f t="shared" si="543"/>
        <v>5128.0928999999996</v>
      </c>
      <c r="Z384" s="63">
        <f t="shared" si="544"/>
        <v>58.315200000000004</v>
      </c>
      <c r="AA384" s="63">
        <f t="shared" si="552"/>
        <v>25.512899999999998</v>
      </c>
      <c r="AB384" s="63">
        <f t="shared" si="545"/>
        <v>335</v>
      </c>
      <c r="AC384" s="63">
        <f t="shared" si="546"/>
        <v>10356.36</v>
      </c>
      <c r="AD384" s="63">
        <f t="shared" si="547"/>
        <v>106.9136</v>
      </c>
      <c r="AE384" s="170">
        <v>560</v>
      </c>
      <c r="AF384" s="69">
        <f t="shared" si="548"/>
        <v>656</v>
      </c>
      <c r="AG384" s="69">
        <f t="shared" si="549"/>
        <v>18798.390100000001</v>
      </c>
      <c r="AH384" s="67">
        <v>22509.1</v>
      </c>
      <c r="AI384" s="69">
        <f t="shared" si="550"/>
        <v>-3710.709899999998</v>
      </c>
      <c r="AJ384" s="69">
        <f t="shared" si="551"/>
        <v>-3054.709899999998</v>
      </c>
    </row>
    <row r="385" spans="1:36" x14ac:dyDescent="0.25">
      <c r="A385" s="167">
        <v>560</v>
      </c>
      <c r="B385" s="92" t="s">
        <v>3076</v>
      </c>
      <c r="C385" s="70" t="s">
        <v>3073</v>
      </c>
      <c r="D385" s="71" t="s">
        <v>3077</v>
      </c>
      <c r="E385" s="71" t="s">
        <v>3078</v>
      </c>
      <c r="F385" s="76">
        <v>43439</v>
      </c>
      <c r="G385" s="59">
        <f t="shared" si="535"/>
        <v>3.0712328767123287</v>
      </c>
      <c r="H385" s="57"/>
      <c r="I385" s="66">
        <v>35791</v>
      </c>
      <c r="J385" s="66">
        <v>35791</v>
      </c>
      <c r="K385" s="63"/>
      <c r="L385" s="63">
        <f t="shared" si="536"/>
        <v>17.207211538461539</v>
      </c>
      <c r="M385" s="63">
        <f t="shared" si="537"/>
        <v>1376.5769230769231</v>
      </c>
      <c r="N385" s="63"/>
      <c r="O385" s="169"/>
      <c r="P385" s="169"/>
      <c r="Q385" s="63">
        <f t="shared" si="538"/>
        <v>0</v>
      </c>
      <c r="R385" s="63">
        <f t="shared" si="539"/>
        <v>35791</v>
      </c>
      <c r="S385" s="169"/>
      <c r="T385" s="169"/>
      <c r="U385" s="169"/>
      <c r="V385" s="63">
        <f t="shared" si="540"/>
        <v>35791</v>
      </c>
      <c r="W385" s="63">
        <f t="shared" si="541"/>
        <v>2219.0419999999999</v>
      </c>
      <c r="X385" s="63">
        <f t="shared" si="542"/>
        <v>518.96950000000004</v>
      </c>
      <c r="Y385" s="63">
        <f t="shared" si="543"/>
        <v>5035.7936999999993</v>
      </c>
      <c r="Z385" s="63">
        <f t="shared" si="544"/>
        <v>57.265600000000006</v>
      </c>
      <c r="AA385" s="63">
        <f t="shared" si="552"/>
        <v>25.053699999999999</v>
      </c>
      <c r="AB385" s="63">
        <f t="shared" si="545"/>
        <v>335</v>
      </c>
      <c r="AC385" s="63">
        <f t="shared" si="546"/>
        <v>10356.36</v>
      </c>
      <c r="AD385" s="63">
        <f t="shared" si="547"/>
        <v>106.9136</v>
      </c>
      <c r="AE385" s="170">
        <v>560</v>
      </c>
      <c r="AF385" s="69">
        <f t="shared" si="548"/>
        <v>0</v>
      </c>
      <c r="AG385" s="69">
        <f t="shared" si="549"/>
        <v>18654.398099999999</v>
      </c>
      <c r="AH385" s="67">
        <v>22103.77</v>
      </c>
      <c r="AI385" s="69">
        <f t="shared" si="550"/>
        <v>-3449.3719000000019</v>
      </c>
      <c r="AJ385" s="69">
        <f t="shared" si="551"/>
        <v>-3449.3719000000019</v>
      </c>
    </row>
    <row r="386" spans="1:36" x14ac:dyDescent="0.25">
      <c r="A386" s="167">
        <v>560</v>
      </c>
      <c r="B386" s="92" t="s">
        <v>3079</v>
      </c>
      <c r="C386" s="70" t="s">
        <v>3073</v>
      </c>
      <c r="D386" s="71" t="s">
        <v>2765</v>
      </c>
      <c r="E386" s="71" t="s">
        <v>3080</v>
      </c>
      <c r="F386" s="76">
        <v>43304</v>
      </c>
      <c r="G386" s="59">
        <f t="shared" si="535"/>
        <v>3.441095890410959</v>
      </c>
      <c r="H386" s="57"/>
      <c r="I386" s="66">
        <v>35791</v>
      </c>
      <c r="J386" s="66">
        <v>35791</v>
      </c>
      <c r="K386" s="63"/>
      <c r="L386" s="63">
        <f t="shared" si="536"/>
        <v>17.207211538461539</v>
      </c>
      <c r="M386" s="63">
        <f t="shared" si="537"/>
        <v>1376.5769230769231</v>
      </c>
      <c r="N386" s="63"/>
      <c r="O386" s="169"/>
      <c r="P386" s="169"/>
      <c r="Q386" s="63">
        <f t="shared" si="538"/>
        <v>0</v>
      </c>
      <c r="R386" s="63">
        <f t="shared" si="539"/>
        <v>35791</v>
      </c>
      <c r="S386" s="169"/>
      <c r="T386" s="169"/>
      <c r="U386" s="169"/>
      <c r="V386" s="63">
        <f t="shared" si="540"/>
        <v>35791</v>
      </c>
      <c r="W386" s="63">
        <f t="shared" si="541"/>
        <v>2219.0419999999999</v>
      </c>
      <c r="X386" s="63">
        <f t="shared" si="542"/>
        <v>518.96950000000004</v>
      </c>
      <c r="Y386" s="63">
        <f t="shared" si="543"/>
        <v>5035.7936999999993</v>
      </c>
      <c r="Z386" s="63">
        <f t="shared" si="544"/>
        <v>57.265600000000006</v>
      </c>
      <c r="AA386" s="63">
        <f t="shared" si="552"/>
        <v>25.053699999999999</v>
      </c>
      <c r="AB386" s="63">
        <f t="shared" si="545"/>
        <v>335</v>
      </c>
      <c r="AC386" s="63">
        <f t="shared" si="546"/>
        <v>10356.36</v>
      </c>
      <c r="AD386" s="63">
        <f t="shared" si="547"/>
        <v>106.9136</v>
      </c>
      <c r="AE386" s="170">
        <v>560</v>
      </c>
      <c r="AF386" s="69">
        <f t="shared" si="548"/>
        <v>0</v>
      </c>
      <c r="AG386" s="69">
        <f t="shared" si="549"/>
        <v>18654.398099999999</v>
      </c>
      <c r="AH386" s="67">
        <v>21494.86</v>
      </c>
      <c r="AI386" s="69">
        <f t="shared" si="550"/>
        <v>-2840.4619000000021</v>
      </c>
      <c r="AJ386" s="69">
        <f t="shared" si="551"/>
        <v>-2840.4619000000021</v>
      </c>
    </row>
    <row r="387" spans="1:36" x14ac:dyDescent="0.25">
      <c r="A387" s="167">
        <v>560</v>
      </c>
      <c r="B387" s="92" t="s">
        <v>3081</v>
      </c>
      <c r="C387" s="70" t="s">
        <v>3073</v>
      </c>
      <c r="D387" s="71" t="s">
        <v>3082</v>
      </c>
      <c r="E387" s="71" t="s">
        <v>3083</v>
      </c>
      <c r="F387" s="73">
        <v>42835</v>
      </c>
      <c r="G387" s="59">
        <f t="shared" si="535"/>
        <v>4.7260273972602738</v>
      </c>
      <c r="H387" s="57"/>
      <c r="I387" s="66">
        <v>35791</v>
      </c>
      <c r="J387" s="182">
        <v>36447</v>
      </c>
      <c r="K387" s="63"/>
      <c r="L387" s="63">
        <f t="shared" si="536"/>
        <v>17.522596153846155</v>
      </c>
      <c r="M387" s="63">
        <f t="shared" si="537"/>
        <v>1401.8076923076924</v>
      </c>
      <c r="N387" s="63"/>
      <c r="O387" s="169"/>
      <c r="P387" s="169"/>
      <c r="Q387" s="63">
        <f t="shared" si="538"/>
        <v>0</v>
      </c>
      <c r="R387" s="63">
        <f t="shared" si="539"/>
        <v>36447</v>
      </c>
      <c r="S387" s="169"/>
      <c r="T387" s="169"/>
      <c r="U387" s="169"/>
      <c r="V387" s="63">
        <f t="shared" si="540"/>
        <v>36447</v>
      </c>
      <c r="W387" s="63">
        <f t="shared" si="541"/>
        <v>2259.7139999999999</v>
      </c>
      <c r="X387" s="63">
        <f t="shared" si="542"/>
        <v>528.48149999999998</v>
      </c>
      <c r="Y387" s="63">
        <f t="shared" si="543"/>
        <v>5128.0928999999996</v>
      </c>
      <c r="Z387" s="63">
        <f t="shared" si="544"/>
        <v>58.315200000000004</v>
      </c>
      <c r="AA387" s="63">
        <f t="shared" si="552"/>
        <v>25.512899999999998</v>
      </c>
      <c r="AB387" s="63">
        <f t="shared" si="545"/>
        <v>335</v>
      </c>
      <c r="AC387" s="63">
        <f t="shared" si="546"/>
        <v>10356.36</v>
      </c>
      <c r="AD387" s="63">
        <f t="shared" si="547"/>
        <v>106.9136</v>
      </c>
      <c r="AE387" s="170">
        <v>560</v>
      </c>
      <c r="AF387" s="69">
        <f t="shared" si="548"/>
        <v>656</v>
      </c>
      <c r="AG387" s="69">
        <f t="shared" si="549"/>
        <v>18798.390100000001</v>
      </c>
      <c r="AH387" s="67">
        <v>21685.85</v>
      </c>
      <c r="AI387" s="69">
        <f t="shared" si="550"/>
        <v>-2887.459899999998</v>
      </c>
      <c r="AJ387" s="69">
        <f t="shared" si="551"/>
        <v>-2231.459899999998</v>
      </c>
    </row>
    <row r="388" spans="1:36" x14ac:dyDescent="0.25">
      <c r="A388" s="167">
        <v>560</v>
      </c>
      <c r="B388" s="92" t="s">
        <v>3084</v>
      </c>
      <c r="C388" s="70" t="s">
        <v>3073</v>
      </c>
      <c r="D388" s="71" t="s">
        <v>3085</v>
      </c>
      <c r="E388" s="71" t="s">
        <v>3086</v>
      </c>
      <c r="F388" s="73">
        <v>42100</v>
      </c>
      <c r="G388" s="59">
        <f t="shared" si="535"/>
        <v>6.7397260273972606</v>
      </c>
      <c r="H388" s="57"/>
      <c r="I388" s="66">
        <v>37116</v>
      </c>
      <c r="J388" s="182">
        <v>37796</v>
      </c>
      <c r="K388" s="63"/>
      <c r="L388" s="63">
        <f t="shared" si="536"/>
        <v>18.171153846153846</v>
      </c>
      <c r="M388" s="63">
        <f t="shared" si="537"/>
        <v>1453.6923076923076</v>
      </c>
      <c r="N388" s="63"/>
      <c r="O388" s="169"/>
      <c r="P388" s="169"/>
      <c r="Q388" s="63">
        <f t="shared" si="538"/>
        <v>0</v>
      </c>
      <c r="R388" s="63">
        <f t="shared" si="539"/>
        <v>37796</v>
      </c>
      <c r="S388" s="169"/>
      <c r="T388" s="169"/>
      <c r="U388" s="169"/>
      <c r="V388" s="63">
        <f t="shared" si="540"/>
        <v>37796</v>
      </c>
      <c r="W388" s="63">
        <f t="shared" si="541"/>
        <v>2343.3519999999999</v>
      </c>
      <c r="X388" s="63">
        <f t="shared" si="542"/>
        <v>548.04200000000003</v>
      </c>
      <c r="Y388" s="63">
        <f t="shared" si="543"/>
        <v>5317.8971999999994</v>
      </c>
      <c r="Z388" s="63">
        <f t="shared" si="544"/>
        <v>60.473600000000005</v>
      </c>
      <c r="AA388" s="63">
        <f t="shared" si="552"/>
        <v>26.4572</v>
      </c>
      <c r="AB388" s="63">
        <f t="shared" si="545"/>
        <v>335</v>
      </c>
      <c r="AC388" s="63">
        <f t="shared" si="546"/>
        <v>10356.36</v>
      </c>
      <c r="AD388" s="63">
        <f t="shared" si="547"/>
        <v>106.9136</v>
      </c>
      <c r="AE388" s="170">
        <v>560</v>
      </c>
      <c r="AF388" s="69">
        <f t="shared" si="548"/>
        <v>680</v>
      </c>
      <c r="AG388" s="69">
        <f t="shared" si="549"/>
        <v>19094.495600000002</v>
      </c>
      <c r="AH388" s="67">
        <v>21300.44</v>
      </c>
      <c r="AI388" s="69">
        <f t="shared" si="550"/>
        <v>-2205.9443999999967</v>
      </c>
      <c r="AJ388" s="69">
        <f t="shared" si="551"/>
        <v>-1525.9443999999967</v>
      </c>
    </row>
    <row r="389" spans="1:36" x14ac:dyDescent="0.25">
      <c r="A389" s="167">
        <v>560</v>
      </c>
      <c r="B389" s="92" t="s">
        <v>3087</v>
      </c>
      <c r="C389" s="70" t="s">
        <v>3073</v>
      </c>
      <c r="D389" s="71" t="s">
        <v>2505</v>
      </c>
      <c r="E389" s="71" t="s">
        <v>3799</v>
      </c>
      <c r="F389" s="76">
        <v>41926</v>
      </c>
      <c r="G389" s="59">
        <f t="shared" si="535"/>
        <v>7.2164383561643834</v>
      </c>
      <c r="H389" s="57"/>
      <c r="I389" s="66">
        <v>37116</v>
      </c>
      <c r="J389" s="66">
        <v>37116</v>
      </c>
      <c r="K389" s="63"/>
      <c r="L389" s="63">
        <f t="shared" si="536"/>
        <v>17.844230769230769</v>
      </c>
      <c r="M389" s="63">
        <f t="shared" si="537"/>
        <v>1427.5384615384614</v>
      </c>
      <c r="N389" s="63"/>
      <c r="O389" s="169"/>
      <c r="P389" s="169"/>
      <c r="Q389" s="63">
        <f t="shared" si="538"/>
        <v>0</v>
      </c>
      <c r="R389" s="63">
        <f t="shared" si="539"/>
        <v>37116</v>
      </c>
      <c r="S389" s="169"/>
      <c r="T389" s="169"/>
      <c r="U389" s="169"/>
      <c r="V389" s="63">
        <f t="shared" si="540"/>
        <v>37116</v>
      </c>
      <c r="W389" s="63">
        <f t="shared" si="541"/>
        <v>2301.192</v>
      </c>
      <c r="X389" s="63">
        <f t="shared" si="542"/>
        <v>538.18200000000002</v>
      </c>
      <c r="Y389" s="63">
        <f t="shared" si="543"/>
        <v>5222.2212</v>
      </c>
      <c r="Z389" s="63">
        <f t="shared" si="544"/>
        <v>59.385600000000004</v>
      </c>
      <c r="AA389" s="63">
        <f t="shared" si="552"/>
        <v>25.981200000000001</v>
      </c>
      <c r="AB389" s="63">
        <f t="shared" si="545"/>
        <v>335</v>
      </c>
      <c r="AC389" s="63">
        <f t="shared" si="546"/>
        <v>10356.36</v>
      </c>
      <c r="AD389" s="63">
        <f t="shared" si="547"/>
        <v>106.9136</v>
      </c>
      <c r="AE389" s="170">
        <v>560</v>
      </c>
      <c r="AF389" s="69">
        <f t="shared" si="548"/>
        <v>0</v>
      </c>
      <c r="AG389" s="69">
        <f t="shared" si="549"/>
        <v>18945.2356</v>
      </c>
      <c r="AH389" s="67">
        <v>18994.41</v>
      </c>
      <c r="AI389" s="69">
        <f t="shared" si="550"/>
        <v>-49.174399999999878</v>
      </c>
      <c r="AJ389" s="69">
        <f t="shared" si="551"/>
        <v>-49.174399999999878</v>
      </c>
    </row>
    <row r="390" spans="1:36" x14ac:dyDescent="0.25">
      <c r="A390" s="167">
        <v>560</v>
      </c>
      <c r="B390" s="92" t="s">
        <v>3088</v>
      </c>
      <c r="C390" s="70" t="s">
        <v>3073</v>
      </c>
      <c r="D390" s="71" t="s">
        <v>3089</v>
      </c>
      <c r="E390" s="71" t="s">
        <v>2747</v>
      </c>
      <c r="F390" s="73">
        <v>41624</v>
      </c>
      <c r="G390" s="59">
        <f t="shared" si="535"/>
        <v>8.043835616438356</v>
      </c>
      <c r="H390" s="57"/>
      <c r="I390" s="66">
        <v>37116</v>
      </c>
      <c r="J390" s="182">
        <v>37796</v>
      </c>
      <c r="K390" s="63"/>
      <c r="L390" s="63">
        <f t="shared" si="536"/>
        <v>18.171153846153846</v>
      </c>
      <c r="M390" s="63">
        <f t="shared" si="537"/>
        <v>1453.6923076923076</v>
      </c>
      <c r="N390" s="63"/>
      <c r="O390" s="169"/>
      <c r="P390" s="169"/>
      <c r="Q390" s="63">
        <f t="shared" si="538"/>
        <v>0</v>
      </c>
      <c r="R390" s="63">
        <f t="shared" si="539"/>
        <v>37796</v>
      </c>
      <c r="S390" s="169"/>
      <c r="T390" s="169"/>
      <c r="U390" s="169"/>
      <c r="V390" s="63">
        <f t="shared" si="540"/>
        <v>37796</v>
      </c>
      <c r="W390" s="63">
        <f t="shared" si="541"/>
        <v>2343.3519999999999</v>
      </c>
      <c r="X390" s="63">
        <f t="shared" si="542"/>
        <v>548.04200000000003</v>
      </c>
      <c r="Y390" s="63">
        <f t="shared" si="543"/>
        <v>5317.8971999999994</v>
      </c>
      <c r="Z390" s="63">
        <f t="shared" si="544"/>
        <v>60.473600000000005</v>
      </c>
      <c r="AA390" s="63">
        <f t="shared" si="552"/>
        <v>26.4572</v>
      </c>
      <c r="AB390" s="63">
        <f t="shared" si="545"/>
        <v>335</v>
      </c>
      <c r="AC390" s="63">
        <f t="shared" si="546"/>
        <v>10356.36</v>
      </c>
      <c r="AD390" s="63">
        <f t="shared" si="547"/>
        <v>106.9136</v>
      </c>
      <c r="AE390" s="170">
        <v>560</v>
      </c>
      <c r="AF390" s="69">
        <f t="shared" si="548"/>
        <v>680</v>
      </c>
      <c r="AG390" s="69">
        <f t="shared" si="549"/>
        <v>19094.495600000002</v>
      </c>
      <c r="AH390" s="67">
        <v>19453.560000000001</v>
      </c>
      <c r="AI390" s="69">
        <f t="shared" si="550"/>
        <v>-359.0643999999993</v>
      </c>
      <c r="AJ390" s="69">
        <f t="shared" si="551"/>
        <v>320.9356000000007</v>
      </c>
    </row>
    <row r="391" spans="1:36" x14ac:dyDescent="0.25">
      <c r="A391" s="167">
        <v>560</v>
      </c>
      <c r="B391" s="92" t="s">
        <v>3090</v>
      </c>
      <c r="C391" s="70" t="s">
        <v>3073</v>
      </c>
      <c r="D391" s="71" t="s">
        <v>2999</v>
      </c>
      <c r="E391" s="71" t="s">
        <v>3091</v>
      </c>
      <c r="F391" s="73">
        <v>43768</v>
      </c>
      <c r="G391" s="59">
        <f t="shared" si="535"/>
        <v>2.1698630136986301</v>
      </c>
      <c r="H391" s="57"/>
      <c r="I391" s="66">
        <v>35791</v>
      </c>
      <c r="J391" s="182">
        <v>36447</v>
      </c>
      <c r="K391" s="63"/>
      <c r="L391" s="63">
        <f t="shared" si="536"/>
        <v>17.522596153846155</v>
      </c>
      <c r="M391" s="63">
        <f t="shared" si="537"/>
        <v>1401.8076923076924</v>
      </c>
      <c r="N391" s="63"/>
      <c r="O391" s="169"/>
      <c r="P391" s="169"/>
      <c r="Q391" s="63">
        <f t="shared" si="538"/>
        <v>0</v>
      </c>
      <c r="R391" s="63">
        <f t="shared" si="539"/>
        <v>36447</v>
      </c>
      <c r="S391" s="169"/>
      <c r="T391" s="169"/>
      <c r="U391" s="169"/>
      <c r="V391" s="63">
        <f t="shared" si="540"/>
        <v>36447</v>
      </c>
      <c r="W391" s="63">
        <f t="shared" si="541"/>
        <v>2259.7139999999999</v>
      </c>
      <c r="X391" s="63">
        <f t="shared" si="542"/>
        <v>528.48149999999998</v>
      </c>
      <c r="Y391" s="63">
        <f t="shared" si="543"/>
        <v>5128.0928999999996</v>
      </c>
      <c r="Z391" s="63">
        <f t="shared" si="544"/>
        <v>58.315200000000004</v>
      </c>
      <c r="AA391" s="63">
        <f t="shared" si="552"/>
        <v>25.512899999999998</v>
      </c>
      <c r="AB391" s="63">
        <f t="shared" si="545"/>
        <v>335</v>
      </c>
      <c r="AC391" s="63">
        <f t="shared" si="546"/>
        <v>10356.36</v>
      </c>
      <c r="AD391" s="63">
        <f t="shared" si="547"/>
        <v>106.9136</v>
      </c>
      <c r="AE391" s="170">
        <v>560</v>
      </c>
      <c r="AF391" s="69">
        <f t="shared" si="548"/>
        <v>656</v>
      </c>
      <c r="AG391" s="69">
        <f t="shared" si="549"/>
        <v>18798.390100000001</v>
      </c>
      <c r="AH391" s="67">
        <v>19297.84</v>
      </c>
      <c r="AI391" s="69">
        <f t="shared" si="550"/>
        <v>-499.44989999999962</v>
      </c>
      <c r="AJ391" s="69">
        <f t="shared" si="551"/>
        <v>156.55010000000038</v>
      </c>
    </row>
    <row r="392" spans="1:36" x14ac:dyDescent="0.25">
      <c r="A392" s="167">
        <v>560</v>
      </c>
      <c r="B392" s="92" t="s">
        <v>3092</v>
      </c>
      <c r="C392" s="70" t="s">
        <v>3073</v>
      </c>
      <c r="D392" s="71" t="s">
        <v>3800</v>
      </c>
      <c r="E392" s="71" t="s">
        <v>3801</v>
      </c>
      <c r="F392" s="72">
        <v>41173</v>
      </c>
      <c r="G392" s="59">
        <f t="shared" si="535"/>
        <v>9.2794520547945201</v>
      </c>
      <c r="H392" s="57"/>
      <c r="I392" s="57">
        <v>37796</v>
      </c>
      <c r="J392" s="57">
        <v>37796</v>
      </c>
      <c r="K392" s="63"/>
      <c r="L392" s="63">
        <f t="shared" si="536"/>
        <v>18.171153846153846</v>
      </c>
      <c r="M392" s="63">
        <f t="shared" si="537"/>
        <v>1453.6923076923076</v>
      </c>
      <c r="N392" s="63"/>
      <c r="O392" s="169"/>
      <c r="P392" s="169"/>
      <c r="Q392" s="63">
        <f t="shared" si="538"/>
        <v>0</v>
      </c>
      <c r="R392" s="63">
        <f t="shared" si="539"/>
        <v>37796</v>
      </c>
      <c r="S392" s="169"/>
      <c r="T392" s="169"/>
      <c r="U392" s="169"/>
      <c r="V392" s="63">
        <f t="shared" si="540"/>
        <v>37796</v>
      </c>
      <c r="W392" s="63">
        <f t="shared" si="541"/>
        <v>2343.3519999999999</v>
      </c>
      <c r="X392" s="63">
        <f t="shared" si="542"/>
        <v>548.04200000000003</v>
      </c>
      <c r="Y392" s="63">
        <f t="shared" si="543"/>
        <v>5317.8971999999994</v>
      </c>
      <c r="Z392" s="63">
        <f t="shared" si="544"/>
        <v>60.473600000000005</v>
      </c>
      <c r="AA392" s="63">
        <f t="shared" si="552"/>
        <v>26.4572</v>
      </c>
      <c r="AB392" s="63">
        <f t="shared" si="545"/>
        <v>335</v>
      </c>
      <c r="AC392" s="63">
        <f t="shared" si="546"/>
        <v>10356.36</v>
      </c>
      <c r="AD392" s="63">
        <f t="shared" si="547"/>
        <v>106.9136</v>
      </c>
      <c r="AE392" s="170">
        <v>560</v>
      </c>
      <c r="AF392" s="69">
        <f t="shared" si="548"/>
        <v>0</v>
      </c>
      <c r="AG392" s="69">
        <f t="shared" si="549"/>
        <v>19094.495600000002</v>
      </c>
      <c r="AH392" s="67">
        <v>19297.84</v>
      </c>
      <c r="AI392" s="69">
        <f t="shared" si="550"/>
        <v>-203.34439999999813</v>
      </c>
      <c r="AJ392" s="69">
        <f t="shared" si="551"/>
        <v>-203.34439999999813</v>
      </c>
    </row>
    <row r="393" spans="1:36" x14ac:dyDescent="0.25">
      <c r="A393" s="167">
        <v>560</v>
      </c>
      <c r="B393" s="92" t="s">
        <v>3094</v>
      </c>
      <c r="C393" s="70" t="s">
        <v>3073</v>
      </c>
      <c r="D393" s="71" t="s">
        <v>3095</v>
      </c>
      <c r="E393" s="71" t="s">
        <v>2555</v>
      </c>
      <c r="F393" s="76">
        <v>41010</v>
      </c>
      <c r="G393" s="59">
        <f t="shared" si="535"/>
        <v>9.7260273972602747</v>
      </c>
      <c r="H393" s="57"/>
      <c r="I393" s="66">
        <v>37796</v>
      </c>
      <c r="J393" s="66">
        <v>37796</v>
      </c>
      <c r="K393" s="63"/>
      <c r="L393" s="63">
        <f t="shared" si="536"/>
        <v>18.171153846153846</v>
      </c>
      <c r="M393" s="63">
        <f t="shared" si="537"/>
        <v>1453.6923076923076</v>
      </c>
      <c r="N393" s="63">
        <f t="shared" ref="N393:N395" si="553">IF(G393&lt;4,0,(G393-1)*$N$7)</f>
        <v>2303.6712328767126</v>
      </c>
      <c r="O393" s="169"/>
      <c r="P393" s="169"/>
      <c r="Q393" s="63">
        <f t="shared" si="538"/>
        <v>2303.6712328767126</v>
      </c>
      <c r="R393" s="63">
        <f t="shared" si="539"/>
        <v>40099.67123287671</v>
      </c>
      <c r="S393" s="169"/>
      <c r="T393" s="169"/>
      <c r="U393" s="169"/>
      <c r="V393" s="63">
        <f t="shared" si="540"/>
        <v>40099.67123287671</v>
      </c>
      <c r="W393" s="63">
        <f t="shared" si="541"/>
        <v>2486.1796164383559</v>
      </c>
      <c r="X393" s="63">
        <f t="shared" si="542"/>
        <v>581.44523287671234</v>
      </c>
      <c r="Y393" s="63">
        <f t="shared" si="543"/>
        <v>5642.0237424657525</v>
      </c>
      <c r="Z393" s="63">
        <f t="shared" si="544"/>
        <v>64.15947397260274</v>
      </c>
      <c r="AA393" s="63">
        <f t="shared" si="552"/>
        <v>28.069769863013697</v>
      </c>
      <c r="AB393" s="63">
        <f t="shared" si="545"/>
        <v>335</v>
      </c>
      <c r="AC393" s="63">
        <f t="shared" si="546"/>
        <v>10356.36</v>
      </c>
      <c r="AD393" s="63">
        <f t="shared" si="547"/>
        <v>106.9136</v>
      </c>
      <c r="AE393" s="170">
        <v>560</v>
      </c>
      <c r="AF393" s="69">
        <f t="shared" si="548"/>
        <v>0</v>
      </c>
      <c r="AG393" s="69">
        <f t="shared" si="549"/>
        <v>19600.151435616437</v>
      </c>
      <c r="AH393" s="67">
        <v>19642.25</v>
      </c>
      <c r="AI393" s="69">
        <f t="shared" si="550"/>
        <v>-42.098564383562916</v>
      </c>
      <c r="AJ393" s="69">
        <f t="shared" si="551"/>
        <v>-42.098564383562916</v>
      </c>
    </row>
    <row r="394" spans="1:36" x14ac:dyDescent="0.25">
      <c r="A394" s="167">
        <v>560</v>
      </c>
      <c r="B394" s="92" t="s">
        <v>3096</v>
      </c>
      <c r="C394" s="70" t="s">
        <v>3097</v>
      </c>
      <c r="D394" s="71" t="s">
        <v>3017</v>
      </c>
      <c r="E394" s="71" t="s">
        <v>2747</v>
      </c>
      <c r="F394" s="73">
        <v>39890</v>
      </c>
      <c r="G394" s="59">
        <f t="shared" si="535"/>
        <v>12.794520547945206</v>
      </c>
      <c r="H394" s="57"/>
      <c r="I394" s="66">
        <v>38620</v>
      </c>
      <c r="J394" s="182">
        <v>39328</v>
      </c>
      <c r="K394" s="63"/>
      <c r="L394" s="63">
        <f t="shared" si="536"/>
        <v>18.907692307692308</v>
      </c>
      <c r="M394" s="63">
        <f t="shared" si="537"/>
        <v>1512.6153846153845</v>
      </c>
      <c r="N394" s="63">
        <f t="shared" si="553"/>
        <v>3113.7534246575342</v>
      </c>
      <c r="O394" s="169"/>
      <c r="P394" s="169"/>
      <c r="Q394" s="63">
        <f t="shared" si="538"/>
        <v>3113.7534246575342</v>
      </c>
      <c r="R394" s="63">
        <f t="shared" si="539"/>
        <v>42441.753424657538</v>
      </c>
      <c r="S394" s="169"/>
      <c r="T394" s="169"/>
      <c r="U394" s="169"/>
      <c r="V394" s="63">
        <f t="shared" si="540"/>
        <v>42441.753424657538</v>
      </c>
      <c r="W394" s="63">
        <f t="shared" si="541"/>
        <v>2631.3887123287673</v>
      </c>
      <c r="X394" s="63">
        <f t="shared" si="542"/>
        <v>615.40542465753435</v>
      </c>
      <c r="Y394" s="63">
        <f t="shared" si="543"/>
        <v>5971.5547068493152</v>
      </c>
      <c r="Z394" s="63">
        <f t="shared" si="544"/>
        <v>67.906805479452061</v>
      </c>
      <c r="AA394" s="63">
        <f t="shared" si="552"/>
        <v>29.709227397260275</v>
      </c>
      <c r="AB394" s="63">
        <f t="shared" si="545"/>
        <v>335</v>
      </c>
      <c r="AC394" s="63">
        <f t="shared" si="546"/>
        <v>10356.36</v>
      </c>
      <c r="AD394" s="63">
        <f t="shared" si="547"/>
        <v>106.9136</v>
      </c>
      <c r="AE394" s="170">
        <v>560</v>
      </c>
      <c r="AF394" s="69">
        <f t="shared" si="548"/>
        <v>708</v>
      </c>
      <c r="AG394" s="69">
        <f t="shared" si="549"/>
        <v>20114.238476712329</v>
      </c>
      <c r="AH394" s="67">
        <v>19297.84</v>
      </c>
      <c r="AI394" s="69">
        <f t="shared" si="550"/>
        <v>816.39847671232928</v>
      </c>
      <c r="AJ394" s="69">
        <f t="shared" si="551"/>
        <v>1524.3984767123293</v>
      </c>
    </row>
    <row r="395" spans="1:36" x14ac:dyDescent="0.25">
      <c r="A395" s="167">
        <v>560</v>
      </c>
      <c r="B395" s="92" t="s">
        <v>3098</v>
      </c>
      <c r="C395" s="70" t="s">
        <v>3097</v>
      </c>
      <c r="D395" s="126" t="s">
        <v>3053</v>
      </c>
      <c r="E395" s="126" t="s">
        <v>3099</v>
      </c>
      <c r="F395" s="257">
        <v>39009</v>
      </c>
      <c r="G395" s="59">
        <f t="shared" si="535"/>
        <v>15.208219178082192</v>
      </c>
      <c r="H395" s="57"/>
      <c r="I395" s="66">
        <v>42292</v>
      </c>
      <c r="J395" s="66">
        <v>42292</v>
      </c>
      <c r="K395" s="63"/>
      <c r="L395" s="63">
        <f t="shared" si="536"/>
        <v>20.332692307692309</v>
      </c>
      <c r="M395" s="63">
        <f t="shared" si="537"/>
        <v>1626.6153846153845</v>
      </c>
      <c r="N395" s="63">
        <f t="shared" si="553"/>
        <v>3750.9698630136986</v>
      </c>
      <c r="O395" s="169"/>
      <c r="P395" s="169"/>
      <c r="Q395" s="63">
        <f t="shared" si="538"/>
        <v>3750.9698630136986</v>
      </c>
      <c r="R395" s="63">
        <f t="shared" si="539"/>
        <v>46042.969863013699</v>
      </c>
      <c r="S395" s="169"/>
      <c r="T395" s="63">
        <v>1200</v>
      </c>
      <c r="U395" s="169"/>
      <c r="V395" s="63">
        <f t="shared" si="540"/>
        <v>47242.969863013699</v>
      </c>
      <c r="W395" s="63">
        <f t="shared" si="541"/>
        <v>2929.0641315068492</v>
      </c>
      <c r="X395" s="63">
        <f t="shared" si="542"/>
        <v>685.02306301369867</v>
      </c>
      <c r="Y395" s="63">
        <f t="shared" si="543"/>
        <v>6647.0858597260267</v>
      </c>
      <c r="Z395" s="63">
        <f t="shared" si="544"/>
        <v>75.588751780821923</v>
      </c>
      <c r="AA395" s="63">
        <f t="shared" si="552"/>
        <v>33.070078904109586</v>
      </c>
      <c r="AB395" s="63">
        <f t="shared" si="545"/>
        <v>335</v>
      </c>
      <c r="AC395" s="63">
        <f t="shared" si="546"/>
        <v>10356.36</v>
      </c>
      <c r="AD395" s="63">
        <f t="shared" si="547"/>
        <v>106.9136</v>
      </c>
      <c r="AE395" s="170">
        <v>560</v>
      </c>
      <c r="AF395" s="69">
        <f t="shared" si="548"/>
        <v>0</v>
      </c>
      <c r="AG395" s="69">
        <f t="shared" si="549"/>
        <v>21168.105484931504</v>
      </c>
      <c r="AH395" s="67">
        <v>19804.39</v>
      </c>
      <c r="AI395" s="69">
        <f t="shared" si="550"/>
        <v>1363.7154849315048</v>
      </c>
      <c r="AJ395" s="69">
        <f t="shared" si="551"/>
        <v>1363.7154849315048</v>
      </c>
    </row>
    <row r="396" spans="1:36" x14ac:dyDescent="0.25">
      <c r="A396" s="167">
        <v>560</v>
      </c>
      <c r="B396" s="138"/>
      <c r="C396" s="181" t="s">
        <v>3100</v>
      </c>
      <c r="D396" s="138"/>
      <c r="E396" s="138"/>
      <c r="F396" s="138"/>
      <c r="G396" s="167" t="s">
        <v>2422</v>
      </c>
      <c r="H396" s="88"/>
      <c r="I396" s="88">
        <v>40000</v>
      </c>
      <c r="J396" s="88">
        <v>40000</v>
      </c>
      <c r="K396" s="138"/>
      <c r="L396" s="138"/>
      <c r="M396" s="138"/>
      <c r="N396" s="167" t="s">
        <v>27</v>
      </c>
      <c r="O396" s="138"/>
      <c r="P396" s="138"/>
      <c r="Q396" s="167">
        <v>0</v>
      </c>
      <c r="R396" s="63">
        <f t="shared" si="539"/>
        <v>40000</v>
      </c>
      <c r="S396" s="169"/>
      <c r="T396" s="169"/>
      <c r="U396" s="169"/>
      <c r="V396" s="63">
        <f t="shared" si="540"/>
        <v>40000</v>
      </c>
      <c r="W396" s="63">
        <f t="shared" si="541"/>
        <v>2480</v>
      </c>
      <c r="X396" s="63">
        <f t="shared" si="542"/>
        <v>580</v>
      </c>
      <c r="Y396" s="63">
        <f t="shared" si="543"/>
        <v>5628</v>
      </c>
      <c r="Z396" s="63">
        <f t="shared" si="544"/>
        <v>64</v>
      </c>
      <c r="AA396" s="63">
        <f t="shared" si="552"/>
        <v>28</v>
      </c>
      <c r="AB396" s="63" t="s">
        <v>2422</v>
      </c>
      <c r="AC396" s="63" t="s">
        <v>2422</v>
      </c>
      <c r="AD396" s="63" t="s">
        <v>2422</v>
      </c>
      <c r="AE396" s="170">
        <v>560</v>
      </c>
      <c r="AF396" s="69">
        <f t="shared" si="548"/>
        <v>0</v>
      </c>
      <c r="AG396" s="69">
        <f t="shared" si="549"/>
        <v>8780</v>
      </c>
      <c r="AH396" s="67">
        <v>18994.41</v>
      </c>
      <c r="AI396" s="69">
        <f t="shared" si="550"/>
        <v>-10214.41</v>
      </c>
      <c r="AJ396" s="100">
        <f t="shared" si="551"/>
        <v>-10214.41</v>
      </c>
    </row>
    <row r="397" spans="1:36" x14ac:dyDescent="0.25">
      <c r="A397" s="167">
        <v>560</v>
      </c>
      <c r="B397" s="138"/>
      <c r="C397" s="181" t="s">
        <v>2495</v>
      </c>
      <c r="D397" s="138"/>
      <c r="E397" s="138"/>
      <c r="F397" s="138"/>
      <c r="G397" s="167" t="s">
        <v>2422</v>
      </c>
      <c r="H397" s="88"/>
      <c r="I397" s="88">
        <v>50000</v>
      </c>
      <c r="J397" s="218">
        <v>50000</v>
      </c>
      <c r="K397" s="219"/>
      <c r="L397" s="219"/>
      <c r="M397" s="219"/>
      <c r="N397" s="220" t="s">
        <v>27</v>
      </c>
      <c r="O397" s="219"/>
      <c r="P397" s="219"/>
      <c r="Q397" s="220">
        <v>0</v>
      </c>
      <c r="R397" s="172">
        <f t="shared" si="539"/>
        <v>50000</v>
      </c>
      <c r="S397" s="173"/>
      <c r="T397" s="173"/>
      <c r="U397" s="173"/>
      <c r="V397" s="172">
        <f t="shared" si="540"/>
        <v>50000</v>
      </c>
      <c r="W397" s="172">
        <f t="shared" si="541"/>
        <v>3100</v>
      </c>
      <c r="X397" s="172">
        <f t="shared" si="542"/>
        <v>725</v>
      </c>
      <c r="Y397" s="172">
        <f t="shared" si="543"/>
        <v>7035</v>
      </c>
      <c r="Z397" s="172">
        <f t="shared" si="544"/>
        <v>80</v>
      </c>
      <c r="AA397" s="172">
        <f t="shared" si="552"/>
        <v>35</v>
      </c>
      <c r="AB397" s="172" t="s">
        <v>2422</v>
      </c>
      <c r="AC397" s="172" t="s">
        <v>2422</v>
      </c>
      <c r="AD397" s="172" t="s">
        <v>2422</v>
      </c>
      <c r="AE397" s="170">
        <v>560</v>
      </c>
      <c r="AF397" s="69">
        <f t="shared" si="548"/>
        <v>0</v>
      </c>
      <c r="AG397" s="69">
        <f t="shared" si="549"/>
        <v>10975</v>
      </c>
      <c r="AH397" s="67">
        <v>19453.560000000001</v>
      </c>
      <c r="AI397" s="69">
        <f t="shared" si="550"/>
        <v>-8478.5600000000013</v>
      </c>
      <c r="AJ397" s="100">
        <f t="shared" si="551"/>
        <v>-8478.5600000000013</v>
      </c>
    </row>
    <row r="398" spans="1:36" x14ac:dyDescent="0.25">
      <c r="A398" s="167">
        <v>560</v>
      </c>
      <c r="B398" s="138"/>
      <c r="C398" s="138"/>
      <c r="D398" s="138"/>
      <c r="E398" s="138"/>
      <c r="F398" s="138"/>
      <c r="G398" s="138"/>
      <c r="H398" s="221"/>
      <c r="I398" s="222">
        <f t="shared" ref="I398:J398" si="554">SUM(I327:I397)</f>
        <v>3213017</v>
      </c>
      <c r="J398" s="222">
        <f t="shared" si="554"/>
        <v>3241050</v>
      </c>
      <c r="K398" s="223"/>
      <c r="L398" s="223">
        <f t="shared" ref="L398:AD398" si="555">SUM(L327:L397)</f>
        <v>1514.9278846153838</v>
      </c>
      <c r="M398" s="223">
        <f t="shared" si="555"/>
        <v>121194.23076923077</v>
      </c>
      <c r="N398" s="223">
        <f t="shared" si="555"/>
        <v>9168.3945205479449</v>
      </c>
      <c r="O398" s="223">
        <f t="shared" si="555"/>
        <v>0</v>
      </c>
      <c r="P398" s="223">
        <f t="shared" si="555"/>
        <v>0</v>
      </c>
      <c r="Q398" s="223">
        <f t="shared" si="555"/>
        <v>9168.3945205479449</v>
      </c>
      <c r="R398" s="223">
        <f t="shared" si="555"/>
        <v>3250218.3945205482</v>
      </c>
      <c r="S398" s="223">
        <f t="shared" si="555"/>
        <v>4200</v>
      </c>
      <c r="T398" s="223">
        <f t="shared" si="555"/>
        <v>60000</v>
      </c>
      <c r="U398" s="223">
        <f t="shared" si="555"/>
        <v>31000</v>
      </c>
      <c r="V398" s="223">
        <f t="shared" si="555"/>
        <v>3345418.3945205482</v>
      </c>
      <c r="W398" s="223">
        <f t="shared" si="555"/>
        <v>207415.94046027397</v>
      </c>
      <c r="X398" s="223">
        <f t="shared" si="555"/>
        <v>48508.566720547962</v>
      </c>
      <c r="Y398" s="223">
        <f t="shared" si="555"/>
        <v>470700.36810904118</v>
      </c>
      <c r="Z398" s="223">
        <f t="shared" si="555"/>
        <v>5352.6694312328773</v>
      </c>
      <c r="AA398" s="223">
        <f t="shared" si="555"/>
        <v>2283.2847761643834</v>
      </c>
      <c r="AB398" s="223">
        <f t="shared" si="555"/>
        <v>23115</v>
      </c>
      <c r="AC398" s="223">
        <f t="shared" si="555"/>
        <v>714588.83999999927</v>
      </c>
      <c r="AD398" s="223">
        <f t="shared" si="555"/>
        <v>7377.038399999994</v>
      </c>
      <c r="AE398" s="170">
        <v>560</v>
      </c>
      <c r="AF398" s="230">
        <f>SUM(AF327:AF397)</f>
        <v>28033</v>
      </c>
      <c r="AG398" s="100">
        <f t="shared" si="549"/>
        <v>1479341.7078972594</v>
      </c>
      <c r="AH398" s="225">
        <v>19453.560000000001</v>
      </c>
      <c r="AI398" s="226">
        <f t="shared" si="550"/>
        <v>1459888.1478972593</v>
      </c>
      <c r="AJ398" s="226">
        <f t="shared" si="551"/>
        <v>1487921.1478972593</v>
      </c>
    </row>
    <row r="399" spans="1:36" hidden="1" x14ac:dyDescent="0.25">
      <c r="A399" s="138"/>
      <c r="B399" s="138"/>
      <c r="C399" s="138"/>
      <c r="D399" s="138"/>
      <c r="E399" s="138"/>
      <c r="F399" s="138"/>
      <c r="G399" s="138"/>
      <c r="H399" s="78"/>
      <c r="I399" s="78">
        <v>3051853</v>
      </c>
      <c r="J399" s="78">
        <f>SUM(J328:J395)</f>
        <v>3071667</v>
      </c>
      <c r="K399" s="100"/>
      <c r="L399" s="100">
        <v>3075827</v>
      </c>
      <c r="M399" s="138"/>
      <c r="N399" s="138"/>
      <c r="O399" s="138"/>
      <c r="P399" s="138"/>
      <c r="Q399" s="138"/>
      <c r="R399" s="69">
        <f>R398-R397-R396+R504+R505</f>
        <v>3205728.3945205482</v>
      </c>
      <c r="S399" s="169"/>
      <c r="T399" s="169"/>
      <c r="U399" s="169"/>
      <c r="V399" s="169"/>
      <c r="W399" s="63">
        <f>SUM(W398:X398)</f>
        <v>255924.50718082194</v>
      </c>
      <c r="X399" s="169"/>
      <c r="Y399" s="169"/>
      <c r="Z399" s="169"/>
      <c r="AA399" s="169"/>
      <c r="AB399" s="169"/>
      <c r="AC399" s="63">
        <f>SUM(AC398:AD398)</f>
        <v>721965.87839999923</v>
      </c>
      <c r="AD399" s="169"/>
      <c r="AE399" s="149"/>
      <c r="AF399" s="69">
        <f t="shared" ref="AF399:AG399" si="556">SUM(AF327:AF397)</f>
        <v>28033</v>
      </c>
      <c r="AG399" s="69">
        <f t="shared" si="556"/>
        <v>1479341.707897261</v>
      </c>
      <c r="AH399" s="67">
        <v>18994.41</v>
      </c>
      <c r="AI399" s="69">
        <f t="shared" ref="AI399:AJ399" si="557">SUM(AI327:AI397)</f>
        <v>31760.767897260299</v>
      </c>
      <c r="AJ399" s="69">
        <f t="shared" si="557"/>
        <v>59793.767897260288</v>
      </c>
    </row>
    <row r="400" spans="1:36" x14ac:dyDescent="0.25">
      <c r="A400" s="138"/>
      <c r="B400" s="138"/>
      <c r="C400" s="138"/>
      <c r="D400" s="138"/>
      <c r="E400" s="138"/>
      <c r="F400" s="138"/>
      <c r="G400" s="138"/>
      <c r="H400" s="148"/>
      <c r="I400" s="148"/>
      <c r="J400" s="148"/>
      <c r="K400" s="138"/>
      <c r="L400" s="138"/>
      <c r="M400" s="138"/>
      <c r="N400" s="138"/>
      <c r="O400" s="138"/>
      <c r="P400" s="138"/>
      <c r="Q400" s="138"/>
      <c r="R400" s="169"/>
      <c r="S400" s="169"/>
      <c r="T400" s="169"/>
      <c r="U400" s="169"/>
      <c r="V400" s="69"/>
      <c r="W400" s="63"/>
      <c r="X400" s="63"/>
      <c r="Y400" s="63"/>
      <c r="Z400" s="63"/>
      <c r="AA400" s="63"/>
      <c r="AB400" s="63"/>
      <c r="AC400" s="63"/>
      <c r="AD400" s="63"/>
      <c r="AE400" s="149"/>
      <c r="AF400" s="178"/>
      <c r="AG400" s="178"/>
      <c r="AH400" s="67">
        <v>18994.41</v>
      </c>
      <c r="AI400" s="178"/>
      <c r="AJ400" s="178"/>
    </row>
    <row r="401" spans="1:36" x14ac:dyDescent="0.25">
      <c r="A401" s="168"/>
      <c r="B401" s="168"/>
      <c r="C401" s="168"/>
      <c r="D401" s="168"/>
      <c r="E401" s="168"/>
      <c r="F401" s="196"/>
      <c r="G401" s="59"/>
      <c r="H401" s="57"/>
      <c r="I401" s="57"/>
      <c r="J401" s="57"/>
      <c r="K401" s="63"/>
      <c r="L401" s="63"/>
      <c r="M401" s="63"/>
      <c r="N401" s="169"/>
      <c r="O401" s="169"/>
      <c r="P401" s="169"/>
      <c r="Q401" s="169"/>
      <c r="R401" s="169"/>
      <c r="S401" s="169"/>
      <c r="T401" s="63"/>
      <c r="U401" s="63"/>
      <c r="V401" s="69"/>
      <c r="W401" s="69"/>
      <c r="X401" s="69"/>
      <c r="Y401" s="69"/>
      <c r="Z401" s="69"/>
      <c r="AA401" s="69"/>
      <c r="AB401" s="69"/>
      <c r="AC401" s="69"/>
      <c r="AD401" s="69"/>
      <c r="AE401" s="258"/>
      <c r="AF401" s="178"/>
      <c r="AG401" s="178"/>
      <c r="AH401" s="67">
        <v>23123.279999999999</v>
      </c>
      <c r="AI401" s="178"/>
      <c r="AJ401" s="178"/>
    </row>
    <row r="402" spans="1:36" x14ac:dyDescent="0.25">
      <c r="A402" s="167">
        <v>568</v>
      </c>
      <c r="B402" s="92" t="s">
        <v>3101</v>
      </c>
      <c r="C402" s="168" t="s">
        <v>3102</v>
      </c>
      <c r="D402" s="168" t="s">
        <v>2741</v>
      </c>
      <c r="E402" s="168" t="s">
        <v>2909</v>
      </c>
      <c r="F402" s="74">
        <v>42795</v>
      </c>
      <c r="G402" s="59">
        <f t="shared" ref="G402:G496" si="558">(DATE(2021,12,30)-(F402))/365</f>
        <v>4.8356164383561646</v>
      </c>
      <c r="H402" s="57"/>
      <c r="I402" s="57">
        <v>57835</v>
      </c>
      <c r="J402" s="182">
        <v>58895</v>
      </c>
      <c r="K402" s="63"/>
      <c r="L402" s="63">
        <f t="shared" ref="L402:L496" si="559">SUM(J402/2080)</f>
        <v>28.314903846153847</v>
      </c>
      <c r="M402" s="63">
        <f t="shared" ref="M402:M496" si="560">SUM(J402/26)</f>
        <v>2265.1923076923076</v>
      </c>
      <c r="N402" s="63">
        <v>0</v>
      </c>
      <c r="O402" s="169"/>
      <c r="P402" s="169"/>
      <c r="Q402" s="63">
        <f t="shared" ref="Q402:Q496" si="561">IF(N402+P402&gt;5000,5000,N402+P402)</f>
        <v>0</v>
      </c>
      <c r="R402" s="63">
        <f t="shared" ref="R402:R498" si="562">Q402+J402</f>
        <v>58895</v>
      </c>
      <c r="S402" s="169"/>
      <c r="T402" s="63">
        <v>1200</v>
      </c>
      <c r="U402" s="63">
        <v>1500</v>
      </c>
      <c r="V402" s="63">
        <f t="shared" ref="V402:V498" si="563">SUM(R402:U402)</f>
        <v>61595</v>
      </c>
      <c r="W402" s="63">
        <f t="shared" ref="W402:W498" si="564">SUM(V402*$W$7)</f>
        <v>3818.89</v>
      </c>
      <c r="X402" s="63">
        <f t="shared" ref="X402:X498" si="565">SUM(V402*$X$7)</f>
        <v>893.12750000000005</v>
      </c>
      <c r="Y402" s="63">
        <f t="shared" ref="Y402:Y498" si="566">SUM(V402*$Y$7)</f>
        <v>8666.4164999999994</v>
      </c>
      <c r="Z402" s="63">
        <f t="shared" ref="Z402:Z498" si="567">SUM(V402*$Z$7)</f>
        <v>98.552000000000007</v>
      </c>
      <c r="AA402" s="63">
        <f t="shared" ref="AA402:AA498" si="568">SUM(V402*$AA$7)</f>
        <v>43.116500000000002</v>
      </c>
      <c r="AB402" s="63">
        <f t="shared" ref="AB402:AB496" si="569">SUM($AB$7)</f>
        <v>335</v>
      </c>
      <c r="AC402" s="63">
        <f t="shared" ref="AC402:AC496" si="570">$AC$7</f>
        <v>10356.36</v>
      </c>
      <c r="AD402" s="63">
        <f t="shared" ref="AD402:AD496" si="571">SUM(AB402+AC402)*$AD$7</f>
        <v>106.9136</v>
      </c>
      <c r="AE402" s="170">
        <v>568</v>
      </c>
      <c r="AF402" s="69">
        <f t="shared" ref="AF402:AF498" si="572">SUM(J402-I402)</f>
        <v>1060</v>
      </c>
      <c r="AG402" s="69">
        <f t="shared" ref="AG402:AG499" si="573">SUM(W402:AD402)</f>
        <v>24318.376100000001</v>
      </c>
      <c r="AH402" s="67">
        <v>9160</v>
      </c>
      <c r="AI402" s="69">
        <f t="shared" ref="AI402:AI499" si="574">AG402-AH402</f>
        <v>15158.376100000001</v>
      </c>
      <c r="AJ402" s="69">
        <f t="shared" ref="AJ402:AJ499" si="575">AF402+AI402</f>
        <v>16218.376100000001</v>
      </c>
    </row>
    <row r="403" spans="1:36" x14ac:dyDescent="0.25">
      <c r="A403" s="167">
        <v>568</v>
      </c>
      <c r="B403" s="92" t="s">
        <v>3103</v>
      </c>
      <c r="C403" s="168" t="s">
        <v>3104</v>
      </c>
      <c r="D403" s="168" t="s">
        <v>3105</v>
      </c>
      <c r="E403" s="168" t="s">
        <v>2945</v>
      </c>
      <c r="F403" s="74">
        <v>39211</v>
      </c>
      <c r="G403" s="59">
        <f t="shared" si="558"/>
        <v>14.654794520547945</v>
      </c>
      <c r="H403" s="57"/>
      <c r="I403" s="57">
        <v>53585</v>
      </c>
      <c r="J403" s="182">
        <v>54567</v>
      </c>
      <c r="K403" s="63"/>
      <c r="L403" s="63">
        <f t="shared" si="559"/>
        <v>26.234134615384615</v>
      </c>
      <c r="M403" s="63">
        <f t="shared" si="560"/>
        <v>2098.7307692307691</v>
      </c>
      <c r="N403" s="63"/>
      <c r="O403" s="169"/>
      <c r="P403" s="169"/>
      <c r="Q403" s="63">
        <f t="shared" si="561"/>
        <v>0</v>
      </c>
      <c r="R403" s="63">
        <f t="shared" si="562"/>
        <v>54567</v>
      </c>
      <c r="S403" s="169"/>
      <c r="T403" s="63">
        <v>1200</v>
      </c>
      <c r="U403" s="63"/>
      <c r="V403" s="63">
        <f t="shared" si="563"/>
        <v>55767</v>
      </c>
      <c r="W403" s="63">
        <f t="shared" si="564"/>
        <v>3457.5540000000001</v>
      </c>
      <c r="X403" s="63">
        <f t="shared" si="565"/>
        <v>808.62150000000008</v>
      </c>
      <c r="Y403" s="63">
        <f t="shared" si="566"/>
        <v>7846.4168999999993</v>
      </c>
      <c r="Z403" s="63">
        <f t="shared" si="567"/>
        <v>89.227200000000011</v>
      </c>
      <c r="AA403" s="63">
        <f t="shared" si="568"/>
        <v>39.036900000000003</v>
      </c>
      <c r="AB403" s="63">
        <f t="shared" si="569"/>
        <v>335</v>
      </c>
      <c r="AC403" s="63">
        <f t="shared" si="570"/>
        <v>10356.36</v>
      </c>
      <c r="AD403" s="63">
        <f t="shared" si="571"/>
        <v>106.9136</v>
      </c>
      <c r="AE403" s="170">
        <v>568</v>
      </c>
      <c r="AF403" s="69">
        <f t="shared" si="572"/>
        <v>982</v>
      </c>
      <c r="AG403" s="69">
        <f t="shared" si="573"/>
        <v>23039.130099999998</v>
      </c>
      <c r="AH403" s="67">
        <v>11450</v>
      </c>
      <c r="AI403" s="69">
        <f t="shared" si="574"/>
        <v>11589.130099999998</v>
      </c>
      <c r="AJ403" s="69">
        <f t="shared" si="575"/>
        <v>12571.130099999998</v>
      </c>
    </row>
    <row r="404" spans="1:36" x14ac:dyDescent="0.25">
      <c r="A404" s="167">
        <v>568</v>
      </c>
      <c r="B404" s="92" t="s">
        <v>3106</v>
      </c>
      <c r="C404" s="168" t="s">
        <v>3107</v>
      </c>
      <c r="D404" s="71" t="s">
        <v>2953</v>
      </c>
      <c r="E404" s="71" t="s">
        <v>3058</v>
      </c>
      <c r="F404" s="72">
        <v>38868</v>
      </c>
      <c r="G404" s="59">
        <f t="shared" si="558"/>
        <v>15.594520547945205</v>
      </c>
      <c r="H404" s="57"/>
      <c r="I404" s="57">
        <v>51672</v>
      </c>
      <c r="J404" s="57">
        <v>51672</v>
      </c>
      <c r="K404" s="63"/>
      <c r="L404" s="63">
        <f t="shared" si="559"/>
        <v>24.842307692307692</v>
      </c>
      <c r="M404" s="63">
        <f t="shared" si="560"/>
        <v>1987.3846153846155</v>
      </c>
      <c r="N404" s="63"/>
      <c r="O404" s="169"/>
      <c r="P404" s="169"/>
      <c r="Q404" s="63">
        <f t="shared" si="561"/>
        <v>0</v>
      </c>
      <c r="R404" s="63">
        <f t="shared" si="562"/>
        <v>51672</v>
      </c>
      <c r="S404" s="169"/>
      <c r="T404" s="63">
        <v>1200</v>
      </c>
      <c r="U404" s="63">
        <v>1500</v>
      </c>
      <c r="V404" s="63">
        <f t="shared" si="563"/>
        <v>54372</v>
      </c>
      <c r="W404" s="63">
        <f t="shared" si="564"/>
        <v>3371.0639999999999</v>
      </c>
      <c r="X404" s="63">
        <f t="shared" si="565"/>
        <v>788.39400000000001</v>
      </c>
      <c r="Y404" s="63">
        <f t="shared" si="566"/>
        <v>7650.1403999999993</v>
      </c>
      <c r="Z404" s="63">
        <f t="shared" si="567"/>
        <v>86.995200000000011</v>
      </c>
      <c r="AA404" s="63">
        <f t="shared" si="568"/>
        <v>38.060400000000001</v>
      </c>
      <c r="AB404" s="63">
        <f t="shared" si="569"/>
        <v>335</v>
      </c>
      <c r="AC404" s="63">
        <f t="shared" si="570"/>
        <v>10356.36</v>
      </c>
      <c r="AD404" s="63">
        <f t="shared" si="571"/>
        <v>106.9136</v>
      </c>
      <c r="AE404" s="170">
        <v>568</v>
      </c>
      <c r="AF404" s="69">
        <f t="shared" si="572"/>
        <v>0</v>
      </c>
      <c r="AG404" s="69">
        <f t="shared" si="573"/>
        <v>22732.927599999999</v>
      </c>
      <c r="AH404" s="67">
        <v>1504486.21</v>
      </c>
      <c r="AI404" s="69">
        <f t="shared" si="574"/>
        <v>-1481753.2823999999</v>
      </c>
      <c r="AJ404" s="69">
        <f t="shared" si="575"/>
        <v>-1481753.2823999999</v>
      </c>
    </row>
    <row r="405" spans="1:36" x14ac:dyDescent="0.25">
      <c r="A405" s="167">
        <v>568</v>
      </c>
      <c r="B405" s="92" t="s">
        <v>3108</v>
      </c>
      <c r="C405" s="71" t="s">
        <v>3107</v>
      </c>
      <c r="D405" s="126" t="s">
        <v>3109</v>
      </c>
      <c r="E405" s="126" t="s">
        <v>3110</v>
      </c>
      <c r="F405" s="206">
        <v>39272</v>
      </c>
      <c r="G405" s="59">
        <f t="shared" si="558"/>
        <v>14.487671232876712</v>
      </c>
      <c r="H405" s="57"/>
      <c r="I405" s="57">
        <v>51672</v>
      </c>
      <c r="J405" s="182">
        <v>52620</v>
      </c>
      <c r="K405" s="63"/>
      <c r="L405" s="63">
        <f t="shared" si="559"/>
        <v>25.298076923076923</v>
      </c>
      <c r="M405" s="63">
        <f t="shared" si="560"/>
        <v>2023.8461538461538</v>
      </c>
      <c r="N405" s="63"/>
      <c r="O405" s="169"/>
      <c r="P405" s="169"/>
      <c r="Q405" s="63">
        <f t="shared" si="561"/>
        <v>0</v>
      </c>
      <c r="R405" s="63">
        <f t="shared" si="562"/>
        <v>52620</v>
      </c>
      <c r="S405" s="169"/>
      <c r="T405" s="63">
        <v>1200</v>
      </c>
      <c r="U405" s="63">
        <v>1000</v>
      </c>
      <c r="V405" s="63">
        <f t="shared" si="563"/>
        <v>54820</v>
      </c>
      <c r="W405" s="63">
        <f t="shared" si="564"/>
        <v>3398.84</v>
      </c>
      <c r="X405" s="63">
        <f t="shared" si="565"/>
        <v>794.89</v>
      </c>
      <c r="Y405" s="63">
        <f t="shared" si="566"/>
        <v>7713.174</v>
      </c>
      <c r="Z405" s="63">
        <f t="shared" si="567"/>
        <v>87.712000000000003</v>
      </c>
      <c r="AA405" s="63">
        <f t="shared" si="568"/>
        <v>38.374000000000002</v>
      </c>
      <c r="AB405" s="63">
        <f t="shared" si="569"/>
        <v>335</v>
      </c>
      <c r="AC405" s="63">
        <f t="shared" si="570"/>
        <v>10356.36</v>
      </c>
      <c r="AD405" s="63">
        <f t="shared" si="571"/>
        <v>106.9136</v>
      </c>
      <c r="AE405" s="170">
        <v>568</v>
      </c>
      <c r="AF405" s="69">
        <f t="shared" si="572"/>
        <v>948</v>
      </c>
      <c r="AG405" s="69">
        <f t="shared" si="573"/>
        <v>22831.263599999998</v>
      </c>
      <c r="AH405" s="67">
        <v>1504486.21</v>
      </c>
      <c r="AI405" s="69">
        <f t="shared" si="574"/>
        <v>-1481654.9464</v>
      </c>
      <c r="AJ405" s="69">
        <f t="shared" si="575"/>
        <v>-1480706.9464</v>
      </c>
    </row>
    <row r="406" spans="1:36" x14ac:dyDescent="0.25">
      <c r="A406" s="167">
        <v>568</v>
      </c>
      <c r="B406" s="92" t="s">
        <v>3111</v>
      </c>
      <c r="C406" s="71" t="s">
        <v>3112</v>
      </c>
      <c r="D406" s="71" t="s">
        <v>2461</v>
      </c>
      <c r="E406" s="168" t="s">
        <v>3113</v>
      </c>
      <c r="F406" s="58">
        <v>40938</v>
      </c>
      <c r="G406" s="59">
        <f t="shared" si="558"/>
        <v>9.9232876712328775</v>
      </c>
      <c r="H406" s="57"/>
      <c r="I406" s="57">
        <v>41999</v>
      </c>
      <c r="J406" s="57">
        <v>41999</v>
      </c>
      <c r="K406" s="63"/>
      <c r="L406" s="63">
        <f t="shared" si="559"/>
        <v>20.191826923076924</v>
      </c>
      <c r="M406" s="63">
        <f t="shared" si="560"/>
        <v>1615.3461538461538</v>
      </c>
      <c r="N406" s="63"/>
      <c r="O406" s="169"/>
      <c r="P406" s="169"/>
      <c r="Q406" s="63">
        <f t="shared" si="561"/>
        <v>0</v>
      </c>
      <c r="R406" s="63">
        <f t="shared" si="562"/>
        <v>41999</v>
      </c>
      <c r="S406" s="169"/>
      <c r="T406" s="169"/>
      <c r="U406" s="169"/>
      <c r="V406" s="63">
        <f t="shared" si="563"/>
        <v>41999</v>
      </c>
      <c r="W406" s="63">
        <f t="shared" si="564"/>
        <v>2603.9380000000001</v>
      </c>
      <c r="X406" s="63">
        <f t="shared" si="565"/>
        <v>608.9855</v>
      </c>
      <c r="Y406" s="63">
        <f t="shared" si="566"/>
        <v>5909.2592999999997</v>
      </c>
      <c r="Z406" s="63">
        <f t="shared" si="567"/>
        <v>67.198400000000007</v>
      </c>
      <c r="AA406" s="63">
        <f t="shared" si="568"/>
        <v>29.3993</v>
      </c>
      <c r="AB406" s="63">
        <f t="shared" si="569"/>
        <v>335</v>
      </c>
      <c r="AC406" s="63">
        <f t="shared" si="570"/>
        <v>10356.36</v>
      </c>
      <c r="AD406" s="63">
        <f t="shared" si="571"/>
        <v>106.9136</v>
      </c>
      <c r="AE406" s="170">
        <v>568</v>
      </c>
      <c r="AF406" s="69">
        <f t="shared" si="572"/>
        <v>0</v>
      </c>
      <c r="AG406" s="69">
        <f t="shared" si="573"/>
        <v>20017.054099999998</v>
      </c>
      <c r="AH406" s="65"/>
      <c r="AI406" s="69">
        <f t="shared" si="574"/>
        <v>20017.054099999998</v>
      </c>
      <c r="AJ406" s="69">
        <f t="shared" si="575"/>
        <v>20017.054099999998</v>
      </c>
    </row>
    <row r="407" spans="1:36" x14ac:dyDescent="0.25">
      <c r="A407" s="167">
        <v>568</v>
      </c>
      <c r="B407" s="92" t="s">
        <v>3114</v>
      </c>
      <c r="C407" s="71" t="s">
        <v>3112</v>
      </c>
      <c r="D407" s="71" t="s">
        <v>3802</v>
      </c>
      <c r="E407" s="71" t="s">
        <v>3058</v>
      </c>
      <c r="F407" s="72">
        <v>43200</v>
      </c>
      <c r="G407" s="59">
        <f t="shared" si="558"/>
        <v>3.7260273972602738</v>
      </c>
      <c r="H407" s="57"/>
      <c r="I407" s="57">
        <v>41243</v>
      </c>
      <c r="J407" s="57">
        <v>41243</v>
      </c>
      <c r="K407" s="63"/>
      <c r="L407" s="63">
        <f t="shared" si="559"/>
        <v>19.828365384615385</v>
      </c>
      <c r="M407" s="63">
        <f t="shared" si="560"/>
        <v>1586.2692307692307</v>
      </c>
      <c r="N407" s="63"/>
      <c r="O407" s="169"/>
      <c r="P407" s="169"/>
      <c r="Q407" s="63">
        <f t="shared" si="561"/>
        <v>0</v>
      </c>
      <c r="R407" s="63">
        <f t="shared" si="562"/>
        <v>41243</v>
      </c>
      <c r="S407" s="169"/>
      <c r="T407" s="169"/>
      <c r="U407" s="169"/>
      <c r="V407" s="63">
        <f t="shared" si="563"/>
        <v>41243</v>
      </c>
      <c r="W407" s="63">
        <f t="shared" si="564"/>
        <v>2557.0659999999998</v>
      </c>
      <c r="X407" s="63">
        <f t="shared" si="565"/>
        <v>598.02350000000001</v>
      </c>
      <c r="Y407" s="63">
        <f t="shared" si="566"/>
        <v>5802.8900999999996</v>
      </c>
      <c r="Z407" s="63">
        <f t="shared" si="567"/>
        <v>65.988799999999998</v>
      </c>
      <c r="AA407" s="63">
        <f t="shared" si="568"/>
        <v>28.870100000000001</v>
      </c>
      <c r="AB407" s="63">
        <f t="shared" si="569"/>
        <v>335</v>
      </c>
      <c r="AC407" s="63">
        <f t="shared" si="570"/>
        <v>10356.36</v>
      </c>
      <c r="AD407" s="63">
        <f t="shared" si="571"/>
        <v>106.9136</v>
      </c>
      <c r="AE407" s="170">
        <v>568</v>
      </c>
      <c r="AF407" s="69">
        <f t="shared" si="572"/>
        <v>0</v>
      </c>
      <c r="AG407" s="69">
        <f t="shared" si="573"/>
        <v>19851.112099999998</v>
      </c>
      <c r="AH407" s="65"/>
      <c r="AI407" s="69">
        <f t="shared" si="574"/>
        <v>19851.112099999998</v>
      </c>
      <c r="AJ407" s="69">
        <f t="shared" si="575"/>
        <v>19851.112099999998</v>
      </c>
    </row>
    <row r="408" spans="1:36" x14ac:dyDescent="0.25">
      <c r="A408" s="167">
        <v>568</v>
      </c>
      <c r="B408" s="92" t="s">
        <v>3116</v>
      </c>
      <c r="C408" s="71" t="s">
        <v>3112</v>
      </c>
      <c r="D408" s="181" t="s">
        <v>3803</v>
      </c>
      <c r="E408" s="181" t="s">
        <v>2592</v>
      </c>
      <c r="F408" s="58">
        <v>41127</v>
      </c>
      <c r="G408" s="59">
        <f t="shared" si="558"/>
        <v>9.4054794520547951</v>
      </c>
      <c r="H408" s="57"/>
      <c r="I408" s="57">
        <v>41243</v>
      </c>
      <c r="J408" s="57">
        <v>41243</v>
      </c>
      <c r="K408" s="63"/>
      <c r="L408" s="63">
        <f t="shared" si="559"/>
        <v>19.828365384615385</v>
      </c>
      <c r="M408" s="63">
        <f t="shared" si="560"/>
        <v>1586.2692307692307</v>
      </c>
      <c r="N408" s="63"/>
      <c r="O408" s="169"/>
      <c r="P408" s="169"/>
      <c r="Q408" s="63">
        <f t="shared" si="561"/>
        <v>0</v>
      </c>
      <c r="R408" s="63">
        <f t="shared" si="562"/>
        <v>41243</v>
      </c>
      <c r="S408" s="169"/>
      <c r="T408" s="169"/>
      <c r="U408" s="169"/>
      <c r="V408" s="63">
        <f t="shared" si="563"/>
        <v>41243</v>
      </c>
      <c r="W408" s="63">
        <f t="shared" si="564"/>
        <v>2557.0659999999998</v>
      </c>
      <c r="X408" s="63">
        <f t="shared" si="565"/>
        <v>598.02350000000001</v>
      </c>
      <c r="Y408" s="63">
        <f t="shared" si="566"/>
        <v>5802.8900999999996</v>
      </c>
      <c r="Z408" s="63">
        <f t="shared" si="567"/>
        <v>65.988799999999998</v>
      </c>
      <c r="AA408" s="63">
        <f t="shared" si="568"/>
        <v>28.870100000000001</v>
      </c>
      <c r="AB408" s="63">
        <f t="shared" si="569"/>
        <v>335</v>
      </c>
      <c r="AC408" s="63">
        <f t="shared" si="570"/>
        <v>10356.36</v>
      </c>
      <c r="AD408" s="63">
        <f t="shared" si="571"/>
        <v>106.9136</v>
      </c>
      <c r="AE408" s="170">
        <v>568</v>
      </c>
      <c r="AF408" s="69">
        <f t="shared" si="572"/>
        <v>0</v>
      </c>
      <c r="AG408" s="69">
        <f t="shared" si="573"/>
        <v>19851.112099999998</v>
      </c>
      <c r="AH408" s="67">
        <v>24660.79</v>
      </c>
      <c r="AI408" s="69">
        <f t="shared" si="574"/>
        <v>-4809.6779000000024</v>
      </c>
      <c r="AJ408" s="69">
        <f t="shared" si="575"/>
        <v>-4809.6779000000024</v>
      </c>
    </row>
    <row r="409" spans="1:36" x14ac:dyDescent="0.25">
      <c r="A409" s="167">
        <v>568</v>
      </c>
      <c r="B409" s="92" t="s">
        <v>3119</v>
      </c>
      <c r="C409" s="71" t="s">
        <v>3112</v>
      </c>
      <c r="D409" s="71" t="s">
        <v>3120</v>
      </c>
      <c r="E409" s="71" t="s">
        <v>2483</v>
      </c>
      <c r="F409" s="72">
        <v>43318</v>
      </c>
      <c r="G409" s="59">
        <f t="shared" si="558"/>
        <v>3.4027397260273973</v>
      </c>
      <c r="H409" s="57"/>
      <c r="I409" s="66">
        <v>41243</v>
      </c>
      <c r="J409" s="66">
        <v>41243</v>
      </c>
      <c r="K409" s="63"/>
      <c r="L409" s="63">
        <f t="shared" si="559"/>
        <v>19.828365384615385</v>
      </c>
      <c r="M409" s="63">
        <f t="shared" si="560"/>
        <v>1586.2692307692307</v>
      </c>
      <c r="N409" s="63"/>
      <c r="O409" s="169"/>
      <c r="P409" s="169"/>
      <c r="Q409" s="63">
        <f t="shared" si="561"/>
        <v>0</v>
      </c>
      <c r="R409" s="63">
        <f t="shared" si="562"/>
        <v>41243</v>
      </c>
      <c r="S409" s="169"/>
      <c r="T409" s="169"/>
      <c r="U409" s="169"/>
      <c r="V409" s="63">
        <f t="shared" si="563"/>
        <v>41243</v>
      </c>
      <c r="W409" s="63">
        <f t="shared" si="564"/>
        <v>2557.0659999999998</v>
      </c>
      <c r="X409" s="63">
        <f t="shared" si="565"/>
        <v>598.02350000000001</v>
      </c>
      <c r="Y409" s="63">
        <f t="shared" si="566"/>
        <v>5802.8900999999996</v>
      </c>
      <c r="Z409" s="63">
        <f t="shared" si="567"/>
        <v>65.988799999999998</v>
      </c>
      <c r="AA409" s="63">
        <f t="shared" si="568"/>
        <v>28.870100000000001</v>
      </c>
      <c r="AB409" s="63">
        <f t="shared" si="569"/>
        <v>335</v>
      </c>
      <c r="AC409" s="63">
        <f t="shared" si="570"/>
        <v>10356.36</v>
      </c>
      <c r="AD409" s="63">
        <f t="shared" si="571"/>
        <v>106.9136</v>
      </c>
      <c r="AE409" s="170">
        <v>568</v>
      </c>
      <c r="AF409" s="69">
        <f t="shared" si="572"/>
        <v>0</v>
      </c>
      <c r="AG409" s="69">
        <f t="shared" si="573"/>
        <v>19851.112099999998</v>
      </c>
      <c r="AH409" s="67">
        <v>23344.04</v>
      </c>
      <c r="AI409" s="69">
        <f t="shared" si="574"/>
        <v>-3492.9279000000024</v>
      </c>
      <c r="AJ409" s="69">
        <f t="shared" si="575"/>
        <v>-3492.9279000000024</v>
      </c>
    </row>
    <row r="410" spans="1:36" x14ac:dyDescent="0.25">
      <c r="A410" s="167">
        <v>568</v>
      </c>
      <c r="B410" s="92" t="s">
        <v>3121</v>
      </c>
      <c r="C410" s="71" t="s">
        <v>3122</v>
      </c>
      <c r="D410" s="71" t="s">
        <v>3123</v>
      </c>
      <c r="E410" s="71" t="s">
        <v>3124</v>
      </c>
      <c r="F410" s="73">
        <v>42752</v>
      </c>
      <c r="G410" s="59">
        <f t="shared" si="558"/>
        <v>4.9534246575342467</v>
      </c>
      <c r="H410" s="57"/>
      <c r="I410" s="57">
        <v>37451</v>
      </c>
      <c r="J410" s="182">
        <v>38137</v>
      </c>
      <c r="K410" s="63"/>
      <c r="L410" s="63">
        <f t="shared" si="559"/>
        <v>18.335096153846155</v>
      </c>
      <c r="M410" s="63">
        <f t="shared" si="560"/>
        <v>1466.8076923076924</v>
      </c>
      <c r="N410" s="63"/>
      <c r="O410" s="169"/>
      <c r="P410" s="169"/>
      <c r="Q410" s="63">
        <f t="shared" si="561"/>
        <v>0</v>
      </c>
      <c r="R410" s="63">
        <f t="shared" si="562"/>
        <v>38137</v>
      </c>
      <c r="S410" s="169"/>
      <c r="T410" s="169"/>
      <c r="U410" s="169"/>
      <c r="V410" s="63">
        <f t="shared" si="563"/>
        <v>38137</v>
      </c>
      <c r="W410" s="63">
        <f t="shared" si="564"/>
        <v>2364.4940000000001</v>
      </c>
      <c r="X410" s="63">
        <f t="shared" si="565"/>
        <v>552.98649999999998</v>
      </c>
      <c r="Y410" s="63">
        <f t="shared" si="566"/>
        <v>5365.8759</v>
      </c>
      <c r="Z410" s="63">
        <f t="shared" si="567"/>
        <v>61.019200000000005</v>
      </c>
      <c r="AA410" s="63">
        <f t="shared" si="568"/>
        <v>26.695899999999998</v>
      </c>
      <c r="AB410" s="63">
        <f t="shared" si="569"/>
        <v>335</v>
      </c>
      <c r="AC410" s="63">
        <f t="shared" si="570"/>
        <v>10356.36</v>
      </c>
      <c r="AD410" s="63">
        <f t="shared" si="571"/>
        <v>106.9136</v>
      </c>
      <c r="AE410" s="170">
        <v>568</v>
      </c>
      <c r="AF410" s="69">
        <f t="shared" si="572"/>
        <v>686</v>
      </c>
      <c r="AG410" s="69">
        <f t="shared" si="573"/>
        <v>19169.345100000002</v>
      </c>
      <c r="AH410" s="67">
        <v>23249.46</v>
      </c>
      <c r="AI410" s="69">
        <f t="shared" si="574"/>
        <v>-4080.1148999999969</v>
      </c>
      <c r="AJ410" s="69">
        <f t="shared" si="575"/>
        <v>-3394.1148999999969</v>
      </c>
    </row>
    <row r="411" spans="1:36" x14ac:dyDescent="0.25">
      <c r="A411" s="167">
        <v>568</v>
      </c>
      <c r="B411" s="92" t="s">
        <v>3125</v>
      </c>
      <c r="C411" s="71" t="s">
        <v>3122</v>
      </c>
      <c r="D411" s="90" t="s">
        <v>2805</v>
      </c>
      <c r="E411" s="90" t="s">
        <v>2806</v>
      </c>
      <c r="F411" s="72">
        <v>43831</v>
      </c>
      <c r="G411" s="59">
        <f t="shared" si="558"/>
        <v>1.9972602739726026</v>
      </c>
      <c r="H411" s="57"/>
      <c r="I411" s="66">
        <v>38836</v>
      </c>
      <c r="J411" s="66">
        <v>37451</v>
      </c>
      <c r="K411" s="63"/>
      <c r="L411" s="63">
        <f t="shared" si="559"/>
        <v>18.005288461538463</v>
      </c>
      <c r="M411" s="63">
        <f t="shared" si="560"/>
        <v>1440.4230769230769</v>
      </c>
      <c r="N411" s="63"/>
      <c r="O411" s="169"/>
      <c r="P411" s="169"/>
      <c r="Q411" s="63">
        <f t="shared" si="561"/>
        <v>0</v>
      </c>
      <c r="R411" s="63">
        <f t="shared" si="562"/>
        <v>37451</v>
      </c>
      <c r="S411" s="169"/>
      <c r="T411" s="169"/>
      <c r="U411" s="169"/>
      <c r="V411" s="63">
        <f t="shared" si="563"/>
        <v>37451</v>
      </c>
      <c r="W411" s="63">
        <f t="shared" si="564"/>
        <v>2321.962</v>
      </c>
      <c r="X411" s="63">
        <f t="shared" si="565"/>
        <v>543.03949999999998</v>
      </c>
      <c r="Y411" s="63">
        <f t="shared" si="566"/>
        <v>5269.3557000000001</v>
      </c>
      <c r="Z411" s="63">
        <f t="shared" si="567"/>
        <v>59.921600000000005</v>
      </c>
      <c r="AA411" s="63">
        <f t="shared" si="568"/>
        <v>26.215699999999998</v>
      </c>
      <c r="AB411" s="63">
        <f t="shared" si="569"/>
        <v>335</v>
      </c>
      <c r="AC411" s="63">
        <f t="shared" si="570"/>
        <v>10356.36</v>
      </c>
      <c r="AD411" s="63">
        <f t="shared" si="571"/>
        <v>106.9136</v>
      </c>
      <c r="AE411" s="170">
        <v>568</v>
      </c>
      <c r="AF411" s="69">
        <f t="shared" si="572"/>
        <v>-1385</v>
      </c>
      <c r="AG411" s="69">
        <f t="shared" si="573"/>
        <v>19018.768100000001</v>
      </c>
      <c r="AH411" s="67">
        <v>23134.959999999999</v>
      </c>
      <c r="AI411" s="69">
        <f t="shared" si="574"/>
        <v>-4116.191899999998</v>
      </c>
      <c r="AJ411" s="69">
        <f t="shared" si="575"/>
        <v>-5501.191899999998</v>
      </c>
    </row>
    <row r="412" spans="1:36" x14ac:dyDescent="0.25">
      <c r="A412" s="167">
        <v>568</v>
      </c>
      <c r="B412" s="92" t="s">
        <v>3128</v>
      </c>
      <c r="C412" s="71" t="s">
        <v>3122</v>
      </c>
      <c r="D412" s="168" t="s">
        <v>3129</v>
      </c>
      <c r="E412" s="168" t="s">
        <v>3130</v>
      </c>
      <c r="F412" s="58">
        <v>39667</v>
      </c>
      <c r="G412" s="59">
        <f t="shared" si="558"/>
        <v>13.405479452054795</v>
      </c>
      <c r="H412" s="57"/>
      <c r="I412" s="57">
        <v>39548</v>
      </c>
      <c r="J412" s="57">
        <v>39548</v>
      </c>
      <c r="K412" s="63"/>
      <c r="L412" s="63">
        <f t="shared" si="559"/>
        <v>19.013461538461538</v>
      </c>
      <c r="M412" s="63">
        <f t="shared" si="560"/>
        <v>1521.0769230769231</v>
      </c>
      <c r="N412" s="63"/>
      <c r="O412" s="169"/>
      <c r="P412" s="169"/>
      <c r="Q412" s="63">
        <f t="shared" si="561"/>
        <v>0</v>
      </c>
      <c r="R412" s="63">
        <f t="shared" si="562"/>
        <v>39548</v>
      </c>
      <c r="S412" s="169"/>
      <c r="T412" s="169"/>
      <c r="U412" s="169"/>
      <c r="V412" s="63">
        <f t="shared" si="563"/>
        <v>39548</v>
      </c>
      <c r="W412" s="63">
        <f t="shared" si="564"/>
        <v>2451.9760000000001</v>
      </c>
      <c r="X412" s="63">
        <f t="shared" si="565"/>
        <v>573.44600000000003</v>
      </c>
      <c r="Y412" s="63">
        <f t="shared" si="566"/>
        <v>5564.4035999999996</v>
      </c>
      <c r="Z412" s="63">
        <f t="shared" si="567"/>
        <v>63.276800000000001</v>
      </c>
      <c r="AA412" s="63">
        <f t="shared" si="568"/>
        <v>27.683599999999998</v>
      </c>
      <c r="AB412" s="63">
        <f t="shared" si="569"/>
        <v>335</v>
      </c>
      <c r="AC412" s="63">
        <f t="shared" si="570"/>
        <v>10356.36</v>
      </c>
      <c r="AD412" s="63">
        <f t="shared" si="571"/>
        <v>106.9136</v>
      </c>
      <c r="AE412" s="170">
        <v>568</v>
      </c>
      <c r="AF412" s="69">
        <f t="shared" si="572"/>
        <v>0</v>
      </c>
      <c r="AG412" s="69">
        <f t="shared" si="573"/>
        <v>19479.059600000001</v>
      </c>
      <c r="AH412" s="67">
        <v>20416.04</v>
      </c>
      <c r="AI412" s="69">
        <f t="shared" si="574"/>
        <v>-936.98040000000037</v>
      </c>
      <c r="AJ412" s="69">
        <f t="shared" si="575"/>
        <v>-936.98040000000037</v>
      </c>
    </row>
    <row r="413" spans="1:36" x14ac:dyDescent="0.25">
      <c r="A413" s="167">
        <v>568</v>
      </c>
      <c r="B413" s="92" t="s">
        <v>3131</v>
      </c>
      <c r="C413" s="71" t="s">
        <v>3122</v>
      </c>
      <c r="D413" s="168" t="s">
        <v>3132</v>
      </c>
      <c r="E413" s="168" t="s">
        <v>3133</v>
      </c>
      <c r="F413" s="58">
        <v>42611</v>
      </c>
      <c r="G413" s="59">
        <f t="shared" si="558"/>
        <v>5.3397260273972602</v>
      </c>
      <c r="H413" s="57"/>
      <c r="I413" s="57">
        <v>37451</v>
      </c>
      <c r="J413" s="57">
        <v>37451</v>
      </c>
      <c r="K413" s="63"/>
      <c r="L413" s="63">
        <f t="shared" si="559"/>
        <v>18.005288461538463</v>
      </c>
      <c r="M413" s="63">
        <f t="shared" si="560"/>
        <v>1440.4230769230769</v>
      </c>
      <c r="N413" s="63"/>
      <c r="O413" s="169"/>
      <c r="P413" s="169"/>
      <c r="Q413" s="63">
        <f t="shared" si="561"/>
        <v>0</v>
      </c>
      <c r="R413" s="63">
        <f t="shared" si="562"/>
        <v>37451</v>
      </c>
      <c r="S413" s="169"/>
      <c r="T413" s="169"/>
      <c r="U413" s="169"/>
      <c r="V413" s="63">
        <f t="shared" si="563"/>
        <v>37451</v>
      </c>
      <c r="W413" s="63">
        <f t="shared" si="564"/>
        <v>2321.962</v>
      </c>
      <c r="X413" s="63">
        <f t="shared" si="565"/>
        <v>543.03949999999998</v>
      </c>
      <c r="Y413" s="63">
        <f t="shared" si="566"/>
        <v>5269.3557000000001</v>
      </c>
      <c r="Z413" s="63">
        <f t="shared" si="567"/>
        <v>59.921600000000005</v>
      </c>
      <c r="AA413" s="63">
        <f t="shared" si="568"/>
        <v>26.215699999999998</v>
      </c>
      <c r="AB413" s="63">
        <f t="shared" si="569"/>
        <v>335</v>
      </c>
      <c r="AC413" s="63">
        <f t="shared" si="570"/>
        <v>10356.36</v>
      </c>
      <c r="AD413" s="63">
        <f t="shared" si="571"/>
        <v>106.9136</v>
      </c>
      <c r="AE413" s="170">
        <v>568</v>
      </c>
      <c r="AF413" s="69">
        <f t="shared" si="572"/>
        <v>0</v>
      </c>
      <c r="AG413" s="69">
        <f t="shared" si="573"/>
        <v>19018.768100000001</v>
      </c>
      <c r="AH413" s="67">
        <v>20242.919999999998</v>
      </c>
      <c r="AI413" s="69">
        <f t="shared" si="574"/>
        <v>-1224.1518999999971</v>
      </c>
      <c r="AJ413" s="69">
        <f t="shared" si="575"/>
        <v>-1224.1518999999971</v>
      </c>
    </row>
    <row r="414" spans="1:36" x14ac:dyDescent="0.25">
      <c r="A414" s="167">
        <v>568</v>
      </c>
      <c r="B414" s="92" t="s">
        <v>3134</v>
      </c>
      <c r="C414" s="71" t="s">
        <v>3122</v>
      </c>
      <c r="D414" s="168" t="s">
        <v>2498</v>
      </c>
      <c r="E414" s="168" t="s">
        <v>3115</v>
      </c>
      <c r="F414" s="74">
        <v>39294</v>
      </c>
      <c r="G414" s="59">
        <f t="shared" si="558"/>
        <v>14.427397260273972</v>
      </c>
      <c r="H414" s="57"/>
      <c r="I414" s="57">
        <v>39548</v>
      </c>
      <c r="J414" s="182">
        <v>40273</v>
      </c>
      <c r="K414" s="63"/>
      <c r="L414" s="63">
        <f t="shared" si="559"/>
        <v>19.362019230769231</v>
      </c>
      <c r="M414" s="63">
        <f t="shared" si="560"/>
        <v>1548.9615384615386</v>
      </c>
      <c r="N414" s="63"/>
      <c r="O414" s="169"/>
      <c r="P414" s="169"/>
      <c r="Q414" s="63">
        <f t="shared" si="561"/>
        <v>0</v>
      </c>
      <c r="R414" s="63">
        <f t="shared" si="562"/>
        <v>40273</v>
      </c>
      <c r="S414" s="169"/>
      <c r="T414" s="169"/>
      <c r="U414" s="169"/>
      <c r="V414" s="63">
        <f t="shared" si="563"/>
        <v>40273</v>
      </c>
      <c r="W414" s="63">
        <f t="shared" si="564"/>
        <v>2496.9259999999999</v>
      </c>
      <c r="X414" s="63">
        <f t="shared" si="565"/>
        <v>583.95850000000007</v>
      </c>
      <c r="Y414" s="63">
        <f t="shared" si="566"/>
        <v>5666.4110999999994</v>
      </c>
      <c r="Z414" s="63">
        <f t="shared" si="567"/>
        <v>64.436800000000005</v>
      </c>
      <c r="AA414" s="63">
        <f t="shared" si="568"/>
        <v>28.191099999999999</v>
      </c>
      <c r="AB414" s="63">
        <f t="shared" si="569"/>
        <v>335</v>
      </c>
      <c r="AC414" s="63">
        <f t="shared" si="570"/>
        <v>10356.36</v>
      </c>
      <c r="AD414" s="63">
        <f t="shared" si="571"/>
        <v>106.9136</v>
      </c>
      <c r="AE414" s="170">
        <v>568</v>
      </c>
      <c r="AF414" s="69">
        <f t="shared" si="572"/>
        <v>725</v>
      </c>
      <c r="AG414" s="69">
        <f t="shared" si="573"/>
        <v>19638.197099999998</v>
      </c>
      <c r="AH414" s="67">
        <v>20242.919999999998</v>
      </c>
      <c r="AI414" s="69">
        <f t="shared" si="574"/>
        <v>-604.72290000000066</v>
      </c>
      <c r="AJ414" s="69">
        <f t="shared" si="575"/>
        <v>120.27709999999934</v>
      </c>
    </row>
    <row r="415" spans="1:36" x14ac:dyDescent="0.25">
      <c r="A415" s="167">
        <v>568</v>
      </c>
      <c r="B415" s="92" t="s">
        <v>3136</v>
      </c>
      <c r="C415" s="71" t="s">
        <v>3122</v>
      </c>
      <c r="D415" s="168" t="s">
        <v>3137</v>
      </c>
      <c r="E415" s="168" t="s">
        <v>3138</v>
      </c>
      <c r="F415" s="58">
        <v>41660</v>
      </c>
      <c r="G415" s="59">
        <f t="shared" si="558"/>
        <v>7.9452054794520546</v>
      </c>
      <c r="H415" s="57"/>
      <c r="I415" s="57">
        <v>37451</v>
      </c>
      <c r="J415" s="57">
        <v>37451</v>
      </c>
      <c r="K415" s="63"/>
      <c r="L415" s="63">
        <f t="shared" si="559"/>
        <v>18.005288461538463</v>
      </c>
      <c r="M415" s="63">
        <f t="shared" si="560"/>
        <v>1440.4230769230769</v>
      </c>
      <c r="N415" s="63"/>
      <c r="O415" s="169"/>
      <c r="P415" s="169"/>
      <c r="Q415" s="63">
        <f t="shared" si="561"/>
        <v>0</v>
      </c>
      <c r="R415" s="63">
        <f t="shared" si="562"/>
        <v>37451</v>
      </c>
      <c r="S415" s="169"/>
      <c r="T415" s="169"/>
      <c r="U415" s="169"/>
      <c r="V415" s="63">
        <f t="shared" si="563"/>
        <v>37451</v>
      </c>
      <c r="W415" s="63">
        <f t="shared" si="564"/>
        <v>2321.962</v>
      </c>
      <c r="X415" s="63">
        <f t="shared" si="565"/>
        <v>543.03949999999998</v>
      </c>
      <c r="Y415" s="63">
        <f t="shared" si="566"/>
        <v>5269.3557000000001</v>
      </c>
      <c r="Z415" s="63">
        <f t="shared" si="567"/>
        <v>59.921600000000005</v>
      </c>
      <c r="AA415" s="63">
        <f t="shared" si="568"/>
        <v>26.215699999999998</v>
      </c>
      <c r="AB415" s="63">
        <f t="shared" si="569"/>
        <v>335</v>
      </c>
      <c r="AC415" s="63">
        <f t="shared" si="570"/>
        <v>10356.36</v>
      </c>
      <c r="AD415" s="63">
        <f t="shared" si="571"/>
        <v>106.9136</v>
      </c>
      <c r="AE415" s="170">
        <v>568</v>
      </c>
      <c r="AF415" s="69">
        <f t="shared" si="572"/>
        <v>0</v>
      </c>
      <c r="AG415" s="69">
        <f t="shared" si="573"/>
        <v>19018.768100000001</v>
      </c>
      <c r="AH415" s="67">
        <v>20416.04</v>
      </c>
      <c r="AI415" s="69">
        <f t="shared" si="574"/>
        <v>-1397.2718999999997</v>
      </c>
      <c r="AJ415" s="69">
        <f t="shared" si="575"/>
        <v>-1397.2718999999997</v>
      </c>
    </row>
    <row r="416" spans="1:36" x14ac:dyDescent="0.25">
      <c r="A416" s="167">
        <v>568</v>
      </c>
      <c r="B416" s="92" t="s">
        <v>3139</v>
      </c>
      <c r="C416" s="71" t="s">
        <v>3122</v>
      </c>
      <c r="D416" s="168" t="s">
        <v>3140</v>
      </c>
      <c r="E416" s="168" t="s">
        <v>3141</v>
      </c>
      <c r="F416" s="58">
        <v>39554</v>
      </c>
      <c r="G416" s="59">
        <f t="shared" si="558"/>
        <v>13.715068493150685</v>
      </c>
      <c r="H416" s="57"/>
      <c r="I416" s="57">
        <v>39548</v>
      </c>
      <c r="J416" s="57">
        <v>39548</v>
      </c>
      <c r="K416" s="63"/>
      <c r="L416" s="63">
        <f t="shared" si="559"/>
        <v>19.013461538461538</v>
      </c>
      <c r="M416" s="63">
        <f t="shared" si="560"/>
        <v>1521.0769230769231</v>
      </c>
      <c r="N416" s="63"/>
      <c r="O416" s="169"/>
      <c r="P416" s="169"/>
      <c r="Q416" s="63">
        <f t="shared" si="561"/>
        <v>0</v>
      </c>
      <c r="R416" s="63">
        <f t="shared" si="562"/>
        <v>39548</v>
      </c>
      <c r="S416" s="169"/>
      <c r="T416" s="169"/>
      <c r="U416" s="169"/>
      <c r="V416" s="63">
        <f t="shared" si="563"/>
        <v>39548</v>
      </c>
      <c r="W416" s="63">
        <f t="shared" si="564"/>
        <v>2451.9760000000001</v>
      </c>
      <c r="X416" s="63">
        <f t="shared" si="565"/>
        <v>573.44600000000003</v>
      </c>
      <c r="Y416" s="63">
        <f t="shared" si="566"/>
        <v>5564.4035999999996</v>
      </c>
      <c r="Z416" s="63">
        <f t="shared" si="567"/>
        <v>63.276800000000001</v>
      </c>
      <c r="AA416" s="63">
        <f t="shared" si="568"/>
        <v>27.683599999999998</v>
      </c>
      <c r="AB416" s="63">
        <f t="shared" si="569"/>
        <v>335</v>
      </c>
      <c r="AC416" s="63">
        <f t="shared" si="570"/>
        <v>10356.36</v>
      </c>
      <c r="AD416" s="63">
        <f t="shared" si="571"/>
        <v>106.9136</v>
      </c>
      <c r="AE416" s="170">
        <v>568</v>
      </c>
      <c r="AF416" s="69">
        <f t="shared" si="572"/>
        <v>0</v>
      </c>
      <c r="AG416" s="69">
        <f t="shared" si="573"/>
        <v>19479.059600000001</v>
      </c>
      <c r="AH416" s="67">
        <v>19374.55</v>
      </c>
      <c r="AI416" s="69">
        <f t="shared" si="574"/>
        <v>104.50960000000123</v>
      </c>
      <c r="AJ416" s="69">
        <f t="shared" si="575"/>
        <v>104.50960000000123</v>
      </c>
    </row>
    <row r="417" spans="1:36" x14ac:dyDescent="0.25">
      <c r="A417" s="167">
        <v>568</v>
      </c>
      <c r="B417" s="92" t="s">
        <v>3142</v>
      </c>
      <c r="C417" s="71" t="s">
        <v>3122</v>
      </c>
      <c r="D417" s="71" t="s">
        <v>2904</v>
      </c>
      <c r="E417" s="71" t="s">
        <v>2945</v>
      </c>
      <c r="F417" s="72">
        <v>43355</v>
      </c>
      <c r="G417" s="59">
        <f t="shared" si="558"/>
        <v>3.3013698630136985</v>
      </c>
      <c r="H417" s="57"/>
      <c r="I417" s="57">
        <v>37451</v>
      </c>
      <c r="J417" s="57">
        <v>37451</v>
      </c>
      <c r="K417" s="63"/>
      <c r="L417" s="63">
        <f t="shared" si="559"/>
        <v>18.005288461538463</v>
      </c>
      <c r="M417" s="63">
        <f t="shared" si="560"/>
        <v>1440.4230769230769</v>
      </c>
      <c r="N417" s="63"/>
      <c r="O417" s="169"/>
      <c r="P417" s="169"/>
      <c r="Q417" s="63">
        <f t="shared" si="561"/>
        <v>0</v>
      </c>
      <c r="R417" s="63">
        <f t="shared" si="562"/>
        <v>37451</v>
      </c>
      <c r="S417" s="169"/>
      <c r="T417" s="169"/>
      <c r="U417" s="169"/>
      <c r="V417" s="63">
        <f t="shared" si="563"/>
        <v>37451</v>
      </c>
      <c r="W417" s="63">
        <f t="shared" si="564"/>
        <v>2321.962</v>
      </c>
      <c r="X417" s="63">
        <f t="shared" si="565"/>
        <v>543.03949999999998</v>
      </c>
      <c r="Y417" s="63">
        <f t="shared" si="566"/>
        <v>5269.3557000000001</v>
      </c>
      <c r="Z417" s="63">
        <f t="shared" si="567"/>
        <v>59.921600000000005</v>
      </c>
      <c r="AA417" s="63">
        <f t="shared" si="568"/>
        <v>26.215699999999998</v>
      </c>
      <c r="AB417" s="63">
        <f t="shared" si="569"/>
        <v>335</v>
      </c>
      <c r="AC417" s="63">
        <f t="shared" si="570"/>
        <v>10356.36</v>
      </c>
      <c r="AD417" s="63">
        <f t="shared" si="571"/>
        <v>106.9136</v>
      </c>
      <c r="AE417" s="259">
        <v>568</v>
      </c>
      <c r="AF417" s="69">
        <f t="shared" si="572"/>
        <v>0</v>
      </c>
      <c r="AG417" s="69">
        <f t="shared" si="573"/>
        <v>19018.768100000001</v>
      </c>
      <c r="AH417" s="67">
        <v>19691.72</v>
      </c>
      <c r="AI417" s="69">
        <f t="shared" si="574"/>
        <v>-672.95190000000002</v>
      </c>
      <c r="AJ417" s="69">
        <f t="shared" si="575"/>
        <v>-672.95190000000002</v>
      </c>
    </row>
    <row r="418" spans="1:36" x14ac:dyDescent="0.25">
      <c r="A418" s="167">
        <v>568</v>
      </c>
      <c r="B418" s="92" t="s">
        <v>3145</v>
      </c>
      <c r="C418" s="71" t="s">
        <v>3146</v>
      </c>
      <c r="D418" s="70" t="s">
        <v>3147</v>
      </c>
      <c r="E418" s="70" t="s">
        <v>3091</v>
      </c>
      <c r="F418" s="73">
        <v>43668</v>
      </c>
      <c r="G418" s="59">
        <f t="shared" si="558"/>
        <v>2.4438356164383563</v>
      </c>
      <c r="H418" s="57"/>
      <c r="I418" s="57">
        <v>36028</v>
      </c>
      <c r="J418" s="182">
        <v>36689</v>
      </c>
      <c r="K418" s="63"/>
      <c r="L418" s="63">
        <f t="shared" si="559"/>
        <v>17.638942307692307</v>
      </c>
      <c r="M418" s="63">
        <f t="shared" si="560"/>
        <v>1411.1153846153845</v>
      </c>
      <c r="N418" s="63"/>
      <c r="O418" s="169"/>
      <c r="P418" s="169"/>
      <c r="Q418" s="63">
        <f t="shared" si="561"/>
        <v>0</v>
      </c>
      <c r="R418" s="63">
        <f t="shared" si="562"/>
        <v>36689</v>
      </c>
      <c r="S418" s="169"/>
      <c r="T418" s="169"/>
      <c r="U418" s="169"/>
      <c r="V418" s="63">
        <f t="shared" si="563"/>
        <v>36689</v>
      </c>
      <c r="W418" s="63">
        <f t="shared" si="564"/>
        <v>2274.7179999999998</v>
      </c>
      <c r="X418" s="63">
        <f t="shared" si="565"/>
        <v>531.9905</v>
      </c>
      <c r="Y418" s="63">
        <f t="shared" si="566"/>
        <v>5162.1422999999995</v>
      </c>
      <c r="Z418" s="63">
        <f t="shared" si="567"/>
        <v>58.702400000000004</v>
      </c>
      <c r="AA418" s="63">
        <f t="shared" si="568"/>
        <v>25.682300000000001</v>
      </c>
      <c r="AB418" s="63">
        <f t="shared" si="569"/>
        <v>335</v>
      </c>
      <c r="AC418" s="63">
        <f t="shared" si="570"/>
        <v>10356.36</v>
      </c>
      <c r="AD418" s="63">
        <f t="shared" si="571"/>
        <v>106.9136</v>
      </c>
      <c r="AE418" s="170">
        <v>568</v>
      </c>
      <c r="AF418" s="69">
        <f t="shared" si="572"/>
        <v>661</v>
      </c>
      <c r="AG418" s="69">
        <f t="shared" si="573"/>
        <v>18851.509099999999</v>
      </c>
      <c r="AH418" s="67">
        <v>19854.77</v>
      </c>
      <c r="AI418" s="69">
        <f t="shared" si="574"/>
        <v>-1003.2609000000011</v>
      </c>
      <c r="AJ418" s="69">
        <f t="shared" si="575"/>
        <v>-342.26090000000113</v>
      </c>
    </row>
    <row r="419" spans="1:36" x14ac:dyDescent="0.25">
      <c r="A419" s="167">
        <v>568</v>
      </c>
      <c r="B419" s="92" t="s">
        <v>3148</v>
      </c>
      <c r="C419" s="71" t="s">
        <v>3146</v>
      </c>
      <c r="D419" s="71" t="s">
        <v>3804</v>
      </c>
      <c r="E419" s="71" t="s">
        <v>3399</v>
      </c>
      <c r="F419" s="73">
        <v>43633</v>
      </c>
      <c r="G419" s="59">
        <f t="shared" si="558"/>
        <v>2.5397260273972604</v>
      </c>
      <c r="H419" s="57"/>
      <c r="I419" s="66">
        <v>36028</v>
      </c>
      <c r="J419" s="182">
        <v>36689</v>
      </c>
      <c r="K419" s="63"/>
      <c r="L419" s="63">
        <f t="shared" si="559"/>
        <v>17.638942307692307</v>
      </c>
      <c r="M419" s="63">
        <f t="shared" si="560"/>
        <v>1411.1153846153845</v>
      </c>
      <c r="N419" s="63"/>
      <c r="O419" s="169"/>
      <c r="P419" s="169"/>
      <c r="Q419" s="63">
        <f t="shared" si="561"/>
        <v>0</v>
      </c>
      <c r="R419" s="63">
        <f t="shared" si="562"/>
        <v>36689</v>
      </c>
      <c r="S419" s="169"/>
      <c r="T419" s="169"/>
      <c r="U419" s="169"/>
      <c r="V419" s="63">
        <f t="shared" si="563"/>
        <v>36689</v>
      </c>
      <c r="W419" s="63">
        <f t="shared" si="564"/>
        <v>2274.7179999999998</v>
      </c>
      <c r="X419" s="63">
        <f t="shared" si="565"/>
        <v>531.9905</v>
      </c>
      <c r="Y419" s="63">
        <f t="shared" si="566"/>
        <v>5162.1422999999995</v>
      </c>
      <c r="Z419" s="63">
        <f t="shared" si="567"/>
        <v>58.702400000000004</v>
      </c>
      <c r="AA419" s="63">
        <f t="shared" si="568"/>
        <v>25.682300000000001</v>
      </c>
      <c r="AB419" s="63">
        <f t="shared" si="569"/>
        <v>335</v>
      </c>
      <c r="AC419" s="63">
        <f t="shared" si="570"/>
        <v>10356.36</v>
      </c>
      <c r="AD419" s="63">
        <f t="shared" si="571"/>
        <v>106.9136</v>
      </c>
      <c r="AE419" s="170">
        <v>568</v>
      </c>
      <c r="AF419" s="69">
        <f t="shared" si="572"/>
        <v>661</v>
      </c>
      <c r="AG419" s="69">
        <f t="shared" si="573"/>
        <v>18851.509099999999</v>
      </c>
      <c r="AH419" s="67">
        <v>19374.55</v>
      </c>
      <c r="AI419" s="69">
        <f t="shared" si="574"/>
        <v>-523.04089999999997</v>
      </c>
      <c r="AJ419" s="69">
        <f t="shared" si="575"/>
        <v>137.95910000000003</v>
      </c>
    </row>
    <row r="420" spans="1:36" x14ac:dyDescent="0.25">
      <c r="A420" s="167">
        <v>568</v>
      </c>
      <c r="B420" s="92" t="s">
        <v>3149</v>
      </c>
      <c r="C420" s="71" t="s">
        <v>3146</v>
      </c>
      <c r="D420" s="71" t="s">
        <v>3805</v>
      </c>
      <c r="E420" s="71" t="s">
        <v>3806</v>
      </c>
      <c r="F420" s="73">
        <v>43521</v>
      </c>
      <c r="G420" s="59">
        <f t="shared" si="558"/>
        <v>2.8465753424657536</v>
      </c>
      <c r="H420" s="57"/>
      <c r="I420" s="57">
        <v>36028</v>
      </c>
      <c r="J420" s="182">
        <v>36689</v>
      </c>
      <c r="K420" s="63"/>
      <c r="L420" s="63">
        <f t="shared" si="559"/>
        <v>17.638942307692307</v>
      </c>
      <c r="M420" s="63">
        <f t="shared" si="560"/>
        <v>1411.1153846153845</v>
      </c>
      <c r="N420" s="63"/>
      <c r="O420" s="169"/>
      <c r="P420" s="169"/>
      <c r="Q420" s="63">
        <f t="shared" si="561"/>
        <v>0</v>
      </c>
      <c r="R420" s="63">
        <f t="shared" si="562"/>
        <v>36689</v>
      </c>
      <c r="S420" s="169"/>
      <c r="T420" s="169"/>
      <c r="U420" s="169"/>
      <c r="V420" s="63">
        <f t="shared" si="563"/>
        <v>36689</v>
      </c>
      <c r="W420" s="63">
        <f t="shared" si="564"/>
        <v>2274.7179999999998</v>
      </c>
      <c r="X420" s="63">
        <f t="shared" si="565"/>
        <v>531.9905</v>
      </c>
      <c r="Y420" s="63">
        <f t="shared" si="566"/>
        <v>5162.1422999999995</v>
      </c>
      <c r="Z420" s="63">
        <f t="shared" si="567"/>
        <v>58.702400000000004</v>
      </c>
      <c r="AA420" s="63">
        <f t="shared" si="568"/>
        <v>25.682300000000001</v>
      </c>
      <c r="AB420" s="63">
        <f t="shared" si="569"/>
        <v>335</v>
      </c>
      <c r="AC420" s="63">
        <f t="shared" si="570"/>
        <v>10356.36</v>
      </c>
      <c r="AD420" s="63">
        <f t="shared" si="571"/>
        <v>106.9136</v>
      </c>
      <c r="AE420" s="170">
        <v>568</v>
      </c>
      <c r="AF420" s="69">
        <f t="shared" si="572"/>
        <v>661</v>
      </c>
      <c r="AG420" s="69">
        <f t="shared" si="573"/>
        <v>18851.509099999999</v>
      </c>
      <c r="AH420" s="67">
        <v>19854.77</v>
      </c>
      <c r="AI420" s="69">
        <f t="shared" si="574"/>
        <v>-1003.2609000000011</v>
      </c>
      <c r="AJ420" s="69">
        <f t="shared" si="575"/>
        <v>-342.26090000000113</v>
      </c>
    </row>
    <row r="421" spans="1:36" x14ac:dyDescent="0.25">
      <c r="A421" s="167">
        <v>568</v>
      </c>
      <c r="B421" s="92" t="s">
        <v>3150</v>
      </c>
      <c r="C421" s="71" t="s">
        <v>3146</v>
      </c>
      <c r="D421" s="193" t="s">
        <v>3126</v>
      </c>
      <c r="E421" s="193" t="s">
        <v>3127</v>
      </c>
      <c r="F421" s="260">
        <v>43521</v>
      </c>
      <c r="G421" s="59">
        <f t="shared" si="558"/>
        <v>2.8465753424657536</v>
      </c>
      <c r="H421" s="57"/>
      <c r="I421" s="66">
        <v>36028</v>
      </c>
      <c r="J421" s="182">
        <v>36689</v>
      </c>
      <c r="K421" s="63"/>
      <c r="L421" s="63">
        <f t="shared" si="559"/>
        <v>17.638942307692307</v>
      </c>
      <c r="M421" s="63">
        <f t="shared" si="560"/>
        <v>1411.1153846153845</v>
      </c>
      <c r="N421" s="63"/>
      <c r="O421" s="169"/>
      <c r="P421" s="169"/>
      <c r="Q421" s="63">
        <f t="shared" si="561"/>
        <v>0</v>
      </c>
      <c r="R421" s="63">
        <f t="shared" si="562"/>
        <v>36689</v>
      </c>
      <c r="S421" s="169"/>
      <c r="T421" s="169"/>
      <c r="U421" s="169"/>
      <c r="V421" s="63">
        <f t="shared" si="563"/>
        <v>36689</v>
      </c>
      <c r="W421" s="63">
        <f t="shared" si="564"/>
        <v>2274.7179999999998</v>
      </c>
      <c r="X421" s="63">
        <f t="shared" si="565"/>
        <v>531.9905</v>
      </c>
      <c r="Y421" s="63">
        <f t="shared" si="566"/>
        <v>5162.1422999999995</v>
      </c>
      <c r="Z421" s="63">
        <f t="shared" si="567"/>
        <v>58.702400000000004</v>
      </c>
      <c r="AA421" s="63">
        <f t="shared" si="568"/>
        <v>25.682300000000001</v>
      </c>
      <c r="AB421" s="63">
        <f t="shared" si="569"/>
        <v>335</v>
      </c>
      <c r="AC421" s="63">
        <f t="shared" si="570"/>
        <v>10356.36</v>
      </c>
      <c r="AD421" s="63">
        <f t="shared" si="571"/>
        <v>106.9136</v>
      </c>
      <c r="AE421" s="170">
        <v>568</v>
      </c>
      <c r="AF421" s="69">
        <f t="shared" si="572"/>
        <v>661</v>
      </c>
      <c r="AG421" s="69">
        <f t="shared" si="573"/>
        <v>18851.509099999999</v>
      </c>
      <c r="AH421" s="67">
        <v>19374.55</v>
      </c>
      <c r="AI421" s="69">
        <f t="shared" si="574"/>
        <v>-523.04089999999997</v>
      </c>
      <c r="AJ421" s="69">
        <f t="shared" si="575"/>
        <v>137.95910000000003</v>
      </c>
    </row>
    <row r="422" spans="1:36" x14ac:dyDescent="0.25">
      <c r="A422" s="167">
        <v>568</v>
      </c>
      <c r="B422" s="92" t="s">
        <v>3151</v>
      </c>
      <c r="C422" s="71" t="s">
        <v>3146</v>
      </c>
      <c r="D422" s="71" t="s">
        <v>3152</v>
      </c>
      <c r="E422" s="71" t="s">
        <v>3153</v>
      </c>
      <c r="F422" s="73">
        <v>43635</v>
      </c>
      <c r="G422" s="59">
        <f t="shared" si="558"/>
        <v>2.5342465753424657</v>
      </c>
      <c r="H422" s="57"/>
      <c r="I422" s="66">
        <v>36028</v>
      </c>
      <c r="J422" s="182">
        <v>36689</v>
      </c>
      <c r="K422" s="63"/>
      <c r="L422" s="63">
        <f t="shared" si="559"/>
        <v>17.638942307692307</v>
      </c>
      <c r="M422" s="63">
        <f t="shared" si="560"/>
        <v>1411.1153846153845</v>
      </c>
      <c r="N422" s="63"/>
      <c r="O422" s="169"/>
      <c r="P422" s="169"/>
      <c r="Q422" s="63">
        <f t="shared" si="561"/>
        <v>0</v>
      </c>
      <c r="R422" s="63">
        <f t="shared" si="562"/>
        <v>36689</v>
      </c>
      <c r="S422" s="169"/>
      <c r="T422" s="169"/>
      <c r="U422" s="169"/>
      <c r="V422" s="63">
        <f t="shared" si="563"/>
        <v>36689</v>
      </c>
      <c r="W422" s="63">
        <f t="shared" si="564"/>
        <v>2274.7179999999998</v>
      </c>
      <c r="X422" s="63">
        <f t="shared" si="565"/>
        <v>531.9905</v>
      </c>
      <c r="Y422" s="63">
        <f t="shared" si="566"/>
        <v>5162.1422999999995</v>
      </c>
      <c r="Z422" s="63">
        <f t="shared" si="567"/>
        <v>58.702400000000004</v>
      </c>
      <c r="AA422" s="63">
        <f t="shared" si="568"/>
        <v>25.682300000000001</v>
      </c>
      <c r="AB422" s="63">
        <f t="shared" si="569"/>
        <v>335</v>
      </c>
      <c r="AC422" s="63">
        <f t="shared" si="570"/>
        <v>10356.36</v>
      </c>
      <c r="AD422" s="63">
        <f t="shared" si="571"/>
        <v>106.9136</v>
      </c>
      <c r="AE422" s="170">
        <v>568</v>
      </c>
      <c r="AF422" s="69">
        <f t="shared" si="572"/>
        <v>661</v>
      </c>
      <c r="AG422" s="69">
        <f t="shared" si="573"/>
        <v>18851.509099999999</v>
      </c>
      <c r="AH422" s="67">
        <v>19854.77</v>
      </c>
      <c r="AI422" s="69">
        <f t="shared" si="574"/>
        <v>-1003.2609000000011</v>
      </c>
      <c r="AJ422" s="69">
        <f t="shared" si="575"/>
        <v>-342.26090000000113</v>
      </c>
    </row>
    <row r="423" spans="1:36" x14ac:dyDescent="0.25">
      <c r="A423" s="167">
        <v>568</v>
      </c>
      <c r="B423" s="92" t="s">
        <v>3154</v>
      </c>
      <c r="C423" s="71" t="s">
        <v>3146</v>
      </c>
      <c r="D423" s="261" t="s">
        <v>2805</v>
      </c>
      <c r="E423" s="261" t="s">
        <v>2806</v>
      </c>
      <c r="F423" s="262">
        <v>43831</v>
      </c>
      <c r="G423" s="59">
        <f t="shared" si="558"/>
        <v>1.9972602739726026</v>
      </c>
      <c r="H423" s="57"/>
      <c r="I423" s="66">
        <v>36028</v>
      </c>
      <c r="J423" s="66">
        <v>36028</v>
      </c>
      <c r="K423" s="63"/>
      <c r="L423" s="63">
        <f t="shared" si="559"/>
        <v>17.321153846153845</v>
      </c>
      <c r="M423" s="63">
        <f t="shared" si="560"/>
        <v>1385.6923076923076</v>
      </c>
      <c r="N423" s="63"/>
      <c r="O423" s="169"/>
      <c r="P423" s="169"/>
      <c r="Q423" s="63">
        <f t="shared" si="561"/>
        <v>0</v>
      </c>
      <c r="R423" s="63">
        <f t="shared" si="562"/>
        <v>36028</v>
      </c>
      <c r="S423" s="169"/>
      <c r="T423" s="169"/>
      <c r="U423" s="169"/>
      <c r="V423" s="63">
        <f t="shared" si="563"/>
        <v>36028</v>
      </c>
      <c r="W423" s="63">
        <f t="shared" si="564"/>
        <v>2233.7359999999999</v>
      </c>
      <c r="X423" s="63">
        <f t="shared" si="565"/>
        <v>522.40600000000006</v>
      </c>
      <c r="Y423" s="63">
        <f t="shared" si="566"/>
        <v>5069.1395999999995</v>
      </c>
      <c r="Z423" s="63">
        <f t="shared" si="567"/>
        <v>57.644800000000004</v>
      </c>
      <c r="AA423" s="63">
        <f t="shared" si="568"/>
        <v>25.2196</v>
      </c>
      <c r="AB423" s="63">
        <f t="shared" si="569"/>
        <v>335</v>
      </c>
      <c r="AC423" s="63">
        <f t="shared" si="570"/>
        <v>10356.36</v>
      </c>
      <c r="AD423" s="63">
        <f t="shared" si="571"/>
        <v>106.9136</v>
      </c>
      <c r="AE423" s="170">
        <v>568</v>
      </c>
      <c r="AF423" s="69">
        <f t="shared" si="572"/>
        <v>0</v>
      </c>
      <c r="AG423" s="69">
        <f t="shared" si="573"/>
        <v>18706.419600000001</v>
      </c>
      <c r="AH423" s="67">
        <v>19374.55</v>
      </c>
      <c r="AI423" s="69">
        <f t="shared" si="574"/>
        <v>-668.13039999999819</v>
      </c>
      <c r="AJ423" s="69">
        <f t="shared" si="575"/>
        <v>-668.13039999999819</v>
      </c>
    </row>
    <row r="424" spans="1:36" x14ac:dyDescent="0.25">
      <c r="A424" s="167">
        <v>568</v>
      </c>
      <c r="B424" s="92" t="s">
        <v>3155</v>
      </c>
      <c r="C424" s="71" t="s">
        <v>3146</v>
      </c>
      <c r="D424" s="71" t="s">
        <v>3807</v>
      </c>
      <c r="E424" s="71" t="s">
        <v>3808</v>
      </c>
      <c r="F424" s="73">
        <v>43493</v>
      </c>
      <c r="G424" s="59">
        <f t="shared" si="558"/>
        <v>2.9232876712328766</v>
      </c>
      <c r="H424" s="57"/>
      <c r="I424" s="66">
        <v>36028</v>
      </c>
      <c r="J424" s="182">
        <v>36689</v>
      </c>
      <c r="K424" s="63"/>
      <c r="L424" s="63">
        <f t="shared" si="559"/>
        <v>17.638942307692307</v>
      </c>
      <c r="M424" s="63">
        <f t="shared" si="560"/>
        <v>1411.1153846153845</v>
      </c>
      <c r="N424" s="63"/>
      <c r="O424" s="169"/>
      <c r="P424" s="169"/>
      <c r="Q424" s="63">
        <f t="shared" si="561"/>
        <v>0</v>
      </c>
      <c r="R424" s="63">
        <f t="shared" si="562"/>
        <v>36689</v>
      </c>
      <c r="S424" s="169"/>
      <c r="T424" s="169"/>
      <c r="U424" s="169"/>
      <c r="V424" s="63">
        <f t="shared" si="563"/>
        <v>36689</v>
      </c>
      <c r="W424" s="63">
        <f t="shared" si="564"/>
        <v>2274.7179999999998</v>
      </c>
      <c r="X424" s="63">
        <f t="shared" si="565"/>
        <v>531.9905</v>
      </c>
      <c r="Y424" s="63">
        <f t="shared" si="566"/>
        <v>5162.1422999999995</v>
      </c>
      <c r="Z424" s="63">
        <f t="shared" si="567"/>
        <v>58.702400000000004</v>
      </c>
      <c r="AA424" s="63">
        <f t="shared" si="568"/>
        <v>25.682300000000001</v>
      </c>
      <c r="AB424" s="63">
        <f t="shared" si="569"/>
        <v>335</v>
      </c>
      <c r="AC424" s="63">
        <f t="shared" si="570"/>
        <v>10356.36</v>
      </c>
      <c r="AD424" s="63">
        <f t="shared" si="571"/>
        <v>106.9136</v>
      </c>
      <c r="AE424" s="170">
        <v>568</v>
      </c>
      <c r="AF424" s="69">
        <f t="shared" si="572"/>
        <v>661</v>
      </c>
      <c r="AG424" s="69">
        <f t="shared" si="573"/>
        <v>18851.509099999999</v>
      </c>
      <c r="AH424" s="67">
        <v>19048.689999999999</v>
      </c>
      <c r="AI424" s="69">
        <f t="shared" si="574"/>
        <v>-197.18089999999938</v>
      </c>
      <c r="AJ424" s="69">
        <f t="shared" si="575"/>
        <v>463.81910000000062</v>
      </c>
    </row>
    <row r="425" spans="1:36" x14ac:dyDescent="0.25">
      <c r="A425" s="167">
        <v>568</v>
      </c>
      <c r="B425" s="92" t="s">
        <v>3156</v>
      </c>
      <c r="C425" s="71" t="s">
        <v>3146</v>
      </c>
      <c r="D425" s="71" t="s">
        <v>3809</v>
      </c>
      <c r="E425" s="71" t="s">
        <v>3810</v>
      </c>
      <c r="F425" s="73">
        <v>43490</v>
      </c>
      <c r="G425" s="59">
        <f t="shared" si="558"/>
        <v>2.9315068493150687</v>
      </c>
      <c r="H425" s="57"/>
      <c r="I425" s="57">
        <v>36028</v>
      </c>
      <c r="J425" s="182">
        <v>36689</v>
      </c>
      <c r="K425" s="63"/>
      <c r="L425" s="63">
        <f t="shared" si="559"/>
        <v>17.638942307692307</v>
      </c>
      <c r="M425" s="63">
        <f t="shared" si="560"/>
        <v>1411.1153846153845</v>
      </c>
      <c r="N425" s="63"/>
      <c r="O425" s="169"/>
      <c r="P425" s="169"/>
      <c r="Q425" s="63">
        <f t="shared" si="561"/>
        <v>0</v>
      </c>
      <c r="R425" s="63">
        <f t="shared" si="562"/>
        <v>36689</v>
      </c>
      <c r="S425" s="169"/>
      <c r="T425" s="169"/>
      <c r="U425" s="169"/>
      <c r="V425" s="63">
        <f t="shared" si="563"/>
        <v>36689</v>
      </c>
      <c r="W425" s="63">
        <f t="shared" si="564"/>
        <v>2274.7179999999998</v>
      </c>
      <c r="X425" s="63">
        <f t="shared" si="565"/>
        <v>531.9905</v>
      </c>
      <c r="Y425" s="63">
        <f t="shared" si="566"/>
        <v>5162.1422999999995</v>
      </c>
      <c r="Z425" s="63">
        <f t="shared" si="567"/>
        <v>58.702400000000004</v>
      </c>
      <c r="AA425" s="63">
        <f t="shared" si="568"/>
        <v>25.682300000000001</v>
      </c>
      <c r="AB425" s="63">
        <f t="shared" si="569"/>
        <v>335</v>
      </c>
      <c r="AC425" s="63">
        <f t="shared" si="570"/>
        <v>10356.36</v>
      </c>
      <c r="AD425" s="63">
        <f t="shared" si="571"/>
        <v>106.9136</v>
      </c>
      <c r="AE425" s="170">
        <v>568</v>
      </c>
      <c r="AF425" s="69">
        <f t="shared" si="572"/>
        <v>661</v>
      </c>
      <c r="AG425" s="69">
        <f t="shared" si="573"/>
        <v>18851.509099999999</v>
      </c>
      <c r="AH425" s="67">
        <v>20070.939999999999</v>
      </c>
      <c r="AI425" s="69">
        <f t="shared" si="574"/>
        <v>-1219.4308999999994</v>
      </c>
      <c r="AJ425" s="69">
        <f t="shared" si="575"/>
        <v>-558.43089999999938</v>
      </c>
    </row>
    <row r="426" spans="1:36" x14ac:dyDescent="0.25">
      <c r="A426" s="167">
        <v>568</v>
      </c>
      <c r="B426" s="92" t="s">
        <v>3157</v>
      </c>
      <c r="C426" s="71" t="s">
        <v>3146</v>
      </c>
      <c r="D426" s="70" t="s">
        <v>3811</v>
      </c>
      <c r="E426" s="70" t="s">
        <v>3812</v>
      </c>
      <c r="F426" s="73">
        <v>43773</v>
      </c>
      <c r="G426" s="59">
        <f t="shared" si="558"/>
        <v>2.1561643835616437</v>
      </c>
      <c r="H426" s="57"/>
      <c r="I426" s="66">
        <v>36028</v>
      </c>
      <c r="J426" s="182">
        <v>36689</v>
      </c>
      <c r="K426" s="63"/>
      <c r="L426" s="63">
        <f t="shared" si="559"/>
        <v>17.638942307692307</v>
      </c>
      <c r="M426" s="63">
        <f t="shared" si="560"/>
        <v>1411.1153846153845</v>
      </c>
      <c r="N426" s="63"/>
      <c r="O426" s="169"/>
      <c r="P426" s="169"/>
      <c r="Q426" s="63">
        <f t="shared" si="561"/>
        <v>0</v>
      </c>
      <c r="R426" s="63">
        <f t="shared" si="562"/>
        <v>36689</v>
      </c>
      <c r="S426" s="169"/>
      <c r="T426" s="169"/>
      <c r="U426" s="169"/>
      <c r="V426" s="63">
        <f t="shared" si="563"/>
        <v>36689</v>
      </c>
      <c r="W426" s="63">
        <f t="shared" si="564"/>
        <v>2274.7179999999998</v>
      </c>
      <c r="X426" s="63">
        <f t="shared" si="565"/>
        <v>531.9905</v>
      </c>
      <c r="Y426" s="63">
        <f t="shared" si="566"/>
        <v>5162.1422999999995</v>
      </c>
      <c r="Z426" s="63">
        <f t="shared" si="567"/>
        <v>58.702400000000004</v>
      </c>
      <c r="AA426" s="63">
        <f t="shared" si="568"/>
        <v>25.682300000000001</v>
      </c>
      <c r="AB426" s="63">
        <f t="shared" si="569"/>
        <v>335</v>
      </c>
      <c r="AC426" s="63">
        <f t="shared" si="570"/>
        <v>10356.36</v>
      </c>
      <c r="AD426" s="63">
        <f t="shared" si="571"/>
        <v>106.9136</v>
      </c>
      <c r="AE426" s="170">
        <v>568</v>
      </c>
      <c r="AF426" s="69">
        <f t="shared" si="572"/>
        <v>661</v>
      </c>
      <c r="AG426" s="69">
        <f t="shared" si="573"/>
        <v>18851.509099999999</v>
      </c>
      <c r="AH426" s="67">
        <v>19048.689999999999</v>
      </c>
      <c r="AI426" s="69">
        <f t="shared" si="574"/>
        <v>-197.18089999999938</v>
      </c>
      <c r="AJ426" s="69">
        <f t="shared" si="575"/>
        <v>463.81910000000062</v>
      </c>
    </row>
    <row r="427" spans="1:36" x14ac:dyDescent="0.25">
      <c r="A427" s="167">
        <v>568</v>
      </c>
      <c r="B427" s="92" t="s">
        <v>3159</v>
      </c>
      <c r="C427" s="71" t="s">
        <v>3146</v>
      </c>
      <c r="D427" s="71" t="s">
        <v>3813</v>
      </c>
      <c r="E427" s="71" t="s">
        <v>3814</v>
      </c>
      <c r="F427" s="73">
        <v>43635</v>
      </c>
      <c r="G427" s="59">
        <f t="shared" si="558"/>
        <v>2.5342465753424657</v>
      </c>
      <c r="H427" s="57"/>
      <c r="I427" s="66">
        <v>36028</v>
      </c>
      <c r="J427" s="182">
        <v>36689</v>
      </c>
      <c r="K427" s="63"/>
      <c r="L427" s="63">
        <f t="shared" si="559"/>
        <v>17.638942307692307</v>
      </c>
      <c r="M427" s="63">
        <f t="shared" si="560"/>
        <v>1411.1153846153845</v>
      </c>
      <c r="N427" s="63"/>
      <c r="O427" s="169"/>
      <c r="P427" s="169"/>
      <c r="Q427" s="63">
        <f t="shared" si="561"/>
        <v>0</v>
      </c>
      <c r="R427" s="63">
        <f t="shared" si="562"/>
        <v>36689</v>
      </c>
      <c r="S427" s="169"/>
      <c r="T427" s="169"/>
      <c r="U427" s="169"/>
      <c r="V427" s="63">
        <f t="shared" si="563"/>
        <v>36689</v>
      </c>
      <c r="W427" s="63">
        <f t="shared" si="564"/>
        <v>2274.7179999999998</v>
      </c>
      <c r="X427" s="63">
        <f t="shared" si="565"/>
        <v>531.9905</v>
      </c>
      <c r="Y427" s="63">
        <f t="shared" si="566"/>
        <v>5162.1422999999995</v>
      </c>
      <c r="Z427" s="63">
        <f t="shared" si="567"/>
        <v>58.702400000000004</v>
      </c>
      <c r="AA427" s="63">
        <f t="shared" si="568"/>
        <v>25.682300000000001</v>
      </c>
      <c r="AB427" s="63">
        <f t="shared" si="569"/>
        <v>335</v>
      </c>
      <c r="AC427" s="63">
        <f t="shared" si="570"/>
        <v>10356.36</v>
      </c>
      <c r="AD427" s="63">
        <f t="shared" si="571"/>
        <v>106.9136</v>
      </c>
      <c r="AE427" s="170">
        <v>568</v>
      </c>
      <c r="AF427" s="69">
        <f t="shared" si="572"/>
        <v>661</v>
      </c>
      <c r="AG427" s="69">
        <f t="shared" si="573"/>
        <v>18851.509099999999</v>
      </c>
      <c r="AH427" s="67">
        <v>19200.05</v>
      </c>
      <c r="AI427" s="69">
        <f t="shared" si="574"/>
        <v>-348.54089999999997</v>
      </c>
      <c r="AJ427" s="69">
        <f t="shared" si="575"/>
        <v>312.45910000000003</v>
      </c>
    </row>
    <row r="428" spans="1:36" x14ac:dyDescent="0.25">
      <c r="A428" s="167">
        <v>568</v>
      </c>
      <c r="B428" s="92" t="s">
        <v>3160</v>
      </c>
      <c r="C428" s="71" t="s">
        <v>3146</v>
      </c>
      <c r="D428" s="71" t="s">
        <v>3815</v>
      </c>
      <c r="E428" s="71" t="s">
        <v>2909</v>
      </c>
      <c r="F428" s="73">
        <v>43647</v>
      </c>
      <c r="G428" s="59">
        <f t="shared" si="558"/>
        <v>2.5013698630136987</v>
      </c>
      <c r="H428" s="57"/>
      <c r="I428" s="66">
        <v>36028</v>
      </c>
      <c r="J428" s="235">
        <v>36689</v>
      </c>
      <c r="K428" s="63"/>
      <c r="L428" s="63">
        <f t="shared" si="559"/>
        <v>17.638942307692307</v>
      </c>
      <c r="M428" s="63">
        <f t="shared" si="560"/>
        <v>1411.1153846153845</v>
      </c>
      <c r="N428" s="63"/>
      <c r="O428" s="169"/>
      <c r="P428" s="169"/>
      <c r="Q428" s="63">
        <f t="shared" si="561"/>
        <v>0</v>
      </c>
      <c r="R428" s="63">
        <f t="shared" si="562"/>
        <v>36689</v>
      </c>
      <c r="S428" s="169"/>
      <c r="T428" s="169"/>
      <c r="U428" s="63"/>
      <c r="V428" s="63">
        <f t="shared" si="563"/>
        <v>36689</v>
      </c>
      <c r="W428" s="63">
        <f t="shared" si="564"/>
        <v>2274.7179999999998</v>
      </c>
      <c r="X428" s="63">
        <f t="shared" si="565"/>
        <v>531.9905</v>
      </c>
      <c r="Y428" s="63">
        <f t="shared" si="566"/>
        <v>5162.1422999999995</v>
      </c>
      <c r="Z428" s="63">
        <f t="shared" si="567"/>
        <v>58.702400000000004</v>
      </c>
      <c r="AA428" s="63">
        <f t="shared" si="568"/>
        <v>25.682300000000001</v>
      </c>
      <c r="AB428" s="63">
        <f t="shared" si="569"/>
        <v>335</v>
      </c>
      <c r="AC428" s="63">
        <f t="shared" si="570"/>
        <v>10356.36</v>
      </c>
      <c r="AD428" s="63">
        <f t="shared" si="571"/>
        <v>106.9136</v>
      </c>
      <c r="AE428" s="170">
        <v>568</v>
      </c>
      <c r="AF428" s="69">
        <f t="shared" si="572"/>
        <v>661</v>
      </c>
      <c r="AG428" s="69">
        <f t="shared" si="573"/>
        <v>18851.509099999999</v>
      </c>
      <c r="AH428" s="67">
        <v>19048.689999999999</v>
      </c>
      <c r="AI428" s="69">
        <f t="shared" si="574"/>
        <v>-197.18089999999938</v>
      </c>
      <c r="AJ428" s="69">
        <f t="shared" si="575"/>
        <v>463.81910000000062</v>
      </c>
    </row>
    <row r="429" spans="1:36" x14ac:dyDescent="0.25">
      <c r="A429" s="167">
        <v>568</v>
      </c>
      <c r="B429" s="92" t="s">
        <v>3161</v>
      </c>
      <c r="C429" s="71" t="s">
        <v>3146</v>
      </c>
      <c r="D429" s="71" t="s">
        <v>2768</v>
      </c>
      <c r="E429" s="71" t="s">
        <v>3816</v>
      </c>
      <c r="F429" s="72">
        <v>43852</v>
      </c>
      <c r="G429" s="59">
        <f t="shared" si="558"/>
        <v>1.9397260273972603</v>
      </c>
      <c r="H429" s="57"/>
      <c r="I429" s="66">
        <v>36028</v>
      </c>
      <c r="J429" s="66">
        <v>36028</v>
      </c>
      <c r="K429" s="63"/>
      <c r="L429" s="63">
        <f t="shared" si="559"/>
        <v>17.321153846153845</v>
      </c>
      <c r="M429" s="63">
        <f t="shared" si="560"/>
        <v>1385.6923076923076</v>
      </c>
      <c r="N429" s="63"/>
      <c r="O429" s="169"/>
      <c r="P429" s="169"/>
      <c r="Q429" s="63">
        <f t="shared" si="561"/>
        <v>0</v>
      </c>
      <c r="R429" s="63">
        <f t="shared" si="562"/>
        <v>36028</v>
      </c>
      <c r="S429" s="169"/>
      <c r="T429" s="169"/>
      <c r="U429" s="169"/>
      <c r="V429" s="63">
        <f t="shared" si="563"/>
        <v>36028</v>
      </c>
      <c r="W429" s="63">
        <f t="shared" si="564"/>
        <v>2233.7359999999999</v>
      </c>
      <c r="X429" s="63">
        <f t="shared" si="565"/>
        <v>522.40600000000006</v>
      </c>
      <c r="Y429" s="63">
        <f t="shared" si="566"/>
        <v>5069.1395999999995</v>
      </c>
      <c r="Z429" s="63">
        <f t="shared" si="567"/>
        <v>57.644800000000004</v>
      </c>
      <c r="AA429" s="63">
        <f t="shared" si="568"/>
        <v>25.2196</v>
      </c>
      <c r="AB429" s="63">
        <f t="shared" si="569"/>
        <v>335</v>
      </c>
      <c r="AC429" s="63">
        <f t="shared" si="570"/>
        <v>10356.36</v>
      </c>
      <c r="AD429" s="63">
        <f t="shared" si="571"/>
        <v>106.9136</v>
      </c>
      <c r="AE429" s="170">
        <v>568</v>
      </c>
      <c r="AF429" s="69">
        <f t="shared" si="572"/>
        <v>0</v>
      </c>
      <c r="AG429" s="69">
        <f t="shared" si="573"/>
        <v>18706.419600000001</v>
      </c>
      <c r="AH429" s="67">
        <v>19048.689999999999</v>
      </c>
      <c r="AI429" s="69">
        <f t="shared" si="574"/>
        <v>-342.27039999999761</v>
      </c>
      <c r="AJ429" s="69">
        <f t="shared" si="575"/>
        <v>-342.27039999999761</v>
      </c>
    </row>
    <row r="430" spans="1:36" x14ac:dyDescent="0.25">
      <c r="A430" s="167">
        <v>568</v>
      </c>
      <c r="B430" s="92" t="s">
        <v>3162</v>
      </c>
      <c r="C430" s="71" t="s">
        <v>3146</v>
      </c>
      <c r="D430" s="71" t="s">
        <v>3163</v>
      </c>
      <c r="E430" s="71" t="s">
        <v>3110</v>
      </c>
      <c r="F430" s="72">
        <v>43429</v>
      </c>
      <c r="G430" s="59">
        <f t="shared" si="558"/>
        <v>3.0986301369863014</v>
      </c>
      <c r="H430" s="57"/>
      <c r="I430" s="66">
        <v>36028</v>
      </c>
      <c r="J430" s="66">
        <v>36028</v>
      </c>
      <c r="K430" s="63"/>
      <c r="L430" s="63">
        <f t="shared" si="559"/>
        <v>17.321153846153845</v>
      </c>
      <c r="M430" s="63">
        <f t="shared" si="560"/>
        <v>1385.6923076923076</v>
      </c>
      <c r="N430" s="63"/>
      <c r="O430" s="169"/>
      <c r="P430" s="169"/>
      <c r="Q430" s="63">
        <f t="shared" si="561"/>
        <v>0</v>
      </c>
      <c r="R430" s="63">
        <f t="shared" si="562"/>
        <v>36028</v>
      </c>
      <c r="S430" s="169"/>
      <c r="T430" s="169"/>
      <c r="U430" s="169"/>
      <c r="V430" s="63">
        <f t="shared" si="563"/>
        <v>36028</v>
      </c>
      <c r="W430" s="63">
        <f t="shared" si="564"/>
        <v>2233.7359999999999</v>
      </c>
      <c r="X430" s="63">
        <f t="shared" si="565"/>
        <v>522.40600000000006</v>
      </c>
      <c r="Y430" s="63">
        <f t="shared" si="566"/>
        <v>5069.1395999999995</v>
      </c>
      <c r="Z430" s="63">
        <f t="shared" si="567"/>
        <v>57.644800000000004</v>
      </c>
      <c r="AA430" s="63">
        <f t="shared" si="568"/>
        <v>25.2196</v>
      </c>
      <c r="AB430" s="63">
        <f t="shared" si="569"/>
        <v>335</v>
      </c>
      <c r="AC430" s="63">
        <f t="shared" si="570"/>
        <v>10356.36</v>
      </c>
      <c r="AD430" s="63">
        <f t="shared" si="571"/>
        <v>106.9136</v>
      </c>
      <c r="AE430" s="170">
        <v>568</v>
      </c>
      <c r="AF430" s="69">
        <f t="shared" si="572"/>
        <v>0</v>
      </c>
      <c r="AG430" s="69">
        <f t="shared" si="573"/>
        <v>18706.419600000001</v>
      </c>
      <c r="AH430" s="67">
        <v>19048.689999999999</v>
      </c>
      <c r="AI430" s="69">
        <f t="shared" si="574"/>
        <v>-342.27039999999761</v>
      </c>
      <c r="AJ430" s="69">
        <f t="shared" si="575"/>
        <v>-342.27039999999761</v>
      </c>
    </row>
    <row r="431" spans="1:36" x14ac:dyDescent="0.25">
      <c r="A431" s="167">
        <v>568</v>
      </c>
      <c r="B431" s="92" t="s">
        <v>3164</v>
      </c>
      <c r="C431" s="71" t="s">
        <v>3146</v>
      </c>
      <c r="D431" s="71" t="s">
        <v>3165</v>
      </c>
      <c r="E431" s="71" t="s">
        <v>3166</v>
      </c>
      <c r="F431" s="72">
        <v>43402</v>
      </c>
      <c r="G431" s="59">
        <f t="shared" si="558"/>
        <v>3.1726027397260275</v>
      </c>
      <c r="H431" s="57"/>
      <c r="I431" s="66">
        <v>36028</v>
      </c>
      <c r="J431" s="57">
        <v>36028</v>
      </c>
      <c r="K431" s="63"/>
      <c r="L431" s="63">
        <f t="shared" si="559"/>
        <v>17.321153846153845</v>
      </c>
      <c r="M431" s="63">
        <f t="shared" si="560"/>
        <v>1385.6923076923076</v>
      </c>
      <c r="N431" s="63"/>
      <c r="O431" s="169"/>
      <c r="P431" s="169"/>
      <c r="Q431" s="63">
        <f t="shared" si="561"/>
        <v>0</v>
      </c>
      <c r="R431" s="63">
        <f t="shared" si="562"/>
        <v>36028</v>
      </c>
      <c r="S431" s="169"/>
      <c r="T431" s="169"/>
      <c r="U431" s="169"/>
      <c r="V431" s="63">
        <f t="shared" si="563"/>
        <v>36028</v>
      </c>
      <c r="W431" s="63">
        <f t="shared" si="564"/>
        <v>2233.7359999999999</v>
      </c>
      <c r="X431" s="63">
        <f t="shared" si="565"/>
        <v>522.40600000000006</v>
      </c>
      <c r="Y431" s="63">
        <f t="shared" si="566"/>
        <v>5069.1395999999995</v>
      </c>
      <c r="Z431" s="63">
        <f t="shared" si="567"/>
        <v>57.644800000000004</v>
      </c>
      <c r="AA431" s="63">
        <f t="shared" si="568"/>
        <v>25.2196</v>
      </c>
      <c r="AB431" s="63">
        <f t="shared" si="569"/>
        <v>335</v>
      </c>
      <c r="AC431" s="63">
        <f t="shared" si="570"/>
        <v>10356.36</v>
      </c>
      <c r="AD431" s="63">
        <f t="shared" si="571"/>
        <v>106.9136</v>
      </c>
      <c r="AE431" s="170">
        <v>568</v>
      </c>
      <c r="AF431" s="69">
        <f t="shared" si="572"/>
        <v>0</v>
      </c>
      <c r="AG431" s="69">
        <f t="shared" si="573"/>
        <v>18706.419600000001</v>
      </c>
      <c r="AH431" s="67">
        <v>19048.689999999999</v>
      </c>
      <c r="AI431" s="69">
        <f t="shared" si="574"/>
        <v>-342.27039999999761</v>
      </c>
      <c r="AJ431" s="69">
        <f t="shared" si="575"/>
        <v>-342.27039999999761</v>
      </c>
    </row>
    <row r="432" spans="1:36" x14ac:dyDescent="0.25">
      <c r="A432" s="167">
        <v>568</v>
      </c>
      <c r="B432" s="92" t="s">
        <v>3167</v>
      </c>
      <c r="C432" s="71" t="s">
        <v>3146</v>
      </c>
      <c r="D432" s="71" t="s">
        <v>2899</v>
      </c>
      <c r="E432" s="71" t="s">
        <v>3817</v>
      </c>
      <c r="F432" s="73">
        <v>43668</v>
      </c>
      <c r="G432" s="59">
        <f t="shared" si="558"/>
        <v>2.4438356164383563</v>
      </c>
      <c r="H432" s="57"/>
      <c r="I432" s="66">
        <v>36028</v>
      </c>
      <c r="J432" s="182">
        <v>36689</v>
      </c>
      <c r="K432" s="63"/>
      <c r="L432" s="63">
        <f t="shared" si="559"/>
        <v>17.638942307692307</v>
      </c>
      <c r="M432" s="63">
        <f t="shared" si="560"/>
        <v>1411.1153846153845</v>
      </c>
      <c r="N432" s="63"/>
      <c r="O432" s="169"/>
      <c r="P432" s="169"/>
      <c r="Q432" s="63">
        <f t="shared" si="561"/>
        <v>0</v>
      </c>
      <c r="R432" s="63">
        <f t="shared" si="562"/>
        <v>36689</v>
      </c>
      <c r="S432" s="169"/>
      <c r="T432" s="169"/>
      <c r="U432" s="169"/>
      <c r="V432" s="63">
        <f t="shared" si="563"/>
        <v>36689</v>
      </c>
      <c r="W432" s="63">
        <f t="shared" si="564"/>
        <v>2274.7179999999998</v>
      </c>
      <c r="X432" s="63">
        <f t="shared" si="565"/>
        <v>531.9905</v>
      </c>
      <c r="Y432" s="63">
        <f t="shared" si="566"/>
        <v>5162.1422999999995</v>
      </c>
      <c r="Z432" s="63">
        <f t="shared" si="567"/>
        <v>58.702400000000004</v>
      </c>
      <c r="AA432" s="63">
        <f t="shared" si="568"/>
        <v>25.682300000000001</v>
      </c>
      <c r="AB432" s="63">
        <f t="shared" si="569"/>
        <v>335</v>
      </c>
      <c r="AC432" s="63">
        <f t="shared" si="570"/>
        <v>10356.36</v>
      </c>
      <c r="AD432" s="63">
        <f t="shared" si="571"/>
        <v>106.9136</v>
      </c>
      <c r="AE432" s="170">
        <v>568</v>
      </c>
      <c r="AF432" s="69">
        <f t="shared" si="572"/>
        <v>661</v>
      </c>
      <c r="AG432" s="69">
        <f t="shared" si="573"/>
        <v>18851.509099999999</v>
      </c>
      <c r="AH432" s="67">
        <v>19266.009999999998</v>
      </c>
      <c r="AI432" s="69">
        <f t="shared" si="574"/>
        <v>-414.50089999999909</v>
      </c>
      <c r="AJ432" s="69">
        <f t="shared" si="575"/>
        <v>246.49910000000091</v>
      </c>
    </row>
    <row r="433" spans="1:36" x14ac:dyDescent="0.25">
      <c r="A433" s="167">
        <v>568</v>
      </c>
      <c r="B433" s="92" t="s">
        <v>3168</v>
      </c>
      <c r="C433" s="71" t="s">
        <v>3146</v>
      </c>
      <c r="D433" s="71" t="s">
        <v>3818</v>
      </c>
      <c r="E433" s="71" t="s">
        <v>2563</v>
      </c>
      <c r="F433" s="73">
        <v>43647</v>
      </c>
      <c r="G433" s="59">
        <f t="shared" si="558"/>
        <v>2.5013698630136987</v>
      </c>
      <c r="H433" s="57"/>
      <c r="I433" s="66">
        <v>36028</v>
      </c>
      <c r="J433" s="182">
        <v>36689</v>
      </c>
      <c r="K433" s="63"/>
      <c r="L433" s="63">
        <f t="shared" si="559"/>
        <v>17.638942307692307</v>
      </c>
      <c r="M433" s="63">
        <f t="shared" si="560"/>
        <v>1411.1153846153845</v>
      </c>
      <c r="N433" s="63"/>
      <c r="O433" s="169"/>
      <c r="P433" s="169"/>
      <c r="Q433" s="63">
        <f t="shared" si="561"/>
        <v>0</v>
      </c>
      <c r="R433" s="63">
        <f t="shared" si="562"/>
        <v>36689</v>
      </c>
      <c r="S433" s="169"/>
      <c r="T433" s="169"/>
      <c r="U433" s="169"/>
      <c r="V433" s="63">
        <f t="shared" si="563"/>
        <v>36689</v>
      </c>
      <c r="W433" s="63">
        <f t="shared" si="564"/>
        <v>2274.7179999999998</v>
      </c>
      <c r="X433" s="63">
        <f t="shared" si="565"/>
        <v>531.9905</v>
      </c>
      <c r="Y433" s="63">
        <f t="shared" si="566"/>
        <v>5162.1422999999995</v>
      </c>
      <c r="Z433" s="63">
        <f t="shared" si="567"/>
        <v>58.702400000000004</v>
      </c>
      <c r="AA433" s="63">
        <f t="shared" si="568"/>
        <v>25.682300000000001</v>
      </c>
      <c r="AB433" s="63">
        <f t="shared" si="569"/>
        <v>335</v>
      </c>
      <c r="AC433" s="63">
        <f t="shared" si="570"/>
        <v>10356.36</v>
      </c>
      <c r="AD433" s="63">
        <f t="shared" si="571"/>
        <v>106.9136</v>
      </c>
      <c r="AE433" s="170">
        <v>568</v>
      </c>
      <c r="AF433" s="69">
        <f t="shared" si="572"/>
        <v>661</v>
      </c>
      <c r="AG433" s="69">
        <f t="shared" si="573"/>
        <v>18851.509099999999</v>
      </c>
      <c r="AH433" s="67">
        <v>19579.28</v>
      </c>
      <c r="AI433" s="69">
        <f t="shared" si="574"/>
        <v>-727.77089999999953</v>
      </c>
      <c r="AJ433" s="69">
        <f t="shared" si="575"/>
        <v>-66.770899999999529</v>
      </c>
    </row>
    <row r="434" spans="1:36" x14ac:dyDescent="0.25">
      <c r="A434" s="167">
        <v>568</v>
      </c>
      <c r="B434" s="92" t="s">
        <v>3169</v>
      </c>
      <c r="C434" s="71" t="s">
        <v>3146</v>
      </c>
      <c r="D434" s="248" t="s">
        <v>2805</v>
      </c>
      <c r="E434" s="248" t="s">
        <v>2806</v>
      </c>
      <c r="F434" s="249">
        <v>43831</v>
      </c>
      <c r="G434" s="59">
        <f t="shared" si="558"/>
        <v>1.9972602739726026</v>
      </c>
      <c r="H434" s="57"/>
      <c r="I434" s="57">
        <v>36028</v>
      </c>
      <c r="J434" s="57">
        <v>36028</v>
      </c>
      <c r="K434" s="63"/>
      <c r="L434" s="63">
        <f t="shared" si="559"/>
        <v>17.321153846153845</v>
      </c>
      <c r="M434" s="63">
        <f t="shared" si="560"/>
        <v>1385.6923076923076</v>
      </c>
      <c r="N434" s="63"/>
      <c r="O434" s="169"/>
      <c r="P434" s="169"/>
      <c r="Q434" s="63">
        <f t="shared" si="561"/>
        <v>0</v>
      </c>
      <c r="R434" s="63">
        <f t="shared" si="562"/>
        <v>36028</v>
      </c>
      <c r="S434" s="169"/>
      <c r="T434" s="169"/>
      <c r="U434" s="169"/>
      <c r="V434" s="63">
        <f t="shared" si="563"/>
        <v>36028</v>
      </c>
      <c r="W434" s="63">
        <f t="shared" si="564"/>
        <v>2233.7359999999999</v>
      </c>
      <c r="X434" s="63">
        <f t="shared" si="565"/>
        <v>522.40600000000006</v>
      </c>
      <c r="Y434" s="63">
        <f t="shared" si="566"/>
        <v>5069.1395999999995</v>
      </c>
      <c r="Z434" s="63">
        <f t="shared" si="567"/>
        <v>57.644800000000004</v>
      </c>
      <c r="AA434" s="63">
        <f t="shared" si="568"/>
        <v>25.2196</v>
      </c>
      <c r="AB434" s="63">
        <f t="shared" si="569"/>
        <v>335</v>
      </c>
      <c r="AC434" s="63">
        <f t="shared" si="570"/>
        <v>10356.36</v>
      </c>
      <c r="AD434" s="63">
        <f t="shared" si="571"/>
        <v>106.9136</v>
      </c>
      <c r="AE434" s="170">
        <v>568</v>
      </c>
      <c r="AF434" s="69">
        <f t="shared" si="572"/>
        <v>0</v>
      </c>
      <c r="AG434" s="69">
        <f t="shared" si="573"/>
        <v>18706.419600000001</v>
      </c>
      <c r="AH434" s="67">
        <v>19200.05</v>
      </c>
      <c r="AI434" s="69">
        <f t="shared" si="574"/>
        <v>-493.63039999999819</v>
      </c>
      <c r="AJ434" s="69">
        <f t="shared" si="575"/>
        <v>-493.63039999999819</v>
      </c>
    </row>
    <row r="435" spans="1:36" x14ac:dyDescent="0.25">
      <c r="A435" s="167">
        <v>568</v>
      </c>
      <c r="B435" s="92" t="s">
        <v>3170</v>
      </c>
      <c r="C435" s="71" t="s">
        <v>3146</v>
      </c>
      <c r="D435" s="248" t="s">
        <v>2805</v>
      </c>
      <c r="E435" s="248" t="s">
        <v>2806</v>
      </c>
      <c r="F435" s="249">
        <v>43832</v>
      </c>
      <c r="G435" s="59">
        <f t="shared" si="558"/>
        <v>1.9945205479452055</v>
      </c>
      <c r="H435" s="57"/>
      <c r="I435" s="57">
        <v>36028</v>
      </c>
      <c r="J435" s="57">
        <v>36028</v>
      </c>
      <c r="K435" s="63"/>
      <c r="L435" s="63">
        <f t="shared" si="559"/>
        <v>17.321153846153845</v>
      </c>
      <c r="M435" s="63">
        <f t="shared" si="560"/>
        <v>1385.6923076923076</v>
      </c>
      <c r="N435" s="63"/>
      <c r="O435" s="169"/>
      <c r="P435" s="169"/>
      <c r="Q435" s="63">
        <f t="shared" si="561"/>
        <v>0</v>
      </c>
      <c r="R435" s="63">
        <f t="shared" si="562"/>
        <v>36028</v>
      </c>
      <c r="S435" s="169"/>
      <c r="T435" s="169"/>
      <c r="U435" s="169"/>
      <c r="V435" s="63">
        <f t="shared" si="563"/>
        <v>36028</v>
      </c>
      <c r="W435" s="63">
        <f t="shared" si="564"/>
        <v>2233.7359999999999</v>
      </c>
      <c r="X435" s="63">
        <f t="shared" si="565"/>
        <v>522.40600000000006</v>
      </c>
      <c r="Y435" s="63">
        <f t="shared" si="566"/>
        <v>5069.1395999999995</v>
      </c>
      <c r="Z435" s="63">
        <f t="shared" si="567"/>
        <v>57.644800000000004</v>
      </c>
      <c r="AA435" s="63">
        <f t="shared" si="568"/>
        <v>25.2196</v>
      </c>
      <c r="AB435" s="63">
        <f t="shared" si="569"/>
        <v>335</v>
      </c>
      <c r="AC435" s="63">
        <f t="shared" si="570"/>
        <v>10356.36</v>
      </c>
      <c r="AD435" s="63">
        <f t="shared" si="571"/>
        <v>106.9136</v>
      </c>
      <c r="AE435" s="170">
        <v>568</v>
      </c>
      <c r="AF435" s="69">
        <f t="shared" si="572"/>
        <v>0</v>
      </c>
      <c r="AG435" s="69">
        <f t="shared" si="573"/>
        <v>18706.419600000001</v>
      </c>
      <c r="AH435" s="67">
        <v>19200.05</v>
      </c>
      <c r="AI435" s="69">
        <f t="shared" si="574"/>
        <v>-493.63039999999819</v>
      </c>
      <c r="AJ435" s="69">
        <f t="shared" si="575"/>
        <v>-493.63039999999819</v>
      </c>
    </row>
    <row r="436" spans="1:36" x14ac:dyDescent="0.25">
      <c r="A436" s="167">
        <v>568</v>
      </c>
      <c r="B436" s="92" t="s">
        <v>3171</v>
      </c>
      <c r="C436" s="71" t="s">
        <v>3146</v>
      </c>
      <c r="D436" s="71" t="s">
        <v>3819</v>
      </c>
      <c r="E436" s="71" t="s">
        <v>3377</v>
      </c>
      <c r="F436" s="73">
        <v>43654</v>
      </c>
      <c r="G436" s="59">
        <f t="shared" si="558"/>
        <v>2.4821917808219176</v>
      </c>
      <c r="H436" s="57"/>
      <c r="I436" s="57">
        <v>36028</v>
      </c>
      <c r="J436" s="182">
        <v>36689</v>
      </c>
      <c r="K436" s="63"/>
      <c r="L436" s="63">
        <f t="shared" si="559"/>
        <v>17.638942307692307</v>
      </c>
      <c r="M436" s="63">
        <f t="shared" si="560"/>
        <v>1411.1153846153845</v>
      </c>
      <c r="N436" s="63"/>
      <c r="O436" s="169"/>
      <c r="P436" s="169"/>
      <c r="Q436" s="63">
        <f t="shared" si="561"/>
        <v>0</v>
      </c>
      <c r="R436" s="63">
        <f t="shared" si="562"/>
        <v>36689</v>
      </c>
      <c r="S436" s="169"/>
      <c r="T436" s="169"/>
      <c r="U436" s="169"/>
      <c r="V436" s="63">
        <f t="shared" si="563"/>
        <v>36689</v>
      </c>
      <c r="W436" s="63">
        <f t="shared" si="564"/>
        <v>2274.7179999999998</v>
      </c>
      <c r="X436" s="63">
        <f t="shared" si="565"/>
        <v>531.9905</v>
      </c>
      <c r="Y436" s="63">
        <f t="shared" si="566"/>
        <v>5162.1422999999995</v>
      </c>
      <c r="Z436" s="63">
        <f t="shared" si="567"/>
        <v>58.702400000000004</v>
      </c>
      <c r="AA436" s="63">
        <f t="shared" si="568"/>
        <v>25.682300000000001</v>
      </c>
      <c r="AB436" s="63">
        <f t="shared" si="569"/>
        <v>335</v>
      </c>
      <c r="AC436" s="63">
        <f t="shared" si="570"/>
        <v>10356.36</v>
      </c>
      <c r="AD436" s="63">
        <f t="shared" si="571"/>
        <v>106.9136</v>
      </c>
      <c r="AE436" s="170">
        <v>568</v>
      </c>
      <c r="AF436" s="69">
        <f t="shared" si="572"/>
        <v>661</v>
      </c>
      <c r="AG436" s="69">
        <f t="shared" si="573"/>
        <v>18851.509099999999</v>
      </c>
      <c r="AH436" s="67">
        <v>19200.05</v>
      </c>
      <c r="AI436" s="69">
        <f t="shared" si="574"/>
        <v>-348.54089999999997</v>
      </c>
      <c r="AJ436" s="69">
        <f t="shared" si="575"/>
        <v>312.45910000000003</v>
      </c>
    </row>
    <row r="437" spans="1:36" x14ac:dyDescent="0.25">
      <c r="A437" s="167">
        <v>568</v>
      </c>
      <c r="B437" s="92" t="s">
        <v>3172</v>
      </c>
      <c r="C437" s="71" t="s">
        <v>3146</v>
      </c>
      <c r="D437" s="248" t="s">
        <v>2805</v>
      </c>
      <c r="E437" s="248" t="s">
        <v>2806</v>
      </c>
      <c r="F437" s="249">
        <v>43832</v>
      </c>
      <c r="G437" s="59">
        <f t="shared" si="558"/>
        <v>1.9945205479452055</v>
      </c>
      <c r="H437" s="57"/>
      <c r="I437" s="57">
        <v>36028</v>
      </c>
      <c r="J437" s="57">
        <v>36028</v>
      </c>
      <c r="K437" s="63"/>
      <c r="L437" s="63">
        <f t="shared" si="559"/>
        <v>17.321153846153845</v>
      </c>
      <c r="M437" s="63">
        <f t="shared" si="560"/>
        <v>1385.6923076923076</v>
      </c>
      <c r="N437" s="63"/>
      <c r="O437" s="169"/>
      <c r="P437" s="169"/>
      <c r="Q437" s="63">
        <f t="shared" si="561"/>
        <v>0</v>
      </c>
      <c r="R437" s="63">
        <f t="shared" si="562"/>
        <v>36028</v>
      </c>
      <c r="S437" s="169"/>
      <c r="T437" s="169"/>
      <c r="U437" s="169"/>
      <c r="V437" s="63">
        <f t="shared" si="563"/>
        <v>36028</v>
      </c>
      <c r="W437" s="63">
        <f t="shared" si="564"/>
        <v>2233.7359999999999</v>
      </c>
      <c r="X437" s="63">
        <f t="shared" si="565"/>
        <v>522.40600000000006</v>
      </c>
      <c r="Y437" s="63">
        <f t="shared" si="566"/>
        <v>5069.1395999999995</v>
      </c>
      <c r="Z437" s="63">
        <f t="shared" si="567"/>
        <v>57.644800000000004</v>
      </c>
      <c r="AA437" s="63">
        <f t="shared" si="568"/>
        <v>25.2196</v>
      </c>
      <c r="AB437" s="63">
        <f t="shared" si="569"/>
        <v>335</v>
      </c>
      <c r="AC437" s="63">
        <f t="shared" si="570"/>
        <v>10356.36</v>
      </c>
      <c r="AD437" s="63">
        <f t="shared" si="571"/>
        <v>106.9136</v>
      </c>
      <c r="AE437" s="170">
        <v>568</v>
      </c>
      <c r="AF437" s="69">
        <f t="shared" si="572"/>
        <v>0</v>
      </c>
      <c r="AG437" s="69">
        <f t="shared" si="573"/>
        <v>18706.419600000001</v>
      </c>
      <c r="AH437" s="67">
        <v>19048.689999999999</v>
      </c>
      <c r="AI437" s="69">
        <f t="shared" si="574"/>
        <v>-342.27039999999761</v>
      </c>
      <c r="AJ437" s="69">
        <f t="shared" si="575"/>
        <v>-342.27039999999761</v>
      </c>
    </row>
    <row r="438" spans="1:36" x14ac:dyDescent="0.25">
      <c r="A438" s="167">
        <v>568</v>
      </c>
      <c r="B438" s="92" t="s">
        <v>3173</v>
      </c>
      <c r="C438" s="71" t="s">
        <v>3146</v>
      </c>
      <c r="D438" s="71" t="s">
        <v>2752</v>
      </c>
      <c r="E438" s="71" t="s">
        <v>2653</v>
      </c>
      <c r="F438" s="72">
        <v>43871</v>
      </c>
      <c r="G438" s="59">
        <f t="shared" si="558"/>
        <v>1.8876712328767122</v>
      </c>
      <c r="H438" s="57"/>
      <c r="I438" s="57">
        <v>36028</v>
      </c>
      <c r="J438" s="57">
        <v>36028</v>
      </c>
      <c r="K438" s="63"/>
      <c r="L438" s="63">
        <f t="shared" si="559"/>
        <v>17.321153846153845</v>
      </c>
      <c r="M438" s="63">
        <f t="shared" si="560"/>
        <v>1385.6923076923076</v>
      </c>
      <c r="N438" s="63"/>
      <c r="O438" s="169"/>
      <c r="P438" s="169"/>
      <c r="Q438" s="63">
        <f t="shared" si="561"/>
        <v>0</v>
      </c>
      <c r="R438" s="63">
        <f t="shared" si="562"/>
        <v>36028</v>
      </c>
      <c r="S438" s="169"/>
      <c r="T438" s="169"/>
      <c r="U438" s="169"/>
      <c r="V438" s="63">
        <f t="shared" si="563"/>
        <v>36028</v>
      </c>
      <c r="W438" s="63">
        <f t="shared" si="564"/>
        <v>2233.7359999999999</v>
      </c>
      <c r="X438" s="63">
        <f t="shared" si="565"/>
        <v>522.40600000000006</v>
      </c>
      <c r="Y438" s="63">
        <f t="shared" si="566"/>
        <v>5069.1395999999995</v>
      </c>
      <c r="Z438" s="63">
        <f t="shared" si="567"/>
        <v>57.644800000000004</v>
      </c>
      <c r="AA438" s="63">
        <f t="shared" si="568"/>
        <v>25.2196</v>
      </c>
      <c r="AB438" s="63">
        <f t="shared" si="569"/>
        <v>335</v>
      </c>
      <c r="AC438" s="63">
        <f t="shared" si="570"/>
        <v>10356.36</v>
      </c>
      <c r="AD438" s="63">
        <f t="shared" si="571"/>
        <v>106.9136</v>
      </c>
      <c r="AE438" s="170">
        <v>568</v>
      </c>
      <c r="AF438" s="69">
        <f t="shared" si="572"/>
        <v>0</v>
      </c>
      <c r="AG438" s="69">
        <f t="shared" si="573"/>
        <v>18706.419600000001</v>
      </c>
      <c r="AH438" s="67">
        <v>19353.939999999999</v>
      </c>
      <c r="AI438" s="69">
        <f t="shared" si="574"/>
        <v>-647.52039999999761</v>
      </c>
      <c r="AJ438" s="69">
        <f t="shared" si="575"/>
        <v>-647.52039999999761</v>
      </c>
    </row>
    <row r="439" spans="1:36" x14ac:dyDescent="0.25">
      <c r="A439" s="167">
        <v>568</v>
      </c>
      <c r="B439" s="92" t="s">
        <v>3174</v>
      </c>
      <c r="C439" s="71" t="s">
        <v>3146</v>
      </c>
      <c r="D439" s="71" t="s">
        <v>3175</v>
      </c>
      <c r="E439" s="71" t="s">
        <v>3176</v>
      </c>
      <c r="F439" s="73">
        <v>43619</v>
      </c>
      <c r="G439" s="59">
        <f t="shared" si="558"/>
        <v>2.5780821917808221</v>
      </c>
      <c r="H439" s="57"/>
      <c r="I439" s="57">
        <v>36028</v>
      </c>
      <c r="J439" s="182">
        <v>36689</v>
      </c>
      <c r="K439" s="63"/>
      <c r="L439" s="63">
        <f t="shared" si="559"/>
        <v>17.638942307692307</v>
      </c>
      <c r="M439" s="63">
        <f t="shared" si="560"/>
        <v>1411.1153846153845</v>
      </c>
      <c r="N439" s="63"/>
      <c r="O439" s="169"/>
      <c r="P439" s="169"/>
      <c r="Q439" s="63">
        <f t="shared" si="561"/>
        <v>0</v>
      </c>
      <c r="R439" s="63">
        <f t="shared" si="562"/>
        <v>36689</v>
      </c>
      <c r="S439" s="169"/>
      <c r="T439" s="169"/>
      <c r="U439" s="169"/>
      <c r="V439" s="63">
        <f t="shared" si="563"/>
        <v>36689</v>
      </c>
      <c r="W439" s="63">
        <f t="shared" si="564"/>
        <v>2274.7179999999998</v>
      </c>
      <c r="X439" s="63">
        <f t="shared" si="565"/>
        <v>531.9905</v>
      </c>
      <c r="Y439" s="63">
        <f t="shared" si="566"/>
        <v>5162.1422999999995</v>
      </c>
      <c r="Z439" s="63">
        <f t="shared" si="567"/>
        <v>58.702400000000004</v>
      </c>
      <c r="AA439" s="63">
        <f t="shared" si="568"/>
        <v>25.682300000000001</v>
      </c>
      <c r="AB439" s="63">
        <f t="shared" si="569"/>
        <v>335</v>
      </c>
      <c r="AC439" s="63">
        <f t="shared" si="570"/>
        <v>10356.36</v>
      </c>
      <c r="AD439" s="63">
        <f t="shared" si="571"/>
        <v>106.9136</v>
      </c>
      <c r="AE439" s="170">
        <v>568</v>
      </c>
      <c r="AF439" s="69">
        <f t="shared" si="572"/>
        <v>661</v>
      </c>
      <c r="AG439" s="69">
        <f t="shared" si="573"/>
        <v>18851.509099999999</v>
      </c>
      <c r="AH439" s="67">
        <v>20070.939999999999</v>
      </c>
      <c r="AI439" s="69">
        <f t="shared" si="574"/>
        <v>-1219.4308999999994</v>
      </c>
      <c r="AJ439" s="69">
        <f t="shared" si="575"/>
        <v>-558.43089999999938</v>
      </c>
    </row>
    <row r="440" spans="1:36" x14ac:dyDescent="0.25">
      <c r="A440" s="167">
        <v>568</v>
      </c>
      <c r="B440" s="92" t="s">
        <v>3177</v>
      </c>
      <c r="C440" s="71" t="s">
        <v>3146</v>
      </c>
      <c r="D440" s="248" t="s">
        <v>2805</v>
      </c>
      <c r="E440" s="248" t="s">
        <v>2806</v>
      </c>
      <c r="F440" s="249">
        <v>43832</v>
      </c>
      <c r="G440" s="59">
        <f t="shared" si="558"/>
        <v>1.9945205479452055</v>
      </c>
      <c r="H440" s="57"/>
      <c r="I440" s="57">
        <v>36028</v>
      </c>
      <c r="J440" s="57">
        <v>36028</v>
      </c>
      <c r="K440" s="63"/>
      <c r="L440" s="63">
        <f t="shared" si="559"/>
        <v>17.321153846153845</v>
      </c>
      <c r="M440" s="63">
        <f t="shared" si="560"/>
        <v>1385.6923076923076</v>
      </c>
      <c r="N440" s="63"/>
      <c r="O440" s="169"/>
      <c r="P440" s="169"/>
      <c r="Q440" s="63">
        <f t="shared" si="561"/>
        <v>0</v>
      </c>
      <c r="R440" s="63">
        <f t="shared" si="562"/>
        <v>36028</v>
      </c>
      <c r="S440" s="169"/>
      <c r="T440" s="169"/>
      <c r="U440" s="169"/>
      <c r="V440" s="63">
        <f t="shared" si="563"/>
        <v>36028</v>
      </c>
      <c r="W440" s="63">
        <f t="shared" si="564"/>
        <v>2233.7359999999999</v>
      </c>
      <c r="X440" s="63">
        <f t="shared" si="565"/>
        <v>522.40600000000006</v>
      </c>
      <c r="Y440" s="63">
        <f t="shared" si="566"/>
        <v>5069.1395999999995</v>
      </c>
      <c r="Z440" s="63">
        <f t="shared" si="567"/>
        <v>57.644800000000004</v>
      </c>
      <c r="AA440" s="63">
        <f t="shared" si="568"/>
        <v>25.2196</v>
      </c>
      <c r="AB440" s="63">
        <f t="shared" si="569"/>
        <v>335</v>
      </c>
      <c r="AC440" s="63">
        <f t="shared" si="570"/>
        <v>10356.36</v>
      </c>
      <c r="AD440" s="63">
        <f t="shared" si="571"/>
        <v>106.9136</v>
      </c>
      <c r="AE440" s="170">
        <v>568</v>
      </c>
      <c r="AF440" s="69">
        <f t="shared" si="572"/>
        <v>0</v>
      </c>
      <c r="AG440" s="69">
        <f t="shared" si="573"/>
        <v>18706.419600000001</v>
      </c>
      <c r="AH440" s="67">
        <v>19048.689999999999</v>
      </c>
      <c r="AI440" s="69">
        <f t="shared" si="574"/>
        <v>-342.27039999999761</v>
      </c>
      <c r="AJ440" s="69">
        <f t="shared" si="575"/>
        <v>-342.27039999999761</v>
      </c>
    </row>
    <row r="441" spans="1:36" x14ac:dyDescent="0.25">
      <c r="A441" s="167">
        <v>568</v>
      </c>
      <c r="B441" s="92" t="s">
        <v>3180</v>
      </c>
      <c r="C441" s="71" t="s">
        <v>3146</v>
      </c>
      <c r="D441" s="71" t="s">
        <v>3339</v>
      </c>
      <c r="E441" s="71" t="s">
        <v>2980</v>
      </c>
      <c r="F441" s="72">
        <v>43262</v>
      </c>
      <c r="G441" s="59">
        <f t="shared" si="558"/>
        <v>3.5561643835616437</v>
      </c>
      <c r="H441" s="57"/>
      <c r="I441" s="57">
        <v>36028</v>
      </c>
      <c r="J441" s="57">
        <v>36028</v>
      </c>
      <c r="K441" s="63"/>
      <c r="L441" s="63">
        <f t="shared" si="559"/>
        <v>17.321153846153845</v>
      </c>
      <c r="M441" s="63">
        <f t="shared" si="560"/>
        <v>1385.6923076923076</v>
      </c>
      <c r="N441" s="63"/>
      <c r="O441" s="169"/>
      <c r="P441" s="169"/>
      <c r="Q441" s="63">
        <f t="shared" si="561"/>
        <v>0</v>
      </c>
      <c r="R441" s="63">
        <f t="shared" si="562"/>
        <v>36028</v>
      </c>
      <c r="S441" s="169"/>
      <c r="T441" s="169"/>
      <c r="U441" s="169"/>
      <c r="V441" s="63">
        <f t="shared" si="563"/>
        <v>36028</v>
      </c>
      <c r="W441" s="63">
        <f t="shared" si="564"/>
        <v>2233.7359999999999</v>
      </c>
      <c r="X441" s="63">
        <f t="shared" si="565"/>
        <v>522.40600000000006</v>
      </c>
      <c r="Y441" s="63">
        <f t="shared" si="566"/>
        <v>5069.1395999999995</v>
      </c>
      <c r="Z441" s="63">
        <f t="shared" si="567"/>
        <v>57.644800000000004</v>
      </c>
      <c r="AA441" s="63">
        <f t="shared" si="568"/>
        <v>25.2196</v>
      </c>
      <c r="AB441" s="63">
        <f t="shared" si="569"/>
        <v>335</v>
      </c>
      <c r="AC441" s="63">
        <f t="shared" si="570"/>
        <v>10356.36</v>
      </c>
      <c r="AD441" s="63">
        <f t="shared" si="571"/>
        <v>106.9136</v>
      </c>
      <c r="AE441" s="170">
        <v>568</v>
      </c>
      <c r="AF441" s="69">
        <f t="shared" si="572"/>
        <v>0</v>
      </c>
      <c r="AG441" s="69">
        <f t="shared" si="573"/>
        <v>18706.419600000001</v>
      </c>
      <c r="AH441" s="67">
        <v>19591.64</v>
      </c>
      <c r="AI441" s="69">
        <f t="shared" si="574"/>
        <v>-885.22039999999834</v>
      </c>
      <c r="AJ441" s="69">
        <f t="shared" si="575"/>
        <v>-885.22039999999834</v>
      </c>
    </row>
    <row r="442" spans="1:36" x14ac:dyDescent="0.25">
      <c r="A442" s="167">
        <v>568</v>
      </c>
      <c r="B442" s="92" t="s">
        <v>3182</v>
      </c>
      <c r="C442" s="71" t="s">
        <v>3146</v>
      </c>
      <c r="D442" s="71" t="s">
        <v>2714</v>
      </c>
      <c r="E442" s="71" t="s">
        <v>2674</v>
      </c>
      <c r="F442" s="73">
        <v>40653</v>
      </c>
      <c r="G442" s="59">
        <f t="shared" si="558"/>
        <v>10.704109589041096</v>
      </c>
      <c r="H442" s="57"/>
      <c r="I442" s="66">
        <v>36689</v>
      </c>
      <c r="J442" s="182">
        <v>37361</v>
      </c>
      <c r="K442" s="63"/>
      <c r="L442" s="63">
        <f t="shared" si="559"/>
        <v>17.962019230769229</v>
      </c>
      <c r="M442" s="63">
        <f t="shared" si="560"/>
        <v>1436.9615384615386</v>
      </c>
      <c r="N442" s="63"/>
      <c r="O442" s="169"/>
      <c r="P442" s="169"/>
      <c r="Q442" s="63">
        <f t="shared" si="561"/>
        <v>0</v>
      </c>
      <c r="R442" s="63">
        <f t="shared" si="562"/>
        <v>37361</v>
      </c>
      <c r="S442" s="169"/>
      <c r="T442" s="169"/>
      <c r="U442" s="169"/>
      <c r="V442" s="63">
        <f t="shared" si="563"/>
        <v>37361</v>
      </c>
      <c r="W442" s="63">
        <f t="shared" si="564"/>
        <v>2316.3820000000001</v>
      </c>
      <c r="X442" s="63">
        <f t="shared" si="565"/>
        <v>541.73450000000003</v>
      </c>
      <c r="Y442" s="63">
        <f t="shared" si="566"/>
        <v>5256.6926999999996</v>
      </c>
      <c r="Z442" s="63">
        <f t="shared" si="567"/>
        <v>59.7776</v>
      </c>
      <c r="AA442" s="63">
        <f t="shared" si="568"/>
        <v>26.152699999999999</v>
      </c>
      <c r="AB442" s="63">
        <f t="shared" si="569"/>
        <v>335</v>
      </c>
      <c r="AC442" s="63">
        <f t="shared" si="570"/>
        <v>10356.36</v>
      </c>
      <c r="AD442" s="63">
        <f t="shared" si="571"/>
        <v>106.9136</v>
      </c>
      <c r="AE442" s="170">
        <v>568</v>
      </c>
      <c r="AF442" s="69">
        <f t="shared" si="572"/>
        <v>672</v>
      </c>
      <c r="AG442" s="69">
        <f t="shared" si="573"/>
        <v>18999.0131</v>
      </c>
      <c r="AH442" s="67">
        <v>19740.04</v>
      </c>
      <c r="AI442" s="69">
        <f t="shared" si="574"/>
        <v>-741.02690000000075</v>
      </c>
      <c r="AJ442" s="69">
        <f t="shared" si="575"/>
        <v>-69.026900000000751</v>
      </c>
    </row>
    <row r="443" spans="1:36" x14ac:dyDescent="0.25">
      <c r="A443" s="167">
        <v>568</v>
      </c>
      <c r="B443" s="92" t="s">
        <v>3184</v>
      </c>
      <c r="C443" s="71" t="s">
        <v>3146</v>
      </c>
      <c r="D443" s="71" t="s">
        <v>3185</v>
      </c>
      <c r="E443" s="71" t="s">
        <v>3186</v>
      </c>
      <c r="F443" s="72">
        <v>43227</v>
      </c>
      <c r="G443" s="59">
        <f t="shared" si="558"/>
        <v>3.6520547945205482</v>
      </c>
      <c r="H443" s="57"/>
      <c r="I443" s="66">
        <v>36028</v>
      </c>
      <c r="J443" s="66">
        <v>36028</v>
      </c>
      <c r="K443" s="63"/>
      <c r="L443" s="63">
        <f t="shared" si="559"/>
        <v>17.321153846153845</v>
      </c>
      <c r="M443" s="63">
        <f t="shared" si="560"/>
        <v>1385.6923076923076</v>
      </c>
      <c r="N443" s="63"/>
      <c r="O443" s="169"/>
      <c r="P443" s="169"/>
      <c r="Q443" s="63">
        <f t="shared" si="561"/>
        <v>0</v>
      </c>
      <c r="R443" s="63">
        <f t="shared" si="562"/>
        <v>36028</v>
      </c>
      <c r="S443" s="169"/>
      <c r="T443" s="169"/>
      <c r="U443" s="169"/>
      <c r="V443" s="63">
        <f t="shared" si="563"/>
        <v>36028</v>
      </c>
      <c r="W443" s="63">
        <f t="shared" si="564"/>
        <v>2233.7359999999999</v>
      </c>
      <c r="X443" s="63">
        <f t="shared" si="565"/>
        <v>522.40600000000006</v>
      </c>
      <c r="Y443" s="63">
        <f t="shared" si="566"/>
        <v>5069.1395999999995</v>
      </c>
      <c r="Z443" s="63">
        <f t="shared" si="567"/>
        <v>57.644800000000004</v>
      </c>
      <c r="AA443" s="63">
        <f t="shared" si="568"/>
        <v>25.2196</v>
      </c>
      <c r="AB443" s="63">
        <f t="shared" si="569"/>
        <v>335</v>
      </c>
      <c r="AC443" s="63">
        <f t="shared" si="570"/>
        <v>10356.36</v>
      </c>
      <c r="AD443" s="63">
        <f t="shared" si="571"/>
        <v>106.9136</v>
      </c>
      <c r="AE443" s="170">
        <v>568</v>
      </c>
      <c r="AF443" s="69">
        <f t="shared" si="572"/>
        <v>0</v>
      </c>
      <c r="AG443" s="69">
        <f t="shared" si="573"/>
        <v>18706.419600000001</v>
      </c>
      <c r="AH443" s="67">
        <v>19048.689999999999</v>
      </c>
      <c r="AI443" s="69">
        <f t="shared" si="574"/>
        <v>-342.27039999999761</v>
      </c>
      <c r="AJ443" s="69">
        <f t="shared" si="575"/>
        <v>-342.27039999999761</v>
      </c>
    </row>
    <row r="444" spans="1:36" x14ac:dyDescent="0.25">
      <c r="A444" s="167">
        <v>568</v>
      </c>
      <c r="B444" s="92" t="s">
        <v>3187</v>
      </c>
      <c r="C444" s="71" t="s">
        <v>3146</v>
      </c>
      <c r="D444" s="71" t="s">
        <v>3117</v>
      </c>
      <c r="E444" s="71" t="s">
        <v>3118</v>
      </c>
      <c r="F444" s="263">
        <v>42759</v>
      </c>
      <c r="G444" s="59">
        <f t="shared" si="558"/>
        <v>4.934246575342466</v>
      </c>
      <c r="H444" s="57"/>
      <c r="I444" s="66">
        <v>36028</v>
      </c>
      <c r="J444" s="182">
        <v>36689</v>
      </c>
      <c r="K444" s="63"/>
      <c r="L444" s="63">
        <f t="shared" si="559"/>
        <v>17.638942307692307</v>
      </c>
      <c r="M444" s="63">
        <f t="shared" si="560"/>
        <v>1411.1153846153845</v>
      </c>
      <c r="N444" s="63"/>
      <c r="O444" s="169"/>
      <c r="P444" s="169"/>
      <c r="Q444" s="63">
        <f t="shared" si="561"/>
        <v>0</v>
      </c>
      <c r="R444" s="63">
        <f t="shared" si="562"/>
        <v>36689</v>
      </c>
      <c r="S444" s="169"/>
      <c r="T444" s="169"/>
      <c r="U444" s="169"/>
      <c r="V444" s="63">
        <f t="shared" si="563"/>
        <v>36689</v>
      </c>
      <c r="W444" s="63">
        <f t="shared" si="564"/>
        <v>2274.7179999999998</v>
      </c>
      <c r="X444" s="63">
        <f t="shared" si="565"/>
        <v>531.9905</v>
      </c>
      <c r="Y444" s="63">
        <f t="shared" si="566"/>
        <v>5162.1422999999995</v>
      </c>
      <c r="Z444" s="63">
        <f t="shared" si="567"/>
        <v>58.702400000000004</v>
      </c>
      <c r="AA444" s="63">
        <f t="shared" si="568"/>
        <v>25.682300000000001</v>
      </c>
      <c r="AB444" s="63">
        <f t="shared" si="569"/>
        <v>335</v>
      </c>
      <c r="AC444" s="63">
        <f t="shared" si="570"/>
        <v>10356.36</v>
      </c>
      <c r="AD444" s="63">
        <f t="shared" si="571"/>
        <v>106.9136</v>
      </c>
      <c r="AE444" s="170">
        <v>568</v>
      </c>
      <c r="AF444" s="69">
        <f t="shared" si="572"/>
        <v>661</v>
      </c>
      <c r="AG444" s="69">
        <f t="shared" si="573"/>
        <v>18851.509099999999</v>
      </c>
      <c r="AH444" s="67">
        <v>19048.689999999999</v>
      </c>
      <c r="AI444" s="69">
        <f t="shared" si="574"/>
        <v>-197.18089999999938</v>
      </c>
      <c r="AJ444" s="69">
        <f t="shared" si="575"/>
        <v>463.81910000000062</v>
      </c>
    </row>
    <row r="445" spans="1:36" x14ac:dyDescent="0.25">
      <c r="A445" s="167">
        <v>568</v>
      </c>
      <c r="B445" s="92" t="s">
        <v>3188</v>
      </c>
      <c r="C445" s="71" t="s">
        <v>3146</v>
      </c>
      <c r="D445" s="71" t="s">
        <v>3175</v>
      </c>
      <c r="E445" s="71" t="s">
        <v>3189</v>
      </c>
      <c r="F445" s="73">
        <v>43654</v>
      </c>
      <c r="G445" s="59">
        <f t="shared" si="558"/>
        <v>2.4821917808219176</v>
      </c>
      <c r="H445" s="57"/>
      <c r="I445" s="66">
        <v>36028</v>
      </c>
      <c r="J445" s="182">
        <v>36689</v>
      </c>
      <c r="K445" s="63"/>
      <c r="L445" s="63">
        <f t="shared" si="559"/>
        <v>17.638942307692307</v>
      </c>
      <c r="M445" s="63">
        <f t="shared" si="560"/>
        <v>1411.1153846153845</v>
      </c>
      <c r="N445" s="63"/>
      <c r="O445" s="169"/>
      <c r="P445" s="169"/>
      <c r="Q445" s="63">
        <f t="shared" si="561"/>
        <v>0</v>
      </c>
      <c r="R445" s="63">
        <f t="shared" si="562"/>
        <v>36689</v>
      </c>
      <c r="S445" s="169"/>
      <c r="T445" s="169"/>
      <c r="U445" s="169"/>
      <c r="V445" s="63">
        <f t="shared" si="563"/>
        <v>36689</v>
      </c>
      <c r="W445" s="63">
        <f t="shared" si="564"/>
        <v>2274.7179999999998</v>
      </c>
      <c r="X445" s="63">
        <f t="shared" si="565"/>
        <v>531.9905</v>
      </c>
      <c r="Y445" s="63">
        <f t="shared" si="566"/>
        <v>5162.1422999999995</v>
      </c>
      <c r="Z445" s="63">
        <f t="shared" si="567"/>
        <v>58.702400000000004</v>
      </c>
      <c r="AA445" s="63">
        <f t="shared" si="568"/>
        <v>25.682300000000001</v>
      </c>
      <c r="AB445" s="63">
        <f t="shared" si="569"/>
        <v>335</v>
      </c>
      <c r="AC445" s="63">
        <f t="shared" si="570"/>
        <v>10356.36</v>
      </c>
      <c r="AD445" s="63">
        <f t="shared" si="571"/>
        <v>106.9136</v>
      </c>
      <c r="AE445" s="170">
        <v>568</v>
      </c>
      <c r="AF445" s="69">
        <f t="shared" si="572"/>
        <v>661</v>
      </c>
      <c r="AG445" s="69">
        <f t="shared" si="573"/>
        <v>18851.509099999999</v>
      </c>
      <c r="AH445" s="67">
        <v>19579.28</v>
      </c>
      <c r="AI445" s="69">
        <f t="shared" si="574"/>
        <v>-727.77089999999953</v>
      </c>
      <c r="AJ445" s="69">
        <f t="shared" si="575"/>
        <v>-66.770899999999529</v>
      </c>
    </row>
    <row r="446" spans="1:36" x14ac:dyDescent="0.25">
      <c r="A446" s="167">
        <v>568</v>
      </c>
      <c r="B446" s="92" t="s">
        <v>3190</v>
      </c>
      <c r="C446" s="71" t="s">
        <v>3146</v>
      </c>
      <c r="D446" s="71" t="s">
        <v>3178</v>
      </c>
      <c r="E446" s="71" t="s">
        <v>3191</v>
      </c>
      <c r="F446" s="73">
        <v>43738</v>
      </c>
      <c r="G446" s="59">
        <f t="shared" si="558"/>
        <v>2.2520547945205478</v>
      </c>
      <c r="H446" s="57"/>
      <c r="I446" s="66">
        <v>36028</v>
      </c>
      <c r="J446" s="182">
        <v>36689</v>
      </c>
      <c r="K446" s="63"/>
      <c r="L446" s="63">
        <f t="shared" si="559"/>
        <v>17.638942307692307</v>
      </c>
      <c r="M446" s="63">
        <f t="shared" si="560"/>
        <v>1411.1153846153845</v>
      </c>
      <c r="N446" s="63"/>
      <c r="O446" s="169"/>
      <c r="P446" s="169"/>
      <c r="Q446" s="63">
        <f t="shared" si="561"/>
        <v>0</v>
      </c>
      <c r="R446" s="63">
        <f t="shared" si="562"/>
        <v>36689</v>
      </c>
      <c r="S446" s="169"/>
      <c r="T446" s="169"/>
      <c r="U446" s="169"/>
      <c r="V446" s="63">
        <f t="shared" si="563"/>
        <v>36689</v>
      </c>
      <c r="W446" s="63">
        <f t="shared" si="564"/>
        <v>2274.7179999999998</v>
      </c>
      <c r="X446" s="63">
        <f t="shared" si="565"/>
        <v>531.9905</v>
      </c>
      <c r="Y446" s="63">
        <f t="shared" si="566"/>
        <v>5162.1422999999995</v>
      </c>
      <c r="Z446" s="63">
        <f t="shared" si="567"/>
        <v>58.702400000000004</v>
      </c>
      <c r="AA446" s="63">
        <f t="shared" si="568"/>
        <v>25.682300000000001</v>
      </c>
      <c r="AB446" s="63">
        <f t="shared" si="569"/>
        <v>335</v>
      </c>
      <c r="AC446" s="63">
        <f t="shared" si="570"/>
        <v>10356.36</v>
      </c>
      <c r="AD446" s="63">
        <f t="shared" si="571"/>
        <v>106.9136</v>
      </c>
      <c r="AE446" s="170">
        <v>568</v>
      </c>
      <c r="AF446" s="69">
        <f t="shared" si="572"/>
        <v>661</v>
      </c>
      <c r="AG446" s="69">
        <f t="shared" si="573"/>
        <v>18851.509099999999</v>
      </c>
      <c r="AH446" s="67">
        <v>19048.689999999999</v>
      </c>
      <c r="AI446" s="69">
        <f t="shared" si="574"/>
        <v>-197.18089999999938</v>
      </c>
      <c r="AJ446" s="69">
        <f t="shared" si="575"/>
        <v>463.81910000000062</v>
      </c>
    </row>
    <row r="447" spans="1:36" x14ac:dyDescent="0.25">
      <c r="A447" s="167">
        <v>568</v>
      </c>
      <c r="B447" s="92" t="s">
        <v>3192</v>
      </c>
      <c r="C447" s="71" t="s">
        <v>3146</v>
      </c>
      <c r="D447" s="70" t="s">
        <v>3181</v>
      </c>
      <c r="E447" s="71" t="s">
        <v>3193</v>
      </c>
      <c r="F447" s="72">
        <v>43178</v>
      </c>
      <c r="G447" s="59">
        <f t="shared" si="558"/>
        <v>3.7863013698630139</v>
      </c>
      <c r="H447" s="57"/>
      <c r="I447" s="66">
        <v>36028</v>
      </c>
      <c r="J447" s="57">
        <v>36028</v>
      </c>
      <c r="K447" s="63"/>
      <c r="L447" s="63">
        <f t="shared" si="559"/>
        <v>17.321153846153845</v>
      </c>
      <c r="M447" s="63">
        <f t="shared" si="560"/>
        <v>1385.6923076923076</v>
      </c>
      <c r="N447" s="63"/>
      <c r="O447" s="169"/>
      <c r="P447" s="169"/>
      <c r="Q447" s="63">
        <f t="shared" si="561"/>
        <v>0</v>
      </c>
      <c r="R447" s="63">
        <f t="shared" si="562"/>
        <v>36028</v>
      </c>
      <c r="S447" s="169"/>
      <c r="T447" s="169"/>
      <c r="U447" s="169"/>
      <c r="V447" s="63">
        <f t="shared" si="563"/>
        <v>36028</v>
      </c>
      <c r="W447" s="63">
        <f t="shared" si="564"/>
        <v>2233.7359999999999</v>
      </c>
      <c r="X447" s="63">
        <f t="shared" si="565"/>
        <v>522.40600000000006</v>
      </c>
      <c r="Y447" s="63">
        <f t="shared" si="566"/>
        <v>5069.1395999999995</v>
      </c>
      <c r="Z447" s="63">
        <f t="shared" si="567"/>
        <v>57.644800000000004</v>
      </c>
      <c r="AA447" s="63">
        <f t="shared" si="568"/>
        <v>25.2196</v>
      </c>
      <c r="AB447" s="63">
        <f t="shared" si="569"/>
        <v>335</v>
      </c>
      <c r="AC447" s="63">
        <f t="shared" si="570"/>
        <v>10356.36</v>
      </c>
      <c r="AD447" s="63">
        <f t="shared" si="571"/>
        <v>106.9136</v>
      </c>
      <c r="AE447" s="170">
        <v>568</v>
      </c>
      <c r="AF447" s="69">
        <f t="shared" si="572"/>
        <v>0</v>
      </c>
      <c r="AG447" s="69">
        <f t="shared" si="573"/>
        <v>18706.419600000001</v>
      </c>
      <c r="AH447" s="67">
        <v>19048.689999999999</v>
      </c>
      <c r="AI447" s="69">
        <f t="shared" si="574"/>
        <v>-342.27039999999761</v>
      </c>
      <c r="AJ447" s="69">
        <f t="shared" si="575"/>
        <v>-342.27039999999761</v>
      </c>
    </row>
    <row r="448" spans="1:36" x14ac:dyDescent="0.25">
      <c r="A448" s="167">
        <v>568</v>
      </c>
      <c r="B448" s="92" t="s">
        <v>3194</v>
      </c>
      <c r="C448" s="71" t="s">
        <v>3146</v>
      </c>
      <c r="D448" s="71" t="s">
        <v>2871</v>
      </c>
      <c r="E448" s="71" t="s">
        <v>3820</v>
      </c>
      <c r="F448" s="73">
        <v>43682</v>
      </c>
      <c r="G448" s="59">
        <f t="shared" si="558"/>
        <v>2.4054794520547946</v>
      </c>
      <c r="H448" s="57"/>
      <c r="I448" s="66">
        <v>36028</v>
      </c>
      <c r="J448" s="182">
        <v>36689</v>
      </c>
      <c r="K448" s="63"/>
      <c r="L448" s="63">
        <f t="shared" si="559"/>
        <v>17.638942307692307</v>
      </c>
      <c r="M448" s="63">
        <f t="shared" si="560"/>
        <v>1411.1153846153845</v>
      </c>
      <c r="N448" s="63"/>
      <c r="O448" s="169"/>
      <c r="P448" s="169"/>
      <c r="Q448" s="63">
        <f t="shared" si="561"/>
        <v>0</v>
      </c>
      <c r="R448" s="63">
        <f t="shared" si="562"/>
        <v>36689</v>
      </c>
      <c r="S448" s="169"/>
      <c r="T448" s="169"/>
      <c r="U448" s="169"/>
      <c r="V448" s="63">
        <f t="shared" si="563"/>
        <v>36689</v>
      </c>
      <c r="W448" s="63">
        <f t="shared" si="564"/>
        <v>2274.7179999999998</v>
      </c>
      <c r="X448" s="63">
        <f t="shared" si="565"/>
        <v>531.9905</v>
      </c>
      <c r="Y448" s="63">
        <f t="shared" si="566"/>
        <v>5162.1422999999995</v>
      </c>
      <c r="Z448" s="63">
        <f t="shared" si="567"/>
        <v>58.702400000000004</v>
      </c>
      <c r="AA448" s="63">
        <f t="shared" si="568"/>
        <v>25.682300000000001</v>
      </c>
      <c r="AB448" s="63">
        <f t="shared" si="569"/>
        <v>335</v>
      </c>
      <c r="AC448" s="63">
        <f t="shared" si="570"/>
        <v>10356.36</v>
      </c>
      <c r="AD448" s="63">
        <f t="shared" si="571"/>
        <v>106.9136</v>
      </c>
      <c r="AE448" s="170">
        <v>568</v>
      </c>
      <c r="AF448" s="69">
        <f t="shared" si="572"/>
        <v>661</v>
      </c>
      <c r="AG448" s="69">
        <f t="shared" si="573"/>
        <v>18851.509099999999</v>
      </c>
      <c r="AH448" s="67">
        <v>19048.689999999999</v>
      </c>
      <c r="AI448" s="69">
        <f t="shared" si="574"/>
        <v>-197.18089999999938</v>
      </c>
      <c r="AJ448" s="69">
        <f t="shared" si="575"/>
        <v>463.81910000000062</v>
      </c>
    </row>
    <row r="449" spans="1:36" x14ac:dyDescent="0.25">
      <c r="A449" s="167">
        <v>568</v>
      </c>
      <c r="B449" s="92" t="s">
        <v>3195</v>
      </c>
      <c r="C449" s="71" t="s">
        <v>3146</v>
      </c>
      <c r="D449" s="71" t="s">
        <v>2437</v>
      </c>
      <c r="E449" s="71" t="s">
        <v>3821</v>
      </c>
      <c r="F449" s="97">
        <v>43871</v>
      </c>
      <c r="G449" s="59">
        <f t="shared" si="558"/>
        <v>1.8876712328767122</v>
      </c>
      <c r="H449" s="57"/>
      <c r="I449" s="66">
        <v>36028</v>
      </c>
      <c r="J449" s="57">
        <v>36028</v>
      </c>
      <c r="K449" s="63"/>
      <c r="L449" s="63">
        <f t="shared" si="559"/>
        <v>17.321153846153845</v>
      </c>
      <c r="M449" s="63">
        <f t="shared" si="560"/>
        <v>1385.6923076923076</v>
      </c>
      <c r="N449" s="63"/>
      <c r="O449" s="169"/>
      <c r="P449" s="169"/>
      <c r="Q449" s="63">
        <f t="shared" si="561"/>
        <v>0</v>
      </c>
      <c r="R449" s="63">
        <f t="shared" si="562"/>
        <v>36028</v>
      </c>
      <c r="S449" s="169"/>
      <c r="T449" s="169"/>
      <c r="U449" s="169"/>
      <c r="V449" s="63">
        <f t="shared" si="563"/>
        <v>36028</v>
      </c>
      <c r="W449" s="63">
        <f t="shared" si="564"/>
        <v>2233.7359999999999</v>
      </c>
      <c r="X449" s="63">
        <f t="shared" si="565"/>
        <v>522.40600000000006</v>
      </c>
      <c r="Y449" s="63">
        <f t="shared" si="566"/>
        <v>5069.1395999999995</v>
      </c>
      <c r="Z449" s="63">
        <f t="shared" si="567"/>
        <v>57.644800000000004</v>
      </c>
      <c r="AA449" s="63">
        <f t="shared" si="568"/>
        <v>25.2196</v>
      </c>
      <c r="AB449" s="63">
        <f t="shared" si="569"/>
        <v>335</v>
      </c>
      <c r="AC449" s="63">
        <f t="shared" si="570"/>
        <v>10356.36</v>
      </c>
      <c r="AD449" s="63">
        <f t="shared" si="571"/>
        <v>106.9136</v>
      </c>
      <c r="AE449" s="170">
        <v>568</v>
      </c>
      <c r="AF449" s="69">
        <f t="shared" si="572"/>
        <v>0</v>
      </c>
      <c r="AG449" s="69">
        <f t="shared" si="573"/>
        <v>18706.419600000001</v>
      </c>
      <c r="AH449" s="67">
        <v>19200.05</v>
      </c>
      <c r="AI449" s="69">
        <f t="shared" si="574"/>
        <v>-493.63039999999819</v>
      </c>
      <c r="AJ449" s="69">
        <f t="shared" si="575"/>
        <v>-493.63039999999819</v>
      </c>
    </row>
    <row r="450" spans="1:36" x14ac:dyDescent="0.25">
      <c r="A450" s="167">
        <v>568</v>
      </c>
      <c r="B450" s="92" t="s">
        <v>3196</v>
      </c>
      <c r="C450" s="71" t="s">
        <v>3146</v>
      </c>
      <c r="D450" s="71" t="s">
        <v>2773</v>
      </c>
      <c r="E450" s="71" t="s">
        <v>3822</v>
      </c>
      <c r="F450" s="73">
        <v>42996</v>
      </c>
      <c r="G450" s="59">
        <f t="shared" si="558"/>
        <v>4.2849315068493148</v>
      </c>
      <c r="H450" s="57"/>
      <c r="I450" s="66">
        <v>36028</v>
      </c>
      <c r="J450" s="182">
        <v>36689</v>
      </c>
      <c r="K450" s="63"/>
      <c r="L450" s="63">
        <f t="shared" si="559"/>
        <v>17.638942307692307</v>
      </c>
      <c r="M450" s="63">
        <f t="shared" si="560"/>
        <v>1411.1153846153845</v>
      </c>
      <c r="N450" s="63"/>
      <c r="O450" s="169"/>
      <c r="P450" s="169"/>
      <c r="Q450" s="63">
        <f t="shared" si="561"/>
        <v>0</v>
      </c>
      <c r="R450" s="63">
        <f t="shared" si="562"/>
        <v>36689</v>
      </c>
      <c r="S450" s="169"/>
      <c r="T450" s="169"/>
      <c r="U450" s="169"/>
      <c r="V450" s="63">
        <f t="shared" si="563"/>
        <v>36689</v>
      </c>
      <c r="W450" s="63">
        <f t="shared" si="564"/>
        <v>2274.7179999999998</v>
      </c>
      <c r="X450" s="63">
        <f t="shared" si="565"/>
        <v>531.9905</v>
      </c>
      <c r="Y450" s="63">
        <f t="shared" si="566"/>
        <v>5162.1422999999995</v>
      </c>
      <c r="Z450" s="63">
        <f t="shared" si="567"/>
        <v>58.702400000000004</v>
      </c>
      <c r="AA450" s="63">
        <f t="shared" si="568"/>
        <v>25.682300000000001</v>
      </c>
      <c r="AB450" s="63">
        <f t="shared" si="569"/>
        <v>335</v>
      </c>
      <c r="AC450" s="63">
        <f t="shared" si="570"/>
        <v>10356.36</v>
      </c>
      <c r="AD450" s="63">
        <f t="shared" si="571"/>
        <v>106.9136</v>
      </c>
      <c r="AE450" s="170">
        <v>568</v>
      </c>
      <c r="AF450" s="69">
        <f t="shared" si="572"/>
        <v>661</v>
      </c>
      <c r="AG450" s="69">
        <f t="shared" si="573"/>
        <v>18851.509099999999</v>
      </c>
      <c r="AH450" s="67">
        <v>19048.689999999999</v>
      </c>
      <c r="AI450" s="69">
        <f t="shared" si="574"/>
        <v>-197.18089999999938</v>
      </c>
      <c r="AJ450" s="69">
        <f t="shared" si="575"/>
        <v>463.81910000000062</v>
      </c>
    </row>
    <row r="451" spans="1:36" x14ac:dyDescent="0.25">
      <c r="A451" s="167">
        <v>568</v>
      </c>
      <c r="B451" s="92" t="s">
        <v>3197</v>
      </c>
      <c r="C451" s="71" t="s">
        <v>3146</v>
      </c>
      <c r="D451" s="71" t="s">
        <v>2966</v>
      </c>
      <c r="E451" s="71" t="s">
        <v>2967</v>
      </c>
      <c r="F451" s="73">
        <v>42984</v>
      </c>
      <c r="G451" s="59">
        <f t="shared" si="558"/>
        <v>4.3178082191780822</v>
      </c>
      <c r="H451" s="57"/>
      <c r="I451" s="66">
        <v>36028</v>
      </c>
      <c r="J451" s="182">
        <v>36689</v>
      </c>
      <c r="K451" s="63"/>
      <c r="L451" s="63">
        <f t="shared" si="559"/>
        <v>17.638942307692307</v>
      </c>
      <c r="M451" s="63">
        <f t="shared" si="560"/>
        <v>1411.1153846153845</v>
      </c>
      <c r="N451" s="63"/>
      <c r="O451" s="169"/>
      <c r="P451" s="169"/>
      <c r="Q451" s="63">
        <f t="shared" si="561"/>
        <v>0</v>
      </c>
      <c r="R451" s="63">
        <f t="shared" si="562"/>
        <v>36689</v>
      </c>
      <c r="S451" s="169"/>
      <c r="T451" s="169"/>
      <c r="U451" s="169"/>
      <c r="V451" s="63">
        <f t="shared" si="563"/>
        <v>36689</v>
      </c>
      <c r="W451" s="63">
        <f t="shared" si="564"/>
        <v>2274.7179999999998</v>
      </c>
      <c r="X451" s="63">
        <f t="shared" si="565"/>
        <v>531.9905</v>
      </c>
      <c r="Y451" s="63">
        <f t="shared" si="566"/>
        <v>5162.1422999999995</v>
      </c>
      <c r="Z451" s="63">
        <f t="shared" si="567"/>
        <v>58.702400000000004</v>
      </c>
      <c r="AA451" s="63">
        <f t="shared" si="568"/>
        <v>25.682300000000001</v>
      </c>
      <c r="AB451" s="63">
        <f t="shared" si="569"/>
        <v>335</v>
      </c>
      <c r="AC451" s="63">
        <f t="shared" si="570"/>
        <v>10356.36</v>
      </c>
      <c r="AD451" s="63">
        <f t="shared" si="571"/>
        <v>106.9136</v>
      </c>
      <c r="AE451" s="170">
        <v>568</v>
      </c>
      <c r="AF451" s="69">
        <f t="shared" si="572"/>
        <v>661</v>
      </c>
      <c r="AG451" s="69">
        <f t="shared" si="573"/>
        <v>18851.509099999999</v>
      </c>
      <c r="AH451" s="67">
        <v>19048.689999999999</v>
      </c>
      <c r="AI451" s="69">
        <f t="shared" si="574"/>
        <v>-197.18089999999938</v>
      </c>
      <c r="AJ451" s="69">
        <f t="shared" si="575"/>
        <v>463.81910000000062</v>
      </c>
    </row>
    <row r="452" spans="1:36" x14ac:dyDescent="0.25">
      <c r="A452" s="167">
        <v>568</v>
      </c>
      <c r="B452" s="92" t="s">
        <v>3198</v>
      </c>
      <c r="C452" s="71" t="s">
        <v>3146</v>
      </c>
      <c r="D452" s="168" t="s">
        <v>2722</v>
      </c>
      <c r="E452" s="168" t="s">
        <v>3199</v>
      </c>
      <c r="F452" s="73">
        <v>42970</v>
      </c>
      <c r="G452" s="59">
        <f t="shared" si="558"/>
        <v>4.3561643835616435</v>
      </c>
      <c r="H452" s="57"/>
      <c r="I452" s="66">
        <v>36028</v>
      </c>
      <c r="J452" s="182">
        <v>36689</v>
      </c>
      <c r="K452" s="63"/>
      <c r="L452" s="63">
        <f t="shared" si="559"/>
        <v>17.638942307692307</v>
      </c>
      <c r="M452" s="63">
        <f t="shared" si="560"/>
        <v>1411.1153846153845</v>
      </c>
      <c r="N452" s="63"/>
      <c r="O452" s="169"/>
      <c r="P452" s="169"/>
      <c r="Q452" s="63">
        <f t="shared" si="561"/>
        <v>0</v>
      </c>
      <c r="R452" s="63">
        <f t="shared" si="562"/>
        <v>36689</v>
      </c>
      <c r="S452" s="169"/>
      <c r="T452" s="169"/>
      <c r="U452" s="169"/>
      <c r="V452" s="63">
        <f t="shared" si="563"/>
        <v>36689</v>
      </c>
      <c r="W452" s="63">
        <f t="shared" si="564"/>
        <v>2274.7179999999998</v>
      </c>
      <c r="X452" s="63">
        <f t="shared" si="565"/>
        <v>531.9905</v>
      </c>
      <c r="Y452" s="63">
        <f t="shared" si="566"/>
        <v>5162.1422999999995</v>
      </c>
      <c r="Z452" s="63">
        <f t="shared" si="567"/>
        <v>58.702400000000004</v>
      </c>
      <c r="AA452" s="63">
        <f t="shared" si="568"/>
        <v>25.682300000000001</v>
      </c>
      <c r="AB452" s="63">
        <f t="shared" si="569"/>
        <v>335</v>
      </c>
      <c r="AC452" s="63">
        <f t="shared" si="570"/>
        <v>10356.36</v>
      </c>
      <c r="AD452" s="63">
        <f t="shared" si="571"/>
        <v>106.9136</v>
      </c>
      <c r="AE452" s="170">
        <v>568</v>
      </c>
      <c r="AF452" s="69">
        <f t="shared" si="572"/>
        <v>661</v>
      </c>
      <c r="AG452" s="69">
        <f t="shared" si="573"/>
        <v>18851.509099999999</v>
      </c>
      <c r="AH452" s="67">
        <v>19048.689999999999</v>
      </c>
      <c r="AI452" s="69">
        <f t="shared" si="574"/>
        <v>-197.18089999999938</v>
      </c>
      <c r="AJ452" s="69">
        <f t="shared" si="575"/>
        <v>463.81910000000062</v>
      </c>
    </row>
    <row r="453" spans="1:36" x14ac:dyDescent="0.25">
      <c r="A453" s="167">
        <v>568</v>
      </c>
      <c r="B453" s="92" t="s">
        <v>3200</v>
      </c>
      <c r="C453" s="71" t="s">
        <v>3146</v>
      </c>
      <c r="D453" s="71" t="s">
        <v>3256</v>
      </c>
      <c r="E453" s="71" t="s">
        <v>3257</v>
      </c>
      <c r="F453" s="73">
        <v>43628</v>
      </c>
      <c r="G453" s="59">
        <f t="shared" si="558"/>
        <v>2.5534246575342467</v>
      </c>
      <c r="H453" s="57"/>
      <c r="I453" s="66">
        <v>36028</v>
      </c>
      <c r="J453" s="182">
        <v>36689</v>
      </c>
      <c r="K453" s="63"/>
      <c r="L453" s="63">
        <f t="shared" si="559"/>
        <v>17.638942307692307</v>
      </c>
      <c r="M453" s="63">
        <f t="shared" si="560"/>
        <v>1411.1153846153845</v>
      </c>
      <c r="N453" s="63"/>
      <c r="O453" s="169"/>
      <c r="P453" s="169"/>
      <c r="Q453" s="63">
        <f t="shared" si="561"/>
        <v>0</v>
      </c>
      <c r="R453" s="63">
        <f t="shared" si="562"/>
        <v>36689</v>
      </c>
      <c r="S453" s="169"/>
      <c r="T453" s="169"/>
      <c r="U453" s="169"/>
      <c r="V453" s="63">
        <f t="shared" si="563"/>
        <v>36689</v>
      </c>
      <c r="W453" s="63">
        <f t="shared" si="564"/>
        <v>2274.7179999999998</v>
      </c>
      <c r="X453" s="63">
        <f t="shared" si="565"/>
        <v>531.9905</v>
      </c>
      <c r="Y453" s="63">
        <f t="shared" si="566"/>
        <v>5162.1422999999995</v>
      </c>
      <c r="Z453" s="63">
        <f t="shared" si="567"/>
        <v>58.702400000000004</v>
      </c>
      <c r="AA453" s="63">
        <f t="shared" si="568"/>
        <v>25.682300000000001</v>
      </c>
      <c r="AB453" s="63">
        <f t="shared" si="569"/>
        <v>335</v>
      </c>
      <c r="AC453" s="63">
        <f t="shared" si="570"/>
        <v>10356.36</v>
      </c>
      <c r="AD453" s="63">
        <f t="shared" si="571"/>
        <v>106.9136</v>
      </c>
      <c r="AE453" s="170">
        <v>568</v>
      </c>
      <c r="AF453" s="69">
        <f t="shared" si="572"/>
        <v>661</v>
      </c>
      <c r="AG453" s="69">
        <f t="shared" si="573"/>
        <v>18851.509099999999</v>
      </c>
      <c r="AH453" s="67">
        <v>19048.689999999999</v>
      </c>
      <c r="AI453" s="69">
        <f t="shared" si="574"/>
        <v>-197.18089999999938</v>
      </c>
      <c r="AJ453" s="69">
        <f t="shared" si="575"/>
        <v>463.81910000000062</v>
      </c>
    </row>
    <row r="454" spans="1:36" x14ac:dyDescent="0.25">
      <c r="A454" s="167">
        <v>568</v>
      </c>
      <c r="B454" s="92" t="s">
        <v>3201</v>
      </c>
      <c r="C454" s="71" t="s">
        <v>3146</v>
      </c>
      <c r="D454" s="264" t="s">
        <v>2805</v>
      </c>
      <c r="E454" s="264" t="s">
        <v>2806</v>
      </c>
      <c r="F454" s="72">
        <v>43831</v>
      </c>
      <c r="G454" s="59">
        <f t="shared" si="558"/>
        <v>1.9972602739726026</v>
      </c>
      <c r="H454" s="57"/>
      <c r="I454" s="66">
        <v>36028</v>
      </c>
      <c r="J454" s="57">
        <v>36028</v>
      </c>
      <c r="K454" s="63"/>
      <c r="L454" s="63">
        <f t="shared" si="559"/>
        <v>17.321153846153845</v>
      </c>
      <c r="M454" s="63">
        <f t="shared" si="560"/>
        <v>1385.6923076923076</v>
      </c>
      <c r="N454" s="63"/>
      <c r="O454" s="169"/>
      <c r="P454" s="169"/>
      <c r="Q454" s="63">
        <f t="shared" si="561"/>
        <v>0</v>
      </c>
      <c r="R454" s="63">
        <f t="shared" si="562"/>
        <v>36028</v>
      </c>
      <c r="S454" s="169"/>
      <c r="T454" s="169"/>
      <c r="U454" s="169"/>
      <c r="V454" s="63">
        <f t="shared" si="563"/>
        <v>36028</v>
      </c>
      <c r="W454" s="63">
        <f t="shared" si="564"/>
        <v>2233.7359999999999</v>
      </c>
      <c r="X454" s="63">
        <f t="shared" si="565"/>
        <v>522.40600000000006</v>
      </c>
      <c r="Y454" s="63">
        <f t="shared" si="566"/>
        <v>5069.1395999999995</v>
      </c>
      <c r="Z454" s="63">
        <f t="shared" si="567"/>
        <v>57.644800000000004</v>
      </c>
      <c r="AA454" s="63">
        <f t="shared" si="568"/>
        <v>25.2196</v>
      </c>
      <c r="AB454" s="63">
        <f t="shared" si="569"/>
        <v>335</v>
      </c>
      <c r="AC454" s="63">
        <f t="shared" si="570"/>
        <v>10356.36</v>
      </c>
      <c r="AD454" s="63">
        <f t="shared" si="571"/>
        <v>106.9136</v>
      </c>
      <c r="AE454" s="170">
        <v>568</v>
      </c>
      <c r="AF454" s="69">
        <f t="shared" si="572"/>
        <v>0</v>
      </c>
      <c r="AG454" s="69">
        <f t="shared" si="573"/>
        <v>18706.419600000001</v>
      </c>
      <c r="AH454" s="67">
        <v>19048.689999999999</v>
      </c>
      <c r="AI454" s="69">
        <f t="shared" si="574"/>
        <v>-342.27039999999761</v>
      </c>
      <c r="AJ454" s="69">
        <f t="shared" si="575"/>
        <v>-342.27039999999761</v>
      </c>
    </row>
    <row r="455" spans="1:36" x14ac:dyDescent="0.25">
      <c r="A455" s="167">
        <v>568</v>
      </c>
      <c r="B455" s="92" t="s">
        <v>3202</v>
      </c>
      <c r="C455" s="71" t="s">
        <v>3146</v>
      </c>
      <c r="D455" s="71" t="s">
        <v>3278</v>
      </c>
      <c r="E455" s="71" t="s">
        <v>3279</v>
      </c>
      <c r="F455" s="73">
        <v>42759</v>
      </c>
      <c r="G455" s="59">
        <f t="shared" si="558"/>
        <v>4.934246575342466</v>
      </c>
      <c r="H455" s="57"/>
      <c r="I455" s="66">
        <v>36028</v>
      </c>
      <c r="J455" s="182">
        <v>36689</v>
      </c>
      <c r="K455" s="63"/>
      <c r="L455" s="63">
        <f t="shared" si="559"/>
        <v>17.638942307692307</v>
      </c>
      <c r="M455" s="63">
        <f t="shared" si="560"/>
        <v>1411.1153846153845</v>
      </c>
      <c r="N455" s="63"/>
      <c r="O455" s="169"/>
      <c r="P455" s="169"/>
      <c r="Q455" s="63">
        <f t="shared" si="561"/>
        <v>0</v>
      </c>
      <c r="R455" s="63">
        <f t="shared" si="562"/>
        <v>36689</v>
      </c>
      <c r="S455" s="169"/>
      <c r="T455" s="169"/>
      <c r="U455" s="169"/>
      <c r="V455" s="63">
        <f t="shared" si="563"/>
        <v>36689</v>
      </c>
      <c r="W455" s="63">
        <f t="shared" si="564"/>
        <v>2274.7179999999998</v>
      </c>
      <c r="X455" s="63">
        <f t="shared" si="565"/>
        <v>531.9905</v>
      </c>
      <c r="Y455" s="63">
        <f t="shared" si="566"/>
        <v>5162.1422999999995</v>
      </c>
      <c r="Z455" s="63">
        <f t="shared" si="567"/>
        <v>58.702400000000004</v>
      </c>
      <c r="AA455" s="63">
        <f t="shared" si="568"/>
        <v>25.682300000000001</v>
      </c>
      <c r="AB455" s="63">
        <f t="shared" si="569"/>
        <v>335</v>
      </c>
      <c r="AC455" s="63">
        <f t="shared" si="570"/>
        <v>10356.36</v>
      </c>
      <c r="AD455" s="63">
        <f t="shared" si="571"/>
        <v>106.9136</v>
      </c>
      <c r="AE455" s="170">
        <v>568</v>
      </c>
      <c r="AF455" s="69">
        <f t="shared" si="572"/>
        <v>661</v>
      </c>
      <c r="AG455" s="69">
        <f t="shared" si="573"/>
        <v>18851.509099999999</v>
      </c>
      <c r="AH455" s="67">
        <v>19048.689999999999</v>
      </c>
      <c r="AI455" s="69">
        <f t="shared" si="574"/>
        <v>-197.18089999999938</v>
      </c>
      <c r="AJ455" s="69">
        <f t="shared" si="575"/>
        <v>463.81910000000062</v>
      </c>
    </row>
    <row r="456" spans="1:36" x14ac:dyDescent="0.25">
      <c r="A456" s="167">
        <v>568</v>
      </c>
      <c r="B456" s="92" t="s">
        <v>3203</v>
      </c>
      <c r="C456" s="71" t="s">
        <v>3146</v>
      </c>
      <c r="D456" s="71" t="s">
        <v>3143</v>
      </c>
      <c r="E456" s="71" t="s">
        <v>3144</v>
      </c>
      <c r="F456" s="73">
        <v>43829</v>
      </c>
      <c r="G456" s="59">
        <f t="shared" si="558"/>
        <v>2.0027397260273974</v>
      </c>
      <c r="H456" s="57"/>
      <c r="I456" s="66">
        <v>36028</v>
      </c>
      <c r="J456" s="182">
        <v>36689</v>
      </c>
      <c r="K456" s="63"/>
      <c r="L456" s="63">
        <f t="shared" si="559"/>
        <v>17.638942307692307</v>
      </c>
      <c r="M456" s="63">
        <f t="shared" si="560"/>
        <v>1411.1153846153845</v>
      </c>
      <c r="N456" s="63"/>
      <c r="O456" s="169"/>
      <c r="P456" s="169"/>
      <c r="Q456" s="63">
        <f t="shared" si="561"/>
        <v>0</v>
      </c>
      <c r="R456" s="63">
        <f t="shared" si="562"/>
        <v>36689</v>
      </c>
      <c r="S456" s="169"/>
      <c r="T456" s="169"/>
      <c r="U456" s="169"/>
      <c r="V456" s="63">
        <f t="shared" si="563"/>
        <v>36689</v>
      </c>
      <c r="W456" s="63">
        <f t="shared" si="564"/>
        <v>2274.7179999999998</v>
      </c>
      <c r="X456" s="63">
        <f t="shared" si="565"/>
        <v>531.9905</v>
      </c>
      <c r="Y456" s="63">
        <f t="shared" si="566"/>
        <v>5162.1422999999995</v>
      </c>
      <c r="Z456" s="63">
        <f t="shared" si="567"/>
        <v>58.702400000000004</v>
      </c>
      <c r="AA456" s="63">
        <f t="shared" si="568"/>
        <v>25.682300000000001</v>
      </c>
      <c r="AB456" s="63">
        <f t="shared" si="569"/>
        <v>335</v>
      </c>
      <c r="AC456" s="63">
        <f t="shared" si="570"/>
        <v>10356.36</v>
      </c>
      <c r="AD456" s="63">
        <f t="shared" si="571"/>
        <v>106.9136</v>
      </c>
      <c r="AE456" s="170">
        <v>568</v>
      </c>
      <c r="AF456" s="69">
        <f t="shared" si="572"/>
        <v>661</v>
      </c>
      <c r="AG456" s="69">
        <f t="shared" si="573"/>
        <v>18851.509099999999</v>
      </c>
      <c r="AH456" s="67">
        <v>19048.689999999999</v>
      </c>
      <c r="AI456" s="69">
        <f t="shared" si="574"/>
        <v>-197.18089999999938</v>
      </c>
      <c r="AJ456" s="69">
        <f t="shared" si="575"/>
        <v>463.81910000000062</v>
      </c>
    </row>
    <row r="457" spans="1:36" x14ac:dyDescent="0.25">
      <c r="A457" s="167">
        <v>568</v>
      </c>
      <c r="B457" s="92" t="s">
        <v>3204</v>
      </c>
      <c r="C457" s="71" t="s">
        <v>3146</v>
      </c>
      <c r="D457" s="71" t="s">
        <v>3246</v>
      </c>
      <c r="E457" s="71" t="s">
        <v>3133</v>
      </c>
      <c r="F457" s="72">
        <v>42709</v>
      </c>
      <c r="G457" s="59">
        <f t="shared" si="558"/>
        <v>5.0712328767123287</v>
      </c>
      <c r="H457" s="57"/>
      <c r="I457" s="66">
        <v>36689</v>
      </c>
      <c r="J457" s="66">
        <v>36689</v>
      </c>
      <c r="K457" s="63"/>
      <c r="L457" s="63">
        <f t="shared" si="559"/>
        <v>17.638942307692307</v>
      </c>
      <c r="M457" s="63">
        <f t="shared" si="560"/>
        <v>1411.1153846153845</v>
      </c>
      <c r="N457" s="63"/>
      <c r="O457" s="169"/>
      <c r="P457" s="169"/>
      <c r="Q457" s="63">
        <f t="shared" si="561"/>
        <v>0</v>
      </c>
      <c r="R457" s="63">
        <f t="shared" si="562"/>
        <v>36689</v>
      </c>
      <c r="S457" s="169"/>
      <c r="T457" s="169"/>
      <c r="U457" s="169"/>
      <c r="V457" s="63">
        <f t="shared" si="563"/>
        <v>36689</v>
      </c>
      <c r="W457" s="63">
        <f t="shared" si="564"/>
        <v>2274.7179999999998</v>
      </c>
      <c r="X457" s="63">
        <f t="shared" si="565"/>
        <v>531.9905</v>
      </c>
      <c r="Y457" s="63">
        <f t="shared" si="566"/>
        <v>5162.1422999999995</v>
      </c>
      <c r="Z457" s="63">
        <f t="shared" si="567"/>
        <v>58.702400000000004</v>
      </c>
      <c r="AA457" s="63">
        <f t="shared" si="568"/>
        <v>25.682300000000001</v>
      </c>
      <c r="AB457" s="63">
        <f t="shared" si="569"/>
        <v>335</v>
      </c>
      <c r="AC457" s="63">
        <f t="shared" si="570"/>
        <v>10356.36</v>
      </c>
      <c r="AD457" s="63">
        <f t="shared" si="571"/>
        <v>106.9136</v>
      </c>
      <c r="AE457" s="170">
        <v>568</v>
      </c>
      <c r="AF457" s="69">
        <f t="shared" si="572"/>
        <v>0</v>
      </c>
      <c r="AG457" s="69">
        <f t="shared" si="573"/>
        <v>18851.509099999999</v>
      </c>
      <c r="AH457" s="67">
        <v>19048.689999999999</v>
      </c>
      <c r="AI457" s="69">
        <f t="shared" si="574"/>
        <v>-197.18089999999938</v>
      </c>
      <c r="AJ457" s="69">
        <f t="shared" si="575"/>
        <v>-197.18089999999938</v>
      </c>
    </row>
    <row r="458" spans="1:36" x14ac:dyDescent="0.25">
      <c r="A458" s="167">
        <v>568</v>
      </c>
      <c r="B458" s="92" t="s">
        <v>3205</v>
      </c>
      <c r="C458" s="71" t="s">
        <v>3146</v>
      </c>
      <c r="D458" s="71" t="s">
        <v>3206</v>
      </c>
      <c r="E458" s="71" t="s">
        <v>3207</v>
      </c>
      <c r="F458" s="72">
        <v>42668</v>
      </c>
      <c r="G458" s="59">
        <f t="shared" si="558"/>
        <v>5.183561643835616</v>
      </c>
      <c r="H458" s="57"/>
      <c r="I458" s="66">
        <v>36689</v>
      </c>
      <c r="J458" s="66">
        <v>36689</v>
      </c>
      <c r="K458" s="63"/>
      <c r="L458" s="63">
        <f t="shared" si="559"/>
        <v>17.638942307692307</v>
      </c>
      <c r="M458" s="63">
        <f t="shared" si="560"/>
        <v>1411.1153846153845</v>
      </c>
      <c r="N458" s="63"/>
      <c r="O458" s="169"/>
      <c r="P458" s="169"/>
      <c r="Q458" s="63">
        <f t="shared" si="561"/>
        <v>0</v>
      </c>
      <c r="R458" s="63">
        <f t="shared" si="562"/>
        <v>36689</v>
      </c>
      <c r="S458" s="169"/>
      <c r="T458" s="169"/>
      <c r="U458" s="169"/>
      <c r="V458" s="63">
        <f t="shared" si="563"/>
        <v>36689</v>
      </c>
      <c r="W458" s="63">
        <f t="shared" si="564"/>
        <v>2274.7179999999998</v>
      </c>
      <c r="X458" s="63">
        <f t="shared" si="565"/>
        <v>531.9905</v>
      </c>
      <c r="Y458" s="63">
        <f t="shared" si="566"/>
        <v>5162.1422999999995</v>
      </c>
      <c r="Z458" s="63">
        <f t="shared" si="567"/>
        <v>58.702400000000004</v>
      </c>
      <c r="AA458" s="63">
        <f t="shared" si="568"/>
        <v>25.682300000000001</v>
      </c>
      <c r="AB458" s="63">
        <f t="shared" si="569"/>
        <v>335</v>
      </c>
      <c r="AC458" s="63">
        <f t="shared" si="570"/>
        <v>10356.36</v>
      </c>
      <c r="AD458" s="63">
        <f t="shared" si="571"/>
        <v>106.9136</v>
      </c>
      <c r="AE458" s="170">
        <v>568</v>
      </c>
      <c r="AF458" s="69">
        <f t="shared" si="572"/>
        <v>0</v>
      </c>
      <c r="AG458" s="69">
        <f t="shared" si="573"/>
        <v>18851.509099999999</v>
      </c>
      <c r="AH458" s="67">
        <v>19048.689999999999</v>
      </c>
      <c r="AI458" s="69">
        <f t="shared" si="574"/>
        <v>-197.18089999999938</v>
      </c>
      <c r="AJ458" s="69">
        <f t="shared" si="575"/>
        <v>-197.18089999999938</v>
      </c>
    </row>
    <row r="459" spans="1:36" x14ac:dyDescent="0.25">
      <c r="A459" s="167">
        <v>568</v>
      </c>
      <c r="B459" s="92" t="s">
        <v>3208</v>
      </c>
      <c r="C459" s="71" t="s">
        <v>3146</v>
      </c>
      <c r="D459" s="71" t="s">
        <v>3209</v>
      </c>
      <c r="E459" s="71" t="s">
        <v>2483</v>
      </c>
      <c r="F459" s="72">
        <v>42621</v>
      </c>
      <c r="G459" s="59">
        <f t="shared" si="558"/>
        <v>5.3123287671232875</v>
      </c>
      <c r="H459" s="57"/>
      <c r="I459" s="66">
        <v>36689</v>
      </c>
      <c r="J459" s="66">
        <v>36689</v>
      </c>
      <c r="K459" s="63"/>
      <c r="L459" s="63">
        <f t="shared" si="559"/>
        <v>17.638942307692307</v>
      </c>
      <c r="M459" s="63">
        <f t="shared" si="560"/>
        <v>1411.1153846153845</v>
      </c>
      <c r="N459" s="63"/>
      <c r="O459" s="169"/>
      <c r="P459" s="169"/>
      <c r="Q459" s="63">
        <f t="shared" si="561"/>
        <v>0</v>
      </c>
      <c r="R459" s="63">
        <f t="shared" si="562"/>
        <v>36689</v>
      </c>
      <c r="S459" s="169"/>
      <c r="T459" s="169"/>
      <c r="U459" s="169"/>
      <c r="V459" s="63">
        <f t="shared" si="563"/>
        <v>36689</v>
      </c>
      <c r="W459" s="63">
        <f t="shared" si="564"/>
        <v>2274.7179999999998</v>
      </c>
      <c r="X459" s="63">
        <f t="shared" si="565"/>
        <v>531.9905</v>
      </c>
      <c r="Y459" s="63">
        <f t="shared" si="566"/>
        <v>5162.1422999999995</v>
      </c>
      <c r="Z459" s="63">
        <f t="shared" si="567"/>
        <v>58.702400000000004</v>
      </c>
      <c r="AA459" s="63">
        <f t="shared" si="568"/>
        <v>25.682300000000001</v>
      </c>
      <c r="AB459" s="63">
        <f t="shared" si="569"/>
        <v>335</v>
      </c>
      <c r="AC459" s="63">
        <f t="shared" si="570"/>
        <v>10356.36</v>
      </c>
      <c r="AD459" s="63">
        <f t="shared" si="571"/>
        <v>106.9136</v>
      </c>
      <c r="AE459" s="170">
        <v>568</v>
      </c>
      <c r="AF459" s="69">
        <f t="shared" si="572"/>
        <v>0</v>
      </c>
      <c r="AG459" s="69">
        <f t="shared" si="573"/>
        <v>18851.509099999999</v>
      </c>
      <c r="AH459" s="67">
        <v>19048.689999999999</v>
      </c>
      <c r="AI459" s="69">
        <f t="shared" si="574"/>
        <v>-197.18089999999938</v>
      </c>
      <c r="AJ459" s="69">
        <f t="shared" si="575"/>
        <v>-197.18089999999938</v>
      </c>
    </row>
    <row r="460" spans="1:36" x14ac:dyDescent="0.25">
      <c r="A460" s="167">
        <v>568</v>
      </c>
      <c r="B460" s="92" t="s">
        <v>3210</v>
      </c>
      <c r="C460" s="71" t="s">
        <v>3146</v>
      </c>
      <c r="D460" s="71" t="s">
        <v>3810</v>
      </c>
      <c r="E460" s="71" t="s">
        <v>2498</v>
      </c>
      <c r="F460" s="73">
        <v>43654</v>
      </c>
      <c r="G460" s="59">
        <f t="shared" si="558"/>
        <v>2.4821917808219176</v>
      </c>
      <c r="H460" s="57"/>
      <c r="I460" s="66">
        <v>36028</v>
      </c>
      <c r="J460" s="182">
        <v>36689</v>
      </c>
      <c r="K460" s="63"/>
      <c r="L460" s="63">
        <f t="shared" si="559"/>
        <v>17.638942307692307</v>
      </c>
      <c r="M460" s="63">
        <f t="shared" si="560"/>
        <v>1411.1153846153845</v>
      </c>
      <c r="N460" s="63"/>
      <c r="O460" s="169"/>
      <c r="P460" s="169"/>
      <c r="Q460" s="63">
        <f t="shared" si="561"/>
        <v>0</v>
      </c>
      <c r="R460" s="63">
        <f t="shared" si="562"/>
        <v>36689</v>
      </c>
      <c r="S460" s="169"/>
      <c r="T460" s="169"/>
      <c r="U460" s="169"/>
      <c r="V460" s="63">
        <f t="shared" si="563"/>
        <v>36689</v>
      </c>
      <c r="W460" s="63">
        <f t="shared" si="564"/>
        <v>2274.7179999999998</v>
      </c>
      <c r="X460" s="63">
        <f t="shared" si="565"/>
        <v>531.9905</v>
      </c>
      <c r="Y460" s="63">
        <f t="shared" si="566"/>
        <v>5162.1422999999995</v>
      </c>
      <c r="Z460" s="63">
        <f t="shared" si="567"/>
        <v>58.702400000000004</v>
      </c>
      <c r="AA460" s="63">
        <f t="shared" si="568"/>
        <v>25.682300000000001</v>
      </c>
      <c r="AB460" s="63">
        <f t="shared" si="569"/>
        <v>335</v>
      </c>
      <c r="AC460" s="63">
        <f t="shared" si="570"/>
        <v>10356.36</v>
      </c>
      <c r="AD460" s="63">
        <f t="shared" si="571"/>
        <v>106.9136</v>
      </c>
      <c r="AE460" s="170">
        <v>568</v>
      </c>
      <c r="AF460" s="69">
        <f t="shared" si="572"/>
        <v>661</v>
      </c>
      <c r="AG460" s="69">
        <f t="shared" si="573"/>
        <v>18851.509099999999</v>
      </c>
      <c r="AH460" s="67">
        <v>19048.689999999999</v>
      </c>
      <c r="AI460" s="69">
        <f t="shared" si="574"/>
        <v>-197.18089999999938</v>
      </c>
      <c r="AJ460" s="69">
        <f t="shared" si="575"/>
        <v>463.81910000000062</v>
      </c>
    </row>
    <row r="461" spans="1:36" x14ac:dyDescent="0.25">
      <c r="A461" s="167">
        <v>568</v>
      </c>
      <c r="B461" s="92" t="s">
        <v>3211</v>
      </c>
      <c r="C461" s="71" t="s">
        <v>3146</v>
      </c>
      <c r="D461" s="264" t="s">
        <v>2805</v>
      </c>
      <c r="E461" s="264" t="s">
        <v>2806</v>
      </c>
      <c r="F461" s="72">
        <v>43831</v>
      </c>
      <c r="G461" s="59">
        <f t="shared" si="558"/>
        <v>1.9972602739726026</v>
      </c>
      <c r="H461" s="57"/>
      <c r="I461" s="66">
        <v>36028</v>
      </c>
      <c r="J461" s="66">
        <v>36028</v>
      </c>
      <c r="K461" s="63"/>
      <c r="L461" s="63">
        <f t="shared" si="559"/>
        <v>17.321153846153845</v>
      </c>
      <c r="M461" s="63">
        <f t="shared" si="560"/>
        <v>1385.6923076923076</v>
      </c>
      <c r="N461" s="63"/>
      <c r="O461" s="169"/>
      <c r="P461" s="169"/>
      <c r="Q461" s="63">
        <f t="shared" si="561"/>
        <v>0</v>
      </c>
      <c r="R461" s="63">
        <f t="shared" si="562"/>
        <v>36028</v>
      </c>
      <c r="S461" s="169"/>
      <c r="T461" s="169"/>
      <c r="U461" s="169"/>
      <c r="V461" s="63">
        <f t="shared" si="563"/>
        <v>36028</v>
      </c>
      <c r="W461" s="63">
        <f t="shared" si="564"/>
        <v>2233.7359999999999</v>
      </c>
      <c r="X461" s="63">
        <f t="shared" si="565"/>
        <v>522.40600000000006</v>
      </c>
      <c r="Y461" s="63">
        <f t="shared" si="566"/>
        <v>5069.1395999999995</v>
      </c>
      <c r="Z461" s="63">
        <f t="shared" si="567"/>
        <v>57.644800000000004</v>
      </c>
      <c r="AA461" s="63">
        <f t="shared" si="568"/>
        <v>25.2196</v>
      </c>
      <c r="AB461" s="63">
        <f t="shared" si="569"/>
        <v>335</v>
      </c>
      <c r="AC461" s="63">
        <f t="shared" si="570"/>
        <v>10356.36</v>
      </c>
      <c r="AD461" s="63">
        <f t="shared" si="571"/>
        <v>106.9136</v>
      </c>
      <c r="AE461" s="170">
        <v>568</v>
      </c>
      <c r="AF461" s="69">
        <f t="shared" si="572"/>
        <v>0</v>
      </c>
      <c r="AG461" s="69">
        <f t="shared" si="573"/>
        <v>18706.419600000001</v>
      </c>
      <c r="AH461" s="67">
        <v>19048.689999999999</v>
      </c>
      <c r="AI461" s="69">
        <f t="shared" si="574"/>
        <v>-342.27039999999761</v>
      </c>
      <c r="AJ461" s="69">
        <f t="shared" si="575"/>
        <v>-342.27039999999761</v>
      </c>
    </row>
    <row r="462" spans="1:36" x14ac:dyDescent="0.25">
      <c r="A462" s="167">
        <v>568</v>
      </c>
      <c r="B462" s="92" t="s">
        <v>3212</v>
      </c>
      <c r="C462" s="71" t="s">
        <v>3146</v>
      </c>
      <c r="D462" s="71" t="s">
        <v>3213</v>
      </c>
      <c r="E462" s="71" t="s">
        <v>3214</v>
      </c>
      <c r="F462" s="72">
        <v>42408</v>
      </c>
      <c r="G462" s="59">
        <f t="shared" si="558"/>
        <v>5.8958904109589039</v>
      </c>
      <c r="H462" s="57"/>
      <c r="I462" s="66">
        <v>36689</v>
      </c>
      <c r="J462" s="66">
        <v>36689</v>
      </c>
      <c r="K462" s="63"/>
      <c r="L462" s="63">
        <f t="shared" si="559"/>
        <v>17.638942307692307</v>
      </c>
      <c r="M462" s="63">
        <f t="shared" si="560"/>
        <v>1411.1153846153845</v>
      </c>
      <c r="N462" s="63"/>
      <c r="O462" s="169"/>
      <c r="P462" s="169"/>
      <c r="Q462" s="63">
        <f t="shared" si="561"/>
        <v>0</v>
      </c>
      <c r="R462" s="63">
        <f t="shared" si="562"/>
        <v>36689</v>
      </c>
      <c r="S462" s="169"/>
      <c r="T462" s="169"/>
      <c r="U462" s="169"/>
      <c r="V462" s="63">
        <f t="shared" si="563"/>
        <v>36689</v>
      </c>
      <c r="W462" s="63">
        <f t="shared" si="564"/>
        <v>2274.7179999999998</v>
      </c>
      <c r="X462" s="63">
        <f t="shared" si="565"/>
        <v>531.9905</v>
      </c>
      <c r="Y462" s="63">
        <f t="shared" si="566"/>
        <v>5162.1422999999995</v>
      </c>
      <c r="Z462" s="63">
        <f t="shared" si="567"/>
        <v>58.702400000000004</v>
      </c>
      <c r="AA462" s="63">
        <f t="shared" si="568"/>
        <v>25.682300000000001</v>
      </c>
      <c r="AB462" s="63">
        <f t="shared" si="569"/>
        <v>335</v>
      </c>
      <c r="AC462" s="63">
        <f t="shared" si="570"/>
        <v>10356.36</v>
      </c>
      <c r="AD462" s="63">
        <f t="shared" si="571"/>
        <v>106.9136</v>
      </c>
      <c r="AE462" s="170">
        <v>568</v>
      </c>
      <c r="AF462" s="69">
        <f t="shared" si="572"/>
        <v>0</v>
      </c>
      <c r="AG462" s="69">
        <f t="shared" si="573"/>
        <v>18851.509099999999</v>
      </c>
      <c r="AH462" s="67">
        <v>19048.689999999999</v>
      </c>
      <c r="AI462" s="69">
        <f t="shared" si="574"/>
        <v>-197.18089999999938</v>
      </c>
      <c r="AJ462" s="69">
        <f t="shared" si="575"/>
        <v>-197.18089999999938</v>
      </c>
    </row>
    <row r="463" spans="1:36" x14ac:dyDescent="0.25">
      <c r="A463" s="167">
        <v>568</v>
      </c>
      <c r="B463" s="92" t="s">
        <v>3215</v>
      </c>
      <c r="C463" s="71" t="s">
        <v>3146</v>
      </c>
      <c r="D463" s="71" t="s">
        <v>3011</v>
      </c>
      <c r="E463" s="71" t="s">
        <v>3326</v>
      </c>
      <c r="F463" s="73">
        <v>42110</v>
      </c>
      <c r="G463" s="59">
        <f t="shared" si="558"/>
        <v>6.7123287671232879</v>
      </c>
      <c r="H463" s="57"/>
      <c r="I463" s="66">
        <v>36689</v>
      </c>
      <c r="J463" s="182">
        <v>37361</v>
      </c>
      <c r="K463" s="63"/>
      <c r="L463" s="63">
        <f t="shared" si="559"/>
        <v>17.962019230769229</v>
      </c>
      <c r="M463" s="63">
        <f t="shared" si="560"/>
        <v>1436.9615384615386</v>
      </c>
      <c r="N463" s="63"/>
      <c r="O463" s="169"/>
      <c r="P463" s="169"/>
      <c r="Q463" s="63">
        <f t="shared" si="561"/>
        <v>0</v>
      </c>
      <c r="R463" s="63">
        <f t="shared" si="562"/>
        <v>37361</v>
      </c>
      <c r="S463" s="169"/>
      <c r="T463" s="169"/>
      <c r="U463" s="169"/>
      <c r="V463" s="63">
        <f t="shared" si="563"/>
        <v>37361</v>
      </c>
      <c r="W463" s="63">
        <f t="shared" si="564"/>
        <v>2316.3820000000001</v>
      </c>
      <c r="X463" s="63">
        <f t="shared" si="565"/>
        <v>541.73450000000003</v>
      </c>
      <c r="Y463" s="63">
        <f t="shared" si="566"/>
        <v>5256.6926999999996</v>
      </c>
      <c r="Z463" s="63">
        <f t="shared" si="567"/>
        <v>59.7776</v>
      </c>
      <c r="AA463" s="63">
        <f t="shared" si="568"/>
        <v>26.152699999999999</v>
      </c>
      <c r="AB463" s="63">
        <f t="shared" si="569"/>
        <v>335</v>
      </c>
      <c r="AC463" s="63">
        <f t="shared" si="570"/>
        <v>10356.36</v>
      </c>
      <c r="AD463" s="63">
        <f t="shared" si="571"/>
        <v>106.9136</v>
      </c>
      <c r="AE463" s="170">
        <v>568</v>
      </c>
      <c r="AF463" s="69">
        <f t="shared" si="572"/>
        <v>672</v>
      </c>
      <c r="AG463" s="69">
        <f t="shared" si="573"/>
        <v>18999.0131</v>
      </c>
      <c r="AH463" s="67">
        <v>19048.689999999999</v>
      </c>
      <c r="AI463" s="69">
        <f t="shared" si="574"/>
        <v>-49.676899999998568</v>
      </c>
      <c r="AJ463" s="69">
        <f t="shared" si="575"/>
        <v>622.32310000000143</v>
      </c>
    </row>
    <row r="464" spans="1:36" x14ac:dyDescent="0.25">
      <c r="A464" s="167">
        <v>568</v>
      </c>
      <c r="B464" s="92" t="s">
        <v>3216</v>
      </c>
      <c r="C464" s="71" t="s">
        <v>3146</v>
      </c>
      <c r="D464" s="71" t="s">
        <v>3217</v>
      </c>
      <c r="E464" s="71" t="s">
        <v>2747</v>
      </c>
      <c r="F464" s="73">
        <v>42110</v>
      </c>
      <c r="G464" s="59">
        <f t="shared" si="558"/>
        <v>6.7123287671232879</v>
      </c>
      <c r="H464" s="57"/>
      <c r="I464" s="66">
        <v>36689</v>
      </c>
      <c r="J464" s="182">
        <v>37361</v>
      </c>
      <c r="K464" s="63"/>
      <c r="L464" s="63">
        <f t="shared" si="559"/>
        <v>17.962019230769229</v>
      </c>
      <c r="M464" s="63">
        <f t="shared" si="560"/>
        <v>1436.9615384615386</v>
      </c>
      <c r="N464" s="63"/>
      <c r="O464" s="169"/>
      <c r="P464" s="169"/>
      <c r="Q464" s="63">
        <f t="shared" si="561"/>
        <v>0</v>
      </c>
      <c r="R464" s="63">
        <f t="shared" si="562"/>
        <v>37361</v>
      </c>
      <c r="S464" s="169"/>
      <c r="T464" s="169"/>
      <c r="U464" s="169"/>
      <c r="V464" s="63">
        <f t="shared" si="563"/>
        <v>37361</v>
      </c>
      <c r="W464" s="63">
        <f t="shared" si="564"/>
        <v>2316.3820000000001</v>
      </c>
      <c r="X464" s="63">
        <f t="shared" si="565"/>
        <v>541.73450000000003</v>
      </c>
      <c r="Y464" s="63">
        <f t="shared" si="566"/>
        <v>5256.6926999999996</v>
      </c>
      <c r="Z464" s="63">
        <f t="shared" si="567"/>
        <v>59.7776</v>
      </c>
      <c r="AA464" s="63">
        <f t="shared" si="568"/>
        <v>26.152699999999999</v>
      </c>
      <c r="AB464" s="63">
        <f t="shared" si="569"/>
        <v>335</v>
      </c>
      <c r="AC464" s="63">
        <f t="shared" si="570"/>
        <v>10356.36</v>
      </c>
      <c r="AD464" s="63">
        <f t="shared" si="571"/>
        <v>106.9136</v>
      </c>
      <c r="AE464" s="170">
        <v>568</v>
      </c>
      <c r="AF464" s="69">
        <f t="shared" si="572"/>
        <v>672</v>
      </c>
      <c r="AG464" s="69">
        <f t="shared" si="573"/>
        <v>18999.0131</v>
      </c>
      <c r="AH464" s="67">
        <v>19048.689999999999</v>
      </c>
      <c r="AI464" s="69">
        <f t="shared" si="574"/>
        <v>-49.676899999998568</v>
      </c>
      <c r="AJ464" s="69">
        <f t="shared" si="575"/>
        <v>622.32310000000143</v>
      </c>
    </row>
    <row r="465" spans="1:36" x14ac:dyDescent="0.25">
      <c r="A465" s="167">
        <v>568</v>
      </c>
      <c r="B465" s="92" t="s">
        <v>3218</v>
      </c>
      <c r="C465" s="71" t="s">
        <v>3146</v>
      </c>
      <c r="D465" s="71" t="s">
        <v>3074</v>
      </c>
      <c r="E465" s="71" t="s">
        <v>3326</v>
      </c>
      <c r="F465" s="73">
        <v>43773</v>
      </c>
      <c r="G465" s="59">
        <f t="shared" si="558"/>
        <v>2.1561643835616437</v>
      </c>
      <c r="H465" s="57"/>
      <c r="I465" s="66">
        <v>36028</v>
      </c>
      <c r="J465" s="182">
        <v>36689</v>
      </c>
      <c r="K465" s="63"/>
      <c r="L465" s="63">
        <f t="shared" si="559"/>
        <v>17.638942307692307</v>
      </c>
      <c r="M465" s="63">
        <f t="shared" si="560"/>
        <v>1411.1153846153845</v>
      </c>
      <c r="N465" s="63"/>
      <c r="O465" s="169"/>
      <c r="P465" s="169"/>
      <c r="Q465" s="63">
        <f t="shared" si="561"/>
        <v>0</v>
      </c>
      <c r="R465" s="63">
        <f t="shared" si="562"/>
        <v>36689</v>
      </c>
      <c r="S465" s="169"/>
      <c r="T465" s="169"/>
      <c r="U465" s="169"/>
      <c r="V465" s="63">
        <f t="shared" si="563"/>
        <v>36689</v>
      </c>
      <c r="W465" s="63">
        <f t="shared" si="564"/>
        <v>2274.7179999999998</v>
      </c>
      <c r="X465" s="63">
        <f t="shared" si="565"/>
        <v>531.9905</v>
      </c>
      <c r="Y465" s="63">
        <f t="shared" si="566"/>
        <v>5162.1422999999995</v>
      </c>
      <c r="Z465" s="63">
        <f t="shared" si="567"/>
        <v>58.702400000000004</v>
      </c>
      <c r="AA465" s="63">
        <f t="shared" si="568"/>
        <v>25.682300000000001</v>
      </c>
      <c r="AB465" s="63">
        <f t="shared" si="569"/>
        <v>335</v>
      </c>
      <c r="AC465" s="63">
        <f t="shared" si="570"/>
        <v>10356.36</v>
      </c>
      <c r="AD465" s="63">
        <f t="shared" si="571"/>
        <v>106.9136</v>
      </c>
      <c r="AE465" s="170">
        <v>568</v>
      </c>
      <c r="AF465" s="69">
        <f t="shared" si="572"/>
        <v>661</v>
      </c>
      <c r="AG465" s="69">
        <f t="shared" si="573"/>
        <v>18851.509099999999</v>
      </c>
      <c r="AH465" s="67">
        <v>19048.689999999999</v>
      </c>
      <c r="AI465" s="69">
        <f t="shared" si="574"/>
        <v>-197.18089999999938</v>
      </c>
      <c r="AJ465" s="69">
        <f t="shared" si="575"/>
        <v>463.81910000000062</v>
      </c>
    </row>
    <row r="466" spans="1:36" x14ac:dyDescent="0.25">
      <c r="A466" s="167">
        <v>568</v>
      </c>
      <c r="B466" s="92" t="s">
        <v>3219</v>
      </c>
      <c r="C466" s="71" t="s">
        <v>3146</v>
      </c>
      <c r="D466" s="71" t="s">
        <v>3220</v>
      </c>
      <c r="E466" s="71" t="s">
        <v>2744</v>
      </c>
      <c r="F466" s="72">
        <v>41855</v>
      </c>
      <c r="G466" s="59">
        <f t="shared" si="558"/>
        <v>7.4109589041095889</v>
      </c>
      <c r="H466" s="57"/>
      <c r="I466" s="66">
        <v>37361</v>
      </c>
      <c r="J466" s="66">
        <v>37361</v>
      </c>
      <c r="K466" s="63"/>
      <c r="L466" s="63">
        <f t="shared" si="559"/>
        <v>17.962019230769229</v>
      </c>
      <c r="M466" s="63">
        <f t="shared" si="560"/>
        <v>1436.9615384615386</v>
      </c>
      <c r="N466" s="63"/>
      <c r="O466" s="169"/>
      <c r="P466" s="169"/>
      <c r="Q466" s="63">
        <f t="shared" si="561"/>
        <v>0</v>
      </c>
      <c r="R466" s="63">
        <f t="shared" si="562"/>
        <v>37361</v>
      </c>
      <c r="S466" s="169"/>
      <c r="T466" s="169"/>
      <c r="U466" s="169"/>
      <c r="V466" s="63">
        <f t="shared" si="563"/>
        <v>37361</v>
      </c>
      <c r="W466" s="63">
        <f t="shared" si="564"/>
        <v>2316.3820000000001</v>
      </c>
      <c r="X466" s="63">
        <f t="shared" si="565"/>
        <v>541.73450000000003</v>
      </c>
      <c r="Y466" s="63">
        <f t="shared" si="566"/>
        <v>5256.6926999999996</v>
      </c>
      <c r="Z466" s="63">
        <f t="shared" si="567"/>
        <v>59.7776</v>
      </c>
      <c r="AA466" s="63">
        <f t="shared" si="568"/>
        <v>26.152699999999999</v>
      </c>
      <c r="AB466" s="63">
        <f t="shared" si="569"/>
        <v>335</v>
      </c>
      <c r="AC466" s="63">
        <f t="shared" si="570"/>
        <v>10356.36</v>
      </c>
      <c r="AD466" s="63">
        <f t="shared" si="571"/>
        <v>106.9136</v>
      </c>
      <c r="AE466" s="170">
        <v>568</v>
      </c>
      <c r="AF466" s="69">
        <f t="shared" si="572"/>
        <v>0</v>
      </c>
      <c r="AG466" s="69">
        <f t="shared" si="573"/>
        <v>18999.0131</v>
      </c>
      <c r="AH466" s="67">
        <v>19266.009999999998</v>
      </c>
      <c r="AI466" s="69">
        <f t="shared" si="574"/>
        <v>-266.99689999999828</v>
      </c>
      <c r="AJ466" s="69">
        <f t="shared" si="575"/>
        <v>-266.99689999999828</v>
      </c>
    </row>
    <row r="467" spans="1:36" x14ac:dyDescent="0.25">
      <c r="A467" s="167">
        <v>568</v>
      </c>
      <c r="B467" s="92" t="s">
        <v>3221</v>
      </c>
      <c r="C467" s="71" t="s">
        <v>3146</v>
      </c>
      <c r="D467" s="168" t="s">
        <v>3823</v>
      </c>
      <c r="E467" s="168" t="s">
        <v>3824</v>
      </c>
      <c r="F467" s="58">
        <v>41134</v>
      </c>
      <c r="G467" s="59">
        <f t="shared" si="558"/>
        <v>9.3863013698630144</v>
      </c>
      <c r="H467" s="57"/>
      <c r="I467" s="66">
        <v>37361</v>
      </c>
      <c r="J467" s="66">
        <v>37361</v>
      </c>
      <c r="K467" s="63"/>
      <c r="L467" s="63">
        <f t="shared" si="559"/>
        <v>17.962019230769229</v>
      </c>
      <c r="M467" s="63">
        <f t="shared" si="560"/>
        <v>1436.9615384615386</v>
      </c>
      <c r="N467" s="63"/>
      <c r="O467" s="169"/>
      <c r="P467" s="169"/>
      <c r="Q467" s="63">
        <f t="shared" si="561"/>
        <v>0</v>
      </c>
      <c r="R467" s="63">
        <f t="shared" si="562"/>
        <v>37361</v>
      </c>
      <c r="S467" s="169"/>
      <c r="T467" s="169"/>
      <c r="U467" s="169"/>
      <c r="V467" s="63">
        <f t="shared" si="563"/>
        <v>37361</v>
      </c>
      <c r="W467" s="63">
        <f t="shared" si="564"/>
        <v>2316.3820000000001</v>
      </c>
      <c r="X467" s="63">
        <f t="shared" si="565"/>
        <v>541.73450000000003</v>
      </c>
      <c r="Y467" s="63">
        <f t="shared" si="566"/>
        <v>5256.6926999999996</v>
      </c>
      <c r="Z467" s="63">
        <f t="shared" si="567"/>
        <v>59.7776</v>
      </c>
      <c r="AA467" s="63">
        <f t="shared" si="568"/>
        <v>26.152699999999999</v>
      </c>
      <c r="AB467" s="63">
        <f t="shared" si="569"/>
        <v>335</v>
      </c>
      <c r="AC467" s="63">
        <f t="shared" si="570"/>
        <v>10356.36</v>
      </c>
      <c r="AD467" s="63">
        <f t="shared" si="571"/>
        <v>106.9136</v>
      </c>
      <c r="AE467" s="170">
        <v>568</v>
      </c>
      <c r="AF467" s="69">
        <f t="shared" si="572"/>
        <v>0</v>
      </c>
      <c r="AG467" s="69">
        <f t="shared" si="573"/>
        <v>18999.0131</v>
      </c>
      <c r="AH467" s="67">
        <v>19200.05</v>
      </c>
      <c r="AI467" s="69">
        <f t="shared" si="574"/>
        <v>-201.03689999999915</v>
      </c>
      <c r="AJ467" s="69">
        <f t="shared" si="575"/>
        <v>-201.03689999999915</v>
      </c>
    </row>
    <row r="468" spans="1:36" x14ac:dyDescent="0.25">
      <c r="A468" s="167">
        <v>568</v>
      </c>
      <c r="B468" s="92" t="s">
        <v>3222</v>
      </c>
      <c r="C468" s="71" t="s">
        <v>3146</v>
      </c>
      <c r="D468" s="71" t="s">
        <v>3147</v>
      </c>
      <c r="E468" s="71" t="s">
        <v>3223</v>
      </c>
      <c r="F468" s="73">
        <v>43773</v>
      </c>
      <c r="G468" s="59">
        <f t="shared" si="558"/>
        <v>2.1561643835616437</v>
      </c>
      <c r="H468" s="57"/>
      <c r="I468" s="57">
        <v>36028</v>
      </c>
      <c r="J468" s="182">
        <v>36689</v>
      </c>
      <c r="K468" s="63"/>
      <c r="L468" s="63">
        <f t="shared" si="559"/>
        <v>17.638942307692307</v>
      </c>
      <c r="M468" s="63">
        <f t="shared" si="560"/>
        <v>1411.1153846153845</v>
      </c>
      <c r="N468" s="63"/>
      <c r="O468" s="169"/>
      <c r="P468" s="169"/>
      <c r="Q468" s="63">
        <f t="shared" si="561"/>
        <v>0</v>
      </c>
      <c r="R468" s="63">
        <f t="shared" si="562"/>
        <v>36689</v>
      </c>
      <c r="S468" s="169"/>
      <c r="T468" s="169"/>
      <c r="U468" s="169"/>
      <c r="V468" s="63">
        <f t="shared" si="563"/>
        <v>36689</v>
      </c>
      <c r="W468" s="63">
        <f t="shared" si="564"/>
        <v>2274.7179999999998</v>
      </c>
      <c r="X468" s="63">
        <f t="shared" si="565"/>
        <v>531.9905</v>
      </c>
      <c r="Y468" s="63">
        <f t="shared" si="566"/>
        <v>5162.1422999999995</v>
      </c>
      <c r="Z468" s="63">
        <f t="shared" si="567"/>
        <v>58.702400000000004</v>
      </c>
      <c r="AA468" s="63">
        <f t="shared" si="568"/>
        <v>25.682300000000001</v>
      </c>
      <c r="AB468" s="63">
        <f t="shared" si="569"/>
        <v>335</v>
      </c>
      <c r="AC468" s="63">
        <f t="shared" si="570"/>
        <v>10356.36</v>
      </c>
      <c r="AD468" s="63">
        <f t="shared" si="571"/>
        <v>106.9136</v>
      </c>
      <c r="AE468" s="170">
        <v>568</v>
      </c>
      <c r="AF468" s="69">
        <f t="shared" si="572"/>
        <v>661</v>
      </c>
      <c r="AG468" s="69">
        <f t="shared" si="573"/>
        <v>18851.509099999999</v>
      </c>
      <c r="AH468" s="67">
        <v>21220.06</v>
      </c>
      <c r="AI468" s="69">
        <f t="shared" si="574"/>
        <v>-2368.550900000002</v>
      </c>
      <c r="AJ468" s="69">
        <f t="shared" si="575"/>
        <v>-1707.550900000002</v>
      </c>
    </row>
    <row r="469" spans="1:36" x14ac:dyDescent="0.25">
      <c r="A469" s="167">
        <v>568</v>
      </c>
      <c r="B469" s="92" t="s">
        <v>3224</v>
      </c>
      <c r="C469" s="71" t="s">
        <v>3146</v>
      </c>
      <c r="D469" s="71" t="s">
        <v>2714</v>
      </c>
      <c r="E469" s="71" t="s">
        <v>3225</v>
      </c>
      <c r="F469" s="73">
        <v>43570</v>
      </c>
      <c r="G469" s="59">
        <f t="shared" si="558"/>
        <v>2.7123287671232879</v>
      </c>
      <c r="H469" s="57"/>
      <c r="I469" s="66">
        <v>36028</v>
      </c>
      <c r="J469" s="182">
        <v>36689</v>
      </c>
      <c r="K469" s="63"/>
      <c r="L469" s="63">
        <f t="shared" si="559"/>
        <v>17.638942307692307</v>
      </c>
      <c r="M469" s="63">
        <f t="shared" si="560"/>
        <v>1411.1153846153845</v>
      </c>
      <c r="N469" s="63"/>
      <c r="O469" s="169"/>
      <c r="P469" s="169"/>
      <c r="Q469" s="63">
        <f t="shared" si="561"/>
        <v>0</v>
      </c>
      <c r="R469" s="63">
        <f t="shared" si="562"/>
        <v>36689</v>
      </c>
      <c r="S469" s="169"/>
      <c r="T469" s="169"/>
      <c r="U469" s="169"/>
      <c r="V469" s="63">
        <f t="shared" si="563"/>
        <v>36689</v>
      </c>
      <c r="W469" s="63">
        <f t="shared" si="564"/>
        <v>2274.7179999999998</v>
      </c>
      <c r="X469" s="63">
        <f t="shared" si="565"/>
        <v>531.9905</v>
      </c>
      <c r="Y469" s="63">
        <f t="shared" si="566"/>
        <v>5162.1422999999995</v>
      </c>
      <c r="Z469" s="63">
        <f t="shared" si="567"/>
        <v>58.702400000000004</v>
      </c>
      <c r="AA469" s="63">
        <f t="shared" si="568"/>
        <v>25.682300000000001</v>
      </c>
      <c r="AB469" s="63">
        <f t="shared" si="569"/>
        <v>335</v>
      </c>
      <c r="AC469" s="63">
        <f t="shared" si="570"/>
        <v>10356.36</v>
      </c>
      <c r="AD469" s="63">
        <f t="shared" si="571"/>
        <v>106.9136</v>
      </c>
      <c r="AE469" s="170">
        <v>568</v>
      </c>
      <c r="AF469" s="69">
        <f t="shared" si="572"/>
        <v>661</v>
      </c>
      <c r="AG469" s="69">
        <f t="shared" si="573"/>
        <v>18851.509099999999</v>
      </c>
      <c r="AH469" s="67">
        <v>19200.05</v>
      </c>
      <c r="AI469" s="69">
        <f t="shared" si="574"/>
        <v>-348.54089999999997</v>
      </c>
      <c r="AJ469" s="69">
        <f t="shared" si="575"/>
        <v>312.45910000000003</v>
      </c>
    </row>
    <row r="470" spans="1:36" x14ac:dyDescent="0.25">
      <c r="A470" s="167">
        <v>568</v>
      </c>
      <c r="B470" s="92" t="s">
        <v>3226</v>
      </c>
      <c r="C470" s="71" t="s">
        <v>3146</v>
      </c>
      <c r="D470" s="71" t="s">
        <v>3810</v>
      </c>
      <c r="E470" s="71" t="s">
        <v>3825</v>
      </c>
      <c r="F470" s="73">
        <v>43682</v>
      </c>
      <c r="G470" s="59">
        <f t="shared" si="558"/>
        <v>2.4054794520547946</v>
      </c>
      <c r="H470" s="57"/>
      <c r="I470" s="57">
        <v>36028</v>
      </c>
      <c r="J470" s="182">
        <v>36689</v>
      </c>
      <c r="K470" s="63"/>
      <c r="L470" s="63">
        <f t="shared" si="559"/>
        <v>17.638942307692307</v>
      </c>
      <c r="M470" s="63">
        <f t="shared" si="560"/>
        <v>1411.1153846153845</v>
      </c>
      <c r="N470" s="63"/>
      <c r="O470" s="169"/>
      <c r="P470" s="169"/>
      <c r="Q470" s="63">
        <f t="shared" si="561"/>
        <v>0</v>
      </c>
      <c r="R470" s="63">
        <f t="shared" si="562"/>
        <v>36689</v>
      </c>
      <c r="S470" s="169"/>
      <c r="T470" s="169"/>
      <c r="U470" s="169"/>
      <c r="V470" s="63">
        <f t="shared" si="563"/>
        <v>36689</v>
      </c>
      <c r="W470" s="63">
        <f t="shared" si="564"/>
        <v>2274.7179999999998</v>
      </c>
      <c r="X470" s="63">
        <f t="shared" si="565"/>
        <v>531.9905</v>
      </c>
      <c r="Y470" s="63">
        <f t="shared" si="566"/>
        <v>5162.1422999999995</v>
      </c>
      <c r="Z470" s="63">
        <f t="shared" si="567"/>
        <v>58.702400000000004</v>
      </c>
      <c r="AA470" s="63">
        <f t="shared" si="568"/>
        <v>25.682300000000001</v>
      </c>
      <c r="AB470" s="63">
        <f t="shared" si="569"/>
        <v>335</v>
      </c>
      <c r="AC470" s="63">
        <f t="shared" si="570"/>
        <v>10356.36</v>
      </c>
      <c r="AD470" s="63">
        <f t="shared" si="571"/>
        <v>106.9136</v>
      </c>
      <c r="AE470" s="170">
        <v>568</v>
      </c>
      <c r="AF470" s="69">
        <f t="shared" si="572"/>
        <v>661</v>
      </c>
      <c r="AG470" s="69">
        <f t="shared" si="573"/>
        <v>18851.509099999999</v>
      </c>
      <c r="AH470" s="67">
        <v>19048.689999999999</v>
      </c>
      <c r="AI470" s="69">
        <f t="shared" si="574"/>
        <v>-197.18089999999938</v>
      </c>
      <c r="AJ470" s="69">
        <f t="shared" si="575"/>
        <v>463.81910000000062</v>
      </c>
    </row>
    <row r="471" spans="1:36" x14ac:dyDescent="0.25">
      <c r="A471" s="167">
        <v>568</v>
      </c>
      <c r="B471" s="92" t="s">
        <v>3228</v>
      </c>
      <c r="C471" s="71" t="s">
        <v>3146</v>
      </c>
      <c r="D471" s="71" t="s">
        <v>3826</v>
      </c>
      <c r="E471" s="71" t="s">
        <v>3296</v>
      </c>
      <c r="F471" s="73">
        <v>43773</v>
      </c>
      <c r="G471" s="59">
        <f t="shared" si="558"/>
        <v>2.1561643835616437</v>
      </c>
      <c r="H471" s="57"/>
      <c r="I471" s="57">
        <v>36028</v>
      </c>
      <c r="J471" s="182">
        <v>36689</v>
      </c>
      <c r="K471" s="63"/>
      <c r="L471" s="63">
        <f t="shared" si="559"/>
        <v>17.638942307692307</v>
      </c>
      <c r="M471" s="63">
        <f t="shared" si="560"/>
        <v>1411.1153846153845</v>
      </c>
      <c r="N471" s="63"/>
      <c r="O471" s="169"/>
      <c r="P471" s="169"/>
      <c r="Q471" s="63">
        <f t="shared" si="561"/>
        <v>0</v>
      </c>
      <c r="R471" s="63">
        <f t="shared" si="562"/>
        <v>36689</v>
      </c>
      <c r="S471" s="169"/>
      <c r="T471" s="169"/>
      <c r="U471" s="169"/>
      <c r="V471" s="63">
        <f t="shared" si="563"/>
        <v>36689</v>
      </c>
      <c r="W471" s="63">
        <f t="shared" si="564"/>
        <v>2274.7179999999998</v>
      </c>
      <c r="X471" s="63">
        <f t="shared" si="565"/>
        <v>531.9905</v>
      </c>
      <c r="Y471" s="63">
        <f t="shared" si="566"/>
        <v>5162.1422999999995</v>
      </c>
      <c r="Z471" s="63">
        <f t="shared" si="567"/>
        <v>58.702400000000004</v>
      </c>
      <c r="AA471" s="63">
        <f t="shared" si="568"/>
        <v>25.682300000000001</v>
      </c>
      <c r="AB471" s="63">
        <f t="shared" si="569"/>
        <v>335</v>
      </c>
      <c r="AC471" s="63">
        <f t="shared" si="570"/>
        <v>10356.36</v>
      </c>
      <c r="AD471" s="63">
        <f t="shared" si="571"/>
        <v>106.9136</v>
      </c>
      <c r="AE471" s="170">
        <v>568</v>
      </c>
      <c r="AF471" s="69">
        <f t="shared" si="572"/>
        <v>661</v>
      </c>
      <c r="AG471" s="69">
        <f t="shared" si="573"/>
        <v>18851.509099999999</v>
      </c>
      <c r="AH471" s="67">
        <v>19266.009999999998</v>
      </c>
      <c r="AI471" s="69">
        <f t="shared" si="574"/>
        <v>-414.50089999999909</v>
      </c>
      <c r="AJ471" s="69">
        <f t="shared" si="575"/>
        <v>246.49910000000091</v>
      </c>
    </row>
    <row r="472" spans="1:36" x14ac:dyDescent="0.25">
      <c r="A472" s="167">
        <v>568</v>
      </c>
      <c r="B472" s="92" t="s">
        <v>3229</v>
      </c>
      <c r="C472" s="71" t="s">
        <v>3146</v>
      </c>
      <c r="D472" s="71" t="s">
        <v>3135</v>
      </c>
      <c r="E472" s="71" t="s">
        <v>2862</v>
      </c>
      <c r="F472" s="73">
        <v>40742</v>
      </c>
      <c r="G472" s="59">
        <f t="shared" si="558"/>
        <v>10.46027397260274</v>
      </c>
      <c r="H472" s="57"/>
      <c r="I472" s="66">
        <v>36689</v>
      </c>
      <c r="J472" s="182">
        <v>37361</v>
      </c>
      <c r="K472" s="63"/>
      <c r="L472" s="63">
        <f t="shared" si="559"/>
        <v>17.962019230769229</v>
      </c>
      <c r="M472" s="63">
        <f t="shared" si="560"/>
        <v>1436.9615384615386</v>
      </c>
      <c r="N472" s="63"/>
      <c r="O472" s="169"/>
      <c r="P472" s="169"/>
      <c r="Q472" s="63">
        <f t="shared" si="561"/>
        <v>0</v>
      </c>
      <c r="R472" s="63">
        <f t="shared" si="562"/>
        <v>37361</v>
      </c>
      <c r="S472" s="169"/>
      <c r="T472" s="169"/>
      <c r="U472" s="169"/>
      <c r="V472" s="63">
        <f t="shared" si="563"/>
        <v>37361</v>
      </c>
      <c r="W472" s="63">
        <f t="shared" si="564"/>
        <v>2316.3820000000001</v>
      </c>
      <c r="X472" s="63">
        <f t="shared" si="565"/>
        <v>541.73450000000003</v>
      </c>
      <c r="Y472" s="63">
        <f t="shared" si="566"/>
        <v>5256.6926999999996</v>
      </c>
      <c r="Z472" s="63">
        <f t="shared" si="567"/>
        <v>59.7776</v>
      </c>
      <c r="AA472" s="63">
        <f t="shared" si="568"/>
        <v>26.152699999999999</v>
      </c>
      <c r="AB472" s="63">
        <f t="shared" si="569"/>
        <v>335</v>
      </c>
      <c r="AC472" s="63">
        <f t="shared" si="570"/>
        <v>10356.36</v>
      </c>
      <c r="AD472" s="63">
        <f t="shared" si="571"/>
        <v>106.9136</v>
      </c>
      <c r="AE472" s="170">
        <v>568</v>
      </c>
      <c r="AF472" s="69">
        <f t="shared" si="572"/>
        <v>672</v>
      </c>
      <c r="AG472" s="69">
        <f t="shared" si="573"/>
        <v>18999.0131</v>
      </c>
      <c r="AH472" s="67">
        <v>19048.689999999999</v>
      </c>
      <c r="AI472" s="69">
        <f t="shared" si="574"/>
        <v>-49.676899999998568</v>
      </c>
      <c r="AJ472" s="69">
        <f t="shared" si="575"/>
        <v>622.32310000000143</v>
      </c>
    </row>
    <row r="473" spans="1:36" x14ac:dyDescent="0.25">
      <c r="A473" s="167">
        <v>568</v>
      </c>
      <c r="B473" s="92" t="s">
        <v>3230</v>
      </c>
      <c r="C473" s="71" t="s">
        <v>3146</v>
      </c>
      <c r="D473" s="71" t="s">
        <v>2586</v>
      </c>
      <c r="E473" s="71" t="s">
        <v>2506</v>
      </c>
      <c r="F473" s="73">
        <v>43598</v>
      </c>
      <c r="G473" s="59">
        <f t="shared" si="558"/>
        <v>2.6356164383561644</v>
      </c>
      <c r="H473" s="57"/>
      <c r="I473" s="57">
        <v>36028</v>
      </c>
      <c r="J473" s="182">
        <v>36689</v>
      </c>
      <c r="K473" s="63"/>
      <c r="L473" s="63">
        <f t="shared" si="559"/>
        <v>17.638942307692307</v>
      </c>
      <c r="M473" s="63">
        <f t="shared" si="560"/>
        <v>1411.1153846153845</v>
      </c>
      <c r="N473" s="63"/>
      <c r="O473" s="169"/>
      <c r="P473" s="169"/>
      <c r="Q473" s="63">
        <f t="shared" si="561"/>
        <v>0</v>
      </c>
      <c r="R473" s="63">
        <f t="shared" si="562"/>
        <v>36689</v>
      </c>
      <c r="S473" s="169"/>
      <c r="T473" s="169"/>
      <c r="U473" s="169"/>
      <c r="V473" s="63">
        <f t="shared" si="563"/>
        <v>36689</v>
      </c>
      <c r="W473" s="63">
        <f t="shared" si="564"/>
        <v>2274.7179999999998</v>
      </c>
      <c r="X473" s="63">
        <f t="shared" si="565"/>
        <v>531.9905</v>
      </c>
      <c r="Y473" s="63">
        <f t="shared" si="566"/>
        <v>5162.1422999999995</v>
      </c>
      <c r="Z473" s="63">
        <f t="shared" si="567"/>
        <v>58.702400000000004</v>
      </c>
      <c r="AA473" s="63">
        <f t="shared" si="568"/>
        <v>25.682300000000001</v>
      </c>
      <c r="AB473" s="63">
        <f t="shared" si="569"/>
        <v>335</v>
      </c>
      <c r="AC473" s="63">
        <f t="shared" si="570"/>
        <v>10356.36</v>
      </c>
      <c r="AD473" s="63">
        <f t="shared" si="571"/>
        <v>106.9136</v>
      </c>
      <c r="AE473" s="170">
        <v>568</v>
      </c>
      <c r="AF473" s="69">
        <f t="shared" si="572"/>
        <v>661</v>
      </c>
      <c r="AG473" s="69">
        <f t="shared" si="573"/>
        <v>18851.509099999999</v>
      </c>
      <c r="AH473" s="67">
        <v>19353.939999999999</v>
      </c>
      <c r="AI473" s="69">
        <f t="shared" si="574"/>
        <v>-502.43089999999938</v>
      </c>
      <c r="AJ473" s="69">
        <f t="shared" si="575"/>
        <v>158.56910000000062</v>
      </c>
    </row>
    <row r="474" spans="1:36" x14ac:dyDescent="0.25">
      <c r="A474" s="167">
        <v>568</v>
      </c>
      <c r="B474" s="92" t="s">
        <v>3231</v>
      </c>
      <c r="C474" s="71" t="s">
        <v>3146</v>
      </c>
      <c r="D474" s="265" t="s">
        <v>3082</v>
      </c>
      <c r="E474" s="71" t="s">
        <v>2486</v>
      </c>
      <c r="F474" s="73">
        <v>43810</v>
      </c>
      <c r="G474" s="59">
        <f t="shared" si="558"/>
        <v>2.0547945205479454</v>
      </c>
      <c r="H474" s="57"/>
      <c r="I474" s="66">
        <v>36028</v>
      </c>
      <c r="J474" s="182">
        <v>36689</v>
      </c>
      <c r="K474" s="63"/>
      <c r="L474" s="63">
        <f t="shared" si="559"/>
        <v>17.638942307692307</v>
      </c>
      <c r="M474" s="63">
        <f t="shared" si="560"/>
        <v>1411.1153846153845</v>
      </c>
      <c r="N474" s="63"/>
      <c r="O474" s="169"/>
      <c r="P474" s="169"/>
      <c r="Q474" s="63">
        <f t="shared" si="561"/>
        <v>0</v>
      </c>
      <c r="R474" s="63">
        <f t="shared" si="562"/>
        <v>36689</v>
      </c>
      <c r="S474" s="169"/>
      <c r="T474" s="169"/>
      <c r="U474" s="169"/>
      <c r="V474" s="63">
        <f t="shared" si="563"/>
        <v>36689</v>
      </c>
      <c r="W474" s="63">
        <f t="shared" si="564"/>
        <v>2274.7179999999998</v>
      </c>
      <c r="X474" s="63">
        <f t="shared" si="565"/>
        <v>531.9905</v>
      </c>
      <c r="Y474" s="63">
        <f t="shared" si="566"/>
        <v>5162.1422999999995</v>
      </c>
      <c r="Z474" s="63">
        <f t="shared" si="567"/>
        <v>58.702400000000004</v>
      </c>
      <c r="AA474" s="63">
        <f t="shared" si="568"/>
        <v>25.682300000000001</v>
      </c>
      <c r="AB474" s="63">
        <f t="shared" si="569"/>
        <v>335</v>
      </c>
      <c r="AC474" s="63">
        <f t="shared" si="570"/>
        <v>10356.36</v>
      </c>
      <c r="AD474" s="63">
        <f t="shared" si="571"/>
        <v>106.9136</v>
      </c>
      <c r="AE474" s="170">
        <v>568</v>
      </c>
      <c r="AF474" s="69">
        <f t="shared" si="572"/>
        <v>661</v>
      </c>
      <c r="AG474" s="69">
        <f t="shared" si="573"/>
        <v>18851.509099999999</v>
      </c>
      <c r="AH474" s="67">
        <v>19048.689999999999</v>
      </c>
      <c r="AI474" s="69">
        <f t="shared" si="574"/>
        <v>-197.18089999999938</v>
      </c>
      <c r="AJ474" s="69">
        <f t="shared" si="575"/>
        <v>463.81910000000062</v>
      </c>
    </row>
    <row r="475" spans="1:36" x14ac:dyDescent="0.25">
      <c r="A475" s="167">
        <v>568</v>
      </c>
      <c r="B475" s="92" t="s">
        <v>3232</v>
      </c>
      <c r="C475" s="71" t="s">
        <v>3146</v>
      </c>
      <c r="D475" s="71" t="s">
        <v>3827</v>
      </c>
      <c r="E475" s="71" t="s">
        <v>3515</v>
      </c>
      <c r="F475" s="73">
        <v>43703</v>
      </c>
      <c r="G475" s="59">
        <f t="shared" si="558"/>
        <v>2.3479452054794518</v>
      </c>
      <c r="H475" s="57"/>
      <c r="I475" s="57">
        <v>36028</v>
      </c>
      <c r="J475" s="182">
        <v>36689</v>
      </c>
      <c r="K475" s="63"/>
      <c r="L475" s="63">
        <f t="shared" si="559"/>
        <v>17.638942307692307</v>
      </c>
      <c r="M475" s="63">
        <f t="shared" si="560"/>
        <v>1411.1153846153845</v>
      </c>
      <c r="N475" s="63"/>
      <c r="O475" s="169"/>
      <c r="P475" s="169"/>
      <c r="Q475" s="63">
        <f t="shared" si="561"/>
        <v>0</v>
      </c>
      <c r="R475" s="63">
        <f t="shared" si="562"/>
        <v>36689</v>
      </c>
      <c r="S475" s="169"/>
      <c r="T475" s="169"/>
      <c r="U475" s="169"/>
      <c r="V475" s="63">
        <f t="shared" si="563"/>
        <v>36689</v>
      </c>
      <c r="W475" s="63">
        <f t="shared" si="564"/>
        <v>2274.7179999999998</v>
      </c>
      <c r="X475" s="63">
        <f t="shared" si="565"/>
        <v>531.9905</v>
      </c>
      <c r="Y475" s="63">
        <f t="shared" si="566"/>
        <v>5162.1422999999995</v>
      </c>
      <c r="Z475" s="63">
        <f t="shared" si="567"/>
        <v>58.702400000000004</v>
      </c>
      <c r="AA475" s="63">
        <f t="shared" si="568"/>
        <v>25.682300000000001</v>
      </c>
      <c r="AB475" s="63">
        <f t="shared" si="569"/>
        <v>335</v>
      </c>
      <c r="AC475" s="63">
        <f t="shared" si="570"/>
        <v>10356.36</v>
      </c>
      <c r="AD475" s="63">
        <f t="shared" si="571"/>
        <v>106.9136</v>
      </c>
      <c r="AE475" s="170">
        <v>568</v>
      </c>
      <c r="AF475" s="69">
        <f t="shared" si="572"/>
        <v>661</v>
      </c>
      <c r="AG475" s="69">
        <f t="shared" si="573"/>
        <v>18851.509099999999</v>
      </c>
      <c r="AH475" s="67">
        <v>19421.04</v>
      </c>
      <c r="AI475" s="69">
        <f t="shared" si="574"/>
        <v>-569.53090000000157</v>
      </c>
      <c r="AJ475" s="69">
        <f t="shared" si="575"/>
        <v>91.469099999998434</v>
      </c>
    </row>
    <row r="476" spans="1:36" x14ac:dyDescent="0.25">
      <c r="A476" s="167">
        <v>568</v>
      </c>
      <c r="B476" s="92" t="s">
        <v>3233</v>
      </c>
      <c r="C476" s="71" t="s">
        <v>3146</v>
      </c>
      <c r="D476" s="264" t="s">
        <v>2805</v>
      </c>
      <c r="E476" s="264" t="s">
        <v>2806</v>
      </c>
      <c r="F476" s="72">
        <v>43831</v>
      </c>
      <c r="G476" s="59">
        <f t="shared" si="558"/>
        <v>1.9972602739726026</v>
      </c>
      <c r="H476" s="57"/>
      <c r="I476" s="57">
        <v>36028</v>
      </c>
      <c r="J476" s="57">
        <v>36028</v>
      </c>
      <c r="K476" s="63"/>
      <c r="L476" s="63">
        <f t="shared" si="559"/>
        <v>17.321153846153845</v>
      </c>
      <c r="M476" s="63">
        <f t="shared" si="560"/>
        <v>1385.6923076923076</v>
      </c>
      <c r="N476" s="63"/>
      <c r="O476" s="169"/>
      <c r="P476" s="169"/>
      <c r="Q476" s="63">
        <f t="shared" si="561"/>
        <v>0</v>
      </c>
      <c r="R476" s="63">
        <f t="shared" si="562"/>
        <v>36028</v>
      </c>
      <c r="S476" s="169"/>
      <c r="T476" s="169"/>
      <c r="U476" s="169"/>
      <c r="V476" s="63">
        <f t="shared" si="563"/>
        <v>36028</v>
      </c>
      <c r="W476" s="63">
        <f t="shared" si="564"/>
        <v>2233.7359999999999</v>
      </c>
      <c r="X476" s="63">
        <f t="shared" si="565"/>
        <v>522.40600000000006</v>
      </c>
      <c r="Y476" s="63">
        <f t="shared" si="566"/>
        <v>5069.1395999999995</v>
      </c>
      <c r="Z476" s="63">
        <f t="shared" si="567"/>
        <v>57.644800000000004</v>
      </c>
      <c r="AA476" s="63">
        <f t="shared" si="568"/>
        <v>25.2196</v>
      </c>
      <c r="AB476" s="63">
        <f t="shared" si="569"/>
        <v>335</v>
      </c>
      <c r="AC476" s="63">
        <f t="shared" si="570"/>
        <v>10356.36</v>
      </c>
      <c r="AD476" s="63">
        <f t="shared" si="571"/>
        <v>106.9136</v>
      </c>
      <c r="AE476" s="170">
        <v>568</v>
      </c>
      <c r="AF476" s="69">
        <f t="shared" si="572"/>
        <v>0</v>
      </c>
      <c r="AG476" s="69">
        <f t="shared" si="573"/>
        <v>18706.419600000001</v>
      </c>
      <c r="AH476" s="67">
        <v>19048.689999999999</v>
      </c>
      <c r="AI476" s="69">
        <f t="shared" si="574"/>
        <v>-342.27039999999761</v>
      </c>
      <c r="AJ476" s="69">
        <f t="shared" si="575"/>
        <v>-342.27039999999761</v>
      </c>
    </row>
    <row r="477" spans="1:36" x14ac:dyDescent="0.25">
      <c r="A477" s="167">
        <v>568</v>
      </c>
      <c r="B477" s="92" t="s">
        <v>3235</v>
      </c>
      <c r="C477" s="71" t="s">
        <v>3146</v>
      </c>
      <c r="D477" s="71" t="s">
        <v>3510</v>
      </c>
      <c r="E477" s="71" t="s">
        <v>3828</v>
      </c>
      <c r="F477" s="73">
        <v>43738</v>
      </c>
      <c r="G477" s="59">
        <f t="shared" si="558"/>
        <v>2.2520547945205478</v>
      </c>
      <c r="H477" s="57"/>
      <c r="I477" s="57">
        <v>36028</v>
      </c>
      <c r="J477" s="182">
        <v>36689</v>
      </c>
      <c r="K477" s="63"/>
      <c r="L477" s="63">
        <f t="shared" si="559"/>
        <v>17.638942307692307</v>
      </c>
      <c r="M477" s="63">
        <f t="shared" si="560"/>
        <v>1411.1153846153845</v>
      </c>
      <c r="N477" s="63"/>
      <c r="O477" s="169"/>
      <c r="P477" s="169"/>
      <c r="Q477" s="63">
        <f t="shared" si="561"/>
        <v>0</v>
      </c>
      <c r="R477" s="63">
        <f t="shared" si="562"/>
        <v>36689</v>
      </c>
      <c r="S477" s="169"/>
      <c r="T477" s="169"/>
      <c r="U477" s="169"/>
      <c r="V477" s="63">
        <f t="shared" si="563"/>
        <v>36689</v>
      </c>
      <c r="W477" s="63">
        <f t="shared" si="564"/>
        <v>2274.7179999999998</v>
      </c>
      <c r="X477" s="63">
        <f t="shared" si="565"/>
        <v>531.9905</v>
      </c>
      <c r="Y477" s="63">
        <f t="shared" si="566"/>
        <v>5162.1422999999995</v>
      </c>
      <c r="Z477" s="63">
        <f t="shared" si="567"/>
        <v>58.702400000000004</v>
      </c>
      <c r="AA477" s="63">
        <f t="shared" si="568"/>
        <v>25.682300000000001</v>
      </c>
      <c r="AB477" s="63">
        <f t="shared" si="569"/>
        <v>335</v>
      </c>
      <c r="AC477" s="63">
        <f t="shared" si="570"/>
        <v>10356.36</v>
      </c>
      <c r="AD477" s="63">
        <f t="shared" si="571"/>
        <v>106.9136</v>
      </c>
      <c r="AE477" s="170">
        <v>568</v>
      </c>
      <c r="AF477" s="69">
        <f t="shared" si="572"/>
        <v>661</v>
      </c>
      <c r="AG477" s="69">
        <f t="shared" si="573"/>
        <v>18851.509099999999</v>
      </c>
      <c r="AH477" s="67">
        <v>19048.689999999999</v>
      </c>
      <c r="AI477" s="69">
        <f t="shared" si="574"/>
        <v>-197.18089999999938</v>
      </c>
      <c r="AJ477" s="69">
        <f t="shared" si="575"/>
        <v>463.81910000000062</v>
      </c>
    </row>
    <row r="478" spans="1:36" x14ac:dyDescent="0.25">
      <c r="A478" s="167">
        <v>568</v>
      </c>
      <c r="B478" s="92" t="s">
        <v>3238</v>
      </c>
      <c r="C478" s="71" t="s">
        <v>3239</v>
      </c>
      <c r="D478" s="71" t="s">
        <v>2461</v>
      </c>
      <c r="E478" s="71" t="s">
        <v>2956</v>
      </c>
      <c r="F478" s="72">
        <v>41673</v>
      </c>
      <c r="G478" s="59">
        <f t="shared" si="558"/>
        <v>7.9095890410958907</v>
      </c>
      <c r="H478" s="57"/>
      <c r="I478" s="66">
        <v>36977</v>
      </c>
      <c r="J478" s="66">
        <v>36977</v>
      </c>
      <c r="K478" s="63"/>
      <c r="L478" s="63">
        <f t="shared" si="559"/>
        <v>17.777403846153845</v>
      </c>
      <c r="M478" s="63">
        <f t="shared" si="560"/>
        <v>1422.1923076923076</v>
      </c>
      <c r="N478" s="63"/>
      <c r="O478" s="169"/>
      <c r="P478" s="169"/>
      <c r="Q478" s="63">
        <f t="shared" si="561"/>
        <v>0</v>
      </c>
      <c r="R478" s="63">
        <f t="shared" si="562"/>
        <v>36977</v>
      </c>
      <c r="S478" s="169"/>
      <c r="T478" s="169"/>
      <c r="U478" s="169"/>
      <c r="V478" s="63">
        <f t="shared" si="563"/>
        <v>36977</v>
      </c>
      <c r="W478" s="63">
        <f t="shared" si="564"/>
        <v>2292.5740000000001</v>
      </c>
      <c r="X478" s="63">
        <f t="shared" si="565"/>
        <v>536.16650000000004</v>
      </c>
      <c r="Y478" s="63">
        <f t="shared" si="566"/>
        <v>5202.6638999999996</v>
      </c>
      <c r="Z478" s="63">
        <f t="shared" si="567"/>
        <v>59.163200000000003</v>
      </c>
      <c r="AA478" s="63">
        <f t="shared" si="568"/>
        <v>25.883900000000001</v>
      </c>
      <c r="AB478" s="63">
        <f t="shared" si="569"/>
        <v>335</v>
      </c>
      <c r="AC478" s="63">
        <f t="shared" si="570"/>
        <v>10356.36</v>
      </c>
      <c r="AD478" s="63">
        <f t="shared" si="571"/>
        <v>106.9136</v>
      </c>
      <c r="AE478" s="170">
        <v>568</v>
      </c>
      <c r="AF478" s="69">
        <f t="shared" si="572"/>
        <v>0</v>
      </c>
      <c r="AG478" s="69">
        <f t="shared" si="573"/>
        <v>18914.7251</v>
      </c>
      <c r="AH478" s="67">
        <v>19048.689999999999</v>
      </c>
      <c r="AI478" s="69">
        <f t="shared" si="574"/>
        <v>-133.96489999999903</v>
      </c>
      <c r="AJ478" s="69">
        <f t="shared" si="575"/>
        <v>-133.96489999999903</v>
      </c>
    </row>
    <row r="479" spans="1:36" x14ac:dyDescent="0.25">
      <c r="A479" s="167">
        <v>568</v>
      </c>
      <c r="B479" s="92" t="s">
        <v>3240</v>
      </c>
      <c r="C479" s="71" t="s">
        <v>3239</v>
      </c>
      <c r="D479" s="71" t="s">
        <v>3241</v>
      </c>
      <c r="E479" s="71" t="s">
        <v>2959</v>
      </c>
      <c r="F479" s="73">
        <v>41463</v>
      </c>
      <c r="G479" s="59">
        <f t="shared" si="558"/>
        <v>8.4849315068493159</v>
      </c>
      <c r="H479" s="57"/>
      <c r="I479" s="66">
        <v>36977</v>
      </c>
      <c r="J479" s="182">
        <v>37654</v>
      </c>
      <c r="K479" s="63"/>
      <c r="L479" s="63">
        <f t="shared" si="559"/>
        <v>18.102884615384614</v>
      </c>
      <c r="M479" s="63">
        <f t="shared" si="560"/>
        <v>1448.2307692307693</v>
      </c>
      <c r="N479" s="63"/>
      <c r="O479" s="169"/>
      <c r="P479" s="169"/>
      <c r="Q479" s="63">
        <f t="shared" si="561"/>
        <v>0</v>
      </c>
      <c r="R479" s="63">
        <f t="shared" si="562"/>
        <v>37654</v>
      </c>
      <c r="S479" s="169"/>
      <c r="T479" s="169"/>
      <c r="U479" s="169"/>
      <c r="V479" s="63">
        <f t="shared" si="563"/>
        <v>37654</v>
      </c>
      <c r="W479" s="63">
        <f t="shared" si="564"/>
        <v>2334.5479999999998</v>
      </c>
      <c r="X479" s="63">
        <f t="shared" si="565"/>
        <v>545.98300000000006</v>
      </c>
      <c r="Y479" s="63">
        <f t="shared" si="566"/>
        <v>5297.9177999999993</v>
      </c>
      <c r="Z479" s="63">
        <f t="shared" si="567"/>
        <v>60.246400000000001</v>
      </c>
      <c r="AA479" s="63">
        <f t="shared" si="568"/>
        <v>26.357800000000001</v>
      </c>
      <c r="AB479" s="63">
        <f t="shared" si="569"/>
        <v>335</v>
      </c>
      <c r="AC479" s="63">
        <f t="shared" si="570"/>
        <v>10356.36</v>
      </c>
      <c r="AD479" s="63">
        <f t="shared" si="571"/>
        <v>106.9136</v>
      </c>
      <c r="AE479" s="170">
        <v>568</v>
      </c>
      <c r="AF479" s="69">
        <f t="shared" si="572"/>
        <v>677</v>
      </c>
      <c r="AG479" s="69">
        <f t="shared" si="573"/>
        <v>19063.3266</v>
      </c>
      <c r="AH479" s="67">
        <v>19048.689999999999</v>
      </c>
      <c r="AI479" s="69">
        <f t="shared" si="574"/>
        <v>14.636600000001636</v>
      </c>
      <c r="AJ479" s="69">
        <f t="shared" si="575"/>
        <v>691.63660000000164</v>
      </c>
    </row>
    <row r="480" spans="1:36" x14ac:dyDescent="0.25">
      <c r="A480" s="167">
        <v>568</v>
      </c>
      <c r="B480" s="92" t="s">
        <v>3242</v>
      </c>
      <c r="C480" s="71" t="s">
        <v>3239</v>
      </c>
      <c r="D480" s="71" t="s">
        <v>3243</v>
      </c>
      <c r="E480" s="71" t="s">
        <v>3244</v>
      </c>
      <c r="F480" s="73">
        <v>41442</v>
      </c>
      <c r="G480" s="59">
        <f t="shared" si="558"/>
        <v>8.5424657534246577</v>
      </c>
      <c r="H480" s="57"/>
      <c r="I480" s="66">
        <v>36977</v>
      </c>
      <c r="J480" s="182">
        <v>37654</v>
      </c>
      <c r="K480" s="63"/>
      <c r="L480" s="63">
        <f t="shared" si="559"/>
        <v>18.102884615384614</v>
      </c>
      <c r="M480" s="63">
        <f t="shared" si="560"/>
        <v>1448.2307692307693</v>
      </c>
      <c r="N480" s="63"/>
      <c r="O480" s="169"/>
      <c r="P480" s="169"/>
      <c r="Q480" s="63">
        <f t="shared" si="561"/>
        <v>0</v>
      </c>
      <c r="R480" s="63">
        <f t="shared" si="562"/>
        <v>37654</v>
      </c>
      <c r="S480" s="169"/>
      <c r="T480" s="169"/>
      <c r="U480" s="169"/>
      <c r="V480" s="63">
        <f t="shared" si="563"/>
        <v>37654</v>
      </c>
      <c r="W480" s="63">
        <f t="shared" si="564"/>
        <v>2334.5479999999998</v>
      </c>
      <c r="X480" s="63">
        <f t="shared" si="565"/>
        <v>545.98300000000006</v>
      </c>
      <c r="Y480" s="63">
        <f t="shared" si="566"/>
        <v>5297.9177999999993</v>
      </c>
      <c r="Z480" s="63">
        <f t="shared" si="567"/>
        <v>60.246400000000001</v>
      </c>
      <c r="AA480" s="63">
        <f t="shared" si="568"/>
        <v>26.357800000000001</v>
      </c>
      <c r="AB480" s="63">
        <f t="shared" si="569"/>
        <v>335</v>
      </c>
      <c r="AC480" s="63">
        <f t="shared" si="570"/>
        <v>10356.36</v>
      </c>
      <c r="AD480" s="63">
        <f t="shared" si="571"/>
        <v>106.9136</v>
      </c>
      <c r="AE480" s="170">
        <v>568</v>
      </c>
      <c r="AF480" s="69">
        <f t="shared" si="572"/>
        <v>677</v>
      </c>
      <c r="AG480" s="69">
        <f t="shared" si="573"/>
        <v>19063.3266</v>
      </c>
      <c r="AH480" s="67">
        <v>10798.27</v>
      </c>
      <c r="AI480" s="69">
        <f t="shared" si="574"/>
        <v>8265.0565999999999</v>
      </c>
      <c r="AJ480" s="69">
        <f t="shared" si="575"/>
        <v>8942.0565999999999</v>
      </c>
    </row>
    <row r="481" spans="1:36" x14ac:dyDescent="0.25">
      <c r="A481" s="167">
        <v>568</v>
      </c>
      <c r="B481" s="92" t="s">
        <v>3245</v>
      </c>
      <c r="C481" s="71" t="s">
        <v>3239</v>
      </c>
      <c r="D481" s="71" t="s">
        <v>3246</v>
      </c>
      <c r="E481" s="71" t="s">
        <v>2577</v>
      </c>
      <c r="F481" s="73">
        <v>41316</v>
      </c>
      <c r="G481" s="59">
        <f t="shared" si="558"/>
        <v>8.8876712328767127</v>
      </c>
      <c r="H481" s="57"/>
      <c r="I481" s="66">
        <v>36977</v>
      </c>
      <c r="J481" s="182">
        <v>37654</v>
      </c>
      <c r="K481" s="63"/>
      <c r="L481" s="63">
        <f t="shared" si="559"/>
        <v>18.102884615384614</v>
      </c>
      <c r="M481" s="63">
        <f t="shared" si="560"/>
        <v>1448.2307692307693</v>
      </c>
      <c r="N481" s="63"/>
      <c r="O481" s="169"/>
      <c r="P481" s="169"/>
      <c r="Q481" s="63">
        <f t="shared" si="561"/>
        <v>0</v>
      </c>
      <c r="R481" s="63">
        <f t="shared" si="562"/>
        <v>37654</v>
      </c>
      <c r="S481" s="169"/>
      <c r="T481" s="169"/>
      <c r="U481" s="169"/>
      <c r="V481" s="63">
        <f t="shared" si="563"/>
        <v>37654</v>
      </c>
      <c r="W481" s="63">
        <f t="shared" si="564"/>
        <v>2334.5479999999998</v>
      </c>
      <c r="X481" s="63">
        <f t="shared" si="565"/>
        <v>545.98300000000006</v>
      </c>
      <c r="Y481" s="63">
        <f t="shared" si="566"/>
        <v>5297.9177999999993</v>
      </c>
      <c r="Z481" s="63">
        <f t="shared" si="567"/>
        <v>60.246400000000001</v>
      </c>
      <c r="AA481" s="63">
        <f t="shared" si="568"/>
        <v>26.357800000000001</v>
      </c>
      <c r="AB481" s="63">
        <f t="shared" si="569"/>
        <v>335</v>
      </c>
      <c r="AC481" s="63">
        <f t="shared" si="570"/>
        <v>10356.36</v>
      </c>
      <c r="AD481" s="63">
        <f t="shared" si="571"/>
        <v>106.9136</v>
      </c>
      <c r="AE481" s="170">
        <v>568</v>
      </c>
      <c r="AF481" s="69">
        <f t="shared" si="572"/>
        <v>677</v>
      </c>
      <c r="AG481" s="69">
        <f t="shared" si="573"/>
        <v>19063.3266</v>
      </c>
      <c r="AH481" s="67">
        <v>19048.689999999999</v>
      </c>
      <c r="AI481" s="69">
        <f t="shared" si="574"/>
        <v>14.636600000001636</v>
      </c>
      <c r="AJ481" s="69">
        <f t="shared" si="575"/>
        <v>691.63660000000164</v>
      </c>
    </row>
    <row r="482" spans="1:36" x14ac:dyDescent="0.25">
      <c r="A482" s="167">
        <v>568</v>
      </c>
      <c r="B482" s="92" t="s">
        <v>3247</v>
      </c>
      <c r="C482" s="71" t="s">
        <v>3239</v>
      </c>
      <c r="D482" s="71" t="s">
        <v>2450</v>
      </c>
      <c r="E482" s="71" t="s">
        <v>3248</v>
      </c>
      <c r="F482" s="72">
        <v>40358</v>
      </c>
      <c r="G482" s="59">
        <f t="shared" si="558"/>
        <v>11.512328767123288</v>
      </c>
      <c r="H482" s="57"/>
      <c r="I482" s="66">
        <v>37654</v>
      </c>
      <c r="J482" s="66">
        <v>37654</v>
      </c>
      <c r="K482" s="63"/>
      <c r="L482" s="63">
        <f t="shared" si="559"/>
        <v>18.102884615384614</v>
      </c>
      <c r="M482" s="63">
        <f t="shared" si="560"/>
        <v>1448.2307692307693</v>
      </c>
      <c r="N482" s="63"/>
      <c r="O482" s="169"/>
      <c r="P482" s="169"/>
      <c r="Q482" s="63">
        <f t="shared" si="561"/>
        <v>0</v>
      </c>
      <c r="R482" s="63">
        <f t="shared" si="562"/>
        <v>37654</v>
      </c>
      <c r="S482" s="169"/>
      <c r="T482" s="169"/>
      <c r="U482" s="169"/>
      <c r="V482" s="63">
        <f t="shared" si="563"/>
        <v>37654</v>
      </c>
      <c r="W482" s="63">
        <f t="shared" si="564"/>
        <v>2334.5479999999998</v>
      </c>
      <c r="X482" s="63">
        <f t="shared" si="565"/>
        <v>545.98300000000006</v>
      </c>
      <c r="Y482" s="63">
        <f t="shared" si="566"/>
        <v>5297.9177999999993</v>
      </c>
      <c r="Z482" s="63">
        <f t="shared" si="567"/>
        <v>60.246400000000001</v>
      </c>
      <c r="AA482" s="63">
        <f t="shared" si="568"/>
        <v>26.357800000000001</v>
      </c>
      <c r="AB482" s="63">
        <f t="shared" si="569"/>
        <v>335</v>
      </c>
      <c r="AC482" s="63">
        <f t="shared" si="570"/>
        <v>10356.36</v>
      </c>
      <c r="AD482" s="63">
        <f t="shared" si="571"/>
        <v>106.9136</v>
      </c>
      <c r="AE482" s="170">
        <v>568</v>
      </c>
      <c r="AF482" s="69">
        <f t="shared" si="572"/>
        <v>0</v>
      </c>
      <c r="AG482" s="69">
        <f t="shared" si="573"/>
        <v>19063.3266</v>
      </c>
      <c r="AH482" s="67">
        <v>19048.689999999999</v>
      </c>
      <c r="AI482" s="69">
        <f t="shared" si="574"/>
        <v>14.636600000001636</v>
      </c>
      <c r="AJ482" s="69">
        <f t="shared" si="575"/>
        <v>14.636600000001636</v>
      </c>
    </row>
    <row r="483" spans="1:36" x14ac:dyDescent="0.25">
      <c r="A483" s="167">
        <v>568</v>
      </c>
      <c r="B483" s="92" t="s">
        <v>3249</v>
      </c>
      <c r="C483" s="71" t="s">
        <v>3239</v>
      </c>
      <c r="D483" s="71" t="s">
        <v>3250</v>
      </c>
      <c r="E483" s="71" t="s">
        <v>3251</v>
      </c>
      <c r="F483" s="73">
        <v>39814</v>
      </c>
      <c r="G483" s="59">
        <f t="shared" si="558"/>
        <v>13.002739726027396</v>
      </c>
      <c r="H483" s="57"/>
      <c r="I483" s="66">
        <v>38345</v>
      </c>
      <c r="J483" s="182">
        <v>39047</v>
      </c>
      <c r="K483" s="63"/>
      <c r="L483" s="63">
        <f t="shared" si="559"/>
        <v>18.772596153846155</v>
      </c>
      <c r="M483" s="63">
        <f t="shared" si="560"/>
        <v>1501.8076923076924</v>
      </c>
      <c r="N483" s="63"/>
      <c r="O483" s="169"/>
      <c r="P483" s="169"/>
      <c r="Q483" s="63">
        <f t="shared" si="561"/>
        <v>0</v>
      </c>
      <c r="R483" s="63">
        <f t="shared" si="562"/>
        <v>39047</v>
      </c>
      <c r="S483" s="169"/>
      <c r="T483" s="169"/>
      <c r="U483" s="169"/>
      <c r="V483" s="63">
        <f t="shared" si="563"/>
        <v>39047</v>
      </c>
      <c r="W483" s="63">
        <f t="shared" si="564"/>
        <v>2420.9139999999998</v>
      </c>
      <c r="X483" s="63">
        <f t="shared" si="565"/>
        <v>566.18150000000003</v>
      </c>
      <c r="Y483" s="63">
        <f t="shared" si="566"/>
        <v>5493.9128999999994</v>
      </c>
      <c r="Z483" s="63">
        <f t="shared" si="567"/>
        <v>62.475200000000001</v>
      </c>
      <c r="AA483" s="63">
        <f t="shared" si="568"/>
        <v>27.332899999999999</v>
      </c>
      <c r="AB483" s="63">
        <f t="shared" si="569"/>
        <v>335</v>
      </c>
      <c r="AC483" s="63">
        <f t="shared" si="570"/>
        <v>10356.36</v>
      </c>
      <c r="AD483" s="63">
        <f t="shared" si="571"/>
        <v>106.9136</v>
      </c>
      <c r="AE483" s="170">
        <v>568</v>
      </c>
      <c r="AF483" s="69">
        <f t="shared" si="572"/>
        <v>702</v>
      </c>
      <c r="AG483" s="69">
        <f t="shared" si="573"/>
        <v>19369.090100000001</v>
      </c>
      <c r="AH483" s="67">
        <v>19048.689999999999</v>
      </c>
      <c r="AI483" s="69">
        <f t="shared" si="574"/>
        <v>320.40010000000257</v>
      </c>
      <c r="AJ483" s="69">
        <f t="shared" si="575"/>
        <v>1022.4001000000026</v>
      </c>
    </row>
    <row r="484" spans="1:36" x14ac:dyDescent="0.25">
      <c r="A484" s="167">
        <v>568</v>
      </c>
      <c r="B484" s="92" t="s">
        <v>3252</v>
      </c>
      <c r="C484" s="71" t="s">
        <v>3239</v>
      </c>
      <c r="D484" s="71" t="s">
        <v>3253</v>
      </c>
      <c r="E484" s="71" t="s">
        <v>3254</v>
      </c>
      <c r="F484" s="72">
        <v>39747</v>
      </c>
      <c r="G484" s="59">
        <f t="shared" si="558"/>
        <v>13.186301369863013</v>
      </c>
      <c r="H484" s="57"/>
      <c r="I484" s="66">
        <v>38345</v>
      </c>
      <c r="J484" s="66">
        <v>38345</v>
      </c>
      <c r="K484" s="63"/>
      <c r="L484" s="63">
        <f t="shared" si="559"/>
        <v>18.435096153846153</v>
      </c>
      <c r="M484" s="63">
        <f t="shared" si="560"/>
        <v>1474.8076923076924</v>
      </c>
      <c r="N484" s="63"/>
      <c r="O484" s="169"/>
      <c r="P484" s="169"/>
      <c r="Q484" s="63">
        <f t="shared" si="561"/>
        <v>0</v>
      </c>
      <c r="R484" s="63">
        <f t="shared" si="562"/>
        <v>38345</v>
      </c>
      <c r="S484" s="169"/>
      <c r="T484" s="169"/>
      <c r="U484" s="169"/>
      <c r="V484" s="63">
        <f t="shared" si="563"/>
        <v>38345</v>
      </c>
      <c r="W484" s="63">
        <f t="shared" si="564"/>
        <v>2377.39</v>
      </c>
      <c r="X484" s="63">
        <f t="shared" si="565"/>
        <v>556.00250000000005</v>
      </c>
      <c r="Y484" s="63">
        <f t="shared" si="566"/>
        <v>5395.1414999999997</v>
      </c>
      <c r="Z484" s="63">
        <f t="shared" si="567"/>
        <v>61.352000000000004</v>
      </c>
      <c r="AA484" s="63">
        <f t="shared" si="568"/>
        <v>26.8415</v>
      </c>
      <c r="AB484" s="63">
        <f t="shared" si="569"/>
        <v>335</v>
      </c>
      <c r="AC484" s="63">
        <f t="shared" si="570"/>
        <v>10356.36</v>
      </c>
      <c r="AD484" s="63">
        <f t="shared" si="571"/>
        <v>106.9136</v>
      </c>
      <c r="AE484" s="170">
        <v>568</v>
      </c>
      <c r="AF484" s="69">
        <f t="shared" si="572"/>
        <v>0</v>
      </c>
      <c r="AG484" s="69">
        <f t="shared" si="573"/>
        <v>19215.001100000001</v>
      </c>
      <c r="AH484" s="67">
        <v>19048.689999999999</v>
      </c>
      <c r="AI484" s="69">
        <f t="shared" si="574"/>
        <v>166.31110000000263</v>
      </c>
      <c r="AJ484" s="69">
        <f t="shared" si="575"/>
        <v>166.31110000000263</v>
      </c>
    </row>
    <row r="485" spans="1:36" x14ac:dyDescent="0.25">
      <c r="A485" s="167">
        <v>568</v>
      </c>
      <c r="B485" s="92" t="s">
        <v>3255</v>
      </c>
      <c r="C485" s="71" t="s">
        <v>3239</v>
      </c>
      <c r="D485" s="71" t="s">
        <v>3829</v>
      </c>
      <c r="E485" s="71" t="s">
        <v>3830</v>
      </c>
      <c r="F485" s="72">
        <v>39013</v>
      </c>
      <c r="G485" s="59">
        <f t="shared" si="558"/>
        <v>15.197260273972603</v>
      </c>
      <c r="H485" s="57"/>
      <c r="I485" s="66">
        <v>39047</v>
      </c>
      <c r="J485" s="66">
        <v>39047</v>
      </c>
      <c r="K485" s="63"/>
      <c r="L485" s="63">
        <f t="shared" si="559"/>
        <v>18.772596153846155</v>
      </c>
      <c r="M485" s="63">
        <f t="shared" si="560"/>
        <v>1501.8076923076924</v>
      </c>
      <c r="N485" s="63"/>
      <c r="O485" s="169"/>
      <c r="P485" s="169"/>
      <c r="Q485" s="63">
        <f t="shared" si="561"/>
        <v>0</v>
      </c>
      <c r="R485" s="63">
        <f t="shared" si="562"/>
        <v>39047</v>
      </c>
      <c r="S485" s="169"/>
      <c r="T485" s="169"/>
      <c r="U485" s="169"/>
      <c r="V485" s="63">
        <f t="shared" si="563"/>
        <v>39047</v>
      </c>
      <c r="W485" s="63">
        <f t="shared" si="564"/>
        <v>2420.9139999999998</v>
      </c>
      <c r="X485" s="63">
        <f t="shared" si="565"/>
        <v>566.18150000000003</v>
      </c>
      <c r="Y485" s="63">
        <f t="shared" si="566"/>
        <v>5493.9128999999994</v>
      </c>
      <c r="Z485" s="63">
        <f t="shared" si="567"/>
        <v>62.475200000000001</v>
      </c>
      <c r="AA485" s="63">
        <f t="shared" si="568"/>
        <v>27.332899999999999</v>
      </c>
      <c r="AB485" s="63">
        <f t="shared" si="569"/>
        <v>335</v>
      </c>
      <c r="AC485" s="63">
        <f t="shared" si="570"/>
        <v>10356.36</v>
      </c>
      <c r="AD485" s="63">
        <f t="shared" si="571"/>
        <v>106.9136</v>
      </c>
      <c r="AE485" s="170">
        <v>568</v>
      </c>
      <c r="AF485" s="69">
        <f t="shared" si="572"/>
        <v>0</v>
      </c>
      <c r="AG485" s="69">
        <f t="shared" si="573"/>
        <v>19369.090100000001</v>
      </c>
      <c r="AH485" s="67">
        <v>19048.689999999999</v>
      </c>
      <c r="AI485" s="69">
        <f t="shared" si="574"/>
        <v>320.40010000000257</v>
      </c>
      <c r="AJ485" s="69">
        <f t="shared" si="575"/>
        <v>320.40010000000257</v>
      </c>
    </row>
    <row r="486" spans="1:36" x14ac:dyDescent="0.25">
      <c r="A486" s="167">
        <v>568</v>
      </c>
      <c r="B486" s="92" t="s">
        <v>3258</v>
      </c>
      <c r="C486" s="71" t="s">
        <v>3239</v>
      </c>
      <c r="D486" s="71" t="s">
        <v>2917</v>
      </c>
      <c r="E486" s="71" t="s">
        <v>2595</v>
      </c>
      <c r="F486" s="72">
        <v>37272</v>
      </c>
      <c r="G486" s="59">
        <f t="shared" si="558"/>
        <v>19.967123287671232</v>
      </c>
      <c r="H486" s="57"/>
      <c r="I486" s="66">
        <v>40492</v>
      </c>
      <c r="J486" s="66">
        <v>40492</v>
      </c>
      <c r="K486" s="63"/>
      <c r="L486" s="63">
        <f t="shared" si="559"/>
        <v>19.467307692307692</v>
      </c>
      <c r="M486" s="63">
        <f t="shared" si="560"/>
        <v>1557.3846153846155</v>
      </c>
      <c r="N486" s="63"/>
      <c r="O486" s="169"/>
      <c r="P486" s="169"/>
      <c r="Q486" s="63">
        <f t="shared" si="561"/>
        <v>0</v>
      </c>
      <c r="R486" s="63">
        <f t="shared" si="562"/>
        <v>40492</v>
      </c>
      <c r="S486" s="169"/>
      <c r="T486" s="169"/>
      <c r="U486" s="169"/>
      <c r="V486" s="63">
        <f t="shared" si="563"/>
        <v>40492</v>
      </c>
      <c r="W486" s="63">
        <f t="shared" si="564"/>
        <v>2510.5039999999999</v>
      </c>
      <c r="X486" s="63">
        <f t="shared" si="565"/>
        <v>587.13400000000001</v>
      </c>
      <c r="Y486" s="63">
        <f t="shared" si="566"/>
        <v>5697.2244000000001</v>
      </c>
      <c r="Z486" s="63">
        <f t="shared" si="567"/>
        <v>64.787199999999999</v>
      </c>
      <c r="AA486" s="63">
        <f t="shared" si="568"/>
        <v>28.3444</v>
      </c>
      <c r="AB486" s="63">
        <f t="shared" si="569"/>
        <v>335</v>
      </c>
      <c r="AC486" s="63">
        <f t="shared" si="570"/>
        <v>10356.36</v>
      </c>
      <c r="AD486" s="63">
        <f t="shared" si="571"/>
        <v>106.9136</v>
      </c>
      <c r="AE486" s="170">
        <v>568</v>
      </c>
      <c r="AF486" s="69">
        <f t="shared" si="572"/>
        <v>0</v>
      </c>
      <c r="AG486" s="69">
        <f t="shared" si="573"/>
        <v>19686.267599999999</v>
      </c>
      <c r="AH486" s="67">
        <v>19048.689999999999</v>
      </c>
      <c r="AI486" s="69">
        <f t="shared" si="574"/>
        <v>637.57760000000053</v>
      </c>
      <c r="AJ486" s="69">
        <f t="shared" si="575"/>
        <v>637.57760000000053</v>
      </c>
    </row>
    <row r="487" spans="1:36" x14ac:dyDescent="0.25">
      <c r="A487" s="167">
        <v>568</v>
      </c>
      <c r="B487" s="92" t="s">
        <v>3259</v>
      </c>
      <c r="C487" s="71" t="s">
        <v>3239</v>
      </c>
      <c r="D487" s="71" t="s">
        <v>2950</v>
      </c>
      <c r="E487" s="71" t="s">
        <v>2814</v>
      </c>
      <c r="F487" s="73">
        <v>37071</v>
      </c>
      <c r="G487" s="59">
        <f t="shared" si="558"/>
        <v>20.517808219178082</v>
      </c>
      <c r="H487" s="57"/>
      <c r="I487" s="66">
        <v>40492</v>
      </c>
      <c r="J487" s="182">
        <v>41234</v>
      </c>
      <c r="K487" s="63"/>
      <c r="L487" s="63">
        <f t="shared" si="559"/>
        <v>19.824038461538461</v>
      </c>
      <c r="M487" s="63">
        <f t="shared" si="560"/>
        <v>1585.9230769230769</v>
      </c>
      <c r="N487" s="63"/>
      <c r="O487" s="169"/>
      <c r="P487" s="63">
        <v>0</v>
      </c>
      <c r="Q487" s="63">
        <f t="shared" si="561"/>
        <v>0</v>
      </c>
      <c r="R487" s="63">
        <f t="shared" si="562"/>
        <v>41234</v>
      </c>
      <c r="S487" s="169"/>
      <c r="T487" s="169"/>
      <c r="U487" s="169"/>
      <c r="V487" s="63">
        <f t="shared" si="563"/>
        <v>41234</v>
      </c>
      <c r="W487" s="63">
        <f t="shared" si="564"/>
        <v>2556.5079999999998</v>
      </c>
      <c r="X487" s="63">
        <f t="shared" si="565"/>
        <v>597.89300000000003</v>
      </c>
      <c r="Y487" s="63">
        <f t="shared" si="566"/>
        <v>5801.6237999999994</v>
      </c>
      <c r="Z487" s="63">
        <f t="shared" si="567"/>
        <v>65.974400000000003</v>
      </c>
      <c r="AA487" s="63">
        <f t="shared" si="568"/>
        <v>28.863800000000001</v>
      </c>
      <c r="AB487" s="63">
        <f t="shared" si="569"/>
        <v>335</v>
      </c>
      <c r="AC487" s="63">
        <f t="shared" si="570"/>
        <v>10356.36</v>
      </c>
      <c r="AD487" s="63">
        <f t="shared" si="571"/>
        <v>106.9136</v>
      </c>
      <c r="AE487" s="170">
        <v>568</v>
      </c>
      <c r="AF487" s="69">
        <f t="shared" si="572"/>
        <v>742</v>
      </c>
      <c r="AG487" s="69">
        <f t="shared" si="573"/>
        <v>19849.136599999998</v>
      </c>
      <c r="AH487" s="67">
        <v>19048.689999999999</v>
      </c>
      <c r="AI487" s="69">
        <f t="shared" si="574"/>
        <v>800.44659999999931</v>
      </c>
      <c r="AJ487" s="69">
        <f t="shared" si="575"/>
        <v>1542.4465999999993</v>
      </c>
    </row>
    <row r="488" spans="1:36" x14ac:dyDescent="0.25">
      <c r="A488" s="167">
        <v>568</v>
      </c>
      <c r="B488" s="92" t="s">
        <v>3260</v>
      </c>
      <c r="C488" s="71" t="s">
        <v>3239</v>
      </c>
      <c r="D488" s="71" t="s">
        <v>3261</v>
      </c>
      <c r="E488" s="71" t="s">
        <v>3262</v>
      </c>
      <c r="F488" s="72">
        <v>33048</v>
      </c>
      <c r="G488" s="59">
        <f t="shared" si="558"/>
        <v>31.539726027397261</v>
      </c>
      <c r="H488" s="57"/>
      <c r="I488" s="66">
        <v>40492</v>
      </c>
      <c r="J488" s="66">
        <v>40492</v>
      </c>
      <c r="K488" s="63"/>
      <c r="L488" s="63">
        <f t="shared" si="559"/>
        <v>19.467307692307692</v>
      </c>
      <c r="M488" s="63">
        <f t="shared" si="560"/>
        <v>1557.3846153846155</v>
      </c>
      <c r="N488" s="63"/>
      <c r="O488" s="169"/>
      <c r="P488" s="169"/>
      <c r="Q488" s="63">
        <f t="shared" si="561"/>
        <v>0</v>
      </c>
      <c r="R488" s="63">
        <f t="shared" si="562"/>
        <v>40492</v>
      </c>
      <c r="S488" s="169"/>
      <c r="T488" s="169"/>
      <c r="U488" s="169"/>
      <c r="V488" s="63">
        <f t="shared" si="563"/>
        <v>40492</v>
      </c>
      <c r="W488" s="63">
        <f t="shared" si="564"/>
        <v>2510.5039999999999</v>
      </c>
      <c r="X488" s="63">
        <f t="shared" si="565"/>
        <v>587.13400000000001</v>
      </c>
      <c r="Y488" s="63">
        <f t="shared" si="566"/>
        <v>5697.2244000000001</v>
      </c>
      <c r="Z488" s="63">
        <f t="shared" si="567"/>
        <v>64.787199999999999</v>
      </c>
      <c r="AA488" s="63">
        <f t="shared" si="568"/>
        <v>28.3444</v>
      </c>
      <c r="AB488" s="63">
        <f t="shared" si="569"/>
        <v>335</v>
      </c>
      <c r="AC488" s="63">
        <f t="shared" si="570"/>
        <v>10356.36</v>
      </c>
      <c r="AD488" s="63">
        <f t="shared" si="571"/>
        <v>106.9136</v>
      </c>
      <c r="AE488" s="170">
        <v>568</v>
      </c>
      <c r="AF488" s="69">
        <f t="shared" si="572"/>
        <v>0</v>
      </c>
      <c r="AG488" s="69">
        <f t="shared" si="573"/>
        <v>19686.267599999999</v>
      </c>
      <c r="AH488" s="67">
        <v>19353.939999999999</v>
      </c>
      <c r="AI488" s="69">
        <f t="shared" si="574"/>
        <v>332.32760000000053</v>
      </c>
      <c r="AJ488" s="69">
        <f t="shared" si="575"/>
        <v>332.32760000000053</v>
      </c>
    </row>
    <row r="489" spans="1:36" x14ac:dyDescent="0.25">
      <c r="A489" s="167">
        <v>568</v>
      </c>
      <c r="B489" s="92" t="s">
        <v>3265</v>
      </c>
      <c r="C489" s="71" t="s">
        <v>3266</v>
      </c>
      <c r="D489" s="70" t="s">
        <v>2988</v>
      </c>
      <c r="E489" s="70" t="s">
        <v>3267</v>
      </c>
      <c r="F489" s="73">
        <v>30469</v>
      </c>
      <c r="G489" s="59">
        <f t="shared" si="558"/>
        <v>38.605479452054794</v>
      </c>
      <c r="H489" s="57"/>
      <c r="I489" s="66">
        <v>41243</v>
      </c>
      <c r="J489" s="182">
        <v>41999</v>
      </c>
      <c r="K489" s="63"/>
      <c r="L489" s="63">
        <f t="shared" si="559"/>
        <v>20.191826923076924</v>
      </c>
      <c r="M489" s="63">
        <f t="shared" si="560"/>
        <v>1615.3461538461538</v>
      </c>
      <c r="N489" s="63"/>
      <c r="O489" s="169"/>
      <c r="P489" s="169"/>
      <c r="Q489" s="63">
        <f t="shared" si="561"/>
        <v>0</v>
      </c>
      <c r="R489" s="63">
        <f t="shared" si="562"/>
        <v>41999</v>
      </c>
      <c r="S489" s="169"/>
      <c r="T489" s="169"/>
      <c r="U489" s="169"/>
      <c r="V489" s="63">
        <f t="shared" si="563"/>
        <v>41999</v>
      </c>
      <c r="W489" s="63">
        <f t="shared" si="564"/>
        <v>2603.9380000000001</v>
      </c>
      <c r="X489" s="63">
        <f t="shared" si="565"/>
        <v>608.9855</v>
      </c>
      <c r="Y489" s="63">
        <f t="shared" si="566"/>
        <v>5909.2592999999997</v>
      </c>
      <c r="Z489" s="63">
        <f t="shared" si="567"/>
        <v>67.198400000000007</v>
      </c>
      <c r="AA489" s="63">
        <f t="shared" si="568"/>
        <v>29.3993</v>
      </c>
      <c r="AB489" s="63">
        <f t="shared" si="569"/>
        <v>335</v>
      </c>
      <c r="AC489" s="63">
        <f t="shared" si="570"/>
        <v>10356.36</v>
      </c>
      <c r="AD489" s="63">
        <f t="shared" si="571"/>
        <v>106.9136</v>
      </c>
      <c r="AE489" s="170">
        <v>568</v>
      </c>
      <c r="AF489" s="69">
        <f t="shared" si="572"/>
        <v>756</v>
      </c>
      <c r="AG489" s="69">
        <f t="shared" si="573"/>
        <v>20017.054099999998</v>
      </c>
      <c r="AH489" s="67">
        <v>20070.939999999999</v>
      </c>
      <c r="AI489" s="69">
        <f t="shared" si="574"/>
        <v>-53.885900000001129</v>
      </c>
      <c r="AJ489" s="69">
        <f t="shared" si="575"/>
        <v>702.11409999999887</v>
      </c>
    </row>
    <row r="490" spans="1:36" x14ac:dyDescent="0.25">
      <c r="A490" s="167">
        <v>568</v>
      </c>
      <c r="B490" s="92" t="s">
        <v>3268</v>
      </c>
      <c r="C490" s="71" t="s">
        <v>3269</v>
      </c>
      <c r="D490" s="70" t="s">
        <v>3270</v>
      </c>
      <c r="E490" s="70" t="s">
        <v>2967</v>
      </c>
      <c r="F490" s="72">
        <v>41918</v>
      </c>
      <c r="G490" s="59">
        <f t="shared" si="558"/>
        <v>7.2383561643835614</v>
      </c>
      <c r="H490" s="57"/>
      <c r="I490" s="66">
        <v>38399</v>
      </c>
      <c r="J490" s="66">
        <v>38399</v>
      </c>
      <c r="K490" s="63"/>
      <c r="L490" s="63">
        <f t="shared" si="559"/>
        <v>18.461057692307691</v>
      </c>
      <c r="M490" s="63">
        <f t="shared" si="560"/>
        <v>1476.8846153846155</v>
      </c>
      <c r="N490" s="63"/>
      <c r="O490" s="169"/>
      <c r="P490" s="169"/>
      <c r="Q490" s="63">
        <f t="shared" si="561"/>
        <v>0</v>
      </c>
      <c r="R490" s="63">
        <f t="shared" si="562"/>
        <v>38399</v>
      </c>
      <c r="S490" s="169"/>
      <c r="T490" s="169"/>
      <c r="U490" s="169"/>
      <c r="V490" s="63">
        <f t="shared" si="563"/>
        <v>38399</v>
      </c>
      <c r="W490" s="63">
        <f t="shared" si="564"/>
        <v>2380.7379999999998</v>
      </c>
      <c r="X490" s="63">
        <f t="shared" si="565"/>
        <v>556.78550000000007</v>
      </c>
      <c r="Y490" s="63">
        <f t="shared" si="566"/>
        <v>5402.7392999999993</v>
      </c>
      <c r="Z490" s="63">
        <f t="shared" si="567"/>
        <v>61.438400000000001</v>
      </c>
      <c r="AA490" s="63">
        <f t="shared" si="568"/>
        <v>26.879300000000001</v>
      </c>
      <c r="AB490" s="63">
        <f t="shared" si="569"/>
        <v>335</v>
      </c>
      <c r="AC490" s="63">
        <f t="shared" si="570"/>
        <v>10356.36</v>
      </c>
      <c r="AD490" s="63">
        <f t="shared" si="571"/>
        <v>106.9136</v>
      </c>
      <c r="AE490" s="170">
        <v>568</v>
      </c>
      <c r="AF490" s="69">
        <f t="shared" si="572"/>
        <v>0</v>
      </c>
      <c r="AG490" s="69">
        <f t="shared" si="573"/>
        <v>19226.8541</v>
      </c>
      <c r="AH490" s="67">
        <v>19048.689999999999</v>
      </c>
      <c r="AI490" s="69">
        <f t="shared" si="574"/>
        <v>178.16410000000178</v>
      </c>
      <c r="AJ490" s="69">
        <f t="shared" si="575"/>
        <v>178.16410000000178</v>
      </c>
    </row>
    <row r="491" spans="1:36" x14ac:dyDescent="0.25">
      <c r="A491" s="167">
        <v>568</v>
      </c>
      <c r="B491" s="92" t="s">
        <v>3271</v>
      </c>
      <c r="C491" s="71" t="s">
        <v>3269</v>
      </c>
      <c r="D491" s="70" t="s">
        <v>3272</v>
      </c>
      <c r="E491" s="70" t="s">
        <v>3273</v>
      </c>
      <c r="F491" s="72">
        <v>41841</v>
      </c>
      <c r="G491" s="59">
        <f t="shared" si="558"/>
        <v>7.4493150684931511</v>
      </c>
      <c r="H491" s="57"/>
      <c r="I491" s="66">
        <v>38399</v>
      </c>
      <c r="J491" s="66">
        <v>38399</v>
      </c>
      <c r="K491" s="63"/>
      <c r="L491" s="63">
        <f t="shared" si="559"/>
        <v>18.461057692307691</v>
      </c>
      <c r="M491" s="63">
        <f t="shared" si="560"/>
        <v>1476.8846153846155</v>
      </c>
      <c r="N491" s="63"/>
      <c r="O491" s="169"/>
      <c r="P491" s="63">
        <v>0</v>
      </c>
      <c r="Q491" s="63">
        <f t="shared" si="561"/>
        <v>0</v>
      </c>
      <c r="R491" s="63">
        <f t="shared" si="562"/>
        <v>38399</v>
      </c>
      <c r="S491" s="169"/>
      <c r="T491" s="63">
        <v>1200</v>
      </c>
      <c r="U491" s="63"/>
      <c r="V491" s="63">
        <f t="shared" si="563"/>
        <v>39599</v>
      </c>
      <c r="W491" s="63">
        <f t="shared" si="564"/>
        <v>2455.1379999999999</v>
      </c>
      <c r="X491" s="63">
        <f t="shared" si="565"/>
        <v>574.18550000000005</v>
      </c>
      <c r="Y491" s="63">
        <f t="shared" si="566"/>
        <v>5571.5792999999994</v>
      </c>
      <c r="Z491" s="63">
        <f t="shared" si="567"/>
        <v>63.358400000000003</v>
      </c>
      <c r="AA491" s="63">
        <f t="shared" si="568"/>
        <v>27.7193</v>
      </c>
      <c r="AB491" s="63">
        <f t="shared" si="569"/>
        <v>335</v>
      </c>
      <c r="AC491" s="63">
        <f t="shared" si="570"/>
        <v>10356.36</v>
      </c>
      <c r="AD491" s="63">
        <f t="shared" si="571"/>
        <v>106.9136</v>
      </c>
      <c r="AE491" s="170">
        <v>568</v>
      </c>
      <c r="AF491" s="69">
        <f t="shared" si="572"/>
        <v>0</v>
      </c>
      <c r="AG491" s="69">
        <f t="shared" si="573"/>
        <v>19490.254099999998</v>
      </c>
      <c r="AH491" s="67">
        <v>19048.689999999999</v>
      </c>
      <c r="AI491" s="69">
        <f t="shared" si="574"/>
        <v>441.5640999999996</v>
      </c>
      <c r="AJ491" s="69">
        <f t="shared" si="575"/>
        <v>441.5640999999996</v>
      </c>
    </row>
    <row r="492" spans="1:36" x14ac:dyDescent="0.25">
      <c r="A492" s="167">
        <v>568</v>
      </c>
      <c r="B492" s="92" t="s">
        <v>3274</v>
      </c>
      <c r="C492" s="71" t="s">
        <v>3269</v>
      </c>
      <c r="D492" s="71" t="s">
        <v>2461</v>
      </c>
      <c r="E492" s="71" t="s">
        <v>2569</v>
      </c>
      <c r="F492" s="73">
        <v>41568</v>
      </c>
      <c r="G492" s="59">
        <f t="shared" si="558"/>
        <v>8.1972602739726028</v>
      </c>
      <c r="H492" s="57"/>
      <c r="I492" s="66">
        <v>38399</v>
      </c>
      <c r="J492" s="182">
        <v>39103</v>
      </c>
      <c r="K492" s="63"/>
      <c r="L492" s="63">
        <f t="shared" si="559"/>
        <v>18.799519230769231</v>
      </c>
      <c r="M492" s="63">
        <f t="shared" si="560"/>
        <v>1503.9615384615386</v>
      </c>
      <c r="N492" s="63"/>
      <c r="O492" s="169"/>
      <c r="P492" s="169"/>
      <c r="Q492" s="63">
        <f t="shared" si="561"/>
        <v>0</v>
      </c>
      <c r="R492" s="63">
        <f t="shared" si="562"/>
        <v>39103</v>
      </c>
      <c r="S492" s="169"/>
      <c r="T492" s="63">
        <v>1200</v>
      </c>
      <c r="U492" s="63">
        <v>1000</v>
      </c>
      <c r="V492" s="63">
        <f t="shared" si="563"/>
        <v>41303</v>
      </c>
      <c r="W492" s="63">
        <f t="shared" si="564"/>
        <v>2560.7860000000001</v>
      </c>
      <c r="X492" s="63">
        <f t="shared" si="565"/>
        <v>598.89350000000002</v>
      </c>
      <c r="Y492" s="63">
        <f t="shared" si="566"/>
        <v>5811.3320999999996</v>
      </c>
      <c r="Z492" s="63">
        <f t="shared" si="567"/>
        <v>66.084800000000001</v>
      </c>
      <c r="AA492" s="63">
        <f t="shared" si="568"/>
        <v>28.912099999999999</v>
      </c>
      <c r="AB492" s="63">
        <f t="shared" si="569"/>
        <v>335</v>
      </c>
      <c r="AC492" s="63">
        <f t="shared" si="570"/>
        <v>10356.36</v>
      </c>
      <c r="AD492" s="63">
        <f t="shared" si="571"/>
        <v>106.9136</v>
      </c>
      <c r="AE492" s="170">
        <v>568</v>
      </c>
      <c r="AF492" s="69">
        <f t="shared" si="572"/>
        <v>704</v>
      </c>
      <c r="AG492" s="69">
        <f t="shared" si="573"/>
        <v>19864.2821</v>
      </c>
      <c r="AH492" s="67">
        <v>19048.689999999999</v>
      </c>
      <c r="AI492" s="69">
        <f t="shared" si="574"/>
        <v>815.59210000000166</v>
      </c>
      <c r="AJ492" s="69">
        <f t="shared" si="575"/>
        <v>1519.5921000000017</v>
      </c>
    </row>
    <row r="493" spans="1:36" x14ac:dyDescent="0.25">
      <c r="A493" s="167">
        <v>568</v>
      </c>
      <c r="B493" s="92" t="s">
        <v>3275</v>
      </c>
      <c r="C493" s="71" t="s">
        <v>3269</v>
      </c>
      <c r="D493" s="71" t="s">
        <v>3276</v>
      </c>
      <c r="E493" s="71" t="s">
        <v>2731</v>
      </c>
      <c r="F493" s="72">
        <v>41136</v>
      </c>
      <c r="G493" s="59">
        <f t="shared" si="558"/>
        <v>9.3808219178082197</v>
      </c>
      <c r="H493" s="57"/>
      <c r="I493" s="66">
        <v>38399</v>
      </c>
      <c r="J493" s="57">
        <v>38399</v>
      </c>
      <c r="K493" s="63"/>
      <c r="L493" s="63">
        <f t="shared" si="559"/>
        <v>18.461057692307691</v>
      </c>
      <c r="M493" s="63">
        <f t="shared" si="560"/>
        <v>1476.8846153846155</v>
      </c>
      <c r="N493" s="63"/>
      <c r="O493" s="169"/>
      <c r="P493" s="169"/>
      <c r="Q493" s="63">
        <f t="shared" si="561"/>
        <v>0</v>
      </c>
      <c r="R493" s="63">
        <f t="shared" si="562"/>
        <v>38399</v>
      </c>
      <c r="S493" s="169"/>
      <c r="T493" s="63">
        <v>1200</v>
      </c>
      <c r="U493" s="169"/>
      <c r="V493" s="63">
        <f t="shared" si="563"/>
        <v>39599</v>
      </c>
      <c r="W493" s="63">
        <f t="shared" si="564"/>
        <v>2455.1379999999999</v>
      </c>
      <c r="X493" s="63">
        <f t="shared" si="565"/>
        <v>574.18550000000005</v>
      </c>
      <c r="Y493" s="63">
        <f t="shared" si="566"/>
        <v>5571.5792999999994</v>
      </c>
      <c r="Z493" s="63">
        <f t="shared" si="567"/>
        <v>63.358400000000003</v>
      </c>
      <c r="AA493" s="63">
        <f t="shared" si="568"/>
        <v>27.7193</v>
      </c>
      <c r="AB493" s="63">
        <f t="shared" si="569"/>
        <v>335</v>
      </c>
      <c r="AC493" s="63">
        <f t="shared" si="570"/>
        <v>10356.36</v>
      </c>
      <c r="AD493" s="63">
        <f t="shared" si="571"/>
        <v>106.9136</v>
      </c>
      <c r="AE493" s="170">
        <v>568</v>
      </c>
      <c r="AF493" s="69">
        <f t="shared" si="572"/>
        <v>0</v>
      </c>
      <c r="AG493" s="69">
        <f t="shared" si="573"/>
        <v>19490.254099999998</v>
      </c>
      <c r="AH493" s="67">
        <v>19048.689999999999</v>
      </c>
      <c r="AI493" s="69">
        <f t="shared" si="574"/>
        <v>441.5640999999996</v>
      </c>
      <c r="AJ493" s="69">
        <f t="shared" si="575"/>
        <v>441.5640999999996</v>
      </c>
    </row>
    <row r="494" spans="1:36" x14ac:dyDescent="0.25">
      <c r="A494" s="167">
        <v>568</v>
      </c>
      <c r="B494" s="92" t="s">
        <v>3277</v>
      </c>
      <c r="C494" s="71" t="s">
        <v>3269</v>
      </c>
      <c r="D494" s="264" t="s">
        <v>2805</v>
      </c>
      <c r="E494" s="264" t="s">
        <v>2806</v>
      </c>
      <c r="F494" s="72">
        <v>43831</v>
      </c>
      <c r="G494" s="59">
        <f t="shared" si="558"/>
        <v>1.9972602739726026</v>
      </c>
      <c r="H494" s="57"/>
      <c r="I494" s="57">
        <v>38399</v>
      </c>
      <c r="J494" s="57">
        <v>38399</v>
      </c>
      <c r="K494" s="63"/>
      <c r="L494" s="63">
        <f t="shared" si="559"/>
        <v>18.461057692307691</v>
      </c>
      <c r="M494" s="63">
        <f t="shared" si="560"/>
        <v>1476.8846153846155</v>
      </c>
      <c r="N494" s="63"/>
      <c r="O494" s="169"/>
      <c r="P494" s="169"/>
      <c r="Q494" s="63">
        <f t="shared" si="561"/>
        <v>0</v>
      </c>
      <c r="R494" s="63">
        <f t="shared" si="562"/>
        <v>38399</v>
      </c>
      <c r="S494" s="169"/>
      <c r="T494" s="63">
        <v>1200</v>
      </c>
      <c r="U494" s="169"/>
      <c r="V494" s="63">
        <f t="shared" si="563"/>
        <v>39599</v>
      </c>
      <c r="W494" s="63">
        <f t="shared" si="564"/>
        <v>2455.1379999999999</v>
      </c>
      <c r="X494" s="63">
        <f t="shared" si="565"/>
        <v>574.18550000000005</v>
      </c>
      <c r="Y494" s="63">
        <f t="shared" si="566"/>
        <v>5571.5792999999994</v>
      </c>
      <c r="Z494" s="63">
        <f t="shared" si="567"/>
        <v>63.358400000000003</v>
      </c>
      <c r="AA494" s="63">
        <f t="shared" si="568"/>
        <v>27.7193</v>
      </c>
      <c r="AB494" s="63">
        <f t="shared" si="569"/>
        <v>335</v>
      </c>
      <c r="AC494" s="63">
        <f t="shared" si="570"/>
        <v>10356.36</v>
      </c>
      <c r="AD494" s="63">
        <f t="shared" si="571"/>
        <v>106.9136</v>
      </c>
      <c r="AE494" s="170">
        <v>568</v>
      </c>
      <c r="AF494" s="69">
        <f t="shared" si="572"/>
        <v>0</v>
      </c>
      <c r="AG494" s="69">
        <f t="shared" si="573"/>
        <v>19490.254099999998</v>
      </c>
      <c r="AH494" s="67">
        <v>19048.689999999999</v>
      </c>
      <c r="AI494" s="69">
        <f t="shared" si="574"/>
        <v>441.5640999999996</v>
      </c>
      <c r="AJ494" s="69">
        <f t="shared" si="575"/>
        <v>441.5640999999996</v>
      </c>
    </row>
    <row r="495" spans="1:36" x14ac:dyDescent="0.25">
      <c r="A495" s="167">
        <v>568</v>
      </c>
      <c r="B495" s="92" t="s">
        <v>3280</v>
      </c>
      <c r="C495" s="71" t="s">
        <v>3269</v>
      </c>
      <c r="D495" s="71" t="s">
        <v>2773</v>
      </c>
      <c r="E495" s="71" t="s">
        <v>3018</v>
      </c>
      <c r="F495" s="73">
        <v>39237</v>
      </c>
      <c r="G495" s="59">
        <f t="shared" si="558"/>
        <v>14.583561643835617</v>
      </c>
      <c r="H495" s="57"/>
      <c r="I495" s="66">
        <v>39819</v>
      </c>
      <c r="J495" s="182">
        <v>40549</v>
      </c>
      <c r="K495" s="63"/>
      <c r="L495" s="63">
        <f t="shared" si="559"/>
        <v>19.494711538461537</v>
      </c>
      <c r="M495" s="63">
        <f t="shared" si="560"/>
        <v>1559.5769230769231</v>
      </c>
      <c r="N495" s="63"/>
      <c r="O495" s="169"/>
      <c r="P495" s="169"/>
      <c r="Q495" s="63">
        <f t="shared" si="561"/>
        <v>0</v>
      </c>
      <c r="R495" s="63">
        <f t="shared" si="562"/>
        <v>40549</v>
      </c>
      <c r="S495" s="169"/>
      <c r="T495" s="63">
        <v>1200</v>
      </c>
      <c r="U495" s="169"/>
      <c r="V495" s="63">
        <f t="shared" si="563"/>
        <v>41749</v>
      </c>
      <c r="W495" s="63">
        <f t="shared" si="564"/>
        <v>2588.4380000000001</v>
      </c>
      <c r="X495" s="63">
        <f t="shared" si="565"/>
        <v>605.3605</v>
      </c>
      <c r="Y495" s="63">
        <f t="shared" si="566"/>
        <v>5874.0842999999995</v>
      </c>
      <c r="Z495" s="63">
        <f t="shared" si="567"/>
        <v>66.798400000000001</v>
      </c>
      <c r="AA495" s="63">
        <f t="shared" si="568"/>
        <v>29.224299999999999</v>
      </c>
      <c r="AB495" s="63">
        <f t="shared" si="569"/>
        <v>335</v>
      </c>
      <c r="AC495" s="63">
        <f t="shared" si="570"/>
        <v>10356.36</v>
      </c>
      <c r="AD495" s="63">
        <f t="shared" si="571"/>
        <v>106.9136</v>
      </c>
      <c r="AE495" s="170">
        <v>568</v>
      </c>
      <c r="AF495" s="69">
        <f t="shared" si="572"/>
        <v>730</v>
      </c>
      <c r="AG495" s="69">
        <f t="shared" si="573"/>
        <v>19962.179100000001</v>
      </c>
      <c r="AH495" s="67">
        <v>19048.689999999999</v>
      </c>
      <c r="AI495" s="69">
        <f t="shared" si="574"/>
        <v>913.48910000000251</v>
      </c>
      <c r="AJ495" s="69">
        <f t="shared" si="575"/>
        <v>1643.4891000000025</v>
      </c>
    </row>
    <row r="496" spans="1:36" x14ac:dyDescent="0.25">
      <c r="A496" s="167">
        <v>568</v>
      </c>
      <c r="B496" s="92" t="s">
        <v>3281</v>
      </c>
      <c r="C496" s="71" t="s">
        <v>3269</v>
      </c>
      <c r="D496" s="71" t="s">
        <v>3282</v>
      </c>
      <c r="E496" s="71" t="s">
        <v>3283</v>
      </c>
      <c r="F496" s="73">
        <v>38565</v>
      </c>
      <c r="G496" s="59">
        <f t="shared" si="558"/>
        <v>16.424657534246574</v>
      </c>
      <c r="H496" s="57"/>
      <c r="I496" s="66">
        <v>39819</v>
      </c>
      <c r="J496" s="182">
        <v>40549</v>
      </c>
      <c r="K496" s="63"/>
      <c r="L496" s="63">
        <f t="shared" si="559"/>
        <v>19.494711538461537</v>
      </c>
      <c r="M496" s="63">
        <f t="shared" si="560"/>
        <v>1559.5769230769231</v>
      </c>
      <c r="N496" s="63"/>
      <c r="O496" s="169"/>
      <c r="P496" s="169"/>
      <c r="Q496" s="63">
        <f t="shared" si="561"/>
        <v>0</v>
      </c>
      <c r="R496" s="63">
        <f t="shared" si="562"/>
        <v>40549</v>
      </c>
      <c r="S496" s="169"/>
      <c r="T496" s="63">
        <v>1200</v>
      </c>
      <c r="U496" s="169"/>
      <c r="V496" s="63">
        <f t="shared" si="563"/>
        <v>41749</v>
      </c>
      <c r="W496" s="63">
        <f t="shared" si="564"/>
        <v>2588.4380000000001</v>
      </c>
      <c r="X496" s="63">
        <f t="shared" si="565"/>
        <v>605.3605</v>
      </c>
      <c r="Y496" s="63">
        <f t="shared" si="566"/>
        <v>5874.0842999999995</v>
      </c>
      <c r="Z496" s="63">
        <f t="shared" si="567"/>
        <v>66.798400000000001</v>
      </c>
      <c r="AA496" s="63">
        <f t="shared" si="568"/>
        <v>29.224299999999999</v>
      </c>
      <c r="AB496" s="63">
        <f t="shared" si="569"/>
        <v>335</v>
      </c>
      <c r="AC496" s="63">
        <f t="shared" si="570"/>
        <v>10356.36</v>
      </c>
      <c r="AD496" s="63">
        <f t="shared" si="571"/>
        <v>106.9136</v>
      </c>
      <c r="AE496" s="170">
        <v>568</v>
      </c>
      <c r="AF496" s="69">
        <f t="shared" si="572"/>
        <v>730</v>
      </c>
      <c r="AG496" s="69">
        <f t="shared" si="573"/>
        <v>19962.179100000001</v>
      </c>
      <c r="AH496" s="67">
        <v>19048.689999999999</v>
      </c>
      <c r="AI496" s="69">
        <f t="shared" si="574"/>
        <v>913.48910000000251</v>
      </c>
      <c r="AJ496" s="69">
        <f t="shared" si="575"/>
        <v>1643.4891000000025</v>
      </c>
    </row>
    <row r="497" spans="1:36" x14ac:dyDescent="0.25">
      <c r="A497" s="167">
        <v>568</v>
      </c>
      <c r="B497" s="138"/>
      <c r="C497" s="168" t="s">
        <v>3100</v>
      </c>
      <c r="D497" s="138"/>
      <c r="E497" s="138"/>
      <c r="F497" s="138"/>
      <c r="G497" s="167" t="s">
        <v>2422</v>
      </c>
      <c r="H497" s="88"/>
      <c r="I497" s="88">
        <v>54000</v>
      </c>
      <c r="J497" s="88">
        <v>54000</v>
      </c>
      <c r="K497" s="138"/>
      <c r="L497" s="138"/>
      <c r="M497" s="138"/>
      <c r="N497" s="167" t="s">
        <v>27</v>
      </c>
      <c r="O497" s="138"/>
      <c r="P497" s="138"/>
      <c r="Q497" s="167">
        <v>0</v>
      </c>
      <c r="R497" s="63">
        <f t="shared" si="562"/>
        <v>54000</v>
      </c>
      <c r="S497" s="169"/>
      <c r="T497" s="169"/>
      <c r="U497" s="169"/>
      <c r="V497" s="63">
        <f t="shared" si="563"/>
        <v>54000</v>
      </c>
      <c r="W497" s="63">
        <f t="shared" si="564"/>
        <v>3348</v>
      </c>
      <c r="X497" s="63">
        <f t="shared" si="565"/>
        <v>783</v>
      </c>
      <c r="Y497" s="63">
        <f t="shared" si="566"/>
        <v>7597.7999999999993</v>
      </c>
      <c r="Z497" s="63">
        <f t="shared" si="567"/>
        <v>86.4</v>
      </c>
      <c r="AA497" s="63">
        <f t="shared" si="568"/>
        <v>37.799999999999997</v>
      </c>
      <c r="AB497" s="63" t="s">
        <v>2422</v>
      </c>
      <c r="AC497" s="63" t="s">
        <v>2422</v>
      </c>
      <c r="AD497" s="63" t="s">
        <v>2422</v>
      </c>
      <c r="AE497" s="170">
        <v>568</v>
      </c>
      <c r="AF497" s="69">
        <f t="shared" si="572"/>
        <v>0</v>
      </c>
      <c r="AG497" s="69">
        <f t="shared" si="573"/>
        <v>11852.999999999998</v>
      </c>
      <c r="AH497" s="67">
        <v>20517.72</v>
      </c>
      <c r="AI497" s="69">
        <f t="shared" si="574"/>
        <v>-8664.720000000003</v>
      </c>
      <c r="AJ497" s="100">
        <f t="shared" si="575"/>
        <v>-8664.720000000003</v>
      </c>
    </row>
    <row r="498" spans="1:36" x14ac:dyDescent="0.25">
      <c r="A498" s="167">
        <v>568</v>
      </c>
      <c r="B498" s="138"/>
      <c r="C498" s="168" t="s">
        <v>2495</v>
      </c>
      <c r="D498" s="138"/>
      <c r="E498" s="138"/>
      <c r="F498" s="138"/>
      <c r="G498" s="167" t="s">
        <v>2422</v>
      </c>
      <c r="H498" s="88"/>
      <c r="I498" s="88">
        <v>30000</v>
      </c>
      <c r="J498" s="218">
        <v>30000</v>
      </c>
      <c r="K498" s="219"/>
      <c r="L498" s="219"/>
      <c r="M498" s="219"/>
      <c r="N498" s="220" t="s">
        <v>27</v>
      </c>
      <c r="O498" s="219"/>
      <c r="P498" s="219"/>
      <c r="Q498" s="220">
        <v>0</v>
      </c>
      <c r="R498" s="172">
        <f t="shared" si="562"/>
        <v>30000</v>
      </c>
      <c r="S498" s="173"/>
      <c r="T498" s="173"/>
      <c r="U498" s="173"/>
      <c r="V498" s="172">
        <f t="shared" si="563"/>
        <v>30000</v>
      </c>
      <c r="W498" s="172">
        <f t="shared" si="564"/>
        <v>1860</v>
      </c>
      <c r="X498" s="172">
        <f t="shared" si="565"/>
        <v>435</v>
      </c>
      <c r="Y498" s="172">
        <f t="shared" si="566"/>
        <v>4221</v>
      </c>
      <c r="Z498" s="172">
        <f t="shared" si="567"/>
        <v>48</v>
      </c>
      <c r="AA498" s="172">
        <f t="shared" si="568"/>
        <v>21</v>
      </c>
      <c r="AB498" s="172" t="s">
        <v>2422</v>
      </c>
      <c r="AC498" s="172" t="s">
        <v>2422</v>
      </c>
      <c r="AD498" s="172" t="s">
        <v>2422</v>
      </c>
      <c r="AE498" s="170">
        <v>568</v>
      </c>
      <c r="AF498" s="69">
        <f t="shared" si="572"/>
        <v>0</v>
      </c>
      <c r="AG498" s="69">
        <f t="shared" si="573"/>
        <v>6585</v>
      </c>
      <c r="AH498" s="67">
        <v>20420.62</v>
      </c>
      <c r="AI498" s="69">
        <f t="shared" si="574"/>
        <v>-13835.619999999999</v>
      </c>
      <c r="AJ498" s="100">
        <f t="shared" si="575"/>
        <v>-13835.619999999999</v>
      </c>
    </row>
    <row r="499" spans="1:36" x14ac:dyDescent="0.25">
      <c r="A499" s="167">
        <v>568</v>
      </c>
      <c r="B499" s="138"/>
      <c r="C499" s="138"/>
      <c r="D499" s="138"/>
      <c r="E499" s="138"/>
      <c r="F499" s="138"/>
      <c r="G499" s="138"/>
      <c r="H499" s="221"/>
      <c r="I499" s="222">
        <f t="shared" ref="I499:J499" si="576">SUM(I402:I498)</f>
        <v>3677061</v>
      </c>
      <c r="J499" s="222">
        <f t="shared" si="576"/>
        <v>3711634</v>
      </c>
      <c r="K499" s="223"/>
      <c r="L499" s="223">
        <f t="shared" ref="L499:AD499" si="577">SUM(L402:L498)</f>
        <v>1744.0548076923096</v>
      </c>
      <c r="M499" s="223">
        <f t="shared" si="577"/>
        <v>139524.38461538468</v>
      </c>
      <c r="N499" s="223">
        <f t="shared" si="577"/>
        <v>0</v>
      </c>
      <c r="O499" s="223">
        <f t="shared" si="577"/>
        <v>0</v>
      </c>
      <c r="P499" s="223">
        <f t="shared" si="577"/>
        <v>0</v>
      </c>
      <c r="Q499" s="223">
        <f t="shared" si="577"/>
        <v>0</v>
      </c>
      <c r="R499" s="223">
        <f t="shared" si="577"/>
        <v>3711634</v>
      </c>
      <c r="S499" s="223">
        <f t="shared" si="577"/>
        <v>0</v>
      </c>
      <c r="T499" s="223">
        <f t="shared" si="577"/>
        <v>12000</v>
      </c>
      <c r="U499" s="223">
        <f t="shared" si="577"/>
        <v>5000</v>
      </c>
      <c r="V499" s="223">
        <f t="shared" si="577"/>
        <v>3728634</v>
      </c>
      <c r="W499" s="223">
        <f t="shared" si="577"/>
        <v>231175.30799999996</v>
      </c>
      <c r="X499" s="223">
        <f t="shared" si="577"/>
        <v>54065.192999999985</v>
      </c>
      <c r="Y499" s="223">
        <f t="shared" si="577"/>
        <v>524618.80380000011</v>
      </c>
      <c r="Z499" s="223">
        <f t="shared" si="577"/>
        <v>5965.8144000000002</v>
      </c>
      <c r="AA499" s="223">
        <f t="shared" si="577"/>
        <v>2610.0438000000004</v>
      </c>
      <c r="AB499" s="223">
        <f t="shared" si="577"/>
        <v>31825</v>
      </c>
      <c r="AC499" s="223">
        <f t="shared" si="577"/>
        <v>983854.19999999891</v>
      </c>
      <c r="AD499" s="223">
        <f t="shared" si="577"/>
        <v>10156.79199999999</v>
      </c>
      <c r="AE499" s="170">
        <v>568</v>
      </c>
      <c r="AF499" s="230">
        <f>SUM(AF402:AF498)</f>
        <v>34573</v>
      </c>
      <c r="AG499" s="100">
        <f t="shared" si="573"/>
        <v>1844271.1549999989</v>
      </c>
      <c r="AH499" s="225">
        <v>19866.439999999999</v>
      </c>
      <c r="AI499" s="226">
        <f t="shared" si="574"/>
        <v>1824404.7149999989</v>
      </c>
      <c r="AJ499" s="226">
        <f t="shared" si="575"/>
        <v>1858977.7149999989</v>
      </c>
    </row>
    <row r="500" spans="1:36" hidden="1" x14ac:dyDescent="0.25">
      <c r="A500" s="138"/>
      <c r="B500" s="138"/>
      <c r="C500" s="138"/>
      <c r="D500" s="138"/>
      <c r="E500" s="138"/>
      <c r="F500" s="138"/>
      <c r="G500" s="138"/>
      <c r="H500" s="78"/>
      <c r="I500" s="78">
        <v>3641421</v>
      </c>
      <c r="J500" s="78">
        <f>SUM(J402:J496)</f>
        <v>3627634</v>
      </c>
      <c r="K500" s="100"/>
      <c r="L500" s="100">
        <v>3623222</v>
      </c>
      <c r="M500" s="138"/>
      <c r="N500" s="138"/>
      <c r="O500" s="138"/>
      <c r="P500" s="138"/>
      <c r="Q500" s="138"/>
      <c r="R500" s="69">
        <f>R499-R498-R497</f>
        <v>3627634</v>
      </c>
      <c r="S500" s="169"/>
      <c r="T500" s="169"/>
      <c r="U500" s="169"/>
      <c r="V500" s="169"/>
      <c r="W500" s="63">
        <f>SUM(W499:X499)</f>
        <v>285240.50099999993</v>
      </c>
      <c r="X500" s="169"/>
      <c r="Y500" s="169"/>
      <c r="Z500" s="169"/>
      <c r="AA500" s="169"/>
      <c r="AB500" s="169"/>
      <c r="AC500" s="63">
        <f>SUM(AC499:AD499)</f>
        <v>994010.99199999892</v>
      </c>
      <c r="AD500" s="169"/>
      <c r="AE500" s="149"/>
      <c r="AF500" s="69">
        <f t="shared" ref="AF500:AG500" si="578">SUM(AF402:AF498)</f>
        <v>34573</v>
      </c>
      <c r="AG500" s="69">
        <f t="shared" si="578"/>
        <v>1844271.1549999998</v>
      </c>
      <c r="AH500" s="67">
        <v>19866.439999999999</v>
      </c>
      <c r="AI500" s="69">
        <f t="shared" ref="AI500:AJ500" si="579">SUM(AI402:AI498)</f>
        <v>-2951548.1349999998</v>
      </c>
      <c r="AJ500" s="69">
        <f t="shared" si="579"/>
        <v>-2916975.1349999998</v>
      </c>
    </row>
    <row r="501" spans="1:36" x14ac:dyDescent="0.25">
      <c r="A501" s="138"/>
      <c r="B501" s="138"/>
      <c r="C501" s="138"/>
      <c r="D501" s="138"/>
      <c r="E501" s="138"/>
      <c r="F501" s="138"/>
      <c r="G501" s="138"/>
      <c r="H501" s="148"/>
      <c r="I501" s="148"/>
      <c r="J501" s="148"/>
      <c r="K501" s="138"/>
      <c r="L501" s="138"/>
      <c r="M501" s="138"/>
      <c r="N501" s="138"/>
      <c r="O501" s="138"/>
      <c r="P501" s="138"/>
      <c r="Q501" s="138"/>
      <c r="R501" s="169"/>
      <c r="S501" s="169"/>
      <c r="T501" s="169"/>
      <c r="U501" s="169"/>
      <c r="V501" s="69"/>
      <c r="W501" s="63"/>
      <c r="X501" s="63"/>
      <c r="Y501" s="63"/>
      <c r="Z501" s="63"/>
      <c r="AA501" s="63"/>
      <c r="AB501" s="63"/>
      <c r="AC501" s="63"/>
      <c r="AD501" s="63"/>
      <c r="AE501" s="149"/>
      <c r="AF501" s="178"/>
      <c r="AG501" s="178"/>
      <c r="AH501" s="67">
        <v>19866.439999999999</v>
      </c>
      <c r="AI501" s="178"/>
      <c r="AJ501" s="178"/>
    </row>
    <row r="502" spans="1:36" x14ac:dyDescent="0.25">
      <c r="A502" s="138"/>
      <c r="B502" s="138"/>
      <c r="C502" s="138"/>
      <c r="D502" s="138"/>
      <c r="E502" s="138"/>
      <c r="F502" s="138"/>
      <c r="G502" s="138"/>
      <c r="H502" s="148"/>
      <c r="I502" s="148"/>
      <c r="J502" s="148"/>
      <c r="K502" s="138"/>
      <c r="L502" s="138"/>
      <c r="M502" s="138"/>
      <c r="N502" s="138"/>
      <c r="O502" s="138"/>
      <c r="P502" s="138"/>
      <c r="Q502" s="138"/>
      <c r="R502" s="169"/>
      <c r="S502" s="169"/>
      <c r="T502" s="169"/>
      <c r="U502" s="169"/>
      <c r="V502" s="69"/>
      <c r="W502" s="69"/>
      <c r="X502" s="69"/>
      <c r="Y502" s="69"/>
      <c r="Z502" s="69"/>
      <c r="AA502" s="69"/>
      <c r="AB502" s="69"/>
      <c r="AC502" s="69"/>
      <c r="AD502" s="69"/>
      <c r="AE502" s="149"/>
      <c r="AF502" s="178"/>
      <c r="AG502" s="178"/>
      <c r="AH502" s="67">
        <v>19866.439999999999</v>
      </c>
      <c r="AI502" s="178"/>
      <c r="AJ502" s="178"/>
    </row>
    <row r="503" spans="1:36" x14ac:dyDescent="0.25">
      <c r="A503" s="167"/>
      <c r="B503" s="167"/>
      <c r="C503" s="181"/>
      <c r="D503" s="138"/>
      <c r="E503" s="168"/>
      <c r="F503" s="58"/>
      <c r="G503" s="59"/>
      <c r="H503" s="57"/>
      <c r="I503" s="57"/>
      <c r="J503" s="57"/>
      <c r="K503" s="63"/>
      <c r="L503" s="63"/>
      <c r="M503" s="63"/>
      <c r="N503" s="63"/>
      <c r="O503" s="169"/>
      <c r="P503" s="169"/>
      <c r="Q503" s="63"/>
      <c r="R503" s="63"/>
      <c r="S503" s="169"/>
      <c r="T503" s="63"/>
      <c r="U503" s="169"/>
      <c r="V503" s="63"/>
      <c r="W503" s="63"/>
      <c r="X503" s="63"/>
      <c r="Y503" s="63"/>
      <c r="Z503" s="63"/>
      <c r="AA503" s="63"/>
      <c r="AB503" s="63"/>
      <c r="AC503" s="63"/>
      <c r="AD503" s="63"/>
      <c r="AE503" s="170"/>
      <c r="AF503" s="178"/>
      <c r="AG503" s="178"/>
      <c r="AH503" s="67">
        <v>19866.439999999999</v>
      </c>
      <c r="AI503" s="178"/>
      <c r="AJ503" s="178"/>
    </row>
    <row r="504" spans="1:36" hidden="1" x14ac:dyDescent="0.25">
      <c r="A504" s="167">
        <v>569</v>
      </c>
      <c r="B504" s="167">
        <v>569001</v>
      </c>
      <c r="C504" s="181" t="s">
        <v>3831</v>
      </c>
      <c r="D504" s="266" t="s">
        <v>3832</v>
      </c>
      <c r="E504" s="168"/>
      <c r="F504" s="58">
        <v>43466</v>
      </c>
      <c r="G504" s="59">
        <f>(DATE(2020,12,30)-(F504))/365</f>
        <v>1.9972602739726026</v>
      </c>
      <c r="H504" s="57"/>
      <c r="I504" s="57">
        <v>0</v>
      </c>
      <c r="J504" s="57">
        <v>0</v>
      </c>
      <c r="K504" s="63"/>
      <c r="L504" s="63">
        <f t="shared" ref="L504:L506" si="580">SUM(J504/2080)</f>
        <v>0</v>
      </c>
      <c r="M504" s="63">
        <f t="shared" ref="M504:M506" si="581">SUM(J504/26)</f>
        <v>0</v>
      </c>
      <c r="N504" s="63">
        <f>IF(G504&lt;4,0,(G504-1)*$N$7)</f>
        <v>0</v>
      </c>
      <c r="O504" s="169"/>
      <c r="P504" s="169"/>
      <c r="Q504" s="63">
        <f t="shared" ref="Q504:Q506" si="582">IF(N504+P504&gt;5000,5000,N504+P504)</f>
        <v>0</v>
      </c>
      <c r="R504" s="63">
        <f t="shared" ref="R504:R506" si="583">Q504+J504</f>
        <v>0</v>
      </c>
      <c r="S504" s="169"/>
      <c r="T504" s="63">
        <v>0</v>
      </c>
      <c r="U504" s="169"/>
      <c r="V504" s="63">
        <f t="shared" ref="V504:V506" si="584">SUM(R504:U504)</f>
        <v>0</v>
      </c>
      <c r="W504" s="63">
        <f t="shared" ref="W504:W506" si="585">SUM(V504*$W$7)</f>
        <v>0</v>
      </c>
      <c r="X504" s="63">
        <f t="shared" ref="X504:X506" si="586">SUM(V504*$X$7)</f>
        <v>0</v>
      </c>
      <c r="Y504" s="63">
        <f t="shared" ref="Y504:Y506" si="587">SUM(V504*$Y$7)</f>
        <v>0</v>
      </c>
      <c r="Z504" s="63">
        <f t="shared" ref="Z504:Z506" si="588">SUM(V504*$Z$7)</f>
        <v>0</v>
      </c>
      <c r="AA504" s="63">
        <f t="shared" ref="AA504:AA506" si="589">SUM(V504*$AA$7)</f>
        <v>0</v>
      </c>
      <c r="AB504" s="63">
        <v>0</v>
      </c>
      <c r="AC504" s="63">
        <v>0</v>
      </c>
      <c r="AD504" s="63">
        <f t="shared" ref="AD504:AD506" si="590">SUM(AB504+AC504)*$AD$7</f>
        <v>0</v>
      </c>
      <c r="AE504" s="170">
        <v>569</v>
      </c>
      <c r="AF504" s="69" t="e">
        <f>SUM(J504-#REF!)</f>
        <v>#REF!</v>
      </c>
      <c r="AG504" s="69">
        <f t="shared" ref="AG504:AG507" si="591">SUM(W504:AD504)</f>
        <v>0</v>
      </c>
      <c r="AH504" s="67">
        <v>20191.62</v>
      </c>
      <c r="AI504" s="69">
        <f t="shared" ref="AI504:AI507" si="592">AG504-AH504</f>
        <v>-20191.62</v>
      </c>
      <c r="AJ504" s="69" t="e">
        <f t="shared" ref="AJ504:AJ507" si="593">AF504+AI504</f>
        <v>#REF!</v>
      </c>
    </row>
    <row r="505" spans="1:36" x14ac:dyDescent="0.25">
      <c r="A505" s="167">
        <v>569</v>
      </c>
      <c r="B505" s="92" t="s">
        <v>3833</v>
      </c>
      <c r="C505" s="181" t="s">
        <v>3295</v>
      </c>
      <c r="D505" s="71" t="s">
        <v>3834</v>
      </c>
      <c r="E505" s="71" t="s">
        <v>3835</v>
      </c>
      <c r="F505" s="76">
        <v>41218</v>
      </c>
      <c r="G505" s="59">
        <f t="shared" ref="G505:G506" si="594">(DATE(2021,12,30)-(F505))/365</f>
        <v>9.1561643835616433</v>
      </c>
      <c r="H505" s="57"/>
      <c r="I505" s="57">
        <v>45510</v>
      </c>
      <c r="J505" s="57">
        <v>45510</v>
      </c>
      <c r="K505" s="63"/>
      <c r="L505" s="63">
        <f t="shared" si="580"/>
        <v>21.879807692307693</v>
      </c>
      <c r="M505" s="63">
        <f t="shared" si="581"/>
        <v>1750.3846153846155</v>
      </c>
      <c r="N505" s="63"/>
      <c r="O505" s="169"/>
      <c r="P505" s="169"/>
      <c r="Q505" s="63">
        <f t="shared" si="582"/>
        <v>0</v>
      </c>
      <c r="R505" s="63">
        <f t="shared" si="583"/>
        <v>45510</v>
      </c>
      <c r="S505" s="169"/>
      <c r="T505" s="63">
        <v>1200</v>
      </c>
      <c r="U505" s="169"/>
      <c r="V505" s="63">
        <f t="shared" si="584"/>
        <v>46710</v>
      </c>
      <c r="W505" s="63">
        <f t="shared" si="585"/>
        <v>2896.02</v>
      </c>
      <c r="X505" s="63">
        <f t="shared" si="586"/>
        <v>677.29500000000007</v>
      </c>
      <c r="Y505" s="63">
        <f t="shared" si="587"/>
        <v>6572.0969999999998</v>
      </c>
      <c r="Z505" s="63">
        <f t="shared" si="588"/>
        <v>74.736000000000004</v>
      </c>
      <c r="AA505" s="63">
        <f t="shared" si="589"/>
        <v>32.697000000000003</v>
      </c>
      <c r="AB505" s="63">
        <f t="shared" ref="AB505:AB506" si="595">SUM($AB$7)</f>
        <v>335</v>
      </c>
      <c r="AC505" s="63">
        <f t="shared" ref="AC505:AC506" si="596">$AC$7</f>
        <v>10356.36</v>
      </c>
      <c r="AD505" s="63">
        <f t="shared" si="590"/>
        <v>106.9136</v>
      </c>
      <c r="AE505" s="170">
        <v>569</v>
      </c>
      <c r="AF505" s="69">
        <f t="shared" ref="AF505:AF506" si="597">SUM(J505-I505)</f>
        <v>0</v>
      </c>
      <c r="AG505" s="69">
        <f t="shared" si="591"/>
        <v>21051.118600000002</v>
      </c>
      <c r="AH505" s="67">
        <v>12366</v>
      </c>
      <c r="AI505" s="69">
        <f t="shared" si="592"/>
        <v>8685.1186000000016</v>
      </c>
      <c r="AJ505" s="69">
        <f t="shared" si="593"/>
        <v>8685.1186000000016</v>
      </c>
    </row>
    <row r="506" spans="1:36" x14ac:dyDescent="0.25">
      <c r="A506" s="167">
        <v>569</v>
      </c>
      <c r="B506" s="92" t="s">
        <v>3294</v>
      </c>
      <c r="C506" s="181" t="s">
        <v>3836</v>
      </c>
      <c r="D506" s="71" t="s">
        <v>3003</v>
      </c>
      <c r="E506" s="71" t="s">
        <v>3296</v>
      </c>
      <c r="F506" s="73">
        <v>42100</v>
      </c>
      <c r="G506" s="59">
        <f t="shared" si="594"/>
        <v>6.7397260273972606</v>
      </c>
      <c r="H506" s="57"/>
      <c r="I506" s="57">
        <v>45510</v>
      </c>
      <c r="J506" s="267">
        <v>46344</v>
      </c>
      <c r="K506" s="63"/>
      <c r="L506" s="63">
        <f t="shared" si="580"/>
        <v>22.280769230769231</v>
      </c>
      <c r="M506" s="63">
        <f t="shared" si="581"/>
        <v>1782.4615384615386</v>
      </c>
      <c r="N506" s="63">
        <f>IF(G506&lt;4,0,(G506-1)*$N$7)</f>
        <v>1515.2876712328768</v>
      </c>
      <c r="O506" s="169"/>
      <c r="P506" s="169"/>
      <c r="Q506" s="63">
        <f t="shared" si="582"/>
        <v>1515.2876712328768</v>
      </c>
      <c r="R506" s="63">
        <f t="shared" si="583"/>
        <v>47859.28767123288</v>
      </c>
      <c r="S506" s="169"/>
      <c r="T506" s="63">
        <v>1200</v>
      </c>
      <c r="U506" s="169">
        <v>500</v>
      </c>
      <c r="V506" s="63">
        <f t="shared" si="584"/>
        <v>49559.28767123288</v>
      </c>
      <c r="W506" s="63">
        <f t="shared" si="585"/>
        <v>3072.6758356164387</v>
      </c>
      <c r="X506" s="63">
        <f t="shared" si="586"/>
        <v>718.60967123287685</v>
      </c>
      <c r="Y506" s="63">
        <f t="shared" si="587"/>
        <v>6972.9917753424661</v>
      </c>
      <c r="Z506" s="63">
        <f t="shared" si="588"/>
        <v>79.294860273972617</v>
      </c>
      <c r="AA506" s="63">
        <f t="shared" si="589"/>
        <v>34.691501369863019</v>
      </c>
      <c r="AB506" s="63">
        <f t="shared" si="595"/>
        <v>335</v>
      </c>
      <c r="AC506" s="63">
        <f t="shared" si="596"/>
        <v>10356.36</v>
      </c>
      <c r="AD506" s="63">
        <f t="shared" si="590"/>
        <v>106.9136</v>
      </c>
      <c r="AE506" s="170">
        <v>569</v>
      </c>
      <c r="AF506" s="69">
        <f t="shared" si="597"/>
        <v>834</v>
      </c>
      <c r="AG506" s="69">
        <f t="shared" si="591"/>
        <v>21676.537243835621</v>
      </c>
      <c r="AH506" s="67">
        <v>6870</v>
      </c>
      <c r="AI506" s="69">
        <f t="shared" si="592"/>
        <v>14806.537243835621</v>
      </c>
      <c r="AJ506" s="69">
        <f t="shared" si="593"/>
        <v>15640.537243835621</v>
      </c>
    </row>
    <row r="507" spans="1:36" x14ac:dyDescent="0.25">
      <c r="A507" s="138"/>
      <c r="B507" s="138"/>
      <c r="C507" s="138"/>
      <c r="D507" s="138"/>
      <c r="E507" s="138"/>
      <c r="F507" s="138"/>
      <c r="G507" s="138"/>
      <c r="H507" s="221"/>
      <c r="I507" s="222">
        <f t="shared" ref="I507:J507" si="598">SUM(I505:I506)</f>
        <v>91020</v>
      </c>
      <c r="J507" s="222">
        <f t="shared" si="598"/>
        <v>91854</v>
      </c>
      <c r="K507" s="223"/>
      <c r="L507" s="223">
        <f t="shared" ref="L507:AD507" si="599">SUM(L504:L506)</f>
        <v>44.160576923076924</v>
      </c>
      <c r="M507" s="223">
        <f t="shared" si="599"/>
        <v>3532.8461538461543</v>
      </c>
      <c r="N507" s="223">
        <f t="shared" si="599"/>
        <v>1515.2876712328768</v>
      </c>
      <c r="O507" s="223">
        <f t="shared" si="599"/>
        <v>0</v>
      </c>
      <c r="P507" s="223">
        <f t="shared" si="599"/>
        <v>0</v>
      </c>
      <c r="Q507" s="223">
        <f t="shared" si="599"/>
        <v>1515.2876712328768</v>
      </c>
      <c r="R507" s="223">
        <f t="shared" si="599"/>
        <v>93369.287671232887</v>
      </c>
      <c r="S507" s="223">
        <f t="shared" si="599"/>
        <v>0</v>
      </c>
      <c r="T507" s="223">
        <f t="shared" si="599"/>
        <v>2400</v>
      </c>
      <c r="U507" s="223">
        <f t="shared" si="599"/>
        <v>500</v>
      </c>
      <c r="V507" s="223">
        <f t="shared" si="599"/>
        <v>96269.287671232887</v>
      </c>
      <c r="W507" s="223">
        <f t="shared" si="599"/>
        <v>5968.6958356164387</v>
      </c>
      <c r="X507" s="223">
        <f t="shared" si="599"/>
        <v>1395.9046712328768</v>
      </c>
      <c r="Y507" s="223">
        <f t="shared" si="599"/>
        <v>13545.088775342465</v>
      </c>
      <c r="Z507" s="223">
        <f t="shared" si="599"/>
        <v>154.03086027397262</v>
      </c>
      <c r="AA507" s="223">
        <f t="shared" si="599"/>
        <v>67.388501369863022</v>
      </c>
      <c r="AB507" s="223">
        <f t="shared" si="599"/>
        <v>670</v>
      </c>
      <c r="AC507" s="223">
        <f t="shared" si="599"/>
        <v>20712.72</v>
      </c>
      <c r="AD507" s="223">
        <f t="shared" si="599"/>
        <v>213.8272</v>
      </c>
      <c r="AE507" s="170">
        <v>568</v>
      </c>
      <c r="AF507" s="230">
        <f>SUM(AF505:AF506)</f>
        <v>834</v>
      </c>
      <c r="AG507" s="100">
        <f t="shared" si="591"/>
        <v>42727.655843835615</v>
      </c>
      <c r="AH507" s="225">
        <v>1904996.55</v>
      </c>
      <c r="AI507" s="226">
        <f t="shared" si="592"/>
        <v>-1862268.8941561645</v>
      </c>
      <c r="AJ507" s="226">
        <f t="shared" si="593"/>
        <v>-1861434.8941561645</v>
      </c>
    </row>
    <row r="508" spans="1:36" x14ac:dyDescent="0.25">
      <c r="A508" s="138"/>
      <c r="B508" s="138"/>
      <c r="C508" s="138"/>
      <c r="G508" s="138"/>
      <c r="H508" s="148"/>
      <c r="I508" s="148"/>
      <c r="J508" s="148"/>
      <c r="K508" s="138"/>
      <c r="L508" s="138"/>
      <c r="M508" s="138"/>
      <c r="N508" s="138"/>
      <c r="O508" s="138"/>
      <c r="P508" s="138"/>
      <c r="Q508" s="138"/>
      <c r="R508" s="169"/>
      <c r="S508" s="169"/>
      <c r="T508" s="169"/>
      <c r="U508" s="169"/>
      <c r="V508" s="169"/>
      <c r="W508" s="69">
        <f>SUM(W507:X507)</f>
        <v>7364.6005068493159</v>
      </c>
      <c r="X508" s="169"/>
      <c r="Y508" s="169"/>
      <c r="Z508" s="169"/>
      <c r="AA508" s="169"/>
      <c r="AB508" s="169"/>
      <c r="AC508" s="169">
        <f>SUM(AC507:AD507)</f>
        <v>20926.547200000001</v>
      </c>
      <c r="AD508" s="169"/>
      <c r="AE508" s="149"/>
      <c r="AF508" s="69" t="e">
        <f t="shared" ref="AF508:AG508" si="600">SUM(AF504:AF506)</f>
        <v>#REF!</v>
      </c>
      <c r="AG508" s="69">
        <f t="shared" si="600"/>
        <v>42727.655843835622</v>
      </c>
      <c r="AH508" s="67">
        <v>1904996.55</v>
      </c>
      <c r="AI508" s="69">
        <f>SUM(AI504:AI506)</f>
        <v>3300.0358438356234</v>
      </c>
      <c r="AJ508" s="69"/>
    </row>
    <row r="509" spans="1:36" x14ac:dyDescent="0.25">
      <c r="A509" s="138"/>
      <c r="B509" s="138"/>
      <c r="C509" s="138"/>
      <c r="D509" s="138"/>
      <c r="E509" s="138"/>
      <c r="F509" s="138"/>
      <c r="G509" s="138"/>
      <c r="H509" s="148"/>
      <c r="I509" s="148"/>
      <c r="J509" s="148"/>
      <c r="K509" s="138"/>
      <c r="L509" s="138"/>
      <c r="M509" s="138"/>
      <c r="N509" s="138"/>
      <c r="O509" s="138"/>
      <c r="P509" s="138"/>
      <c r="Q509" s="138"/>
      <c r="R509" s="169"/>
      <c r="S509" s="169"/>
      <c r="T509" s="169"/>
      <c r="U509" s="169"/>
      <c r="V509" s="169"/>
      <c r="W509" s="169"/>
      <c r="X509" s="169"/>
      <c r="Y509" s="169"/>
      <c r="Z509" s="169"/>
      <c r="AA509" s="169"/>
      <c r="AB509" s="169"/>
      <c r="AC509" s="169"/>
      <c r="AD509" s="169"/>
      <c r="AE509" s="149"/>
      <c r="AF509" s="178"/>
      <c r="AG509" s="178"/>
      <c r="AH509" s="65"/>
      <c r="AI509" s="178"/>
      <c r="AJ509" s="178"/>
    </row>
    <row r="510" spans="1:36" x14ac:dyDescent="0.25">
      <c r="A510" s="167">
        <v>570</v>
      </c>
      <c r="B510" s="92" t="s">
        <v>3297</v>
      </c>
      <c r="C510" s="168" t="s">
        <v>3298</v>
      </c>
      <c r="D510" s="168" t="s">
        <v>2791</v>
      </c>
      <c r="E510" s="168" t="s">
        <v>3299</v>
      </c>
      <c r="F510" s="74">
        <v>39331</v>
      </c>
      <c r="G510" s="59">
        <f t="shared" ref="G510:G516" si="601">(DATE(2021,12,30)-(F510))/365</f>
        <v>14.326027397260274</v>
      </c>
      <c r="H510" s="57"/>
      <c r="I510" s="57">
        <v>62380</v>
      </c>
      <c r="J510" s="182">
        <v>63523</v>
      </c>
      <c r="K510" s="63"/>
      <c r="L510" s="63">
        <f t="shared" ref="L510:L516" si="602">SUM(J510/2080)</f>
        <v>30.539903846153845</v>
      </c>
      <c r="M510" s="63">
        <f t="shared" ref="M510:M516" si="603">SUM(J510/26)</f>
        <v>2443.1923076923076</v>
      </c>
      <c r="N510" s="63"/>
      <c r="O510" s="169"/>
      <c r="P510" s="169"/>
      <c r="Q510" s="63">
        <f t="shared" ref="Q510:Q516" si="604">IF(N510+P510&gt;5000,5000,N510+P510)</f>
        <v>0</v>
      </c>
      <c r="R510" s="63">
        <f t="shared" ref="R510:R516" si="605">Q510+J510</f>
        <v>63523</v>
      </c>
      <c r="S510" s="169"/>
      <c r="T510" s="169"/>
      <c r="U510" s="169"/>
      <c r="V510" s="63">
        <f t="shared" ref="V510:V516" si="606">SUM(R510:U510)</f>
        <v>63523</v>
      </c>
      <c r="W510" s="63">
        <f t="shared" ref="W510:W516" si="607">SUM(V510*$W$7)</f>
        <v>3938.4259999999999</v>
      </c>
      <c r="X510" s="63">
        <f t="shared" ref="X510:X516" si="608">SUM(V510*$X$7)</f>
        <v>921.08350000000007</v>
      </c>
      <c r="Y510" s="63">
        <f t="shared" ref="Y510:Y516" si="609">SUM(V510*$Y$7)</f>
        <v>8937.686099999999</v>
      </c>
      <c r="Z510" s="63">
        <f t="shared" ref="Z510:Z516" si="610">SUM(V510*$Z$7)</f>
        <v>101.63680000000001</v>
      </c>
      <c r="AA510" s="63">
        <f t="shared" ref="AA510:AA516" si="611">SUM(V510*$AA$7)</f>
        <v>44.466099999999997</v>
      </c>
      <c r="AB510" s="63">
        <f t="shared" ref="AB510:AB516" si="612">SUM($AB$7)</f>
        <v>335</v>
      </c>
      <c r="AC510" s="63">
        <f t="shared" ref="AC510:AC516" si="613">$AC$7</f>
        <v>10356.36</v>
      </c>
      <c r="AD510" s="63">
        <f t="shared" ref="AD510:AD516" si="614">SUM(AB510+AC510)*$AD$7</f>
        <v>106.9136</v>
      </c>
      <c r="AE510" s="149" t="s">
        <v>3837</v>
      </c>
      <c r="AF510" s="69">
        <f t="shared" ref="AF510:AF516" si="615">SUM(J510-I510)</f>
        <v>1143</v>
      </c>
      <c r="AG510" s="69">
        <f t="shared" ref="AG510:AG517" si="616">SUM(W510:AD510)</f>
        <v>24741.572099999998</v>
      </c>
      <c r="AH510" s="65"/>
      <c r="AI510" s="69">
        <f t="shared" ref="AI510:AI517" si="617">AG510-AH510</f>
        <v>24741.572099999998</v>
      </c>
      <c r="AJ510" s="69">
        <f t="shared" ref="AJ510:AJ517" si="618">AF510+AI510</f>
        <v>25884.572099999998</v>
      </c>
    </row>
    <row r="511" spans="1:36" x14ac:dyDescent="0.25">
      <c r="A511" s="167">
        <v>570</v>
      </c>
      <c r="B511" s="92" t="s">
        <v>3300</v>
      </c>
      <c r="C511" s="71" t="s">
        <v>3301</v>
      </c>
      <c r="D511" s="193" t="s">
        <v>3302</v>
      </c>
      <c r="E511" s="193" t="s">
        <v>3303</v>
      </c>
      <c r="F511" s="254">
        <v>43640</v>
      </c>
      <c r="G511" s="59">
        <f t="shared" si="601"/>
        <v>2.5205479452054793</v>
      </c>
      <c r="H511" s="57"/>
      <c r="I511" s="57">
        <v>51672</v>
      </c>
      <c r="J511" s="182">
        <v>52620</v>
      </c>
      <c r="K511" s="63"/>
      <c r="L511" s="63">
        <f t="shared" si="602"/>
        <v>25.298076923076923</v>
      </c>
      <c r="M511" s="63">
        <f t="shared" si="603"/>
        <v>2023.8461538461538</v>
      </c>
      <c r="N511" s="63"/>
      <c r="O511" s="169"/>
      <c r="P511" s="169"/>
      <c r="Q511" s="63">
        <f t="shared" si="604"/>
        <v>0</v>
      </c>
      <c r="R511" s="63">
        <f t="shared" si="605"/>
        <v>52620</v>
      </c>
      <c r="S511" s="169"/>
      <c r="T511" s="169"/>
      <c r="U511" s="169"/>
      <c r="V511" s="63">
        <f t="shared" si="606"/>
        <v>52620</v>
      </c>
      <c r="W511" s="63">
        <f t="shared" si="607"/>
        <v>3262.44</v>
      </c>
      <c r="X511" s="63">
        <f t="shared" si="608"/>
        <v>762.99</v>
      </c>
      <c r="Y511" s="63">
        <f t="shared" si="609"/>
        <v>7403.634</v>
      </c>
      <c r="Z511" s="63">
        <f t="shared" si="610"/>
        <v>84.192000000000007</v>
      </c>
      <c r="AA511" s="63">
        <f t="shared" si="611"/>
        <v>36.833999999999996</v>
      </c>
      <c r="AB511" s="63">
        <f t="shared" si="612"/>
        <v>335</v>
      </c>
      <c r="AC511" s="63">
        <f t="shared" si="613"/>
        <v>10356.36</v>
      </c>
      <c r="AD511" s="63">
        <f t="shared" si="614"/>
        <v>106.9136</v>
      </c>
      <c r="AE511" s="149" t="s">
        <v>3837</v>
      </c>
      <c r="AF511" s="69">
        <f t="shared" si="615"/>
        <v>948</v>
      </c>
      <c r="AG511" s="69">
        <f t="shared" si="616"/>
        <v>22348.363600000004</v>
      </c>
      <c r="AH511" s="65"/>
      <c r="AI511" s="69">
        <f t="shared" si="617"/>
        <v>22348.363600000004</v>
      </c>
      <c r="AJ511" s="69">
        <f t="shared" si="618"/>
        <v>23296.363600000004</v>
      </c>
    </row>
    <row r="512" spans="1:36" x14ac:dyDescent="0.25">
      <c r="A512" s="167">
        <v>570</v>
      </c>
      <c r="B512" s="92" t="s">
        <v>3304</v>
      </c>
      <c r="C512" s="71" t="s">
        <v>3305</v>
      </c>
      <c r="D512" s="168" t="s">
        <v>3093</v>
      </c>
      <c r="E512" s="168" t="s">
        <v>3306</v>
      </c>
      <c r="F512" s="58">
        <v>43439</v>
      </c>
      <c r="G512" s="59">
        <f t="shared" si="601"/>
        <v>3.0712328767123287</v>
      </c>
      <c r="H512" s="57"/>
      <c r="I512" s="57">
        <v>41148</v>
      </c>
      <c r="J512" s="57">
        <v>41148</v>
      </c>
      <c r="K512" s="63"/>
      <c r="L512" s="63">
        <f t="shared" si="602"/>
        <v>19.782692307692308</v>
      </c>
      <c r="M512" s="63">
        <f t="shared" si="603"/>
        <v>1582.6153846153845</v>
      </c>
      <c r="N512" s="63"/>
      <c r="O512" s="169"/>
      <c r="P512" s="169"/>
      <c r="Q512" s="63">
        <f t="shared" si="604"/>
        <v>0</v>
      </c>
      <c r="R512" s="63">
        <f t="shared" si="605"/>
        <v>41148</v>
      </c>
      <c r="S512" s="169"/>
      <c r="T512" s="169"/>
      <c r="U512" s="169"/>
      <c r="V512" s="63">
        <f t="shared" si="606"/>
        <v>41148</v>
      </c>
      <c r="W512" s="63">
        <f t="shared" si="607"/>
        <v>2551.1759999999999</v>
      </c>
      <c r="X512" s="63">
        <f t="shared" si="608"/>
        <v>596.64600000000007</v>
      </c>
      <c r="Y512" s="63">
        <f t="shared" si="609"/>
        <v>5789.5235999999995</v>
      </c>
      <c r="Z512" s="63">
        <f t="shared" si="610"/>
        <v>65.836799999999997</v>
      </c>
      <c r="AA512" s="63">
        <f t="shared" si="611"/>
        <v>28.803599999999999</v>
      </c>
      <c r="AB512" s="63">
        <f t="shared" si="612"/>
        <v>335</v>
      </c>
      <c r="AC512" s="63">
        <f t="shared" si="613"/>
        <v>10356.36</v>
      </c>
      <c r="AD512" s="63">
        <f t="shared" si="614"/>
        <v>106.9136</v>
      </c>
      <c r="AE512" s="149" t="s">
        <v>3837</v>
      </c>
      <c r="AF512" s="69">
        <f t="shared" si="615"/>
        <v>0</v>
      </c>
      <c r="AG512" s="69">
        <f t="shared" si="616"/>
        <v>19830.259599999998</v>
      </c>
      <c r="AH512" s="67">
        <v>0</v>
      </c>
      <c r="AI512" s="69">
        <f t="shared" si="617"/>
        <v>19830.259599999998</v>
      </c>
      <c r="AJ512" s="69">
        <f t="shared" si="618"/>
        <v>19830.259599999998</v>
      </c>
    </row>
    <row r="513" spans="1:36" x14ac:dyDescent="0.25">
      <c r="A513" s="167">
        <v>570</v>
      </c>
      <c r="B513" s="92" t="s">
        <v>3307</v>
      </c>
      <c r="C513" s="71" t="s">
        <v>3305</v>
      </c>
      <c r="D513" s="181" t="s">
        <v>3838</v>
      </c>
      <c r="E513" s="181" t="s">
        <v>3839</v>
      </c>
      <c r="F513" s="58">
        <v>43437</v>
      </c>
      <c r="G513" s="59">
        <f t="shared" si="601"/>
        <v>3.0767123287671234</v>
      </c>
      <c r="H513" s="57"/>
      <c r="I513" s="57">
        <v>41148</v>
      </c>
      <c r="J513" s="66">
        <v>41148</v>
      </c>
      <c r="K513" s="63"/>
      <c r="L513" s="63">
        <f t="shared" si="602"/>
        <v>19.782692307692308</v>
      </c>
      <c r="M513" s="63">
        <f t="shared" si="603"/>
        <v>1582.6153846153845</v>
      </c>
      <c r="N513" s="63"/>
      <c r="O513" s="169"/>
      <c r="P513" s="169"/>
      <c r="Q513" s="63">
        <f t="shared" si="604"/>
        <v>0</v>
      </c>
      <c r="R513" s="63">
        <f t="shared" si="605"/>
        <v>41148</v>
      </c>
      <c r="S513" s="169"/>
      <c r="T513" s="169"/>
      <c r="U513" s="169"/>
      <c r="V513" s="63">
        <f t="shared" si="606"/>
        <v>41148</v>
      </c>
      <c r="W513" s="63">
        <f t="shared" si="607"/>
        <v>2551.1759999999999</v>
      </c>
      <c r="X513" s="63">
        <f t="shared" si="608"/>
        <v>596.64600000000007</v>
      </c>
      <c r="Y513" s="63">
        <f t="shared" si="609"/>
        <v>5789.5235999999995</v>
      </c>
      <c r="Z513" s="63">
        <f t="shared" si="610"/>
        <v>65.836799999999997</v>
      </c>
      <c r="AA513" s="63">
        <f t="shared" si="611"/>
        <v>28.803599999999999</v>
      </c>
      <c r="AB513" s="63">
        <f t="shared" si="612"/>
        <v>335</v>
      </c>
      <c r="AC513" s="63">
        <f t="shared" si="613"/>
        <v>10356.36</v>
      </c>
      <c r="AD513" s="63">
        <f t="shared" si="614"/>
        <v>106.9136</v>
      </c>
      <c r="AE513" s="149" t="s">
        <v>3837</v>
      </c>
      <c r="AF513" s="69">
        <f t="shared" si="615"/>
        <v>0</v>
      </c>
      <c r="AG513" s="69">
        <f t="shared" si="616"/>
        <v>19830.259599999998</v>
      </c>
      <c r="AH513" s="67">
        <v>21494.86</v>
      </c>
      <c r="AI513" s="69">
        <f t="shared" si="617"/>
        <v>-1664.600400000003</v>
      </c>
      <c r="AJ513" s="69">
        <f t="shared" si="618"/>
        <v>-1664.600400000003</v>
      </c>
    </row>
    <row r="514" spans="1:36" x14ac:dyDescent="0.25">
      <c r="A514" s="167">
        <v>570</v>
      </c>
      <c r="B514" s="92" t="s">
        <v>3308</v>
      </c>
      <c r="C514" s="71" t="s">
        <v>3305</v>
      </c>
      <c r="D514" s="71" t="s">
        <v>3840</v>
      </c>
      <c r="E514" s="71" t="s">
        <v>3841</v>
      </c>
      <c r="F514" s="73">
        <v>43711</v>
      </c>
      <c r="G514" s="59">
        <f t="shared" si="601"/>
        <v>2.3260273972602739</v>
      </c>
      <c r="H514" s="57"/>
      <c r="I514" s="57">
        <v>41148</v>
      </c>
      <c r="J514" s="182">
        <v>41903</v>
      </c>
      <c r="K514" s="63"/>
      <c r="L514" s="63">
        <f t="shared" si="602"/>
        <v>20.145673076923078</v>
      </c>
      <c r="M514" s="63">
        <f t="shared" si="603"/>
        <v>1611.6538461538462</v>
      </c>
      <c r="N514" s="63"/>
      <c r="O514" s="169"/>
      <c r="P514" s="169"/>
      <c r="Q514" s="63">
        <f t="shared" si="604"/>
        <v>0</v>
      </c>
      <c r="R514" s="63">
        <f t="shared" si="605"/>
        <v>41903</v>
      </c>
      <c r="S514" s="169"/>
      <c r="T514" s="169"/>
      <c r="U514" s="169"/>
      <c r="V514" s="63">
        <f t="shared" si="606"/>
        <v>41903</v>
      </c>
      <c r="W514" s="63">
        <f t="shared" si="607"/>
        <v>2597.9859999999999</v>
      </c>
      <c r="X514" s="63">
        <f t="shared" si="608"/>
        <v>607.59350000000006</v>
      </c>
      <c r="Y514" s="63">
        <f t="shared" si="609"/>
        <v>5895.7520999999997</v>
      </c>
      <c r="Z514" s="63">
        <f t="shared" si="610"/>
        <v>67.044800000000009</v>
      </c>
      <c r="AA514" s="63">
        <f t="shared" si="611"/>
        <v>29.332100000000001</v>
      </c>
      <c r="AB514" s="63">
        <f t="shared" si="612"/>
        <v>335</v>
      </c>
      <c r="AC514" s="63">
        <f t="shared" si="613"/>
        <v>10356.36</v>
      </c>
      <c r="AD514" s="63">
        <f t="shared" si="614"/>
        <v>106.9136</v>
      </c>
      <c r="AE514" s="149" t="s">
        <v>3837</v>
      </c>
      <c r="AF514" s="69">
        <f t="shared" si="615"/>
        <v>755</v>
      </c>
      <c r="AG514" s="69">
        <f t="shared" si="616"/>
        <v>19995.982100000001</v>
      </c>
      <c r="AH514" s="67">
        <v>21609.360000000001</v>
      </c>
      <c r="AI514" s="69">
        <f t="shared" si="617"/>
        <v>-1613.3778999999995</v>
      </c>
      <c r="AJ514" s="69">
        <f t="shared" si="618"/>
        <v>-858.3778999999995</v>
      </c>
    </row>
    <row r="515" spans="1:36" x14ac:dyDescent="0.25">
      <c r="A515" s="167">
        <v>570</v>
      </c>
      <c r="B515" s="92" t="s">
        <v>3309</v>
      </c>
      <c r="C515" s="71" t="s">
        <v>3305</v>
      </c>
      <c r="D515" s="71" t="s">
        <v>2456</v>
      </c>
      <c r="E515" s="71" t="s">
        <v>2634</v>
      </c>
      <c r="F515" s="73">
        <v>43752</v>
      </c>
      <c r="G515" s="59">
        <f t="shared" si="601"/>
        <v>2.2136986301369861</v>
      </c>
      <c r="H515" s="57"/>
      <c r="I515" s="57">
        <v>41148</v>
      </c>
      <c r="J515" s="182">
        <v>41903</v>
      </c>
      <c r="K515" s="63"/>
      <c r="L515" s="63">
        <f t="shared" si="602"/>
        <v>20.145673076923078</v>
      </c>
      <c r="M515" s="63">
        <f t="shared" si="603"/>
        <v>1611.6538461538462</v>
      </c>
      <c r="N515" s="63"/>
      <c r="O515" s="169"/>
      <c r="P515" s="169"/>
      <c r="Q515" s="63">
        <f t="shared" si="604"/>
        <v>0</v>
      </c>
      <c r="R515" s="63">
        <f t="shared" si="605"/>
        <v>41903</v>
      </c>
      <c r="S515" s="169"/>
      <c r="T515" s="169"/>
      <c r="U515" s="169"/>
      <c r="V515" s="63">
        <f t="shared" si="606"/>
        <v>41903</v>
      </c>
      <c r="W515" s="63">
        <f t="shared" si="607"/>
        <v>2597.9859999999999</v>
      </c>
      <c r="X515" s="63">
        <f t="shared" si="608"/>
        <v>607.59350000000006</v>
      </c>
      <c r="Y515" s="63">
        <f t="shared" si="609"/>
        <v>5895.7520999999997</v>
      </c>
      <c r="Z515" s="63">
        <f t="shared" si="610"/>
        <v>67.044800000000009</v>
      </c>
      <c r="AA515" s="63">
        <f t="shared" si="611"/>
        <v>29.332100000000001</v>
      </c>
      <c r="AB515" s="63">
        <f t="shared" si="612"/>
        <v>335</v>
      </c>
      <c r="AC515" s="63">
        <f t="shared" si="613"/>
        <v>10356.36</v>
      </c>
      <c r="AD515" s="63">
        <f t="shared" si="614"/>
        <v>106.9136</v>
      </c>
      <c r="AE515" s="149" t="s">
        <v>3837</v>
      </c>
      <c r="AF515" s="69">
        <f t="shared" si="615"/>
        <v>755</v>
      </c>
      <c r="AG515" s="69">
        <f t="shared" si="616"/>
        <v>19995.982100000001</v>
      </c>
      <c r="AH515" s="67">
        <v>43104.23</v>
      </c>
      <c r="AI515" s="69">
        <f t="shared" si="617"/>
        <v>-23108.247900000002</v>
      </c>
      <c r="AJ515" s="69">
        <f t="shared" si="618"/>
        <v>-22353.247900000002</v>
      </c>
    </row>
    <row r="516" spans="1:36" x14ac:dyDescent="0.25">
      <c r="A516" s="167">
        <v>570</v>
      </c>
      <c r="B516" s="92" t="s">
        <v>3310</v>
      </c>
      <c r="C516" s="71" t="s">
        <v>2701</v>
      </c>
      <c r="D516" s="181" t="s">
        <v>3311</v>
      </c>
      <c r="E516" s="181" t="s">
        <v>3312</v>
      </c>
      <c r="F516" s="76">
        <v>42385</v>
      </c>
      <c r="G516" s="59">
        <f t="shared" si="601"/>
        <v>5.9589041095890414</v>
      </c>
      <c r="H516" s="57"/>
      <c r="I516" s="57">
        <v>37451</v>
      </c>
      <c r="J516" s="199">
        <v>38137</v>
      </c>
      <c r="K516" s="172"/>
      <c r="L516" s="172">
        <f t="shared" si="602"/>
        <v>18.335096153846155</v>
      </c>
      <c r="M516" s="172">
        <f t="shared" si="603"/>
        <v>1466.8076923076924</v>
      </c>
      <c r="N516" s="172"/>
      <c r="O516" s="173"/>
      <c r="P516" s="173"/>
      <c r="Q516" s="172">
        <f t="shared" si="604"/>
        <v>0</v>
      </c>
      <c r="R516" s="172">
        <f t="shared" si="605"/>
        <v>38137</v>
      </c>
      <c r="S516" s="173"/>
      <c r="T516" s="173"/>
      <c r="U516" s="173"/>
      <c r="V516" s="172">
        <f t="shared" si="606"/>
        <v>38137</v>
      </c>
      <c r="W516" s="172">
        <f t="shared" si="607"/>
        <v>2364.4940000000001</v>
      </c>
      <c r="X516" s="172">
        <f t="shared" si="608"/>
        <v>552.98649999999998</v>
      </c>
      <c r="Y516" s="172">
        <f t="shared" si="609"/>
        <v>5365.8759</v>
      </c>
      <c r="Z516" s="172">
        <f t="shared" si="610"/>
        <v>61.019200000000005</v>
      </c>
      <c r="AA516" s="172">
        <f t="shared" si="611"/>
        <v>26.695899999999998</v>
      </c>
      <c r="AB516" s="172">
        <f t="shared" si="612"/>
        <v>335</v>
      </c>
      <c r="AC516" s="172">
        <f t="shared" si="613"/>
        <v>10356.36</v>
      </c>
      <c r="AD516" s="172">
        <f t="shared" si="614"/>
        <v>106.9136</v>
      </c>
      <c r="AE516" s="149" t="s">
        <v>3837</v>
      </c>
      <c r="AF516" s="69">
        <f t="shared" si="615"/>
        <v>686</v>
      </c>
      <c r="AG516" s="69">
        <f t="shared" si="616"/>
        <v>19169.345100000002</v>
      </c>
      <c r="AH516" s="67">
        <v>43104.23</v>
      </c>
      <c r="AI516" s="69">
        <f t="shared" si="617"/>
        <v>-23934.884900000001</v>
      </c>
      <c r="AJ516" s="69">
        <f t="shared" si="618"/>
        <v>-23248.884900000001</v>
      </c>
    </row>
    <row r="517" spans="1:36" x14ac:dyDescent="0.25">
      <c r="A517" s="167">
        <v>570</v>
      </c>
      <c r="B517" s="138"/>
      <c r="C517" s="138"/>
      <c r="D517" s="138"/>
      <c r="E517" s="138"/>
      <c r="F517" s="138"/>
      <c r="G517" s="167" t="s">
        <v>2422</v>
      </c>
      <c r="H517" s="221"/>
      <c r="I517" s="222">
        <f t="shared" ref="I517:J517" si="619">SUM(I510:I516)</f>
        <v>316095</v>
      </c>
      <c r="J517" s="222">
        <f t="shared" si="619"/>
        <v>320382</v>
      </c>
      <c r="K517" s="223"/>
      <c r="L517" s="223">
        <f t="shared" ref="L517:V517" si="620">SUM(L509:L516)</f>
        <v>154.02980769230771</v>
      </c>
      <c r="M517" s="223">
        <f t="shared" si="620"/>
        <v>12322.384615384613</v>
      </c>
      <c r="N517" s="223">
        <f t="shared" si="620"/>
        <v>0</v>
      </c>
      <c r="O517" s="223">
        <f t="shared" si="620"/>
        <v>0</v>
      </c>
      <c r="P517" s="223">
        <f t="shared" si="620"/>
        <v>0</v>
      </c>
      <c r="Q517" s="223">
        <f t="shared" si="620"/>
        <v>0</v>
      </c>
      <c r="R517" s="223">
        <f t="shared" si="620"/>
        <v>320382</v>
      </c>
      <c r="S517" s="223">
        <f t="shared" si="620"/>
        <v>0</v>
      </c>
      <c r="T517" s="223">
        <f t="shared" si="620"/>
        <v>0</v>
      </c>
      <c r="U517" s="223">
        <f t="shared" si="620"/>
        <v>0</v>
      </c>
      <c r="V517" s="223">
        <f t="shared" si="620"/>
        <v>320382</v>
      </c>
      <c r="W517" s="223">
        <f>(SUM(W509:W516)-13572)</f>
        <v>6291.6839999999975</v>
      </c>
      <c r="X517" s="223">
        <f t="shared" ref="X517:AD517" si="621">SUM(X509:X516)</f>
        <v>4645.5390000000007</v>
      </c>
      <c r="Y517" s="223">
        <f t="shared" si="621"/>
        <v>45077.747399999993</v>
      </c>
      <c r="Z517" s="223">
        <f t="shared" si="621"/>
        <v>512.61119999999994</v>
      </c>
      <c r="AA517" s="223">
        <f t="shared" si="621"/>
        <v>224.26739999999998</v>
      </c>
      <c r="AB517" s="223">
        <f t="shared" si="621"/>
        <v>2345</v>
      </c>
      <c r="AC517" s="223">
        <f t="shared" si="621"/>
        <v>72494.52</v>
      </c>
      <c r="AD517" s="223">
        <f t="shared" si="621"/>
        <v>748.39519999999993</v>
      </c>
      <c r="AE517" s="149" t="s">
        <v>3837</v>
      </c>
      <c r="AF517" s="230">
        <f>SUM(AF510:AF516)</f>
        <v>4287</v>
      </c>
      <c r="AG517" s="100">
        <f t="shared" si="616"/>
        <v>132339.76420000001</v>
      </c>
      <c r="AH517" s="62"/>
      <c r="AI517" s="226">
        <f t="shared" si="617"/>
        <v>132339.76420000001</v>
      </c>
      <c r="AJ517" s="226">
        <f t="shared" si="618"/>
        <v>136626.76420000001</v>
      </c>
    </row>
    <row r="518" spans="1:36" x14ac:dyDescent="0.25">
      <c r="A518" s="138"/>
      <c r="B518" s="138"/>
      <c r="C518" s="138"/>
      <c r="D518" s="138"/>
      <c r="E518" s="138"/>
      <c r="F518" s="138"/>
      <c r="G518" s="138"/>
      <c r="H518" s="268"/>
      <c r="I518" s="268">
        <v>144689</v>
      </c>
      <c r="J518" s="268">
        <f>(SUM(J510:J516)-177406)</f>
        <v>142976</v>
      </c>
      <c r="K518" s="138"/>
      <c r="L518" s="138"/>
      <c r="M518" s="138"/>
      <c r="N518" s="138"/>
      <c r="O518" s="138"/>
      <c r="P518" s="138"/>
      <c r="Q518" s="167">
        <v>0</v>
      </c>
      <c r="R518" s="169"/>
      <c r="S518" s="169"/>
      <c r="T518" s="169"/>
      <c r="U518" s="169">
        <f>SUM(J518-V518)</f>
        <v>0</v>
      </c>
      <c r="V518" s="169">
        <f>SUM(V517-V519)</f>
        <v>142976</v>
      </c>
      <c r="W518" s="63">
        <f>SUM(W517:X517)</f>
        <v>10937.222999999998</v>
      </c>
      <c r="X518" s="169"/>
      <c r="Y518" s="69">
        <f>SUM(Y517-12454)</f>
        <v>32623.747399999993</v>
      </c>
      <c r="Z518" s="169"/>
      <c r="AA518" s="169"/>
      <c r="AB518" s="169"/>
      <c r="AC518" s="69">
        <f>(SUM(AC517:AD517)-4538)</f>
        <v>68704.915200000003</v>
      </c>
      <c r="AD518" s="169"/>
      <c r="AE518" s="149"/>
      <c r="AF518" s="69">
        <f t="shared" ref="AF518:AG518" si="622">SUM(AF510:AF516)</f>
        <v>4287</v>
      </c>
      <c r="AG518" s="69">
        <f t="shared" si="622"/>
        <v>145911.76419999998</v>
      </c>
      <c r="AH518" s="67">
        <v>25083.29</v>
      </c>
      <c r="AI518" s="69">
        <f t="shared" ref="AI518:AJ518" si="623">SUM(AI510:AI516)</f>
        <v>16599.084199999987</v>
      </c>
      <c r="AJ518" s="69">
        <f t="shared" si="623"/>
        <v>20886.084200000001</v>
      </c>
    </row>
    <row r="519" spans="1:36" x14ac:dyDescent="0.25">
      <c r="A519" s="138"/>
      <c r="B519" s="138"/>
      <c r="C519" s="138"/>
      <c r="D519" s="138"/>
      <c r="E519" s="138"/>
      <c r="F519" s="138"/>
      <c r="G519" s="138"/>
      <c r="H519" s="148"/>
      <c r="I519" s="268"/>
      <c r="J519" s="148"/>
      <c r="K519" s="138"/>
      <c r="L519" s="138"/>
      <c r="M519" s="138"/>
      <c r="N519" s="138"/>
      <c r="O519" s="138"/>
      <c r="P519" s="138"/>
      <c r="Q519" s="138"/>
      <c r="R519" s="169"/>
      <c r="S519" s="169"/>
      <c r="T519" s="169"/>
      <c r="U519" s="169"/>
      <c r="V519" s="169">
        <v>177406</v>
      </c>
      <c r="W519" s="63">
        <v>13572</v>
      </c>
      <c r="X519" s="63"/>
      <c r="Y519" s="63">
        <v>12454</v>
      </c>
      <c r="Z519" s="169"/>
      <c r="AA519" s="169"/>
      <c r="AB519" s="169"/>
      <c r="AC519" s="63">
        <v>4538</v>
      </c>
      <c r="AD519" s="169"/>
      <c r="AE519" s="149"/>
      <c r="AF519" s="178"/>
      <c r="AG519" s="178"/>
      <c r="AH519" s="67">
        <v>22631.16</v>
      </c>
      <c r="AI519" s="178"/>
      <c r="AJ519" s="178"/>
    </row>
    <row r="520" spans="1:36" x14ac:dyDescent="0.25">
      <c r="A520" s="168"/>
      <c r="B520" s="168"/>
      <c r="C520" s="168"/>
      <c r="D520" s="168"/>
      <c r="E520" s="168"/>
      <c r="F520" s="196"/>
      <c r="G520" s="59"/>
      <c r="H520" s="57"/>
      <c r="I520" s="57"/>
      <c r="J520" s="57"/>
      <c r="K520" s="63"/>
      <c r="L520" s="63"/>
      <c r="M520" s="63"/>
      <c r="N520" s="169"/>
      <c r="O520" s="169"/>
      <c r="P520" s="169"/>
      <c r="Q520" s="169"/>
      <c r="R520" s="169"/>
      <c r="S520" s="169"/>
      <c r="T520" s="169"/>
      <c r="U520" s="169"/>
      <c r="V520" s="169"/>
      <c r="W520" s="63"/>
      <c r="X520" s="63"/>
      <c r="Y520" s="63"/>
      <c r="Z520" s="63"/>
      <c r="AA520" s="63"/>
      <c r="AB520" s="63"/>
      <c r="AC520" s="63"/>
      <c r="AD520" s="63"/>
      <c r="AE520" s="149"/>
      <c r="AF520" s="178"/>
      <c r="AG520" s="178"/>
      <c r="AH520" s="67">
        <v>20221.169999999998</v>
      </c>
      <c r="AI520" s="178"/>
      <c r="AJ520" s="178"/>
    </row>
    <row r="521" spans="1:36" x14ac:dyDescent="0.25">
      <c r="A521" s="167">
        <v>590</v>
      </c>
      <c r="B521" s="92" t="s">
        <v>3313</v>
      </c>
      <c r="C521" s="168" t="s">
        <v>3842</v>
      </c>
      <c r="D521" s="168" t="s">
        <v>3315</v>
      </c>
      <c r="E521" s="168" t="s">
        <v>3316</v>
      </c>
      <c r="F521" s="74">
        <v>38362</v>
      </c>
      <c r="G521" s="59">
        <f>(DATE(2021,12,30)-(F521))/365</f>
        <v>16.980821917808218</v>
      </c>
      <c r="H521" s="57"/>
      <c r="I521" s="57">
        <v>52621</v>
      </c>
      <c r="J521" s="182">
        <v>53585</v>
      </c>
      <c r="K521" s="63"/>
      <c r="L521" s="172">
        <f>SUM(J521/2080)</f>
        <v>25.76201923076923</v>
      </c>
      <c r="M521" s="172">
        <f>SUM(J521/26)</f>
        <v>2060.9615384615386</v>
      </c>
      <c r="N521" s="172"/>
      <c r="O521" s="173"/>
      <c r="P521" s="173"/>
      <c r="Q521" s="172">
        <f>IF(N521+P521&gt;5000,5000,N521+P521)</f>
        <v>0</v>
      </c>
      <c r="R521" s="172">
        <f>Q521+J521</f>
        <v>53585</v>
      </c>
      <c r="S521" s="173"/>
      <c r="T521" s="173"/>
      <c r="U521" s="173"/>
      <c r="V521" s="172">
        <f>SUM(R521:U521)</f>
        <v>53585</v>
      </c>
      <c r="W521" s="172">
        <f t="shared" ref="W521:W522" si="624">SUM(V521*$W$7)</f>
        <v>3322.27</v>
      </c>
      <c r="X521" s="172">
        <f t="shared" ref="X521:X522" si="625">SUM(V521*$X$7)</f>
        <v>776.98250000000007</v>
      </c>
      <c r="Y521" s="172">
        <f t="shared" ref="Y521:Y522" si="626">SUM(V521*$Y$7)</f>
        <v>7539.4094999999998</v>
      </c>
      <c r="Z521" s="172">
        <f t="shared" ref="Z521:Z522" si="627">SUM(V521*$Z$7)</f>
        <v>85.736000000000004</v>
      </c>
      <c r="AA521" s="172">
        <f t="shared" ref="AA521:AA522" si="628">SUM(V521*$AA$7)</f>
        <v>37.509500000000003</v>
      </c>
      <c r="AB521" s="172">
        <f t="shared" ref="AB521:AB522" si="629">SUM($AB$7)</f>
        <v>335</v>
      </c>
      <c r="AC521" s="172">
        <f t="shared" ref="AC521:AC522" si="630">$AC$7</f>
        <v>10356.36</v>
      </c>
      <c r="AD521" s="172">
        <f t="shared" ref="AD521:AD522" si="631">SUM(AB521+AC521)*$AD$7</f>
        <v>106.9136</v>
      </c>
      <c r="AE521" s="149"/>
      <c r="AF521" s="198">
        <f>SUM(J521-I521)</f>
        <v>964</v>
      </c>
      <c r="AG521" s="69">
        <f t="shared" ref="AG521:AG522" si="632">SUM(W521:AD521)</f>
        <v>22560.181100000002</v>
      </c>
      <c r="AH521" s="67">
        <v>20221.169999999998</v>
      </c>
      <c r="AI521" s="69">
        <f t="shared" ref="AI521:AI522" si="633">AG521-AH521</f>
        <v>2339.0111000000034</v>
      </c>
      <c r="AJ521" s="69">
        <f t="shared" ref="AJ521:AJ522" si="634">AF521+AI521</f>
        <v>3303.0111000000034</v>
      </c>
    </row>
    <row r="522" spans="1:36" x14ac:dyDescent="0.25">
      <c r="A522" s="138"/>
      <c r="B522" s="168"/>
      <c r="C522" s="168"/>
      <c r="D522" s="168"/>
      <c r="E522" s="168"/>
      <c r="F522" s="196"/>
      <c r="G522" s="59"/>
      <c r="H522" s="221"/>
      <c r="I522" s="222">
        <f t="shared" ref="I522:J522" si="635">SUM(I521)</f>
        <v>52621</v>
      </c>
      <c r="J522" s="222">
        <f t="shared" si="635"/>
        <v>53585</v>
      </c>
      <c r="K522" s="223"/>
      <c r="L522" s="223">
        <f t="shared" ref="L522:U522" si="636">SUM(L519:L521)</f>
        <v>25.76201923076923</v>
      </c>
      <c r="M522" s="223">
        <f t="shared" si="636"/>
        <v>2060.9615384615386</v>
      </c>
      <c r="N522" s="223">
        <f t="shared" si="636"/>
        <v>0</v>
      </c>
      <c r="O522" s="223">
        <f t="shared" si="636"/>
        <v>0</v>
      </c>
      <c r="P522" s="223">
        <f t="shared" si="636"/>
        <v>0</v>
      </c>
      <c r="Q522" s="223">
        <f t="shared" si="636"/>
        <v>0</v>
      </c>
      <c r="R522" s="223">
        <f t="shared" si="636"/>
        <v>53585</v>
      </c>
      <c r="S522" s="223">
        <f t="shared" si="636"/>
        <v>0</v>
      </c>
      <c r="T522" s="223">
        <f t="shared" si="636"/>
        <v>0</v>
      </c>
      <c r="U522" s="223">
        <f t="shared" si="636"/>
        <v>0</v>
      </c>
      <c r="V522" s="223">
        <f>SUM(V521)</f>
        <v>53585</v>
      </c>
      <c r="W522" s="175">
        <f t="shared" si="624"/>
        <v>3322.27</v>
      </c>
      <c r="X522" s="175">
        <f t="shared" si="625"/>
        <v>776.98250000000007</v>
      </c>
      <c r="Y522" s="175">
        <f t="shared" si="626"/>
        <v>7539.4094999999998</v>
      </c>
      <c r="Z522" s="175">
        <f t="shared" si="627"/>
        <v>85.736000000000004</v>
      </c>
      <c r="AA522" s="175">
        <f t="shared" si="628"/>
        <v>37.509500000000003</v>
      </c>
      <c r="AB522" s="175">
        <f t="shared" si="629"/>
        <v>335</v>
      </c>
      <c r="AC522" s="175">
        <f t="shared" si="630"/>
        <v>10356.36</v>
      </c>
      <c r="AD522" s="175">
        <f t="shared" si="631"/>
        <v>106.9136</v>
      </c>
      <c r="AE522" s="170">
        <v>590</v>
      </c>
      <c r="AF522" s="230">
        <f>SUM(AF521)</f>
        <v>964</v>
      </c>
      <c r="AG522" s="69">
        <f t="shared" si="632"/>
        <v>22560.181100000002</v>
      </c>
      <c r="AH522" s="67">
        <v>20221.169999999998</v>
      </c>
      <c r="AI522" s="176">
        <f t="shared" si="633"/>
        <v>2339.0111000000034</v>
      </c>
      <c r="AJ522" s="226">
        <f t="shared" si="634"/>
        <v>3303.0111000000034</v>
      </c>
    </row>
    <row r="523" spans="1:36" x14ac:dyDescent="0.25">
      <c r="A523" s="138"/>
      <c r="B523" s="138"/>
      <c r="C523" s="138"/>
      <c r="D523" s="138"/>
      <c r="E523" s="138"/>
      <c r="F523" s="138"/>
      <c r="G523" s="138"/>
      <c r="H523" s="148"/>
      <c r="I523" s="148"/>
      <c r="J523" s="148"/>
      <c r="K523" s="138"/>
      <c r="L523" s="138"/>
      <c r="M523" s="138"/>
      <c r="N523" s="138"/>
      <c r="O523" s="138"/>
      <c r="P523" s="138"/>
      <c r="Q523" s="138"/>
      <c r="R523" s="169"/>
      <c r="S523" s="169"/>
      <c r="T523" s="169"/>
      <c r="U523" s="169"/>
      <c r="V523" s="169"/>
      <c r="W523" s="69">
        <f>SUM(W522+X522)</f>
        <v>4099.2525000000005</v>
      </c>
      <c r="X523" s="169"/>
      <c r="Y523" s="169"/>
      <c r="Z523" s="169"/>
      <c r="AA523" s="169"/>
      <c r="AB523" s="169"/>
      <c r="AC523" s="63">
        <f>SUM(AC522:AD522)</f>
        <v>10463.2736</v>
      </c>
      <c r="AD523" s="169"/>
      <c r="AE523" s="149"/>
      <c r="AF523" s="69">
        <f t="shared" ref="AF523:AG523" si="637">SUM(AF521)</f>
        <v>964</v>
      </c>
      <c r="AG523" s="69">
        <f t="shared" si="637"/>
        <v>22560.181100000002</v>
      </c>
      <c r="AH523" s="67">
        <v>20221.169999999998</v>
      </c>
      <c r="AI523" s="69">
        <f t="shared" ref="AI523:AJ523" si="638">SUM(AI521)</f>
        <v>2339.0111000000034</v>
      </c>
      <c r="AJ523" s="69">
        <f t="shared" si="638"/>
        <v>3303.0111000000034</v>
      </c>
    </row>
    <row r="524" spans="1:36" x14ac:dyDescent="0.25">
      <c r="A524" s="138"/>
      <c r="B524" s="138"/>
      <c r="C524" s="138"/>
      <c r="D524" s="138"/>
      <c r="E524" s="138"/>
      <c r="F524" s="138"/>
      <c r="G524" s="138"/>
      <c r="H524" s="148"/>
      <c r="I524" s="148"/>
      <c r="J524" s="148"/>
      <c r="K524" s="138"/>
      <c r="L524" s="138"/>
      <c r="M524" s="138"/>
      <c r="N524" s="138"/>
      <c r="O524" s="138"/>
      <c r="P524" s="138"/>
      <c r="Q524" s="138"/>
      <c r="R524" s="169"/>
      <c r="S524" s="169"/>
      <c r="T524" s="169"/>
      <c r="U524" s="169"/>
      <c r="V524" s="169"/>
      <c r="W524" s="169"/>
      <c r="X524" s="169"/>
      <c r="Y524" s="169"/>
      <c r="Z524" s="169"/>
      <c r="AA524" s="169"/>
      <c r="AB524" s="169"/>
      <c r="AC524" s="169"/>
      <c r="AD524" s="169"/>
      <c r="AE524" s="149"/>
      <c r="AF524" s="178"/>
      <c r="AG524" s="178"/>
      <c r="AH524" s="67">
        <v>19374.55</v>
      </c>
      <c r="AI524" s="178"/>
      <c r="AJ524" s="178"/>
    </row>
    <row r="525" spans="1:36" x14ac:dyDescent="0.25">
      <c r="A525" s="167">
        <v>591</v>
      </c>
      <c r="B525" s="92" t="s">
        <v>3317</v>
      </c>
      <c r="C525" s="168" t="s">
        <v>3843</v>
      </c>
      <c r="D525" s="168" t="s">
        <v>3319</v>
      </c>
      <c r="E525" s="168" t="s">
        <v>3320</v>
      </c>
      <c r="F525" s="74">
        <v>39828</v>
      </c>
      <c r="G525" s="59">
        <f t="shared" ref="G525:G530" si="639">(DATE(2021,12,30)-(F525))/365</f>
        <v>12.964383561643835</v>
      </c>
      <c r="H525" s="57"/>
      <c r="I525" s="57">
        <v>56586</v>
      </c>
      <c r="J525" s="182">
        <v>57623</v>
      </c>
      <c r="K525" s="59"/>
      <c r="L525" s="59">
        <f t="shared" ref="L525:L531" si="640">SUM(J525/$L$7)</f>
        <v>27.703365384615385</v>
      </c>
      <c r="M525" s="61">
        <f t="shared" ref="M525:M531" si="641">SUM(J525/$M$7)</f>
        <v>2216.2692307692309</v>
      </c>
      <c r="N525" s="100"/>
      <c r="O525" s="138"/>
      <c r="P525" s="138"/>
      <c r="Q525" s="61">
        <f t="shared" ref="Q525:Q531" si="642">SUM(N525+P525)</f>
        <v>0</v>
      </c>
      <c r="R525" s="63">
        <f t="shared" ref="R525:R531" si="643">SUM(J525+Q525)</f>
        <v>57623</v>
      </c>
      <c r="S525" s="169"/>
      <c r="T525" s="63">
        <v>1200</v>
      </c>
      <c r="U525" s="169"/>
      <c r="V525" s="63">
        <f t="shared" ref="V525:V531" si="644">SUM(R525:U525)</f>
        <v>58823</v>
      </c>
      <c r="W525" s="63">
        <f t="shared" ref="W525:W531" si="645">SUM(V525*$W$7)</f>
        <v>3647.0259999999998</v>
      </c>
      <c r="X525" s="63">
        <f t="shared" ref="X525:X531" si="646">SUM(V525*$X$7)</f>
        <v>852.93350000000009</v>
      </c>
      <c r="Y525" s="63">
        <f t="shared" ref="Y525:Y531" si="647">SUM(V525*$Y$7)</f>
        <v>8276.3960999999999</v>
      </c>
      <c r="Z525" s="63">
        <f t="shared" ref="Z525:Z531" si="648">SUM(V525*$Z$7)</f>
        <v>94.116799999999998</v>
      </c>
      <c r="AA525" s="63">
        <f t="shared" ref="AA525:AA531" si="649">SUM(V525*$AA$7)</f>
        <v>41.176099999999998</v>
      </c>
      <c r="AB525" s="63">
        <f t="shared" ref="AB525:AB529" si="650">SUM($AB$7)</f>
        <v>335</v>
      </c>
      <c r="AC525" s="63">
        <f t="shared" ref="AC525:AC529" si="651">$AC$7</f>
        <v>10356.36</v>
      </c>
      <c r="AD525" s="63">
        <f t="shared" ref="AD525:AD529" si="652">SUM(AB525+AC525)*$AD$7</f>
        <v>106.9136</v>
      </c>
      <c r="AE525" s="170">
        <v>591</v>
      </c>
      <c r="AF525" s="69">
        <f t="shared" ref="AF525:AF531" si="653">SUM(J525-I525)</f>
        <v>1037</v>
      </c>
      <c r="AG525" s="69">
        <f t="shared" ref="AG525:AG532" si="654">SUM(W525:AD525)</f>
        <v>23709.9221</v>
      </c>
      <c r="AH525" s="67">
        <v>147973.67000000001</v>
      </c>
      <c r="AI525" s="69">
        <f t="shared" ref="AI525:AI532" si="655">AG525-AH525</f>
        <v>-124263.74790000002</v>
      </c>
      <c r="AJ525" s="69">
        <f t="shared" ref="AJ525:AJ532" si="656">AF525+AI525</f>
        <v>-123226.74790000002</v>
      </c>
    </row>
    <row r="526" spans="1:36" x14ac:dyDescent="0.25">
      <c r="A526" s="167">
        <v>591</v>
      </c>
      <c r="B526" s="92" t="s">
        <v>3321</v>
      </c>
      <c r="C526" s="71" t="s">
        <v>3844</v>
      </c>
      <c r="D526" s="168" t="s">
        <v>2953</v>
      </c>
      <c r="E526" s="168" t="s">
        <v>2581</v>
      </c>
      <c r="F526" s="74">
        <v>39247</v>
      </c>
      <c r="G526" s="59">
        <f t="shared" si="639"/>
        <v>14.556164383561644</v>
      </c>
      <c r="H526" s="57"/>
      <c r="I526" s="57">
        <v>48758</v>
      </c>
      <c r="J526" s="182">
        <v>49651</v>
      </c>
      <c r="K526" s="59"/>
      <c r="L526" s="59">
        <f t="shared" si="640"/>
        <v>23.870673076923076</v>
      </c>
      <c r="M526" s="61">
        <f t="shared" si="641"/>
        <v>1909.6538461538462</v>
      </c>
      <c r="N526" s="100"/>
      <c r="O526" s="138"/>
      <c r="P526" s="138"/>
      <c r="Q526" s="61">
        <f t="shared" si="642"/>
        <v>0</v>
      </c>
      <c r="R526" s="63">
        <f t="shared" si="643"/>
        <v>49651</v>
      </c>
      <c r="S526" s="169"/>
      <c r="T526" s="63">
        <v>1200</v>
      </c>
      <c r="U526" s="169"/>
      <c r="V526" s="63">
        <f t="shared" si="644"/>
        <v>50851</v>
      </c>
      <c r="W526" s="63">
        <f t="shared" si="645"/>
        <v>3152.7620000000002</v>
      </c>
      <c r="X526" s="63">
        <f t="shared" si="646"/>
        <v>737.33950000000004</v>
      </c>
      <c r="Y526" s="63">
        <f t="shared" si="647"/>
        <v>7154.7356999999993</v>
      </c>
      <c r="Z526" s="63">
        <f t="shared" si="648"/>
        <v>81.36160000000001</v>
      </c>
      <c r="AA526" s="63">
        <f t="shared" si="649"/>
        <v>35.595700000000001</v>
      </c>
      <c r="AB526" s="63">
        <f t="shared" si="650"/>
        <v>335</v>
      </c>
      <c r="AC526" s="63">
        <f t="shared" si="651"/>
        <v>10356.36</v>
      </c>
      <c r="AD526" s="63">
        <f t="shared" si="652"/>
        <v>106.9136</v>
      </c>
      <c r="AE526" s="170">
        <v>591</v>
      </c>
      <c r="AF526" s="69">
        <f t="shared" si="653"/>
        <v>893</v>
      </c>
      <c r="AG526" s="69">
        <f t="shared" si="654"/>
        <v>21960.0681</v>
      </c>
      <c r="AH526" s="67">
        <v>147973.67000000001</v>
      </c>
      <c r="AI526" s="69">
        <f t="shared" si="655"/>
        <v>-126013.60190000001</v>
      </c>
      <c r="AJ526" s="69">
        <f t="shared" si="656"/>
        <v>-125120.60190000001</v>
      </c>
    </row>
    <row r="527" spans="1:36" x14ac:dyDescent="0.25">
      <c r="A527" s="167">
        <v>591</v>
      </c>
      <c r="B527" s="92" t="s">
        <v>3324</v>
      </c>
      <c r="C527" s="71" t="s">
        <v>3325</v>
      </c>
      <c r="D527" s="168" t="s">
        <v>3011</v>
      </c>
      <c r="E527" s="168" t="s">
        <v>3845</v>
      </c>
      <c r="F527" s="73">
        <v>43619</v>
      </c>
      <c r="G527" s="59">
        <f t="shared" si="639"/>
        <v>2.5780821917808221</v>
      </c>
      <c r="H527" s="57"/>
      <c r="I527" s="57">
        <v>37925</v>
      </c>
      <c r="J527" s="182">
        <v>38620</v>
      </c>
      <c r="K527" s="59"/>
      <c r="L527" s="59">
        <f t="shared" si="640"/>
        <v>18.567307692307693</v>
      </c>
      <c r="M527" s="61">
        <f t="shared" si="641"/>
        <v>1485.3846153846155</v>
      </c>
      <c r="N527" s="100"/>
      <c r="O527" s="138"/>
      <c r="P527" s="138"/>
      <c r="Q527" s="61">
        <f t="shared" si="642"/>
        <v>0</v>
      </c>
      <c r="R527" s="63">
        <f t="shared" si="643"/>
        <v>38620</v>
      </c>
      <c r="S527" s="169"/>
      <c r="T527" s="63">
        <v>1200</v>
      </c>
      <c r="U527" s="169"/>
      <c r="V527" s="63">
        <f t="shared" si="644"/>
        <v>39820</v>
      </c>
      <c r="W527" s="63">
        <f t="shared" si="645"/>
        <v>2468.84</v>
      </c>
      <c r="X527" s="63">
        <f t="shared" si="646"/>
        <v>577.39</v>
      </c>
      <c r="Y527" s="63">
        <f t="shared" si="647"/>
        <v>5602.674</v>
      </c>
      <c r="Z527" s="63">
        <f t="shared" si="648"/>
        <v>63.712000000000003</v>
      </c>
      <c r="AA527" s="63">
        <f t="shared" si="649"/>
        <v>27.873999999999999</v>
      </c>
      <c r="AB527" s="63">
        <f t="shared" si="650"/>
        <v>335</v>
      </c>
      <c r="AC527" s="63">
        <f t="shared" si="651"/>
        <v>10356.36</v>
      </c>
      <c r="AD527" s="63">
        <f t="shared" si="652"/>
        <v>106.9136</v>
      </c>
      <c r="AE527" s="170">
        <v>591</v>
      </c>
      <c r="AF527" s="69">
        <f t="shared" si="653"/>
        <v>695</v>
      </c>
      <c r="AG527" s="69">
        <f t="shared" si="654"/>
        <v>19538.763599999998</v>
      </c>
      <c r="AH527" s="65"/>
      <c r="AI527" s="69">
        <f t="shared" si="655"/>
        <v>19538.763599999998</v>
      </c>
      <c r="AJ527" s="69">
        <f t="shared" si="656"/>
        <v>20233.763599999998</v>
      </c>
    </row>
    <row r="528" spans="1:36" x14ac:dyDescent="0.25">
      <c r="A528" s="167">
        <v>591</v>
      </c>
      <c r="B528" s="92" t="s">
        <v>3327</v>
      </c>
      <c r="C528" s="71" t="s">
        <v>3325</v>
      </c>
      <c r="D528" s="126" t="s">
        <v>3323</v>
      </c>
      <c r="E528" s="126" t="s">
        <v>3846</v>
      </c>
      <c r="F528" s="188">
        <v>43865</v>
      </c>
      <c r="G528" s="59">
        <f t="shared" si="639"/>
        <v>1.904109589041096</v>
      </c>
      <c r="H528" s="57"/>
      <c r="I528" s="66">
        <v>37925</v>
      </c>
      <c r="J528" s="66">
        <v>37925</v>
      </c>
      <c r="K528" s="59"/>
      <c r="L528" s="59">
        <f t="shared" si="640"/>
        <v>18.233173076923077</v>
      </c>
      <c r="M528" s="61">
        <f t="shared" si="641"/>
        <v>1458.6538461538462</v>
      </c>
      <c r="N528" s="100"/>
      <c r="O528" s="138"/>
      <c r="P528" s="138"/>
      <c r="Q528" s="61">
        <f t="shared" si="642"/>
        <v>0</v>
      </c>
      <c r="R528" s="63">
        <f t="shared" si="643"/>
        <v>37925</v>
      </c>
      <c r="S528" s="169"/>
      <c r="T528" s="63">
        <v>1200</v>
      </c>
      <c r="U528" s="169"/>
      <c r="V528" s="63">
        <f t="shared" si="644"/>
        <v>39125</v>
      </c>
      <c r="W528" s="63">
        <f t="shared" si="645"/>
        <v>2425.75</v>
      </c>
      <c r="X528" s="63">
        <f t="shared" si="646"/>
        <v>567.3125</v>
      </c>
      <c r="Y528" s="63">
        <f t="shared" si="647"/>
        <v>5504.8874999999998</v>
      </c>
      <c r="Z528" s="63">
        <f t="shared" si="648"/>
        <v>62.6</v>
      </c>
      <c r="AA528" s="63">
        <f t="shared" si="649"/>
        <v>27.387499999999999</v>
      </c>
      <c r="AB528" s="63">
        <f t="shared" si="650"/>
        <v>335</v>
      </c>
      <c r="AC528" s="63">
        <f t="shared" si="651"/>
        <v>10356.36</v>
      </c>
      <c r="AD528" s="63">
        <f t="shared" si="652"/>
        <v>106.9136</v>
      </c>
      <c r="AE528" s="170">
        <v>591</v>
      </c>
      <c r="AF528" s="69">
        <f t="shared" si="653"/>
        <v>0</v>
      </c>
      <c r="AG528" s="69">
        <f t="shared" si="654"/>
        <v>19386.2111</v>
      </c>
      <c r="AH528" s="65"/>
      <c r="AI528" s="69">
        <f t="shared" si="655"/>
        <v>19386.2111</v>
      </c>
      <c r="AJ528" s="69">
        <f t="shared" si="656"/>
        <v>19386.2111</v>
      </c>
    </row>
    <row r="529" spans="1:36" x14ac:dyDescent="0.25">
      <c r="A529" s="167">
        <v>591</v>
      </c>
      <c r="B529" s="92" t="s">
        <v>3330</v>
      </c>
      <c r="C529" s="71" t="s">
        <v>3331</v>
      </c>
      <c r="D529" s="168" t="s">
        <v>3847</v>
      </c>
      <c r="E529" s="168" t="s">
        <v>2697</v>
      </c>
      <c r="F529" s="58">
        <v>43116</v>
      </c>
      <c r="G529" s="59">
        <f t="shared" si="639"/>
        <v>3.956164383561644</v>
      </c>
      <c r="H529" s="57"/>
      <c r="I529" s="66">
        <v>39821</v>
      </c>
      <c r="J529" s="66">
        <v>39821</v>
      </c>
      <c r="K529" s="59"/>
      <c r="L529" s="59">
        <f t="shared" si="640"/>
        <v>19.144711538461539</v>
      </c>
      <c r="M529" s="61">
        <f t="shared" si="641"/>
        <v>1531.5769230769231</v>
      </c>
      <c r="N529" s="100"/>
      <c r="O529" s="138"/>
      <c r="P529" s="138"/>
      <c r="Q529" s="61">
        <f t="shared" si="642"/>
        <v>0</v>
      </c>
      <c r="R529" s="63">
        <f t="shared" si="643"/>
        <v>39821</v>
      </c>
      <c r="S529" s="169"/>
      <c r="T529" s="63">
        <v>1200</v>
      </c>
      <c r="U529" s="169"/>
      <c r="V529" s="63">
        <f t="shared" si="644"/>
        <v>41021</v>
      </c>
      <c r="W529" s="63">
        <f t="shared" si="645"/>
        <v>2543.3020000000001</v>
      </c>
      <c r="X529" s="63">
        <f t="shared" si="646"/>
        <v>594.80450000000008</v>
      </c>
      <c r="Y529" s="63">
        <f t="shared" si="647"/>
        <v>5771.6547</v>
      </c>
      <c r="Z529" s="63">
        <f t="shared" si="648"/>
        <v>65.633600000000001</v>
      </c>
      <c r="AA529" s="63">
        <f t="shared" si="649"/>
        <v>28.714700000000001</v>
      </c>
      <c r="AB529" s="63">
        <f t="shared" si="650"/>
        <v>335</v>
      </c>
      <c r="AC529" s="63">
        <f t="shared" si="651"/>
        <v>10356.36</v>
      </c>
      <c r="AD529" s="63">
        <f t="shared" si="652"/>
        <v>106.9136</v>
      </c>
      <c r="AE529" s="170">
        <v>591</v>
      </c>
      <c r="AF529" s="69">
        <f t="shared" si="653"/>
        <v>0</v>
      </c>
      <c r="AG529" s="69">
        <f t="shared" si="654"/>
        <v>19802.383099999999</v>
      </c>
      <c r="AH529" s="67">
        <v>22848.48</v>
      </c>
      <c r="AI529" s="69">
        <f t="shared" si="655"/>
        <v>-3046.0969000000005</v>
      </c>
      <c r="AJ529" s="69">
        <f t="shared" si="656"/>
        <v>-3046.0969000000005</v>
      </c>
    </row>
    <row r="530" spans="1:36" x14ac:dyDescent="0.25">
      <c r="A530" s="167">
        <v>591</v>
      </c>
      <c r="B530" s="167"/>
      <c r="C530" s="71" t="s">
        <v>3332</v>
      </c>
      <c r="D530" s="71" t="s">
        <v>2813</v>
      </c>
      <c r="E530" s="71" t="s">
        <v>2814</v>
      </c>
      <c r="F530" s="72">
        <v>43879</v>
      </c>
      <c r="G530" s="59">
        <f t="shared" si="639"/>
        <v>1.8657534246575342</v>
      </c>
      <c r="H530" s="88"/>
      <c r="I530" s="88">
        <v>21000</v>
      </c>
      <c r="J530" s="88">
        <v>21000</v>
      </c>
      <c r="K530" s="59"/>
      <c r="L530" s="59">
        <f t="shared" si="640"/>
        <v>10.096153846153847</v>
      </c>
      <c r="M530" s="61">
        <f t="shared" si="641"/>
        <v>807.69230769230774</v>
      </c>
      <c r="N530" s="100">
        <f t="shared" ref="N530:N531" si="657">IF(G530&lt;4,0,(G530-1)*264)</f>
        <v>0</v>
      </c>
      <c r="O530" s="138"/>
      <c r="P530" s="138"/>
      <c r="Q530" s="61">
        <f t="shared" si="642"/>
        <v>0</v>
      </c>
      <c r="R530" s="63">
        <f t="shared" si="643"/>
        <v>21000</v>
      </c>
      <c r="S530" s="169"/>
      <c r="T530" s="169"/>
      <c r="U530" s="169"/>
      <c r="V530" s="63">
        <f t="shared" si="644"/>
        <v>21000</v>
      </c>
      <c r="W530" s="63">
        <f t="shared" si="645"/>
        <v>1302</v>
      </c>
      <c r="X530" s="63">
        <f t="shared" si="646"/>
        <v>304.5</v>
      </c>
      <c r="Y530" s="63">
        <f t="shared" si="647"/>
        <v>2954.7</v>
      </c>
      <c r="Z530" s="63">
        <f t="shared" si="648"/>
        <v>33.6</v>
      </c>
      <c r="AA530" s="63">
        <f t="shared" si="649"/>
        <v>14.7</v>
      </c>
      <c r="AB530" s="63" t="s">
        <v>2422</v>
      </c>
      <c r="AC530" s="63" t="s">
        <v>2422</v>
      </c>
      <c r="AD530" s="63" t="s">
        <v>2422</v>
      </c>
      <c r="AE530" s="170">
        <v>591</v>
      </c>
      <c r="AF530" s="69">
        <f t="shared" si="653"/>
        <v>0</v>
      </c>
      <c r="AG530" s="69">
        <f t="shared" si="654"/>
        <v>4609.5</v>
      </c>
      <c r="AH530" s="67">
        <v>63474.46</v>
      </c>
      <c r="AI530" s="69">
        <f t="shared" si="655"/>
        <v>-58864.959999999999</v>
      </c>
      <c r="AJ530" s="100">
        <f t="shared" si="656"/>
        <v>-58864.959999999999</v>
      </c>
    </row>
    <row r="531" spans="1:36" x14ac:dyDescent="0.25">
      <c r="A531" s="167">
        <v>591</v>
      </c>
      <c r="B531" s="138"/>
      <c r="C531" s="168" t="s">
        <v>2495</v>
      </c>
      <c r="D531" s="138"/>
      <c r="E531" s="138"/>
      <c r="F531" s="138"/>
      <c r="G531" s="138"/>
      <c r="H531" s="88"/>
      <c r="I531" s="88">
        <v>2000</v>
      </c>
      <c r="J531" s="218">
        <v>2000</v>
      </c>
      <c r="K531" s="269"/>
      <c r="L531" s="269">
        <f t="shared" si="640"/>
        <v>0.96153846153846156</v>
      </c>
      <c r="M531" s="132">
        <f t="shared" si="641"/>
        <v>76.92307692307692</v>
      </c>
      <c r="N531" s="132">
        <f t="shared" si="657"/>
        <v>0</v>
      </c>
      <c r="O531" s="219"/>
      <c r="P531" s="219"/>
      <c r="Q531" s="132">
        <f t="shared" si="642"/>
        <v>0</v>
      </c>
      <c r="R531" s="172">
        <f t="shared" si="643"/>
        <v>2000</v>
      </c>
      <c r="S531" s="173"/>
      <c r="T531" s="173"/>
      <c r="U531" s="173"/>
      <c r="V531" s="172">
        <f t="shared" si="644"/>
        <v>2000</v>
      </c>
      <c r="W531" s="172">
        <f t="shared" si="645"/>
        <v>124</v>
      </c>
      <c r="X531" s="172">
        <f t="shared" si="646"/>
        <v>29</v>
      </c>
      <c r="Y531" s="172">
        <f t="shared" si="647"/>
        <v>281.39999999999998</v>
      </c>
      <c r="Z531" s="172">
        <f t="shared" si="648"/>
        <v>3.2</v>
      </c>
      <c r="AA531" s="172">
        <f t="shared" si="649"/>
        <v>1.4</v>
      </c>
      <c r="AB531" s="172" t="s">
        <v>2422</v>
      </c>
      <c r="AC531" s="172" t="s">
        <v>2422</v>
      </c>
      <c r="AD531" s="172" t="s">
        <v>2422</v>
      </c>
      <c r="AE531" s="170">
        <v>591</v>
      </c>
      <c r="AF531" s="69">
        <f t="shared" si="653"/>
        <v>0</v>
      </c>
      <c r="AG531" s="69">
        <f t="shared" si="654"/>
        <v>438.99999999999994</v>
      </c>
      <c r="AH531" s="67">
        <v>22848.48</v>
      </c>
      <c r="AI531" s="69">
        <f t="shared" si="655"/>
        <v>-22409.48</v>
      </c>
      <c r="AJ531" s="100">
        <f t="shared" si="656"/>
        <v>-22409.48</v>
      </c>
    </row>
    <row r="532" spans="1:36" x14ac:dyDescent="0.25">
      <c r="A532" s="167">
        <v>591</v>
      </c>
      <c r="B532" s="138"/>
      <c r="C532" s="138"/>
      <c r="D532" s="138"/>
      <c r="E532" s="138"/>
      <c r="F532" s="138"/>
      <c r="G532" s="138"/>
      <c r="H532" s="221"/>
      <c r="I532" s="222">
        <f t="shared" ref="I532:J532" si="658">SUM(I525:I531)</f>
        <v>244015</v>
      </c>
      <c r="J532" s="222">
        <f t="shared" si="658"/>
        <v>246640</v>
      </c>
      <c r="K532" s="223"/>
      <c r="L532" s="223">
        <f t="shared" ref="L532:AD532" si="659">SUM(L524:L531)</f>
        <v>118.57692307692308</v>
      </c>
      <c r="M532" s="223">
        <f t="shared" si="659"/>
        <v>9486.1538461538476</v>
      </c>
      <c r="N532" s="223">
        <f t="shared" si="659"/>
        <v>0</v>
      </c>
      <c r="O532" s="223">
        <f t="shared" si="659"/>
        <v>0</v>
      </c>
      <c r="P532" s="223">
        <f t="shared" si="659"/>
        <v>0</v>
      </c>
      <c r="Q532" s="223">
        <f t="shared" si="659"/>
        <v>0</v>
      </c>
      <c r="R532" s="223">
        <f t="shared" si="659"/>
        <v>246640</v>
      </c>
      <c r="S532" s="223">
        <f t="shared" si="659"/>
        <v>0</v>
      </c>
      <c r="T532" s="223">
        <f t="shared" si="659"/>
        <v>6000</v>
      </c>
      <c r="U532" s="223">
        <f t="shared" si="659"/>
        <v>0</v>
      </c>
      <c r="V532" s="223">
        <f t="shared" si="659"/>
        <v>252640</v>
      </c>
      <c r="W532" s="223">
        <f t="shared" si="659"/>
        <v>15663.68</v>
      </c>
      <c r="X532" s="223">
        <f t="shared" si="659"/>
        <v>3663.28</v>
      </c>
      <c r="Y532" s="223">
        <f t="shared" si="659"/>
        <v>35546.447999999997</v>
      </c>
      <c r="Z532" s="223">
        <f t="shared" si="659"/>
        <v>404.22400000000005</v>
      </c>
      <c r="AA532" s="223">
        <f t="shared" si="659"/>
        <v>176.84799999999998</v>
      </c>
      <c r="AB532" s="223">
        <f t="shared" si="659"/>
        <v>1675</v>
      </c>
      <c r="AC532" s="223">
        <f t="shared" si="659"/>
        <v>51781.8</v>
      </c>
      <c r="AD532" s="223">
        <f t="shared" si="659"/>
        <v>534.56799999999998</v>
      </c>
      <c r="AE532" s="170">
        <v>591</v>
      </c>
      <c r="AF532" s="230">
        <f>SUM(AF525:AF531)</f>
        <v>2625</v>
      </c>
      <c r="AG532" s="100">
        <f t="shared" si="654"/>
        <v>109445.848</v>
      </c>
      <c r="AH532" s="62"/>
      <c r="AI532" s="226">
        <f t="shared" si="655"/>
        <v>109445.848</v>
      </c>
      <c r="AJ532" s="226">
        <f t="shared" si="656"/>
        <v>112070.848</v>
      </c>
    </row>
    <row r="533" spans="1:36" hidden="1" x14ac:dyDescent="0.25">
      <c r="A533" s="138"/>
      <c r="B533" s="138"/>
      <c r="C533" s="138"/>
      <c r="D533" s="138"/>
      <c r="E533" s="138"/>
      <c r="F533" s="138"/>
      <c r="G533" s="138"/>
      <c r="H533" s="78"/>
      <c r="I533" s="78">
        <v>221015</v>
      </c>
      <c r="J533" s="78">
        <f>SUM(J525:J529)</f>
        <v>223640</v>
      </c>
      <c r="K533" s="138"/>
      <c r="L533" s="138"/>
      <c r="M533" s="138"/>
      <c r="N533" s="138"/>
      <c r="O533" s="138"/>
      <c r="P533" s="138"/>
      <c r="Q533" s="138"/>
      <c r="R533" s="169"/>
      <c r="S533" s="169"/>
      <c r="T533" s="169"/>
      <c r="U533" s="169"/>
      <c r="V533" s="169"/>
      <c r="W533" s="63">
        <f>SUM(W532:X532)</f>
        <v>19326.96</v>
      </c>
      <c r="X533" s="169"/>
      <c r="Y533" s="169"/>
      <c r="Z533" s="169"/>
      <c r="AA533" s="169"/>
      <c r="AB533" s="169"/>
      <c r="AC533" s="63">
        <f>SUM(AC532:AD532)</f>
        <v>52316.368000000002</v>
      </c>
      <c r="AD533" s="169"/>
      <c r="AE533" s="149"/>
      <c r="AF533" s="69">
        <f t="shared" ref="AF533:AG533" si="660">SUM(AF525:AF531)</f>
        <v>2625</v>
      </c>
      <c r="AG533" s="69">
        <f t="shared" si="660"/>
        <v>109445.848</v>
      </c>
      <c r="AH533" s="67">
        <v>24031.27</v>
      </c>
      <c r="AI533" s="69">
        <f t="shared" ref="AI533:AJ533" si="661">SUM(AI525:AI531)</f>
        <v>-295672.91200000001</v>
      </c>
      <c r="AJ533" s="69">
        <f t="shared" si="661"/>
        <v>-293047.91200000001</v>
      </c>
    </row>
    <row r="534" spans="1:36" x14ac:dyDescent="0.25">
      <c r="A534" s="138"/>
      <c r="B534" s="138"/>
      <c r="C534" s="138"/>
      <c r="D534" s="138"/>
      <c r="E534" s="138"/>
      <c r="F534" s="138"/>
      <c r="G534" s="138"/>
      <c r="H534" s="270"/>
      <c r="I534" s="270"/>
      <c r="J534" s="270"/>
      <c r="K534" s="138"/>
      <c r="L534" s="138"/>
      <c r="M534" s="138"/>
      <c r="N534" s="138"/>
      <c r="O534" s="138"/>
      <c r="P534" s="138"/>
      <c r="Q534" s="138"/>
      <c r="R534" s="169"/>
      <c r="S534" s="169"/>
      <c r="T534" s="169"/>
      <c r="U534" s="169"/>
      <c r="V534" s="169"/>
      <c r="W534" s="169"/>
      <c r="X534" s="169"/>
      <c r="Y534" s="169"/>
      <c r="Z534" s="169"/>
      <c r="AA534" s="169"/>
      <c r="AB534" s="169"/>
      <c r="AC534" s="169"/>
      <c r="AD534" s="169"/>
      <c r="AE534" s="149"/>
      <c r="AF534" s="178"/>
      <c r="AG534" s="178"/>
      <c r="AH534" s="67">
        <v>22238.66</v>
      </c>
      <c r="AI534" s="178"/>
      <c r="AJ534" s="178"/>
    </row>
    <row r="535" spans="1:36" x14ac:dyDescent="0.25">
      <c r="A535" s="138"/>
      <c r="B535" s="138"/>
      <c r="C535" s="138"/>
      <c r="D535" s="138"/>
      <c r="E535" s="138"/>
      <c r="F535" s="138"/>
      <c r="G535" s="138"/>
      <c r="H535" s="148"/>
      <c r="I535" s="148"/>
      <c r="J535" s="148"/>
      <c r="K535" s="138"/>
      <c r="L535" s="138"/>
      <c r="M535" s="138"/>
      <c r="N535" s="138"/>
      <c r="O535" s="138"/>
      <c r="P535" s="138"/>
      <c r="Q535" s="138"/>
      <c r="R535" s="169"/>
      <c r="S535" s="169"/>
      <c r="T535" s="169"/>
      <c r="U535" s="169"/>
      <c r="V535" s="169"/>
      <c r="W535" s="169"/>
      <c r="X535" s="169"/>
      <c r="Y535" s="169"/>
      <c r="Z535" s="169"/>
      <c r="AA535" s="169"/>
      <c r="AB535" s="169"/>
      <c r="AC535" s="169"/>
      <c r="AD535" s="169"/>
      <c r="AE535" s="149"/>
      <c r="AF535" s="178"/>
      <c r="AG535" s="178"/>
      <c r="AH535" s="67">
        <v>19757.900000000001</v>
      </c>
      <c r="AI535" s="178"/>
      <c r="AJ535" s="178"/>
    </row>
    <row r="536" spans="1:36" x14ac:dyDescent="0.25">
      <c r="A536" s="168"/>
      <c r="B536" s="168"/>
      <c r="C536" s="168"/>
      <c r="D536" s="168"/>
      <c r="E536" s="168"/>
      <c r="F536" s="196"/>
      <c r="G536" s="59"/>
      <c r="H536" s="57"/>
      <c r="I536" s="57"/>
      <c r="J536" s="57"/>
      <c r="K536" s="59"/>
      <c r="L536" s="59"/>
      <c r="M536" s="61"/>
      <c r="N536" s="251"/>
      <c r="O536" s="138"/>
      <c r="P536" s="138"/>
      <c r="Q536" s="61"/>
      <c r="R536" s="63"/>
      <c r="S536" s="169"/>
      <c r="T536" s="169"/>
      <c r="U536" s="169"/>
      <c r="V536" s="169"/>
      <c r="W536" s="63"/>
      <c r="X536" s="63"/>
      <c r="Y536" s="63"/>
      <c r="Z536" s="63"/>
      <c r="AA536" s="63"/>
      <c r="AB536" s="63"/>
      <c r="AC536" s="63"/>
      <c r="AD536" s="63"/>
      <c r="AE536" s="149"/>
      <c r="AF536" s="178"/>
      <c r="AG536" s="178"/>
      <c r="AH536" s="67">
        <v>20192.080000000002</v>
      </c>
      <c r="AI536" s="178"/>
      <c r="AJ536" s="178"/>
    </row>
    <row r="537" spans="1:36" x14ac:dyDescent="0.25">
      <c r="A537" s="168"/>
      <c r="B537" s="168"/>
      <c r="C537" s="168"/>
      <c r="G537" s="59"/>
      <c r="H537" s="57"/>
      <c r="I537" s="57"/>
      <c r="J537" s="57"/>
      <c r="K537" s="59"/>
      <c r="L537" s="59"/>
      <c r="M537" s="61"/>
      <c r="N537" s="251"/>
      <c r="O537" s="138"/>
      <c r="P537" s="138"/>
      <c r="Q537" s="61"/>
      <c r="R537" s="63"/>
      <c r="S537" s="169"/>
      <c r="T537" s="169"/>
      <c r="U537" s="169"/>
      <c r="V537" s="169"/>
      <c r="W537" s="63"/>
      <c r="X537" s="63"/>
      <c r="Y537" s="63"/>
      <c r="Z537" s="63"/>
      <c r="AA537" s="63"/>
      <c r="AB537" s="63"/>
      <c r="AC537" s="63"/>
      <c r="AD537" s="63"/>
      <c r="AE537" s="149"/>
      <c r="AF537" s="178"/>
      <c r="AG537" s="178"/>
      <c r="AH537" s="67">
        <v>19757.900000000001</v>
      </c>
      <c r="AI537" s="178"/>
      <c r="AJ537" s="178"/>
    </row>
    <row r="538" spans="1:36" x14ac:dyDescent="0.25">
      <c r="A538" s="168"/>
      <c r="B538" s="168"/>
      <c r="C538" s="168"/>
      <c r="D538" s="168"/>
      <c r="E538" s="168"/>
      <c r="F538" s="196"/>
      <c r="G538" s="59"/>
      <c r="H538" s="57"/>
      <c r="I538" s="57"/>
      <c r="J538" s="57"/>
      <c r="K538" s="59"/>
      <c r="L538" s="59"/>
      <c r="M538" s="61"/>
      <c r="N538" s="251"/>
      <c r="O538" s="138"/>
      <c r="P538" s="138"/>
      <c r="Q538" s="61"/>
      <c r="R538" s="63"/>
      <c r="S538" s="169"/>
      <c r="T538" s="169"/>
      <c r="U538" s="169"/>
      <c r="V538" s="169"/>
      <c r="W538" s="63"/>
      <c r="X538" s="63"/>
      <c r="Y538" s="63"/>
      <c r="Z538" s="63"/>
      <c r="AA538" s="63"/>
      <c r="AB538" s="63"/>
      <c r="AC538" s="63"/>
      <c r="AD538" s="63"/>
      <c r="AE538" s="149"/>
      <c r="AF538" s="178"/>
      <c r="AG538" s="178"/>
      <c r="AH538" s="67">
        <v>4809</v>
      </c>
      <c r="AI538" s="178"/>
      <c r="AJ538" s="178"/>
    </row>
    <row r="539" spans="1:36" x14ac:dyDescent="0.25">
      <c r="A539" s="167">
        <v>592</v>
      </c>
      <c r="B539" s="92" t="s">
        <v>3333</v>
      </c>
      <c r="C539" s="71" t="s">
        <v>3334</v>
      </c>
      <c r="D539" s="168" t="s">
        <v>3848</v>
      </c>
      <c r="E539" s="168" t="s">
        <v>3849</v>
      </c>
      <c r="F539" s="72">
        <v>43922</v>
      </c>
      <c r="G539" s="59">
        <f t="shared" ref="G539:G540" si="662">(DATE(2021,12,30)-(F539))/365</f>
        <v>1.747945205479452</v>
      </c>
      <c r="H539" s="57"/>
      <c r="I539" s="66">
        <v>31668</v>
      </c>
      <c r="J539" s="66">
        <v>31098</v>
      </c>
      <c r="K539" s="59"/>
      <c r="L539" s="59">
        <f t="shared" ref="L539:L540" si="663">SUM(J539/$L$7)</f>
        <v>14.950961538461538</v>
      </c>
      <c r="M539" s="61">
        <f t="shared" ref="M539:M540" si="664">SUM(J539/$M$7)</f>
        <v>1196.0769230769231</v>
      </c>
      <c r="N539" s="100"/>
      <c r="O539" s="138"/>
      <c r="P539" s="138"/>
      <c r="Q539" s="61">
        <f t="shared" ref="Q539:Q540" si="665">SUM(N539+P539)</f>
        <v>0</v>
      </c>
      <c r="R539" s="63">
        <f t="shared" ref="R539:R541" si="666">SUM(J539+Q539)</f>
        <v>31098</v>
      </c>
      <c r="S539" s="169"/>
      <c r="T539" s="169"/>
      <c r="U539" s="169"/>
      <c r="V539" s="63">
        <f t="shared" ref="V539:V541" si="667">SUM(R539:U539)</f>
        <v>31098</v>
      </c>
      <c r="W539" s="63">
        <f t="shared" ref="W539:W541" si="668">SUM(V539*$W$7)</f>
        <v>1928.076</v>
      </c>
      <c r="X539" s="63">
        <f t="shared" ref="X539:X541" si="669">SUM(V539*$X$7)</f>
        <v>450.92100000000005</v>
      </c>
      <c r="Y539" s="63">
        <f t="shared" ref="Y539:Y541" si="670">SUM(V539*$Y$7)</f>
        <v>4375.4885999999997</v>
      </c>
      <c r="Z539" s="63">
        <f t="shared" ref="Z539:Z541" si="671">SUM(V539*$Z$7)</f>
        <v>49.756800000000005</v>
      </c>
      <c r="AA539" s="63">
        <f t="shared" ref="AA539:AA541" si="672">SUM(V539*$AA$7)</f>
        <v>21.768599999999999</v>
      </c>
      <c r="AB539" s="63">
        <f t="shared" ref="AB539:AB540" si="673">SUM($AB$7)</f>
        <v>335</v>
      </c>
      <c r="AC539" s="63">
        <f t="shared" ref="AC539:AC540" si="674">$AC$7</f>
        <v>10356.36</v>
      </c>
      <c r="AD539" s="63">
        <f t="shared" ref="AD539:AD540" si="675">SUM(AB539+AC539)*$AD$7</f>
        <v>106.9136</v>
      </c>
      <c r="AE539" s="170">
        <v>592</v>
      </c>
      <c r="AF539" s="69">
        <f t="shared" ref="AF539:AF541" si="676">SUM(J539-I539)</f>
        <v>-570</v>
      </c>
      <c r="AG539" s="69">
        <f t="shared" ref="AG539:AG542" si="677">SUM(W539:AD539)</f>
        <v>17624.284599999999</v>
      </c>
      <c r="AH539" s="67">
        <v>458</v>
      </c>
      <c r="AI539" s="69">
        <f t="shared" ref="AI539:AI542" si="678">AG539-AH539</f>
        <v>17166.284599999999</v>
      </c>
      <c r="AJ539" s="69">
        <f t="shared" ref="AJ539:AJ542" si="679">AF539+AI539</f>
        <v>16596.284599999999</v>
      </c>
    </row>
    <row r="540" spans="1:36" x14ac:dyDescent="0.25">
      <c r="A540" s="167">
        <v>592</v>
      </c>
      <c r="B540" s="92" t="s">
        <v>3337</v>
      </c>
      <c r="C540" s="71" t="s">
        <v>3338</v>
      </c>
      <c r="D540" s="168" t="s">
        <v>3339</v>
      </c>
      <c r="E540" s="168" t="s">
        <v>3340</v>
      </c>
      <c r="F540" s="58">
        <v>39622</v>
      </c>
      <c r="G540" s="59">
        <f t="shared" si="662"/>
        <v>13.528767123287672</v>
      </c>
      <c r="H540" s="57"/>
      <c r="I540" s="66">
        <v>40273</v>
      </c>
      <c r="J540" s="66">
        <v>40273</v>
      </c>
      <c r="K540" s="59"/>
      <c r="L540" s="59">
        <f t="shared" si="663"/>
        <v>19.362019230769231</v>
      </c>
      <c r="M540" s="61">
        <f t="shared" si="664"/>
        <v>1548.9615384615386</v>
      </c>
      <c r="N540" s="100">
        <f>IF(G540&lt;4,0,(G540-1)*264)</f>
        <v>3307.5945205479452</v>
      </c>
      <c r="O540" s="138"/>
      <c r="P540" s="138"/>
      <c r="Q540" s="61">
        <f t="shared" si="665"/>
        <v>3307.5945205479452</v>
      </c>
      <c r="R540" s="63">
        <f t="shared" si="666"/>
        <v>43580.594520547944</v>
      </c>
      <c r="S540" s="169"/>
      <c r="T540" s="169"/>
      <c r="U540" s="169"/>
      <c r="V540" s="63">
        <f t="shared" si="667"/>
        <v>43580.594520547944</v>
      </c>
      <c r="W540" s="63">
        <f t="shared" si="668"/>
        <v>2701.9968602739723</v>
      </c>
      <c r="X540" s="63">
        <f t="shared" si="669"/>
        <v>631.91862054794524</v>
      </c>
      <c r="Y540" s="63">
        <f t="shared" si="670"/>
        <v>6131.7896490410949</v>
      </c>
      <c r="Z540" s="63">
        <f t="shared" si="671"/>
        <v>69.72895123287671</v>
      </c>
      <c r="AA540" s="63">
        <f t="shared" si="672"/>
        <v>30.506416164383559</v>
      </c>
      <c r="AB540" s="63">
        <f t="shared" si="673"/>
        <v>335</v>
      </c>
      <c r="AC540" s="63">
        <f t="shared" si="674"/>
        <v>10356.36</v>
      </c>
      <c r="AD540" s="63">
        <f t="shared" si="675"/>
        <v>106.9136</v>
      </c>
      <c r="AE540" s="170">
        <v>592</v>
      </c>
      <c r="AF540" s="69">
        <f t="shared" si="676"/>
        <v>0</v>
      </c>
      <c r="AG540" s="69">
        <f t="shared" si="677"/>
        <v>20364.214097260272</v>
      </c>
      <c r="AH540" s="67">
        <v>111244.8</v>
      </c>
      <c r="AI540" s="69">
        <f t="shared" si="678"/>
        <v>-90880.585902739724</v>
      </c>
      <c r="AJ540" s="69">
        <f t="shared" si="679"/>
        <v>-90880.585902739724</v>
      </c>
    </row>
    <row r="541" spans="1:36" x14ac:dyDescent="0.25">
      <c r="A541" s="167">
        <v>592</v>
      </c>
      <c r="B541" s="138"/>
      <c r="C541" s="168" t="s">
        <v>3341</v>
      </c>
      <c r="D541" s="271" t="s">
        <v>0</v>
      </c>
      <c r="E541" s="271" t="s">
        <v>0</v>
      </c>
      <c r="F541" s="168" t="s">
        <v>0</v>
      </c>
      <c r="G541" s="167" t="s">
        <v>2422</v>
      </c>
      <c r="H541" s="88"/>
      <c r="I541" s="88">
        <v>0</v>
      </c>
      <c r="J541" s="218">
        <v>0</v>
      </c>
      <c r="K541" s="219"/>
      <c r="L541" s="219"/>
      <c r="M541" s="219"/>
      <c r="N541" s="220" t="s">
        <v>27</v>
      </c>
      <c r="O541" s="219"/>
      <c r="P541" s="219"/>
      <c r="Q541" s="220">
        <v>0</v>
      </c>
      <c r="R541" s="172">
        <f t="shared" si="666"/>
        <v>0</v>
      </c>
      <c r="S541" s="173"/>
      <c r="T541" s="173"/>
      <c r="U541" s="173"/>
      <c r="V541" s="172">
        <f t="shared" si="667"/>
        <v>0</v>
      </c>
      <c r="W541" s="172">
        <f t="shared" si="668"/>
        <v>0</v>
      </c>
      <c r="X541" s="172">
        <f t="shared" si="669"/>
        <v>0</v>
      </c>
      <c r="Y541" s="172">
        <f t="shared" si="670"/>
        <v>0</v>
      </c>
      <c r="Z541" s="172">
        <f t="shared" si="671"/>
        <v>0</v>
      </c>
      <c r="AA541" s="172">
        <f t="shared" si="672"/>
        <v>0</v>
      </c>
      <c r="AB541" s="172" t="s">
        <v>2422</v>
      </c>
      <c r="AC541" s="172" t="s">
        <v>2422</v>
      </c>
      <c r="AD541" s="172" t="s">
        <v>2422</v>
      </c>
      <c r="AE541" s="170">
        <v>592</v>
      </c>
      <c r="AF541" s="69">
        <f t="shared" si="676"/>
        <v>0</v>
      </c>
      <c r="AG541" s="69">
        <f t="shared" si="677"/>
        <v>0</v>
      </c>
      <c r="AH541" s="67">
        <v>111244.8</v>
      </c>
      <c r="AI541" s="69">
        <f t="shared" si="678"/>
        <v>-111244.8</v>
      </c>
      <c r="AJ541" s="100">
        <f t="shared" si="679"/>
        <v>-111244.8</v>
      </c>
    </row>
    <row r="542" spans="1:36" x14ac:dyDescent="0.25">
      <c r="A542" s="167">
        <v>592</v>
      </c>
      <c r="B542" s="138"/>
      <c r="C542" s="138"/>
      <c r="D542" s="138"/>
      <c r="E542" s="138"/>
      <c r="F542" s="138"/>
      <c r="G542" s="138"/>
      <c r="H542" s="221"/>
      <c r="I542" s="222">
        <f t="shared" ref="I542:J542" si="680">SUM(I539:I541)</f>
        <v>71941</v>
      </c>
      <c r="J542" s="222">
        <f t="shared" si="680"/>
        <v>71371</v>
      </c>
      <c r="K542" s="223"/>
      <c r="L542" s="223">
        <f t="shared" ref="L542:AD542" si="681">SUM(L535:L541)</f>
        <v>34.312980769230769</v>
      </c>
      <c r="M542" s="223">
        <f t="shared" si="681"/>
        <v>2745.0384615384619</v>
      </c>
      <c r="N542" s="223">
        <f t="shared" si="681"/>
        <v>3307.5945205479452</v>
      </c>
      <c r="O542" s="223">
        <f t="shared" si="681"/>
        <v>0</v>
      </c>
      <c r="P542" s="223">
        <f t="shared" si="681"/>
        <v>0</v>
      </c>
      <c r="Q542" s="223">
        <f t="shared" si="681"/>
        <v>3307.5945205479452</v>
      </c>
      <c r="R542" s="223">
        <f t="shared" si="681"/>
        <v>74678.594520547951</v>
      </c>
      <c r="S542" s="223">
        <f t="shared" si="681"/>
        <v>0</v>
      </c>
      <c r="T542" s="223">
        <f t="shared" si="681"/>
        <v>0</v>
      </c>
      <c r="U542" s="223">
        <f t="shared" si="681"/>
        <v>0</v>
      </c>
      <c r="V542" s="223">
        <f t="shared" si="681"/>
        <v>74678.594520547951</v>
      </c>
      <c r="W542" s="223">
        <f t="shared" si="681"/>
        <v>4630.0728602739728</v>
      </c>
      <c r="X542" s="223">
        <f t="shared" si="681"/>
        <v>1082.8396205479453</v>
      </c>
      <c r="Y542" s="223">
        <f t="shared" si="681"/>
        <v>10507.278249041094</v>
      </c>
      <c r="Z542" s="223">
        <f t="shared" si="681"/>
        <v>119.48575123287671</v>
      </c>
      <c r="AA542" s="223">
        <f t="shared" si="681"/>
        <v>52.275016164383558</v>
      </c>
      <c r="AB542" s="223">
        <f t="shared" si="681"/>
        <v>670</v>
      </c>
      <c r="AC542" s="223">
        <f t="shared" si="681"/>
        <v>20712.72</v>
      </c>
      <c r="AD542" s="223">
        <f t="shared" si="681"/>
        <v>213.8272</v>
      </c>
      <c r="AE542" s="170">
        <v>592</v>
      </c>
      <c r="AF542" s="230">
        <f>SUM(AF539:AF541)</f>
        <v>-570</v>
      </c>
      <c r="AG542" s="100">
        <f t="shared" si="677"/>
        <v>37988.498697260278</v>
      </c>
      <c r="AH542" s="62"/>
      <c r="AI542" s="226">
        <f t="shared" si="678"/>
        <v>37988.498697260278</v>
      </c>
      <c r="AJ542" s="226">
        <f t="shared" si="679"/>
        <v>37418.498697260278</v>
      </c>
    </row>
    <row r="543" spans="1:36" hidden="1" x14ac:dyDescent="0.25">
      <c r="A543" s="138"/>
      <c r="B543" s="138"/>
      <c r="C543" s="138"/>
      <c r="D543" s="138"/>
      <c r="E543" s="138"/>
      <c r="F543" s="138"/>
      <c r="G543" s="138"/>
      <c r="H543" s="78"/>
      <c r="I543" s="78">
        <v>71941</v>
      </c>
      <c r="J543" s="78">
        <f>SUM(J539:J540)</f>
        <v>71371</v>
      </c>
      <c r="K543" s="138"/>
      <c r="L543" s="138"/>
      <c r="M543" s="138"/>
      <c r="N543" s="138"/>
      <c r="O543" s="138"/>
      <c r="P543" s="138"/>
      <c r="Q543" s="138"/>
      <c r="R543" s="169"/>
      <c r="S543" s="169"/>
      <c r="T543" s="169"/>
      <c r="U543" s="169"/>
      <c r="V543" s="169"/>
      <c r="W543" s="63">
        <f>SUM(W542:X542)</f>
        <v>5712.9124808219185</v>
      </c>
      <c r="X543" s="169"/>
      <c r="Y543" s="169"/>
      <c r="Z543" s="169"/>
      <c r="AA543" s="169"/>
      <c r="AB543" s="169"/>
      <c r="AC543" s="63">
        <f>SUM(AC542:AD542)</f>
        <v>20926.547200000001</v>
      </c>
      <c r="AD543" s="169"/>
      <c r="AE543" s="149"/>
      <c r="AF543" s="69">
        <f t="shared" ref="AF543:AG543" si="682">SUM(AF539:AF541)</f>
        <v>-570</v>
      </c>
      <c r="AG543" s="69">
        <f t="shared" si="682"/>
        <v>37988.498697260271</v>
      </c>
      <c r="AH543" s="65"/>
      <c r="AI543" s="69">
        <f t="shared" ref="AI543:AJ543" si="683">SUM(AI539:AI541)</f>
        <v>-184959.10130273973</v>
      </c>
      <c r="AJ543" s="69">
        <f t="shared" si="683"/>
        <v>-185529.10130273973</v>
      </c>
    </row>
    <row r="544" spans="1:36" x14ac:dyDescent="0.25">
      <c r="A544" s="138"/>
      <c r="B544" s="138"/>
      <c r="C544" s="138"/>
      <c r="D544" s="138"/>
      <c r="E544" s="138"/>
      <c r="F544" s="138"/>
      <c r="G544" s="138"/>
      <c r="H544" s="148"/>
      <c r="I544" s="148"/>
      <c r="J544" s="148"/>
      <c r="K544" s="138"/>
      <c r="L544" s="138"/>
      <c r="M544" s="138"/>
      <c r="N544" s="138"/>
      <c r="O544" s="138"/>
      <c r="P544" s="138"/>
      <c r="Q544" s="138"/>
      <c r="R544" s="169"/>
      <c r="S544" s="169"/>
      <c r="T544" s="169"/>
      <c r="U544" s="169"/>
      <c r="V544" s="169"/>
      <c r="W544" s="169"/>
      <c r="X544" s="69">
        <f>SUM(V540:AD540)</f>
        <v>63944.808617808216</v>
      </c>
      <c r="Y544" s="169"/>
      <c r="Z544" s="169"/>
      <c r="AA544" s="169"/>
      <c r="AB544" s="169"/>
      <c r="AC544" s="169"/>
      <c r="AD544" s="169"/>
      <c r="AE544" s="149"/>
      <c r="AF544" s="178"/>
      <c r="AG544" s="178"/>
      <c r="AH544" s="65"/>
      <c r="AI544" s="178"/>
      <c r="AJ544" s="178"/>
    </row>
    <row r="545" spans="1:36" x14ac:dyDescent="0.25">
      <c r="A545" s="138"/>
      <c r="B545" s="138"/>
      <c r="C545" s="138"/>
      <c r="D545" s="138"/>
      <c r="E545" s="138"/>
      <c r="F545" s="138"/>
      <c r="G545" s="138"/>
      <c r="H545" s="148"/>
      <c r="I545" s="148">
        <v>0</v>
      </c>
      <c r="J545" s="148">
        <v>0</v>
      </c>
      <c r="K545" s="138"/>
      <c r="L545" s="138"/>
      <c r="M545" s="138"/>
      <c r="N545" s="138"/>
      <c r="O545" s="138"/>
      <c r="P545" s="138"/>
      <c r="Q545" s="138"/>
      <c r="R545" s="169"/>
      <c r="S545" s="169"/>
      <c r="T545" s="169"/>
      <c r="U545" s="169"/>
      <c r="V545" s="169"/>
      <c r="W545" s="169"/>
      <c r="X545" s="169"/>
      <c r="Y545" s="169"/>
      <c r="Z545" s="169"/>
      <c r="AA545" s="169"/>
      <c r="AB545" s="169"/>
      <c r="AC545" s="169"/>
      <c r="AD545" s="169"/>
      <c r="AE545" s="149"/>
      <c r="AF545" s="178"/>
      <c r="AG545" s="178"/>
      <c r="AH545" s="65"/>
      <c r="AI545" s="178"/>
      <c r="AJ545" s="178"/>
    </row>
    <row r="546" spans="1:36" x14ac:dyDescent="0.25">
      <c r="A546" s="167">
        <v>645</v>
      </c>
      <c r="B546" s="167">
        <v>645001</v>
      </c>
      <c r="C546" s="168" t="s">
        <v>1674</v>
      </c>
      <c r="D546" s="272" t="s">
        <v>3329</v>
      </c>
      <c r="E546" s="272" t="s">
        <v>2806</v>
      </c>
      <c r="F546" s="138"/>
      <c r="G546" s="59">
        <f>(DATE(2021,12,30)-(F546))/365</f>
        <v>122.08219178082192</v>
      </c>
      <c r="H546" s="57"/>
      <c r="I546" s="57">
        <v>0</v>
      </c>
      <c r="J546" s="57">
        <v>0</v>
      </c>
      <c r="K546" s="63"/>
      <c r="L546" s="172">
        <f>SUM(J546/2080)</f>
        <v>0</v>
      </c>
      <c r="M546" s="172">
        <f>SUM(J546/26)</f>
        <v>0</v>
      </c>
      <c r="N546" s="172"/>
      <c r="O546" s="173"/>
      <c r="P546" s="172">
        <v>0</v>
      </c>
      <c r="Q546" s="172">
        <f>IF(N546+P546&gt;5000,5000,N546+P546)</f>
        <v>0</v>
      </c>
      <c r="R546" s="172">
        <f>Q546+J546</f>
        <v>0</v>
      </c>
      <c r="S546" s="173"/>
      <c r="T546" s="173"/>
      <c r="U546" s="173"/>
      <c r="V546" s="172">
        <f>SUM(R546:U546)</f>
        <v>0</v>
      </c>
      <c r="W546" s="172">
        <f>SUM(V546*$W$7)</f>
        <v>0</v>
      </c>
      <c r="X546" s="172">
        <f>SUM(V546*$X$7)</f>
        <v>0</v>
      </c>
      <c r="Y546" s="172">
        <f>SUM(V546*$Y$7)</f>
        <v>0</v>
      </c>
      <c r="Z546" s="172">
        <f>SUM(V546*$Z$7)</f>
        <v>0</v>
      </c>
      <c r="AA546" s="172">
        <f>SUM(V546*$AA$7)</f>
        <v>0</v>
      </c>
      <c r="AB546" s="172">
        <v>0</v>
      </c>
      <c r="AC546" s="172">
        <v>0</v>
      </c>
      <c r="AD546" s="172">
        <f>SUM(AB546+AC546)*$AD$7</f>
        <v>0</v>
      </c>
      <c r="AE546" s="170">
        <v>645</v>
      </c>
      <c r="AF546" s="198">
        <f>SUM(J546-I546)</f>
        <v>0</v>
      </c>
      <c r="AG546" s="69">
        <f t="shared" ref="AG546:AG547" si="684">SUM(W546:AD546)</f>
        <v>0</v>
      </c>
      <c r="AH546" s="65"/>
      <c r="AI546" s="69">
        <f t="shared" ref="AI546:AI547" si="685">AG546-AH546</f>
        <v>0</v>
      </c>
      <c r="AJ546" s="69">
        <f t="shared" ref="AJ546:AJ547" si="686">AF546+AI546</f>
        <v>0</v>
      </c>
    </row>
    <row r="547" spans="1:36" x14ac:dyDescent="0.25">
      <c r="A547" s="167">
        <v>645</v>
      </c>
      <c r="B547" s="138"/>
      <c r="C547" s="138"/>
      <c r="D547" s="138"/>
      <c r="E547" s="138"/>
      <c r="F547" s="138"/>
      <c r="G547" s="138"/>
      <c r="H547" s="221"/>
      <c r="I547" s="221">
        <v>0</v>
      </c>
      <c r="J547" s="222">
        <f>SUM(J546)</f>
        <v>0</v>
      </c>
      <c r="K547" s="223"/>
      <c r="L547" s="223">
        <f t="shared" ref="L547:AD547" si="687">SUM(L545:L546)</f>
        <v>0</v>
      </c>
      <c r="M547" s="223">
        <f t="shared" si="687"/>
        <v>0</v>
      </c>
      <c r="N547" s="223">
        <f t="shared" si="687"/>
        <v>0</v>
      </c>
      <c r="O547" s="223">
        <f t="shared" si="687"/>
        <v>0</v>
      </c>
      <c r="P547" s="223">
        <f t="shared" si="687"/>
        <v>0</v>
      </c>
      <c r="Q547" s="223">
        <f t="shared" si="687"/>
        <v>0</v>
      </c>
      <c r="R547" s="223">
        <f t="shared" si="687"/>
        <v>0</v>
      </c>
      <c r="S547" s="223">
        <f t="shared" si="687"/>
        <v>0</v>
      </c>
      <c r="T547" s="223">
        <f t="shared" si="687"/>
        <v>0</v>
      </c>
      <c r="U547" s="223">
        <f t="shared" si="687"/>
        <v>0</v>
      </c>
      <c r="V547" s="223">
        <f t="shared" si="687"/>
        <v>0</v>
      </c>
      <c r="W547" s="223">
        <f t="shared" si="687"/>
        <v>0</v>
      </c>
      <c r="X547" s="223">
        <f t="shared" si="687"/>
        <v>0</v>
      </c>
      <c r="Y547" s="223">
        <f t="shared" si="687"/>
        <v>0</v>
      </c>
      <c r="Z547" s="223">
        <f t="shared" si="687"/>
        <v>0</v>
      </c>
      <c r="AA547" s="223">
        <f t="shared" si="687"/>
        <v>0</v>
      </c>
      <c r="AB547" s="223">
        <f t="shared" si="687"/>
        <v>0</v>
      </c>
      <c r="AC547" s="223">
        <f t="shared" si="687"/>
        <v>0</v>
      </c>
      <c r="AD547" s="223">
        <f t="shared" si="687"/>
        <v>0</v>
      </c>
      <c r="AE547" s="170">
        <v>645</v>
      </c>
      <c r="AF547" s="230">
        <f>SUM(AF546)</f>
        <v>0</v>
      </c>
      <c r="AG547" s="100">
        <f t="shared" si="684"/>
        <v>0</v>
      </c>
      <c r="AH547" s="225">
        <v>20020.79</v>
      </c>
      <c r="AI547" s="226">
        <f t="shared" si="685"/>
        <v>-20020.79</v>
      </c>
      <c r="AJ547" s="226">
        <f t="shared" si="686"/>
        <v>-20020.79</v>
      </c>
    </row>
    <row r="548" spans="1:36" x14ac:dyDescent="0.25">
      <c r="A548" s="138"/>
      <c r="B548" s="138"/>
      <c r="C548" s="138"/>
      <c r="D548" s="138"/>
      <c r="E548" s="138"/>
      <c r="F548" s="138"/>
      <c r="G548" s="138"/>
      <c r="H548" s="148"/>
      <c r="I548" s="148"/>
      <c r="J548" s="148"/>
      <c r="K548" s="138"/>
      <c r="L548" s="138"/>
      <c r="M548" s="138"/>
      <c r="N548" s="138"/>
      <c r="O548" s="138"/>
      <c r="P548" s="138"/>
      <c r="Q548" s="138"/>
      <c r="R548" s="169"/>
      <c r="S548" s="169"/>
      <c r="T548" s="169"/>
      <c r="U548" s="169"/>
      <c r="V548" s="169"/>
      <c r="W548" s="63">
        <f>SUM(W547:X547)</f>
        <v>0</v>
      </c>
      <c r="X548" s="169"/>
      <c r="Y548" s="169"/>
      <c r="Z548" s="169"/>
      <c r="AA548" s="169"/>
      <c r="AB548" s="169"/>
      <c r="AC548" s="63">
        <f>SUM(AC547:AD547)</f>
        <v>0</v>
      </c>
      <c r="AD548" s="169"/>
      <c r="AE548" s="149"/>
      <c r="AF548" s="178"/>
      <c r="AG548" s="178"/>
      <c r="AH548" s="67">
        <v>18050.25</v>
      </c>
      <c r="AI548" s="178"/>
      <c r="AJ548" s="178"/>
    </row>
    <row r="549" spans="1:36" x14ac:dyDescent="0.25">
      <c r="A549" s="138"/>
      <c r="B549" s="138"/>
      <c r="C549" s="138"/>
      <c r="D549" s="138"/>
      <c r="E549" s="138"/>
      <c r="F549" s="138"/>
      <c r="G549" s="138"/>
      <c r="H549" s="148"/>
      <c r="I549" s="148"/>
      <c r="J549" s="148"/>
      <c r="K549" s="138"/>
      <c r="L549" s="138"/>
      <c r="M549" s="138"/>
      <c r="N549" s="138"/>
      <c r="O549" s="138"/>
      <c r="P549" s="138"/>
      <c r="Q549" s="138"/>
      <c r="R549" s="169"/>
      <c r="S549" s="169"/>
      <c r="T549" s="169"/>
      <c r="U549" s="169"/>
      <c r="V549" s="169"/>
      <c r="W549" s="169"/>
      <c r="X549" s="169"/>
      <c r="Y549" s="169"/>
      <c r="Z549" s="169"/>
      <c r="AA549" s="169"/>
      <c r="AB549" s="169"/>
      <c r="AC549" s="169"/>
      <c r="AD549" s="169"/>
      <c r="AE549" s="149"/>
      <c r="AF549" s="178"/>
      <c r="AG549" s="178"/>
      <c r="AH549" s="67">
        <v>0</v>
      </c>
      <c r="AI549" s="178"/>
      <c r="AJ549" s="178"/>
    </row>
    <row r="550" spans="1:36" x14ac:dyDescent="0.25">
      <c r="A550" s="167">
        <v>650</v>
      </c>
      <c r="B550" s="92" t="s">
        <v>3342</v>
      </c>
      <c r="C550" s="168" t="s">
        <v>3343</v>
      </c>
      <c r="D550" s="183" t="s">
        <v>3344</v>
      </c>
      <c r="E550" s="183" t="s">
        <v>3207</v>
      </c>
      <c r="F550" s="273">
        <v>43402</v>
      </c>
      <c r="G550" s="59">
        <f t="shared" ref="G550:G552" si="688">(DATE(2021,12,30)-(F550))/365</f>
        <v>3.1726027397260275</v>
      </c>
      <c r="H550" s="57"/>
      <c r="I550" s="57">
        <v>45984</v>
      </c>
      <c r="J550" s="57">
        <v>45984</v>
      </c>
      <c r="K550" s="59"/>
      <c r="L550" s="59">
        <f t="shared" ref="L550:L552" si="689">SUM(J550/$L$7)</f>
        <v>22.107692307692307</v>
      </c>
      <c r="M550" s="61">
        <f t="shared" ref="M550:M552" si="690">SUM(J550/$M$7)</f>
        <v>1768.6153846153845</v>
      </c>
      <c r="N550" s="100">
        <f t="shared" ref="N550:N552" si="691">IF(G550&lt;4,0,(G550-1)*264)</f>
        <v>0</v>
      </c>
      <c r="O550" s="138"/>
      <c r="P550" s="138"/>
      <c r="Q550" s="63">
        <f t="shared" ref="Q550:Q552" si="692">IF(N550+P550&gt;5000,5000,N550+P550)</f>
        <v>0</v>
      </c>
      <c r="R550" s="63">
        <f t="shared" ref="R550:R554" si="693">SUM(J550+Q550)</f>
        <v>45984</v>
      </c>
      <c r="S550" s="169"/>
      <c r="T550" s="169"/>
      <c r="U550" s="169"/>
      <c r="V550" s="63">
        <f t="shared" ref="V550:V554" si="694">SUM(R550:U550)</f>
        <v>45984</v>
      </c>
      <c r="W550" s="63">
        <f t="shared" ref="W550:W554" si="695">SUM(V550*$W$7)</f>
        <v>2851.0079999999998</v>
      </c>
      <c r="X550" s="63">
        <f t="shared" ref="X550:X554" si="696">SUM(V550*$X$7)</f>
        <v>666.76800000000003</v>
      </c>
      <c r="Y550" s="63">
        <f t="shared" ref="Y550:Y554" si="697">SUM(V550*$Y$7)</f>
        <v>6469.9487999999992</v>
      </c>
      <c r="Z550" s="63">
        <f t="shared" ref="Z550:Z554" si="698">SUM(V550*$Z$7)</f>
        <v>73.574399999999997</v>
      </c>
      <c r="AA550" s="63">
        <f t="shared" ref="AA550:AA554" si="699">SUM(V550*$AA$7)</f>
        <v>32.188800000000001</v>
      </c>
      <c r="AB550" s="63">
        <f t="shared" ref="AB550:AB552" si="700">SUM($AB$7)</f>
        <v>335</v>
      </c>
      <c r="AC550" s="63">
        <f t="shared" ref="AC550:AC552" si="701">$AC$7</f>
        <v>10356.36</v>
      </c>
      <c r="AD550" s="63">
        <f t="shared" ref="AD550:AD552" si="702">SUM(AB550+AC550)*$AD$7</f>
        <v>106.9136</v>
      </c>
      <c r="AE550" s="170">
        <v>650</v>
      </c>
      <c r="AF550" s="69">
        <f t="shared" ref="AF550:AF554" si="703">SUM(J550-I550)</f>
        <v>0</v>
      </c>
      <c r="AG550" s="69">
        <f t="shared" ref="AG550:AG555" si="704">SUM(W550:AD550)</f>
        <v>20891.761599999998</v>
      </c>
      <c r="AH550" s="67">
        <v>38071.040000000001</v>
      </c>
      <c r="AI550" s="69">
        <f t="shared" ref="AI550:AI555" si="705">AG550-AH550</f>
        <v>-17179.278400000003</v>
      </c>
      <c r="AJ550" s="69">
        <f t="shared" ref="AJ550:AJ555" si="706">AF550+AI550</f>
        <v>-17179.278400000003</v>
      </c>
    </row>
    <row r="551" spans="1:36" x14ac:dyDescent="0.25">
      <c r="A551" s="167">
        <v>650</v>
      </c>
      <c r="B551" s="92" t="s">
        <v>3345</v>
      </c>
      <c r="C551" s="168" t="s">
        <v>3346</v>
      </c>
      <c r="D551" s="168" t="s">
        <v>3057</v>
      </c>
      <c r="E551" s="168" t="s">
        <v>3347</v>
      </c>
      <c r="F551" s="58">
        <v>43108</v>
      </c>
      <c r="G551" s="59">
        <f t="shared" si="688"/>
        <v>3.978082191780822</v>
      </c>
      <c r="H551" s="57"/>
      <c r="I551" s="57">
        <v>32236</v>
      </c>
      <c r="J551" s="57">
        <v>32236</v>
      </c>
      <c r="K551" s="59"/>
      <c r="L551" s="59">
        <f t="shared" si="689"/>
        <v>15.498076923076923</v>
      </c>
      <c r="M551" s="61">
        <f t="shared" si="690"/>
        <v>1239.8461538461538</v>
      </c>
      <c r="N551" s="100">
        <f t="shared" si="691"/>
        <v>0</v>
      </c>
      <c r="O551" s="138"/>
      <c r="P551" s="138"/>
      <c r="Q551" s="63">
        <f t="shared" si="692"/>
        <v>0</v>
      </c>
      <c r="R551" s="63">
        <f t="shared" si="693"/>
        <v>32236</v>
      </c>
      <c r="S551" s="169"/>
      <c r="T551" s="169"/>
      <c r="U551" s="169"/>
      <c r="V551" s="63">
        <f t="shared" si="694"/>
        <v>32236</v>
      </c>
      <c r="W551" s="63">
        <f t="shared" si="695"/>
        <v>1998.6320000000001</v>
      </c>
      <c r="X551" s="63">
        <f t="shared" si="696"/>
        <v>467.42200000000003</v>
      </c>
      <c r="Y551" s="63">
        <f t="shared" si="697"/>
        <v>4535.6052</v>
      </c>
      <c r="Z551" s="63">
        <f t="shared" si="698"/>
        <v>51.577600000000004</v>
      </c>
      <c r="AA551" s="63">
        <f t="shared" si="699"/>
        <v>22.565200000000001</v>
      </c>
      <c r="AB551" s="63">
        <f t="shared" si="700"/>
        <v>335</v>
      </c>
      <c r="AC551" s="63">
        <f t="shared" si="701"/>
        <v>10356.36</v>
      </c>
      <c r="AD551" s="63">
        <f t="shared" si="702"/>
        <v>106.9136</v>
      </c>
      <c r="AE551" s="170">
        <v>650</v>
      </c>
      <c r="AF551" s="69">
        <f t="shared" si="703"/>
        <v>0</v>
      </c>
      <c r="AG551" s="69">
        <f t="shared" si="704"/>
        <v>17874.0756</v>
      </c>
      <c r="AH551" s="67">
        <v>38071.040000000001</v>
      </c>
      <c r="AI551" s="69">
        <f t="shared" si="705"/>
        <v>-20196.964400000001</v>
      </c>
      <c r="AJ551" s="69">
        <f t="shared" si="706"/>
        <v>-20196.964400000001</v>
      </c>
    </row>
    <row r="552" spans="1:36" x14ac:dyDescent="0.25">
      <c r="A552" s="167">
        <v>650</v>
      </c>
      <c r="B552" s="92" t="s">
        <v>3348</v>
      </c>
      <c r="C552" s="168" t="s">
        <v>3349</v>
      </c>
      <c r="D552" s="181" t="s">
        <v>2999</v>
      </c>
      <c r="E552" s="181" t="s">
        <v>3350</v>
      </c>
      <c r="F552" s="74">
        <v>42736</v>
      </c>
      <c r="G552" s="59">
        <f t="shared" si="688"/>
        <v>4.9972602739726026</v>
      </c>
      <c r="H552" s="57"/>
      <c r="I552" s="57">
        <v>30150</v>
      </c>
      <c r="J552" s="182">
        <v>30703</v>
      </c>
      <c r="K552" s="59"/>
      <c r="L552" s="59">
        <f t="shared" si="689"/>
        <v>14.761057692307693</v>
      </c>
      <c r="M552" s="61">
        <f t="shared" si="690"/>
        <v>1180.8846153846155</v>
      </c>
      <c r="N552" s="100">
        <f t="shared" si="691"/>
        <v>1055.2767123287672</v>
      </c>
      <c r="O552" s="138"/>
      <c r="P552" s="138"/>
      <c r="Q552" s="63">
        <f t="shared" si="692"/>
        <v>1055.2767123287672</v>
      </c>
      <c r="R552" s="63">
        <f t="shared" si="693"/>
        <v>31758.276712328767</v>
      </c>
      <c r="S552" s="169"/>
      <c r="T552" s="169"/>
      <c r="U552" s="169"/>
      <c r="V552" s="63">
        <f t="shared" si="694"/>
        <v>31758.276712328767</v>
      </c>
      <c r="W552" s="63">
        <f t="shared" si="695"/>
        <v>1969.0131561643834</v>
      </c>
      <c r="X552" s="63">
        <f t="shared" si="696"/>
        <v>460.49501232876713</v>
      </c>
      <c r="Y552" s="63">
        <f t="shared" si="697"/>
        <v>4468.3895334246572</v>
      </c>
      <c r="Z552" s="63">
        <f t="shared" si="698"/>
        <v>50.813242739726029</v>
      </c>
      <c r="AA552" s="63">
        <f t="shared" si="699"/>
        <v>22.230793698630137</v>
      </c>
      <c r="AB552" s="63">
        <f t="shared" si="700"/>
        <v>335</v>
      </c>
      <c r="AC552" s="63">
        <f t="shared" si="701"/>
        <v>10356.36</v>
      </c>
      <c r="AD552" s="63">
        <f t="shared" si="702"/>
        <v>106.9136</v>
      </c>
      <c r="AE552" s="170">
        <v>650</v>
      </c>
      <c r="AF552" s="69">
        <f t="shared" si="703"/>
        <v>553</v>
      </c>
      <c r="AG552" s="69">
        <f t="shared" si="704"/>
        <v>17769.215338356164</v>
      </c>
      <c r="AH552" s="65"/>
      <c r="AI552" s="69">
        <f t="shared" si="705"/>
        <v>17769.215338356164</v>
      </c>
      <c r="AJ552" s="69">
        <f t="shared" si="706"/>
        <v>18322.215338356164</v>
      </c>
    </row>
    <row r="553" spans="1:36" x14ac:dyDescent="0.25">
      <c r="A553" s="167">
        <v>650</v>
      </c>
      <c r="B553" s="138"/>
      <c r="C553" s="168" t="s">
        <v>2495</v>
      </c>
      <c r="D553" s="138" t="s">
        <v>3351</v>
      </c>
      <c r="E553" s="138" t="s">
        <v>3352</v>
      </c>
      <c r="F553" s="84">
        <v>43277</v>
      </c>
      <c r="G553" s="167" t="s">
        <v>2422</v>
      </c>
      <c r="H553" s="57"/>
      <c r="I553" s="57">
        <v>745</v>
      </c>
      <c r="J553" s="57">
        <v>745</v>
      </c>
      <c r="K553" s="138"/>
      <c r="L553" s="138"/>
      <c r="M553" s="138"/>
      <c r="N553" s="167" t="s">
        <v>27</v>
      </c>
      <c r="O553" s="138"/>
      <c r="P553" s="138"/>
      <c r="Q553" s="169"/>
      <c r="R553" s="63">
        <f t="shared" si="693"/>
        <v>745</v>
      </c>
      <c r="S553" s="169"/>
      <c r="T553" s="169"/>
      <c r="U553" s="169"/>
      <c r="V553" s="63">
        <f t="shared" si="694"/>
        <v>745</v>
      </c>
      <c r="W553" s="63">
        <f t="shared" si="695"/>
        <v>46.19</v>
      </c>
      <c r="X553" s="63">
        <f t="shared" si="696"/>
        <v>10.8025</v>
      </c>
      <c r="Y553" s="63">
        <f t="shared" si="697"/>
        <v>104.8215</v>
      </c>
      <c r="Z553" s="63">
        <f t="shared" si="698"/>
        <v>1.1919999999999999</v>
      </c>
      <c r="AA553" s="63">
        <f t="shared" si="699"/>
        <v>0.52149999999999996</v>
      </c>
      <c r="AB553" s="63" t="s">
        <v>2422</v>
      </c>
      <c r="AC553" s="63" t="s">
        <v>2422</v>
      </c>
      <c r="AD553" s="63" t="s">
        <v>2422</v>
      </c>
      <c r="AE553" s="170">
        <v>650</v>
      </c>
      <c r="AF553" s="69">
        <f t="shared" si="703"/>
        <v>0</v>
      </c>
      <c r="AG553" s="69">
        <f t="shared" si="704"/>
        <v>163.5275</v>
      </c>
      <c r="AH553" s="65"/>
      <c r="AI553" s="69">
        <f t="shared" si="705"/>
        <v>163.5275</v>
      </c>
      <c r="AJ553" s="69">
        <f t="shared" si="706"/>
        <v>163.5275</v>
      </c>
    </row>
    <row r="554" spans="1:36" x14ac:dyDescent="0.25">
      <c r="A554" s="167">
        <v>650</v>
      </c>
      <c r="B554" s="138"/>
      <c r="C554" s="271" t="s">
        <v>3850</v>
      </c>
      <c r="D554" s="168" t="s">
        <v>3354</v>
      </c>
      <c r="E554" s="168" t="s">
        <v>3355</v>
      </c>
      <c r="F554" s="58">
        <v>43494</v>
      </c>
      <c r="G554" s="167" t="s">
        <v>2422</v>
      </c>
      <c r="H554" s="88"/>
      <c r="I554" s="88">
        <v>49920</v>
      </c>
      <c r="J554" s="218">
        <v>49920</v>
      </c>
      <c r="K554" s="219"/>
      <c r="L554" s="219"/>
      <c r="M554" s="219"/>
      <c r="N554" s="220" t="s">
        <v>27</v>
      </c>
      <c r="O554" s="219"/>
      <c r="P554" s="219"/>
      <c r="Q554" s="173"/>
      <c r="R554" s="172">
        <f t="shared" si="693"/>
        <v>49920</v>
      </c>
      <c r="S554" s="173"/>
      <c r="T554" s="173"/>
      <c r="U554" s="173"/>
      <c r="V554" s="172">
        <f t="shared" si="694"/>
        <v>49920</v>
      </c>
      <c r="W554" s="172">
        <f t="shared" si="695"/>
        <v>3095.04</v>
      </c>
      <c r="X554" s="172">
        <f t="shared" si="696"/>
        <v>723.84</v>
      </c>
      <c r="Y554" s="172">
        <f t="shared" si="697"/>
        <v>7023.7439999999997</v>
      </c>
      <c r="Z554" s="172">
        <f t="shared" si="698"/>
        <v>79.872</v>
      </c>
      <c r="AA554" s="172">
        <f t="shared" si="699"/>
        <v>34.944000000000003</v>
      </c>
      <c r="AB554" s="172" t="s">
        <v>2422</v>
      </c>
      <c r="AC554" s="172" t="s">
        <v>2422</v>
      </c>
      <c r="AD554" s="172" t="s">
        <v>2422</v>
      </c>
      <c r="AE554" s="170">
        <v>650</v>
      </c>
      <c r="AF554" s="69">
        <f t="shared" si="703"/>
        <v>0</v>
      </c>
      <c r="AG554" s="69">
        <f t="shared" si="704"/>
        <v>10957.439999999999</v>
      </c>
      <c r="AH554" s="67">
        <v>0</v>
      </c>
      <c r="AI554" s="69">
        <f t="shared" si="705"/>
        <v>10957.439999999999</v>
      </c>
      <c r="AJ554" s="100">
        <f t="shared" si="706"/>
        <v>10957.439999999999</v>
      </c>
    </row>
    <row r="555" spans="1:36" x14ac:dyDescent="0.25">
      <c r="A555" s="167">
        <v>650</v>
      </c>
      <c r="B555" s="138"/>
      <c r="C555" s="138"/>
      <c r="D555" s="168" t="s">
        <v>2999</v>
      </c>
      <c r="E555" s="168" t="s">
        <v>3357</v>
      </c>
      <c r="F555" s="58">
        <v>43368</v>
      </c>
      <c r="G555" s="138"/>
      <c r="H555" s="221"/>
      <c r="I555" s="222">
        <f t="shared" ref="I555:J555" si="707">SUM(I550:I554)</f>
        <v>159035</v>
      </c>
      <c r="J555" s="222">
        <f t="shared" si="707"/>
        <v>159588</v>
      </c>
      <c r="K555" s="223"/>
      <c r="L555" s="223">
        <f t="shared" ref="L555:AD555" si="708">SUM(L549:L554)</f>
        <v>52.366826923076921</v>
      </c>
      <c r="M555" s="223">
        <f t="shared" si="708"/>
        <v>4189.3461538461534</v>
      </c>
      <c r="N555" s="223">
        <f t="shared" si="708"/>
        <v>1055.2767123287672</v>
      </c>
      <c r="O555" s="223">
        <f t="shared" si="708"/>
        <v>0</v>
      </c>
      <c r="P555" s="223">
        <f t="shared" si="708"/>
        <v>0</v>
      </c>
      <c r="Q555" s="223">
        <f t="shared" si="708"/>
        <v>1055.2767123287672</v>
      </c>
      <c r="R555" s="223">
        <f t="shared" si="708"/>
        <v>160643.27671232878</v>
      </c>
      <c r="S555" s="223">
        <f t="shared" si="708"/>
        <v>0</v>
      </c>
      <c r="T555" s="223">
        <f t="shared" si="708"/>
        <v>0</v>
      </c>
      <c r="U555" s="223">
        <f t="shared" si="708"/>
        <v>0</v>
      </c>
      <c r="V555" s="223">
        <f t="shared" si="708"/>
        <v>160643.27671232878</v>
      </c>
      <c r="W555" s="223">
        <f t="shared" si="708"/>
        <v>9959.8831561643819</v>
      </c>
      <c r="X555" s="223">
        <f t="shared" si="708"/>
        <v>2329.3275123287672</v>
      </c>
      <c r="Y555" s="223">
        <f t="shared" si="708"/>
        <v>22602.509033424656</v>
      </c>
      <c r="Z555" s="223">
        <f t="shared" si="708"/>
        <v>257.02924273972604</v>
      </c>
      <c r="AA555" s="223">
        <f t="shared" si="708"/>
        <v>112.45029369863015</v>
      </c>
      <c r="AB555" s="223">
        <f t="shared" si="708"/>
        <v>1005</v>
      </c>
      <c r="AC555" s="223">
        <f t="shared" si="708"/>
        <v>31069.08</v>
      </c>
      <c r="AD555" s="223">
        <f t="shared" si="708"/>
        <v>320.74080000000004</v>
      </c>
      <c r="AE555" s="170">
        <v>650</v>
      </c>
      <c r="AF555" s="230">
        <f>SUM(AF550:AF554)</f>
        <v>553</v>
      </c>
      <c r="AG555" s="100">
        <f t="shared" si="704"/>
        <v>67656.020038356161</v>
      </c>
      <c r="AH555" s="225">
        <v>0</v>
      </c>
      <c r="AI555" s="226">
        <f t="shared" si="705"/>
        <v>67656.020038356161</v>
      </c>
      <c r="AJ555" s="226">
        <f t="shared" si="706"/>
        <v>68209.020038356161</v>
      </c>
    </row>
    <row r="556" spans="1:36" hidden="1" x14ac:dyDescent="0.25">
      <c r="A556" s="138"/>
      <c r="B556" s="138"/>
      <c r="C556" s="138"/>
      <c r="D556" s="168"/>
      <c r="E556" s="168"/>
      <c r="F556" s="58"/>
      <c r="G556" s="138"/>
      <c r="H556" s="78"/>
      <c r="I556" s="78">
        <v>108370</v>
      </c>
      <c r="J556" s="78">
        <f>SUM(J550:J552)</f>
        <v>108923</v>
      </c>
      <c r="K556" s="138"/>
      <c r="L556" s="138"/>
      <c r="M556" s="138"/>
      <c r="N556" s="138"/>
      <c r="O556" s="138"/>
      <c r="P556" s="138"/>
      <c r="Q556" s="138"/>
      <c r="R556" s="169"/>
      <c r="S556" s="169"/>
      <c r="T556" s="169"/>
      <c r="U556" s="169"/>
      <c r="V556" s="169"/>
      <c r="W556" s="63">
        <f>SUM(W555:X555)</f>
        <v>12289.21066849315</v>
      </c>
      <c r="X556" s="169"/>
      <c r="Y556" s="169"/>
      <c r="Z556" s="169"/>
      <c r="AA556" s="169"/>
      <c r="AB556" s="169"/>
      <c r="AC556" s="63">
        <f>SUM(AC555:AD555)</f>
        <v>31389.820800000001</v>
      </c>
      <c r="AD556" s="169"/>
      <c r="AE556" s="149"/>
      <c r="AF556" s="69">
        <f t="shared" ref="AF556:AG556" si="709">SUM(AF550:AF554)</f>
        <v>553</v>
      </c>
      <c r="AG556" s="69">
        <f t="shared" si="709"/>
        <v>67656.020038356161</v>
      </c>
      <c r="AH556" s="65"/>
      <c r="AI556" s="69">
        <f t="shared" ref="AI556:AJ556" si="710">SUM(AI550:AI554)</f>
        <v>-8486.0599616438449</v>
      </c>
      <c r="AJ556" s="69">
        <f t="shared" si="710"/>
        <v>-7933.0599616438449</v>
      </c>
    </row>
    <row r="557" spans="1:36" x14ac:dyDescent="0.25">
      <c r="A557" s="138"/>
      <c r="B557" s="138"/>
      <c r="C557" s="138"/>
      <c r="D557" s="138" t="s">
        <v>3358</v>
      </c>
      <c r="E557" s="138" t="s">
        <v>3306</v>
      </c>
      <c r="F557" s="99">
        <v>43402</v>
      </c>
      <c r="G557" s="138"/>
      <c r="H557" s="148"/>
      <c r="I557" s="148"/>
      <c r="J557" s="148"/>
      <c r="K557" s="138"/>
      <c r="L557" s="138"/>
      <c r="M557" s="138"/>
      <c r="N557" s="138"/>
      <c r="O557" s="138"/>
      <c r="P557" s="138"/>
      <c r="Q557" s="138"/>
      <c r="R557" s="169"/>
      <c r="S557" s="169"/>
      <c r="T557" s="169"/>
      <c r="U557" s="169"/>
      <c r="V557" s="169"/>
      <c r="W557" s="169"/>
      <c r="X557" s="169"/>
      <c r="Y557" s="169"/>
      <c r="Z557" s="169"/>
      <c r="AA557" s="169"/>
      <c r="AB557" s="169"/>
      <c r="AC557" s="169"/>
      <c r="AD557" s="169"/>
      <c r="AE557" s="149"/>
      <c r="AF557" s="178"/>
      <c r="AG557" s="178"/>
      <c r="AH557" s="65"/>
      <c r="AI557" s="178"/>
      <c r="AJ557" s="178"/>
    </row>
    <row r="558" spans="1:36" x14ac:dyDescent="0.25">
      <c r="A558" s="138"/>
      <c r="B558" s="138"/>
      <c r="C558" s="138"/>
      <c r="D558" s="168" t="s">
        <v>2737</v>
      </c>
      <c r="E558" s="168" t="s">
        <v>2959</v>
      </c>
      <c r="F558" s="58">
        <v>41612</v>
      </c>
      <c r="G558" s="138"/>
      <c r="H558" s="148"/>
      <c r="I558" s="148"/>
      <c r="J558" s="148"/>
      <c r="K558" s="138"/>
      <c r="L558" s="138"/>
      <c r="M558" s="138"/>
      <c r="N558" s="138"/>
      <c r="O558" s="138"/>
      <c r="P558" s="138"/>
      <c r="Q558" s="138"/>
      <c r="R558" s="169"/>
      <c r="S558" s="169"/>
      <c r="T558" s="169"/>
      <c r="U558" s="169"/>
      <c r="V558" s="169"/>
      <c r="W558" s="169"/>
      <c r="X558" s="169"/>
      <c r="Y558" s="169"/>
      <c r="Z558" s="169"/>
      <c r="AA558" s="169"/>
      <c r="AB558" s="169"/>
      <c r="AC558" s="169"/>
      <c r="AD558" s="169"/>
      <c r="AE558" s="149"/>
      <c r="AF558" s="178"/>
      <c r="AG558" s="178"/>
      <c r="AH558" s="67">
        <v>21328.61</v>
      </c>
      <c r="AI558" s="178"/>
      <c r="AJ558" s="178"/>
    </row>
    <row r="559" spans="1:36" x14ac:dyDescent="0.25">
      <c r="A559" s="138"/>
      <c r="B559" s="138"/>
      <c r="C559" s="138"/>
      <c r="D559" s="138"/>
      <c r="E559" s="138"/>
      <c r="F559" s="138"/>
      <c r="G559" s="138"/>
      <c r="H559" s="148"/>
      <c r="I559" s="148"/>
      <c r="J559" s="274"/>
      <c r="K559" s="219"/>
      <c r="L559" s="219"/>
      <c r="M559" s="219"/>
      <c r="N559" s="219"/>
      <c r="O559" s="219"/>
      <c r="P559" s="219"/>
      <c r="Q559" s="219"/>
      <c r="R559" s="173"/>
      <c r="S559" s="173"/>
      <c r="T559" s="173"/>
      <c r="U559" s="173"/>
      <c r="V559" s="173"/>
      <c r="W559" s="173"/>
      <c r="X559" s="173"/>
      <c r="Y559" s="173"/>
      <c r="Z559" s="173"/>
      <c r="AA559" s="173"/>
      <c r="AB559" s="173"/>
      <c r="AC559" s="173"/>
      <c r="AD559" s="173"/>
      <c r="AE559" s="149"/>
      <c r="AF559" s="243"/>
      <c r="AG559" s="178"/>
      <c r="AH559" s="67">
        <v>18180.32</v>
      </c>
      <c r="AI559" s="178"/>
      <c r="AJ559" s="178"/>
    </row>
    <row r="560" spans="1:36" x14ac:dyDescent="0.25">
      <c r="A560" s="167">
        <v>660</v>
      </c>
      <c r="B560" s="168"/>
      <c r="C560" s="168" t="s">
        <v>3359</v>
      </c>
      <c r="D560" s="168" t="s">
        <v>3360</v>
      </c>
      <c r="E560" s="168" t="s">
        <v>2719</v>
      </c>
      <c r="F560" s="58">
        <v>43243</v>
      </c>
      <c r="G560" s="167" t="s">
        <v>2422</v>
      </c>
      <c r="H560" s="221"/>
      <c r="I560" s="222">
        <v>12460.24</v>
      </c>
      <c r="J560" s="222">
        <v>12460.24</v>
      </c>
      <c r="K560" s="275"/>
      <c r="L560" s="275">
        <f>SUM(J560/$L$7)</f>
        <v>5.9904999999999999</v>
      </c>
      <c r="M560" s="223">
        <f>SUM(J560/$M$7)</f>
        <v>479.24</v>
      </c>
      <c r="N560" s="223">
        <v>0</v>
      </c>
      <c r="O560" s="276"/>
      <c r="P560" s="276"/>
      <c r="Q560" s="223">
        <f>SUM(N560+P560)</f>
        <v>0</v>
      </c>
      <c r="R560" s="175">
        <f>SUM(J560+Q560)</f>
        <v>12460.24</v>
      </c>
      <c r="S560" s="175">
        <v>0</v>
      </c>
      <c r="T560" s="175">
        <v>0</v>
      </c>
      <c r="U560" s="175">
        <v>0</v>
      </c>
      <c r="V560" s="175">
        <f>SUM(R560:U560)</f>
        <v>12460.24</v>
      </c>
      <c r="W560" s="175">
        <f>SUM(V560*$W$7)</f>
        <v>772.53487999999993</v>
      </c>
      <c r="X560" s="175">
        <f>SUM(V560*$X$7)</f>
        <v>180.67348000000001</v>
      </c>
      <c r="Y560" s="175">
        <f>SUM(V560*$Y$7)</f>
        <v>1753.1557679999999</v>
      </c>
      <c r="Z560" s="175">
        <f>SUM(V560*$Z$7)</f>
        <v>19.936384</v>
      </c>
      <c r="AA560" s="175">
        <f>SUM(V560*$AA$7)</f>
        <v>8.7221679999999999</v>
      </c>
      <c r="AB560" s="175">
        <v>0</v>
      </c>
      <c r="AC560" s="175">
        <v>0</v>
      </c>
      <c r="AD560" s="175">
        <v>0</v>
      </c>
      <c r="AE560" s="170">
        <v>660</v>
      </c>
      <c r="AF560" s="230">
        <f>SUM(J560-I560)</f>
        <v>0</v>
      </c>
      <c r="AG560" s="69">
        <f>SUM(W560:AD560)</f>
        <v>2735.0226799999996</v>
      </c>
      <c r="AH560" s="67">
        <v>17702.62</v>
      </c>
      <c r="AI560" s="176">
        <f>AG560-AH560</f>
        <v>-14967.597319999999</v>
      </c>
      <c r="AJ560" s="226">
        <f>AF560+AI560</f>
        <v>-14967.597319999999</v>
      </c>
    </row>
    <row r="561" spans="1:36" x14ac:dyDescent="0.25">
      <c r="A561" s="138"/>
      <c r="B561" s="138"/>
      <c r="C561" s="138"/>
      <c r="D561" s="138"/>
      <c r="E561" s="138"/>
      <c r="F561" s="138"/>
      <c r="G561" s="138"/>
      <c r="H561" s="148"/>
      <c r="I561" s="148"/>
      <c r="J561" s="148"/>
      <c r="K561" s="138"/>
      <c r="L561" s="138"/>
      <c r="M561" s="138"/>
      <c r="N561" s="138"/>
      <c r="O561" s="138"/>
      <c r="P561" s="138"/>
      <c r="Q561" s="138"/>
      <c r="R561" s="169"/>
      <c r="S561" s="169"/>
      <c r="T561" s="169"/>
      <c r="U561" s="169"/>
      <c r="V561" s="169"/>
      <c r="W561" s="63">
        <f>SUM(W560:X560)</f>
        <v>953.20835999999997</v>
      </c>
      <c r="X561" s="169"/>
      <c r="Y561" s="169"/>
      <c r="Z561" s="169"/>
      <c r="AA561" s="169"/>
      <c r="AB561" s="169"/>
      <c r="AC561" s="63">
        <v>0</v>
      </c>
      <c r="AD561" s="169"/>
      <c r="AE561" s="149"/>
      <c r="AF561" s="178"/>
      <c r="AG561" s="178"/>
      <c r="AH561" s="67">
        <v>170.61</v>
      </c>
      <c r="AI561" s="178"/>
      <c r="AJ561" s="178"/>
    </row>
    <row r="562" spans="1:36" x14ac:dyDescent="0.25">
      <c r="A562" s="138"/>
      <c r="B562" s="138"/>
      <c r="C562" s="138"/>
      <c r="D562" s="138"/>
      <c r="E562" s="138"/>
      <c r="F562" s="138"/>
      <c r="G562" s="138"/>
      <c r="H562" s="148"/>
      <c r="I562" s="148"/>
      <c r="J562" s="148"/>
      <c r="K562" s="138"/>
      <c r="L562" s="138"/>
      <c r="M562" s="138"/>
      <c r="N562" s="138"/>
      <c r="O562" s="138"/>
      <c r="P562" s="138"/>
      <c r="Q562" s="138"/>
      <c r="R562" s="169"/>
      <c r="S562" s="169"/>
      <c r="T562" s="169"/>
      <c r="U562" s="169"/>
      <c r="V562" s="169"/>
      <c r="W562" s="169"/>
      <c r="X562" s="169"/>
      <c r="Y562" s="169"/>
      <c r="Z562" s="169"/>
      <c r="AA562" s="169"/>
      <c r="AB562" s="169"/>
      <c r="AC562" s="169"/>
      <c r="AD562" s="169"/>
      <c r="AE562" s="149"/>
      <c r="AF562" s="178"/>
      <c r="AG562" s="178"/>
      <c r="AH562" s="67">
        <v>11431.68</v>
      </c>
      <c r="AI562" s="178"/>
      <c r="AJ562" s="178"/>
    </row>
    <row r="563" spans="1:36" x14ac:dyDescent="0.25">
      <c r="A563" s="138"/>
      <c r="B563" s="138"/>
      <c r="C563" s="138"/>
      <c r="D563" s="138"/>
      <c r="E563" s="138"/>
      <c r="F563" s="138"/>
      <c r="G563" s="138"/>
      <c r="H563" s="148"/>
      <c r="I563" s="148"/>
      <c r="J563" s="148"/>
      <c r="K563" s="138"/>
      <c r="L563" s="138"/>
      <c r="M563" s="138"/>
      <c r="N563" s="138"/>
      <c r="O563" s="138"/>
      <c r="P563" s="138"/>
      <c r="Q563" s="138"/>
      <c r="R563" s="169"/>
      <c r="S563" s="169"/>
      <c r="T563" s="169"/>
      <c r="U563" s="169"/>
      <c r="V563" s="169"/>
      <c r="W563" s="169"/>
      <c r="X563" s="169"/>
      <c r="Y563" s="169"/>
      <c r="Z563" s="169"/>
      <c r="AA563" s="169"/>
      <c r="AB563" s="169"/>
      <c r="AC563" s="169"/>
      <c r="AD563" s="169"/>
      <c r="AE563" s="149"/>
      <c r="AF563" s="178"/>
      <c r="AG563" s="178"/>
      <c r="AH563" s="67">
        <v>68813.84</v>
      </c>
      <c r="AI563" s="178"/>
      <c r="AJ563" s="178"/>
    </row>
    <row r="564" spans="1:36" x14ac:dyDescent="0.25">
      <c r="A564" s="167">
        <v>665</v>
      </c>
      <c r="B564" s="92" t="s">
        <v>3362</v>
      </c>
      <c r="C564" s="71" t="s">
        <v>3363</v>
      </c>
      <c r="D564" s="71" t="s">
        <v>3367</v>
      </c>
      <c r="E564" s="71" t="s">
        <v>3368</v>
      </c>
      <c r="F564" s="73">
        <v>43808</v>
      </c>
      <c r="G564" s="59">
        <f t="shared" ref="G564:G568" si="711">(DATE(2021,12,30)-(F564))/365</f>
        <v>2.0602739726027397</v>
      </c>
      <c r="H564" s="57"/>
      <c r="I564" s="66">
        <v>33184</v>
      </c>
      <c r="J564" s="182">
        <v>33792</v>
      </c>
      <c r="K564" s="59"/>
      <c r="L564" s="59">
        <f t="shared" ref="L564:L568" si="712">SUM(J564/$L$7)</f>
        <v>16.246153846153845</v>
      </c>
      <c r="M564" s="61">
        <f t="shared" ref="M564:M568" si="713">SUM(J564/$M$7)</f>
        <v>1299.6923076923076</v>
      </c>
      <c r="N564" s="100">
        <v>0</v>
      </c>
      <c r="O564" s="138"/>
      <c r="P564" s="138"/>
      <c r="Q564" s="63">
        <f t="shared" ref="Q564:Q568" si="714">IF(N564+P564&gt;5000,5000,N564+P564)</f>
        <v>0</v>
      </c>
      <c r="R564" s="63">
        <f t="shared" ref="R564:R568" si="715">SUM(J564+Q564)</f>
        <v>33792</v>
      </c>
      <c r="S564" s="169"/>
      <c r="T564" s="169"/>
      <c r="U564" s="169"/>
      <c r="V564" s="63">
        <f t="shared" ref="V564:V568" si="716">SUM(R564:U564)</f>
        <v>33792</v>
      </c>
      <c r="W564" s="63">
        <f t="shared" ref="W564:W568" si="717">SUM(V564*$W$7)</f>
        <v>2095.1039999999998</v>
      </c>
      <c r="X564" s="63">
        <f t="shared" ref="X564:X568" si="718">SUM(V564*$X$7)</f>
        <v>489.98400000000004</v>
      </c>
      <c r="Y564" s="63">
        <f t="shared" ref="Y564:Y565" si="719">SUM(V564*$Y$7)</f>
        <v>4754.5343999999996</v>
      </c>
      <c r="Z564" s="63">
        <f t="shared" ref="Z564:Z565" si="720">SUM(V564*$Z$7)</f>
        <v>54.0672</v>
      </c>
      <c r="AA564" s="63">
        <f t="shared" ref="AA564:AA568" si="721">SUM(V564*$AA$7)</f>
        <v>23.654399999999999</v>
      </c>
      <c r="AB564" s="63">
        <f t="shared" ref="AB564:AB565" si="722">SUM($AB$7)</f>
        <v>335</v>
      </c>
      <c r="AC564" s="63">
        <f t="shared" ref="AC564:AC565" si="723">$AC$7</f>
        <v>10356.36</v>
      </c>
      <c r="AD564" s="63">
        <f t="shared" ref="AD564:AD565" si="724">SUM(AB564+AC564)*$AD$7</f>
        <v>106.9136</v>
      </c>
      <c r="AE564" s="170">
        <v>665</v>
      </c>
      <c r="AF564" s="69">
        <f t="shared" ref="AF564:AF568" si="725">SUM(J564-I564)</f>
        <v>608</v>
      </c>
      <c r="AG564" s="69">
        <f t="shared" ref="AG564:AG569" si="726">SUM(W564:AD564)</f>
        <v>18215.617600000001</v>
      </c>
      <c r="AH564" s="67">
        <v>68813.84</v>
      </c>
      <c r="AI564" s="69">
        <f t="shared" ref="AI564:AI569" si="727">AG564-AH564</f>
        <v>-50598.222399999999</v>
      </c>
      <c r="AJ564" s="69">
        <f t="shared" ref="AJ564:AJ569" si="728">AF564+AI564</f>
        <v>-49990.222399999999</v>
      </c>
    </row>
    <row r="565" spans="1:36" x14ac:dyDescent="0.25">
      <c r="A565" s="167">
        <v>665</v>
      </c>
      <c r="B565" s="92" t="s">
        <v>3366</v>
      </c>
      <c r="C565" s="71" t="s">
        <v>3363</v>
      </c>
      <c r="D565" s="168" t="s">
        <v>3364</v>
      </c>
      <c r="E565" s="168" t="s">
        <v>3365</v>
      </c>
      <c r="F565" s="108">
        <v>43297</v>
      </c>
      <c r="G565" s="59">
        <f t="shared" si="711"/>
        <v>3.4602739726027396</v>
      </c>
      <c r="H565" s="57"/>
      <c r="I565" s="57">
        <v>33184</v>
      </c>
      <c r="J565" s="57">
        <v>33184</v>
      </c>
      <c r="K565" s="59"/>
      <c r="L565" s="59">
        <f t="shared" si="712"/>
        <v>15.953846153846154</v>
      </c>
      <c r="M565" s="61">
        <f t="shared" si="713"/>
        <v>1276.3076923076924</v>
      </c>
      <c r="N565" s="100">
        <f>IF(G565&lt;4,0,(G565-1)*264)</f>
        <v>0</v>
      </c>
      <c r="O565" s="138"/>
      <c r="P565" s="138"/>
      <c r="Q565" s="63">
        <f t="shared" si="714"/>
        <v>0</v>
      </c>
      <c r="R565" s="63">
        <f t="shared" si="715"/>
        <v>33184</v>
      </c>
      <c r="S565" s="169"/>
      <c r="T565" s="169"/>
      <c r="U565" s="169"/>
      <c r="V565" s="63">
        <f t="shared" si="716"/>
        <v>33184</v>
      </c>
      <c r="W565" s="63">
        <f t="shared" si="717"/>
        <v>2057.4079999999999</v>
      </c>
      <c r="X565" s="63">
        <f t="shared" si="718"/>
        <v>481.16800000000001</v>
      </c>
      <c r="Y565" s="63">
        <f t="shared" si="719"/>
        <v>4668.9888000000001</v>
      </c>
      <c r="Z565" s="63">
        <f t="shared" si="720"/>
        <v>53.0944</v>
      </c>
      <c r="AA565" s="63">
        <f t="shared" si="721"/>
        <v>23.2288</v>
      </c>
      <c r="AB565" s="63">
        <f t="shared" si="722"/>
        <v>335</v>
      </c>
      <c r="AC565" s="63">
        <f t="shared" si="723"/>
        <v>10356.36</v>
      </c>
      <c r="AD565" s="63">
        <f t="shared" si="724"/>
        <v>106.9136</v>
      </c>
      <c r="AE565" s="170">
        <v>665</v>
      </c>
      <c r="AF565" s="69">
        <f t="shared" si="725"/>
        <v>0</v>
      </c>
      <c r="AG565" s="69">
        <f t="shared" si="726"/>
        <v>18082.161599999999</v>
      </c>
      <c r="AH565" s="65"/>
      <c r="AI565" s="69">
        <f t="shared" si="727"/>
        <v>18082.161599999999</v>
      </c>
      <c r="AJ565" s="69">
        <f t="shared" si="728"/>
        <v>18082.161599999999</v>
      </c>
    </row>
    <row r="566" spans="1:36" x14ac:dyDescent="0.25">
      <c r="A566" s="167">
        <v>665</v>
      </c>
      <c r="B566" s="92" t="s">
        <v>3369</v>
      </c>
      <c r="C566" s="168" t="s">
        <v>3370</v>
      </c>
      <c r="D566" s="168" t="s">
        <v>3371</v>
      </c>
      <c r="E566" s="277" t="s">
        <v>2674</v>
      </c>
      <c r="F566" s="58">
        <v>42484</v>
      </c>
      <c r="G566" s="59">
        <f t="shared" si="711"/>
        <v>5.6876712328767125</v>
      </c>
      <c r="H566" s="88"/>
      <c r="I566" s="88">
        <v>19745.259999999998</v>
      </c>
      <c r="J566" s="88">
        <v>19745.259999999998</v>
      </c>
      <c r="K566" s="59"/>
      <c r="L566" s="59">
        <f t="shared" si="712"/>
        <v>9.4929134615384605</v>
      </c>
      <c r="M566" s="61">
        <f t="shared" si="713"/>
        <v>759.4330769230769</v>
      </c>
      <c r="N566" s="100">
        <f t="shared" ref="N566:N568" si="729">IF(G566&lt;4,0,(G566-1)*0)</f>
        <v>0</v>
      </c>
      <c r="O566" s="138"/>
      <c r="P566" s="138"/>
      <c r="Q566" s="63">
        <f t="shared" si="714"/>
        <v>0</v>
      </c>
      <c r="R566" s="63">
        <f t="shared" si="715"/>
        <v>19745.259999999998</v>
      </c>
      <c r="S566" s="63">
        <v>4920</v>
      </c>
      <c r="T566" s="169"/>
      <c r="U566" s="169"/>
      <c r="V566" s="63">
        <f t="shared" si="716"/>
        <v>24665.26</v>
      </c>
      <c r="W566" s="63">
        <f t="shared" si="717"/>
        <v>1529.2461199999998</v>
      </c>
      <c r="X566" s="63">
        <f t="shared" si="718"/>
        <v>357.64627000000002</v>
      </c>
      <c r="Y566" s="63" t="s">
        <v>2422</v>
      </c>
      <c r="Z566" s="63" t="s">
        <v>2422</v>
      </c>
      <c r="AA566" s="63">
        <f t="shared" si="721"/>
        <v>17.265681999999998</v>
      </c>
      <c r="AB566" s="63" t="s">
        <v>2422</v>
      </c>
      <c r="AC566" s="63" t="s">
        <v>2422</v>
      </c>
      <c r="AD566" s="63" t="s">
        <v>2422</v>
      </c>
      <c r="AE566" s="170">
        <v>665</v>
      </c>
      <c r="AF566" s="69">
        <f t="shared" si="725"/>
        <v>0</v>
      </c>
      <c r="AG566" s="69">
        <f t="shared" si="726"/>
        <v>1904.1580719999997</v>
      </c>
      <c r="AH566" s="65"/>
      <c r="AI566" s="69">
        <f t="shared" si="727"/>
        <v>1904.1580719999997</v>
      </c>
      <c r="AJ566" s="100">
        <f t="shared" si="728"/>
        <v>1904.1580719999997</v>
      </c>
    </row>
    <row r="567" spans="1:36" x14ac:dyDescent="0.25">
      <c r="A567" s="167">
        <v>665</v>
      </c>
      <c r="B567" s="92" t="s">
        <v>3372</v>
      </c>
      <c r="C567" s="168" t="s">
        <v>3373</v>
      </c>
      <c r="D567" s="71" t="s">
        <v>3374</v>
      </c>
      <c r="E567" s="278" t="s">
        <v>2430</v>
      </c>
      <c r="F567" s="58">
        <v>42081</v>
      </c>
      <c r="G567" s="59">
        <f t="shared" si="711"/>
        <v>6.7917808219178086</v>
      </c>
      <c r="H567" s="88"/>
      <c r="I567" s="88">
        <v>16711.080000000002</v>
      </c>
      <c r="J567" s="88">
        <v>16711.080000000002</v>
      </c>
      <c r="K567" s="59"/>
      <c r="L567" s="59">
        <f t="shared" si="712"/>
        <v>8.0341730769230786</v>
      </c>
      <c r="M567" s="61">
        <f t="shared" si="713"/>
        <v>642.73384615384623</v>
      </c>
      <c r="N567" s="100">
        <f t="shared" si="729"/>
        <v>0</v>
      </c>
      <c r="O567" s="138"/>
      <c r="P567" s="138"/>
      <c r="Q567" s="63">
        <f t="shared" si="714"/>
        <v>0</v>
      </c>
      <c r="R567" s="63">
        <f t="shared" si="715"/>
        <v>16711.080000000002</v>
      </c>
      <c r="S567" s="63">
        <v>4200</v>
      </c>
      <c r="T567" s="169"/>
      <c r="U567" s="169"/>
      <c r="V567" s="63">
        <f t="shared" si="716"/>
        <v>20911.080000000002</v>
      </c>
      <c r="W567" s="63">
        <f t="shared" si="717"/>
        <v>1296.4869600000002</v>
      </c>
      <c r="X567" s="63">
        <f t="shared" si="718"/>
        <v>303.21066000000002</v>
      </c>
      <c r="Y567" s="63" t="s">
        <v>2422</v>
      </c>
      <c r="Z567" s="63" t="s">
        <v>2422</v>
      </c>
      <c r="AA567" s="63">
        <f t="shared" si="721"/>
        <v>14.637756000000001</v>
      </c>
      <c r="AB567" s="63" t="s">
        <v>2422</v>
      </c>
      <c r="AC567" s="63" t="s">
        <v>2422</v>
      </c>
      <c r="AD567" s="63" t="s">
        <v>2422</v>
      </c>
      <c r="AE567" s="170">
        <v>665</v>
      </c>
      <c r="AF567" s="69">
        <f t="shared" si="725"/>
        <v>0</v>
      </c>
      <c r="AG567" s="69">
        <f t="shared" si="726"/>
        <v>1614.3353760000002</v>
      </c>
      <c r="AH567" s="65"/>
      <c r="AI567" s="69">
        <f t="shared" si="727"/>
        <v>1614.3353760000002</v>
      </c>
      <c r="AJ567" s="100">
        <f t="shared" si="728"/>
        <v>1614.3353760000002</v>
      </c>
    </row>
    <row r="568" spans="1:36" x14ac:dyDescent="0.25">
      <c r="A568" s="167">
        <v>665</v>
      </c>
      <c r="B568" s="92" t="s">
        <v>3375</v>
      </c>
      <c r="C568" s="168" t="s">
        <v>3376</v>
      </c>
      <c r="D568" s="168" t="s">
        <v>3377</v>
      </c>
      <c r="E568" s="277" t="s">
        <v>3378</v>
      </c>
      <c r="F568" s="58">
        <v>41548</v>
      </c>
      <c r="G568" s="59">
        <f t="shared" si="711"/>
        <v>8.2520547945205482</v>
      </c>
      <c r="H568" s="88"/>
      <c r="I568" s="88">
        <v>19745.259999999998</v>
      </c>
      <c r="J568" s="218">
        <v>19745.259999999998</v>
      </c>
      <c r="K568" s="269"/>
      <c r="L568" s="269">
        <f t="shared" si="712"/>
        <v>9.4929134615384605</v>
      </c>
      <c r="M568" s="132">
        <f t="shared" si="713"/>
        <v>759.4330769230769</v>
      </c>
      <c r="N568" s="132">
        <f t="shared" si="729"/>
        <v>0</v>
      </c>
      <c r="O568" s="219"/>
      <c r="P568" s="219"/>
      <c r="Q568" s="172">
        <f t="shared" si="714"/>
        <v>0</v>
      </c>
      <c r="R568" s="172">
        <f t="shared" si="715"/>
        <v>19745.259999999998</v>
      </c>
      <c r="S568" s="172">
        <v>4200</v>
      </c>
      <c r="T568" s="173"/>
      <c r="U568" s="173"/>
      <c r="V568" s="172">
        <f t="shared" si="716"/>
        <v>23945.26</v>
      </c>
      <c r="W568" s="172">
        <f t="shared" si="717"/>
        <v>1484.6061199999999</v>
      </c>
      <c r="X568" s="172">
        <f t="shared" si="718"/>
        <v>347.20627000000002</v>
      </c>
      <c r="Y568" s="172" t="s">
        <v>2422</v>
      </c>
      <c r="Z568" s="172" t="s">
        <v>2422</v>
      </c>
      <c r="AA568" s="172">
        <f t="shared" si="721"/>
        <v>16.761682</v>
      </c>
      <c r="AB568" s="172" t="s">
        <v>2422</v>
      </c>
      <c r="AC568" s="172" t="s">
        <v>2422</v>
      </c>
      <c r="AD568" s="172" t="s">
        <v>2422</v>
      </c>
      <c r="AE568" s="170">
        <v>665</v>
      </c>
      <c r="AF568" s="69">
        <f t="shared" si="725"/>
        <v>0</v>
      </c>
      <c r="AG568" s="69">
        <f t="shared" si="726"/>
        <v>1848.5740720000001</v>
      </c>
      <c r="AH568" s="67">
        <v>2853.39</v>
      </c>
      <c r="AI568" s="69">
        <f t="shared" si="727"/>
        <v>-1004.8159279999998</v>
      </c>
      <c r="AJ568" s="100">
        <f t="shared" si="728"/>
        <v>-1004.8159279999998</v>
      </c>
    </row>
    <row r="569" spans="1:36" x14ac:dyDescent="0.25">
      <c r="A569" s="167">
        <v>665</v>
      </c>
      <c r="B569" s="138"/>
      <c r="C569" s="138"/>
      <c r="D569" s="138"/>
      <c r="E569" s="138"/>
      <c r="F569" s="138"/>
      <c r="G569" s="138"/>
      <c r="H569" s="221"/>
      <c r="I569" s="222">
        <f t="shared" ref="I569:J569" si="730">SUM(I564:I568)</f>
        <v>122569.59999999999</v>
      </c>
      <c r="J569" s="222">
        <f t="shared" si="730"/>
        <v>123177.59999999999</v>
      </c>
      <c r="K569" s="223"/>
      <c r="L569" s="223">
        <f t="shared" ref="L569:X569" si="731">SUM(L563:L568)</f>
        <v>59.220000000000013</v>
      </c>
      <c r="M569" s="223">
        <f t="shared" si="731"/>
        <v>4737.6000000000004</v>
      </c>
      <c r="N569" s="223">
        <f t="shared" si="731"/>
        <v>0</v>
      </c>
      <c r="O569" s="223">
        <f t="shared" si="731"/>
        <v>0</v>
      </c>
      <c r="P569" s="223">
        <f t="shared" si="731"/>
        <v>0</v>
      </c>
      <c r="Q569" s="223">
        <f t="shared" si="731"/>
        <v>0</v>
      </c>
      <c r="R569" s="223">
        <f t="shared" si="731"/>
        <v>123177.59999999999</v>
      </c>
      <c r="S569" s="223">
        <f t="shared" si="731"/>
        <v>13320</v>
      </c>
      <c r="T569" s="223">
        <f t="shared" si="731"/>
        <v>0</v>
      </c>
      <c r="U569" s="223">
        <f t="shared" si="731"/>
        <v>0</v>
      </c>
      <c r="V569" s="223">
        <f t="shared" si="731"/>
        <v>136497.60000000001</v>
      </c>
      <c r="W569" s="223">
        <f t="shared" si="731"/>
        <v>8462.8511999999992</v>
      </c>
      <c r="X569" s="223">
        <f t="shared" si="731"/>
        <v>1979.2152000000001</v>
      </c>
      <c r="Y569" s="223">
        <f t="shared" ref="Y569:Z569" si="732">SUM(Y564:Y565)</f>
        <v>9423.5231999999996</v>
      </c>
      <c r="Z569" s="223">
        <f t="shared" si="732"/>
        <v>107.16159999999999</v>
      </c>
      <c r="AA569" s="223">
        <f t="shared" ref="AA569:AD569" si="733">SUM(AA563:AA568)</f>
        <v>95.54831999999999</v>
      </c>
      <c r="AB569" s="223">
        <f t="shared" si="733"/>
        <v>670</v>
      </c>
      <c r="AC569" s="223">
        <f t="shared" si="733"/>
        <v>20712.72</v>
      </c>
      <c r="AD569" s="223">
        <f t="shared" si="733"/>
        <v>213.8272</v>
      </c>
      <c r="AE569" s="170">
        <v>665</v>
      </c>
      <c r="AF569" s="230">
        <f>SUM(AF564:AF568)</f>
        <v>608</v>
      </c>
      <c r="AG569" s="100">
        <f t="shared" si="726"/>
        <v>41664.846720000001</v>
      </c>
      <c r="AH569" s="62"/>
      <c r="AI569" s="226">
        <f t="shared" si="727"/>
        <v>41664.846720000001</v>
      </c>
      <c r="AJ569" s="226">
        <f t="shared" si="728"/>
        <v>42272.846720000001</v>
      </c>
    </row>
    <row r="570" spans="1:36" x14ac:dyDescent="0.25">
      <c r="A570" s="138"/>
      <c r="B570" s="138"/>
      <c r="C570" s="138"/>
      <c r="D570" s="138"/>
      <c r="E570" s="279" t="s">
        <v>3379</v>
      </c>
      <c r="F570" s="280"/>
      <c r="G570" s="280"/>
      <c r="H570" s="148"/>
      <c r="I570" s="148"/>
      <c r="J570" s="148"/>
      <c r="K570" s="148"/>
      <c r="L570" s="148"/>
      <c r="M570" s="138"/>
      <c r="N570" s="138"/>
      <c r="O570" s="138"/>
      <c r="P570" s="138"/>
      <c r="Q570" s="138"/>
      <c r="R570" s="169"/>
      <c r="S570" s="169"/>
      <c r="T570" s="169"/>
      <c r="U570" s="169"/>
      <c r="V570" s="169"/>
      <c r="W570" s="63">
        <f>SUM(W569:X569)</f>
        <v>10442.0664</v>
      </c>
      <c r="X570" s="169"/>
      <c r="Y570" s="169"/>
      <c r="Z570" s="169"/>
      <c r="AA570" s="169"/>
      <c r="AB570" s="169"/>
      <c r="AC570" s="63">
        <f>SUM(AC569:AD569)</f>
        <v>20926.547200000001</v>
      </c>
      <c r="AD570" s="169"/>
      <c r="AE570" s="149"/>
      <c r="AF570" s="69">
        <f t="shared" ref="AF570:AG570" si="734">SUM(AF564:AF568)</f>
        <v>608</v>
      </c>
      <c r="AG570" s="69">
        <f t="shared" si="734"/>
        <v>41664.846720000009</v>
      </c>
      <c r="AH570" s="65"/>
      <c r="AI570" s="69">
        <f t="shared" ref="AI570:AJ570" si="735">SUM(AI564:AI568)</f>
        <v>-30002.383280000002</v>
      </c>
      <c r="AJ570" s="69">
        <f t="shared" si="735"/>
        <v>-29394.383280000002</v>
      </c>
    </row>
    <row r="571" spans="1:36" x14ac:dyDescent="0.25">
      <c r="A571" s="138"/>
      <c r="B571" s="138"/>
      <c r="C571" s="138"/>
      <c r="D571" s="138"/>
      <c r="E571" s="138"/>
      <c r="F571" s="138"/>
      <c r="G571" s="138"/>
      <c r="H571" s="179"/>
      <c r="I571" s="179"/>
      <c r="J571" s="179" t="s">
        <v>0</v>
      </c>
      <c r="K571" s="138"/>
      <c r="L571" s="138"/>
      <c r="M571" s="138"/>
      <c r="N571" s="138"/>
      <c r="O571" s="138"/>
      <c r="P571" s="138"/>
      <c r="Q571" s="138"/>
      <c r="R571" s="169"/>
      <c r="S571" s="169"/>
      <c r="T571" s="169"/>
      <c r="U571" s="169"/>
      <c r="V571" s="169"/>
      <c r="W571" s="169"/>
      <c r="X571" s="169"/>
      <c r="Y571" s="169"/>
      <c r="Z571" s="169"/>
      <c r="AA571" s="169"/>
      <c r="AB571" s="169"/>
      <c r="AC571" s="169"/>
      <c r="AD571" s="169"/>
      <c r="AE571" s="149"/>
      <c r="AF571" s="178"/>
      <c r="AG571" s="178"/>
      <c r="AH571" s="65"/>
      <c r="AI571" s="178"/>
      <c r="AJ571" s="178"/>
    </row>
    <row r="572" spans="1:36" x14ac:dyDescent="0.25">
      <c r="A572" s="498" t="s">
        <v>3380</v>
      </c>
      <c r="B572" s="499"/>
      <c r="C572" s="499"/>
      <c r="D572" s="281"/>
      <c r="E572" s="281"/>
      <c r="F572" s="281"/>
      <c r="G572" s="281"/>
      <c r="H572" s="282"/>
      <c r="I572" s="282">
        <v>14775947.010000002</v>
      </c>
      <c r="J572" s="282">
        <f>SUM(J16+J36+J47+J51+J60+J70+J76+J87+J96+J107+J125+J134+J142+J149+J157+J164+J168+J188+J197+J223+J238+J247+J254+J258+J277+J293+J303+J308+J313+J318+J323+J398+J499+J507+J517+J522+J532+J542+J547+J555+J560+J569)</f>
        <v>15249771.109999999</v>
      </c>
      <c r="K572" s="281"/>
      <c r="L572" s="282">
        <f t="shared" ref="L572:V572" si="736">SUM(L16+L36+L47+L51+L60+L70+L76+L87+L96+L107+L125+L134+L142+L149+L157+L164+L168+L188+L197+L223+L238+L247+L254+L258+L277+L293+L303+L308+L313+L318+L323+L398+L499+L507+L517+L522+L532+L542+L547+L555+L560+L569)</f>
        <v>7139.7865576923105</v>
      </c>
      <c r="M572" s="282">
        <f t="shared" si="736"/>
        <v>571403.94923076918</v>
      </c>
      <c r="N572" s="282">
        <f t="shared" si="736"/>
        <v>45031.890410958906</v>
      </c>
      <c r="O572" s="282">
        <f t="shared" si="736"/>
        <v>19605.080000000002</v>
      </c>
      <c r="P572" s="282">
        <f t="shared" si="736"/>
        <v>0</v>
      </c>
      <c r="Q572" s="282">
        <f t="shared" si="736"/>
        <v>58930.78493150686</v>
      </c>
      <c r="R572" s="282">
        <f t="shared" si="736"/>
        <v>15295201.894931506</v>
      </c>
      <c r="S572" s="282">
        <f t="shared" si="736"/>
        <v>17520</v>
      </c>
      <c r="T572" s="282">
        <f t="shared" si="736"/>
        <v>86600</v>
      </c>
      <c r="U572" s="282">
        <f t="shared" si="736"/>
        <v>40000</v>
      </c>
      <c r="V572" s="282">
        <f t="shared" si="736"/>
        <v>15439321.894931506</v>
      </c>
      <c r="W572" s="282"/>
      <c r="X572" s="282"/>
      <c r="Y572" s="282"/>
      <c r="Z572" s="282"/>
      <c r="AA572" s="282"/>
      <c r="AB572" s="282"/>
      <c r="AC572" s="282"/>
      <c r="AD572" s="282"/>
      <c r="AE572" s="283"/>
      <c r="AF572" s="281"/>
      <c r="AG572" s="281"/>
      <c r="AH572" s="67">
        <v>18970.14</v>
      </c>
      <c r="AI572" s="281"/>
      <c r="AJ572" s="281"/>
    </row>
    <row r="573" spans="1:36" x14ac:dyDescent="0.25">
      <c r="A573" s="138"/>
      <c r="B573" s="138"/>
      <c r="C573" s="168"/>
      <c r="G573" s="138"/>
      <c r="H573" s="148"/>
      <c r="I573" s="148"/>
      <c r="J573" s="148"/>
      <c r="K573" s="138"/>
      <c r="L573" s="138"/>
      <c r="M573" s="138"/>
      <c r="N573" s="138"/>
      <c r="O573" s="138"/>
      <c r="P573" s="138"/>
      <c r="Q573" s="138"/>
      <c r="R573" s="169"/>
      <c r="S573" s="169"/>
      <c r="T573" s="169"/>
      <c r="U573" s="169"/>
      <c r="V573" s="169"/>
      <c r="W573" s="169"/>
      <c r="X573" s="169"/>
      <c r="Y573" s="169"/>
      <c r="Z573" s="169"/>
      <c r="AA573" s="169"/>
      <c r="AB573" s="169"/>
      <c r="AC573" s="169"/>
      <c r="AD573" s="169"/>
      <c r="AE573" s="149"/>
      <c r="AF573" s="178"/>
      <c r="AG573" s="178"/>
      <c r="AH573" s="67">
        <v>18397.41</v>
      </c>
      <c r="AI573" s="178"/>
      <c r="AJ573" s="178"/>
    </row>
    <row r="574" spans="1:36" x14ac:dyDescent="0.25">
      <c r="A574" s="138"/>
      <c r="B574" s="138"/>
      <c r="C574" s="138"/>
      <c r="D574" s="138"/>
      <c r="E574" s="138"/>
      <c r="F574" s="138"/>
      <c r="G574" s="138"/>
      <c r="H574" s="148"/>
      <c r="I574" s="148"/>
      <c r="J574" s="148"/>
      <c r="K574" s="138"/>
      <c r="L574" s="138"/>
      <c r="M574" s="138"/>
      <c r="N574" s="138"/>
      <c r="O574" s="138"/>
      <c r="P574" s="138"/>
      <c r="Q574" s="138"/>
      <c r="R574" s="169"/>
      <c r="S574" s="169"/>
      <c r="T574" s="169"/>
      <c r="U574" s="169"/>
      <c r="V574" s="169"/>
      <c r="W574" s="169"/>
      <c r="X574" s="169"/>
      <c r="Y574" s="169"/>
      <c r="Z574" s="169"/>
      <c r="AA574" s="169"/>
      <c r="AB574" s="169"/>
      <c r="AC574" s="169"/>
      <c r="AD574" s="169"/>
      <c r="AE574" s="149"/>
      <c r="AF574" s="178"/>
      <c r="AG574" s="178"/>
      <c r="AH574" s="67">
        <v>1904.16</v>
      </c>
      <c r="AI574" s="178"/>
      <c r="AJ574" s="178"/>
    </row>
    <row r="575" spans="1:36" x14ac:dyDescent="0.25">
      <c r="A575" s="168" t="s">
        <v>3381</v>
      </c>
      <c r="B575" s="92" t="s">
        <v>3382</v>
      </c>
      <c r="C575" s="168" t="s">
        <v>3383</v>
      </c>
      <c r="D575" s="168" t="s">
        <v>2900</v>
      </c>
      <c r="E575" s="168" t="s">
        <v>3851</v>
      </c>
      <c r="F575" s="58">
        <v>43439</v>
      </c>
      <c r="G575" s="59">
        <f>(DATE(2021,12,30)-(F575))/365</f>
        <v>3.0712328767123287</v>
      </c>
      <c r="H575" s="57"/>
      <c r="I575" s="57">
        <v>69905</v>
      </c>
      <c r="J575" s="57">
        <v>69905</v>
      </c>
      <c r="K575" s="59"/>
      <c r="L575" s="59">
        <f>SUM(J575/$L$7)</f>
        <v>33.60817307692308</v>
      </c>
      <c r="M575" s="61">
        <f>SUM(J575/$M$7)</f>
        <v>2688.6538461538462</v>
      </c>
      <c r="N575" s="100">
        <f>IF(G575&lt;4,0,(G575-1)*264)</f>
        <v>0</v>
      </c>
      <c r="O575" s="138"/>
      <c r="P575" s="138"/>
      <c r="Q575" s="61">
        <f>SUM(N575+P575)</f>
        <v>0</v>
      </c>
      <c r="R575" s="63">
        <f>SUM(J575+Q575)</f>
        <v>69905</v>
      </c>
      <c r="S575" s="63">
        <v>4200</v>
      </c>
      <c r="T575" s="169"/>
      <c r="U575" s="169"/>
      <c r="V575" s="63">
        <f t="shared" ref="V575:V586" si="737">SUM(R575:U575)</f>
        <v>74105</v>
      </c>
      <c r="W575" s="63">
        <f t="shared" ref="W575:W586" si="738">SUM(V575*$W$7)</f>
        <v>4594.51</v>
      </c>
      <c r="X575" s="63">
        <f t="shared" ref="X575:X586" si="739">SUM(V575*$X$7)</f>
        <v>1074.5225</v>
      </c>
      <c r="Y575" s="63">
        <f>SUM(V575*$Y$7)</f>
        <v>10426.573499999999</v>
      </c>
      <c r="Z575" s="63">
        <f>SUM(V575*$Z$7)</f>
        <v>118.56800000000001</v>
      </c>
      <c r="AA575" s="63" t="s">
        <v>2420</v>
      </c>
      <c r="AB575" s="63">
        <f>SUM($AB$7)</f>
        <v>335</v>
      </c>
      <c r="AC575" s="63">
        <f>$AC$7</f>
        <v>10356.36</v>
      </c>
      <c r="AD575" s="63">
        <f>SUM(AB575+AC575)*$AD$7</f>
        <v>106.9136</v>
      </c>
      <c r="AE575" s="149" t="s">
        <v>3381</v>
      </c>
      <c r="AF575" s="69">
        <f t="shared" ref="AF575:AF587" si="740">SUM(J575-I575)</f>
        <v>0</v>
      </c>
      <c r="AG575" s="69">
        <f t="shared" ref="AG575:AG588" si="741">SUM(W575:AD575)</f>
        <v>27012.4476</v>
      </c>
      <c r="AH575" s="67">
        <v>1614.34</v>
      </c>
      <c r="AI575" s="69">
        <f t="shared" ref="AI575:AI588" si="742">AG575-AH575</f>
        <v>25398.107599999999</v>
      </c>
      <c r="AJ575" s="69">
        <f t="shared" ref="AJ575:AJ588" si="743">AF575+AI575</f>
        <v>25398.107599999999</v>
      </c>
    </row>
    <row r="576" spans="1:36" x14ac:dyDescent="0.25">
      <c r="A576" s="138"/>
      <c r="B576" s="138"/>
      <c r="C576" s="168" t="s">
        <v>2901</v>
      </c>
      <c r="D576" s="168" t="s">
        <v>2900</v>
      </c>
      <c r="E576" s="168" t="s">
        <v>3851</v>
      </c>
      <c r="F576" s="138"/>
      <c r="G576" s="167" t="s">
        <v>2422</v>
      </c>
      <c r="H576" s="284"/>
      <c r="I576" s="284">
        <v>0</v>
      </c>
      <c r="J576" s="284">
        <v>0</v>
      </c>
      <c r="K576" s="138"/>
      <c r="L576" s="138"/>
      <c r="M576" s="167">
        <v>23.08</v>
      </c>
      <c r="N576" s="167" t="s">
        <v>2420</v>
      </c>
      <c r="O576" s="138"/>
      <c r="P576" s="138"/>
      <c r="Q576" s="167">
        <v>0</v>
      </c>
      <c r="R576" s="63">
        <v>0</v>
      </c>
      <c r="S576" s="169"/>
      <c r="T576" s="169"/>
      <c r="U576" s="169"/>
      <c r="V576" s="63">
        <f t="shared" si="737"/>
        <v>0</v>
      </c>
      <c r="W576" s="63">
        <f t="shared" si="738"/>
        <v>0</v>
      </c>
      <c r="X576" s="63">
        <f t="shared" si="739"/>
        <v>0</v>
      </c>
      <c r="Y576" s="63" t="s">
        <v>2420</v>
      </c>
      <c r="Z576" s="63" t="s">
        <v>2420</v>
      </c>
      <c r="AA576" s="63" t="s">
        <v>2422</v>
      </c>
      <c r="AB576" s="63" t="s">
        <v>2422</v>
      </c>
      <c r="AC576" s="63" t="s">
        <v>2422</v>
      </c>
      <c r="AD576" s="63" t="s">
        <v>2422</v>
      </c>
      <c r="AE576" s="149" t="s">
        <v>3434</v>
      </c>
      <c r="AF576" s="69">
        <f t="shared" si="740"/>
        <v>0</v>
      </c>
      <c r="AG576" s="69">
        <f t="shared" si="741"/>
        <v>0</v>
      </c>
      <c r="AH576" s="67">
        <v>1848.57</v>
      </c>
      <c r="AI576" s="69">
        <f t="shared" si="742"/>
        <v>-1848.57</v>
      </c>
      <c r="AJ576" s="285">
        <f t="shared" si="743"/>
        <v>-1848.57</v>
      </c>
    </row>
    <row r="577" spans="1:36" x14ac:dyDescent="0.25">
      <c r="A577" s="168" t="s">
        <v>3381</v>
      </c>
      <c r="B577" s="92" t="s">
        <v>3385</v>
      </c>
      <c r="C577" s="126" t="s">
        <v>2740</v>
      </c>
      <c r="D577" s="168" t="s">
        <v>3384</v>
      </c>
      <c r="E577" s="168" t="s">
        <v>3083</v>
      </c>
      <c r="F577" s="58">
        <v>42002</v>
      </c>
      <c r="G577" s="59">
        <f t="shared" ref="G577:G585" si="744">(DATE(2021,12,30)-(F577))/365</f>
        <v>7.0082191780821921</v>
      </c>
      <c r="H577" s="57"/>
      <c r="I577" s="66">
        <v>35685</v>
      </c>
      <c r="J577" s="66">
        <v>35685</v>
      </c>
      <c r="K577" s="59"/>
      <c r="L577" s="59">
        <f t="shared" ref="L577:L585" si="745">SUM(J577/$L$7)</f>
        <v>17.15625</v>
      </c>
      <c r="M577" s="61">
        <f t="shared" ref="M577:M585" si="746">SUM(J577/$M$7)</f>
        <v>1372.5</v>
      </c>
      <c r="N577" s="100"/>
      <c r="O577" s="138"/>
      <c r="P577" s="138"/>
      <c r="Q577" s="61">
        <f t="shared" ref="Q577:Q585" si="747">IF(N577+P577&gt;5000,5000,N577+P577)</f>
        <v>0</v>
      </c>
      <c r="R577" s="63">
        <f t="shared" ref="R577:R585" si="748">SUM(J577+Q577)</f>
        <v>35685</v>
      </c>
      <c r="S577" s="169"/>
      <c r="T577" s="169"/>
      <c r="U577" s="169"/>
      <c r="V577" s="63">
        <f t="shared" si="737"/>
        <v>35685</v>
      </c>
      <c r="W577" s="63">
        <f t="shared" si="738"/>
        <v>2212.4699999999998</v>
      </c>
      <c r="X577" s="63">
        <f t="shared" si="739"/>
        <v>517.4325</v>
      </c>
      <c r="Y577" s="63">
        <f t="shared" ref="Y577:Y586" si="749">SUM(V577*$Y$7)</f>
        <v>5020.8795</v>
      </c>
      <c r="Z577" s="63">
        <f t="shared" ref="Z577:Z586" si="750">SUM(V577*$Z$7)</f>
        <v>57.096000000000004</v>
      </c>
      <c r="AA577" s="63">
        <f t="shared" ref="AA577:AA586" si="751">SUM(V577*$AA$7)</f>
        <v>24.979499999999998</v>
      </c>
      <c r="AB577" s="63">
        <f t="shared" ref="AB577:AB585" si="752">SUM($AB$7)</f>
        <v>335</v>
      </c>
      <c r="AC577" s="63">
        <f t="shared" ref="AC577:AC585" si="753">$AC$7</f>
        <v>10356.36</v>
      </c>
      <c r="AD577" s="63">
        <f t="shared" ref="AD577:AD585" si="754">SUM(AB577+AC577)*$AD$7</f>
        <v>106.9136</v>
      </c>
      <c r="AE577" s="149" t="s">
        <v>3381</v>
      </c>
      <c r="AF577" s="69">
        <f t="shared" si="740"/>
        <v>0</v>
      </c>
      <c r="AG577" s="69">
        <f t="shared" si="741"/>
        <v>18631.131099999999</v>
      </c>
      <c r="AH577" s="67">
        <v>42734.62</v>
      </c>
      <c r="AI577" s="69">
        <f t="shared" si="742"/>
        <v>-24103.488900000004</v>
      </c>
      <c r="AJ577" s="69">
        <f t="shared" si="743"/>
        <v>-24103.488900000004</v>
      </c>
    </row>
    <row r="578" spans="1:36" x14ac:dyDescent="0.25">
      <c r="A578" s="168" t="s">
        <v>3381</v>
      </c>
      <c r="B578" s="92" t="s">
        <v>3386</v>
      </c>
      <c r="C578" s="71" t="s">
        <v>3387</v>
      </c>
      <c r="D578" s="168" t="s">
        <v>3388</v>
      </c>
      <c r="E578" s="168" t="s">
        <v>2971</v>
      </c>
      <c r="F578" s="108">
        <v>43347</v>
      </c>
      <c r="G578" s="59">
        <f t="shared" si="744"/>
        <v>3.3232876712328765</v>
      </c>
      <c r="H578" s="57"/>
      <c r="I578" s="66">
        <v>39298</v>
      </c>
      <c r="J578" s="66">
        <v>39298</v>
      </c>
      <c r="K578" s="59"/>
      <c r="L578" s="59">
        <f t="shared" si="745"/>
        <v>18.893269230769231</v>
      </c>
      <c r="M578" s="61">
        <f t="shared" si="746"/>
        <v>1511.4615384615386</v>
      </c>
      <c r="N578" s="100"/>
      <c r="O578" s="138"/>
      <c r="P578" s="138"/>
      <c r="Q578" s="61">
        <f t="shared" si="747"/>
        <v>0</v>
      </c>
      <c r="R578" s="63">
        <f t="shared" si="748"/>
        <v>39298</v>
      </c>
      <c r="S578" s="169"/>
      <c r="T578" s="169"/>
      <c r="U578" s="169"/>
      <c r="V578" s="63">
        <f t="shared" si="737"/>
        <v>39298</v>
      </c>
      <c r="W578" s="63">
        <f t="shared" si="738"/>
        <v>2436.4760000000001</v>
      </c>
      <c r="X578" s="63">
        <f t="shared" si="739"/>
        <v>569.82100000000003</v>
      </c>
      <c r="Y578" s="63">
        <f t="shared" si="749"/>
        <v>5529.2285999999995</v>
      </c>
      <c r="Z578" s="63">
        <f t="shared" si="750"/>
        <v>62.876800000000003</v>
      </c>
      <c r="AA578" s="63">
        <f t="shared" si="751"/>
        <v>27.508600000000001</v>
      </c>
      <c r="AB578" s="63">
        <f t="shared" si="752"/>
        <v>335</v>
      </c>
      <c r="AC578" s="63">
        <f t="shared" si="753"/>
        <v>10356.36</v>
      </c>
      <c r="AD578" s="63">
        <f t="shared" si="754"/>
        <v>106.9136</v>
      </c>
      <c r="AE578" s="149" t="s">
        <v>3381</v>
      </c>
      <c r="AF578" s="69">
        <f t="shared" si="740"/>
        <v>0</v>
      </c>
      <c r="AG578" s="69">
        <f t="shared" si="741"/>
        <v>19424.184600000001</v>
      </c>
      <c r="AH578" s="67">
        <v>42734.62</v>
      </c>
      <c r="AI578" s="69">
        <f t="shared" si="742"/>
        <v>-23310.435400000002</v>
      </c>
      <c r="AJ578" s="69">
        <f t="shared" si="743"/>
        <v>-23310.435400000002</v>
      </c>
    </row>
    <row r="579" spans="1:36" x14ac:dyDescent="0.25">
      <c r="A579" s="168" t="s">
        <v>3381</v>
      </c>
      <c r="B579" s="92" t="s">
        <v>3389</v>
      </c>
      <c r="C579" s="71" t="s">
        <v>3387</v>
      </c>
      <c r="D579" s="168" t="s">
        <v>3390</v>
      </c>
      <c r="E579" s="168" t="s">
        <v>3391</v>
      </c>
      <c r="F579" s="58">
        <v>39450</v>
      </c>
      <c r="G579" s="59">
        <f t="shared" si="744"/>
        <v>14</v>
      </c>
      <c r="H579" s="57"/>
      <c r="I579" s="66">
        <v>37214</v>
      </c>
      <c r="J579" s="66">
        <v>37214</v>
      </c>
      <c r="K579" s="59"/>
      <c r="L579" s="59">
        <f t="shared" si="745"/>
        <v>17.891346153846154</v>
      </c>
      <c r="M579" s="61">
        <f t="shared" si="746"/>
        <v>1431.3076923076924</v>
      </c>
      <c r="N579" s="100"/>
      <c r="O579" s="138"/>
      <c r="P579" s="138"/>
      <c r="Q579" s="61">
        <f t="shared" si="747"/>
        <v>0</v>
      </c>
      <c r="R579" s="63">
        <f t="shared" si="748"/>
        <v>37214</v>
      </c>
      <c r="S579" s="169"/>
      <c r="T579" s="169"/>
      <c r="U579" s="169"/>
      <c r="V579" s="63">
        <f t="shared" si="737"/>
        <v>37214</v>
      </c>
      <c r="W579" s="63">
        <f t="shared" si="738"/>
        <v>2307.268</v>
      </c>
      <c r="X579" s="63">
        <f t="shared" si="739"/>
        <v>539.60300000000007</v>
      </c>
      <c r="Y579" s="63">
        <f t="shared" si="749"/>
        <v>5236.0097999999998</v>
      </c>
      <c r="Z579" s="63">
        <f t="shared" si="750"/>
        <v>59.542400000000001</v>
      </c>
      <c r="AA579" s="63">
        <f t="shared" si="751"/>
        <v>26.049800000000001</v>
      </c>
      <c r="AB579" s="63">
        <f t="shared" si="752"/>
        <v>335</v>
      </c>
      <c r="AC579" s="63">
        <f t="shared" si="753"/>
        <v>10356.36</v>
      </c>
      <c r="AD579" s="63">
        <f t="shared" si="754"/>
        <v>106.9136</v>
      </c>
      <c r="AE579" s="149" t="s">
        <v>3381</v>
      </c>
      <c r="AF579" s="69">
        <f t="shared" si="740"/>
        <v>0</v>
      </c>
      <c r="AG579" s="69">
        <f t="shared" si="741"/>
        <v>18966.746599999999</v>
      </c>
      <c r="AH579" s="65"/>
      <c r="AI579" s="69">
        <f t="shared" si="742"/>
        <v>18966.746599999999</v>
      </c>
      <c r="AJ579" s="69">
        <f t="shared" si="743"/>
        <v>18966.746599999999</v>
      </c>
    </row>
    <row r="580" spans="1:36" x14ac:dyDescent="0.25">
      <c r="A580" s="168" t="s">
        <v>3381</v>
      </c>
      <c r="B580" s="92" t="s">
        <v>3392</v>
      </c>
      <c r="C580" s="71" t="s">
        <v>3387</v>
      </c>
      <c r="D580" s="93" t="s">
        <v>2805</v>
      </c>
      <c r="E580" s="93" t="s">
        <v>2806</v>
      </c>
      <c r="F580" s="76">
        <v>43831</v>
      </c>
      <c r="G580" s="59">
        <f t="shared" si="744"/>
        <v>1.9972602739726026</v>
      </c>
      <c r="H580" s="57"/>
      <c r="I580" s="66">
        <v>34606</v>
      </c>
      <c r="J580" s="66">
        <v>34606</v>
      </c>
      <c r="K580" s="59"/>
      <c r="L580" s="59">
        <f t="shared" si="745"/>
        <v>16.637499999999999</v>
      </c>
      <c r="M580" s="61">
        <f t="shared" si="746"/>
        <v>1331</v>
      </c>
      <c r="N580" s="100"/>
      <c r="O580" s="138"/>
      <c r="P580" s="138"/>
      <c r="Q580" s="61">
        <f t="shared" si="747"/>
        <v>0</v>
      </c>
      <c r="R580" s="63">
        <f t="shared" si="748"/>
        <v>34606</v>
      </c>
      <c r="S580" s="169"/>
      <c r="T580" s="169"/>
      <c r="U580" s="169"/>
      <c r="V580" s="63">
        <f t="shared" si="737"/>
        <v>34606</v>
      </c>
      <c r="W580" s="63">
        <f t="shared" si="738"/>
        <v>2145.5720000000001</v>
      </c>
      <c r="X580" s="63">
        <f t="shared" si="739"/>
        <v>501.78700000000003</v>
      </c>
      <c r="Y580" s="63">
        <f t="shared" si="749"/>
        <v>4869.0641999999998</v>
      </c>
      <c r="Z580" s="63">
        <f t="shared" si="750"/>
        <v>55.369600000000005</v>
      </c>
      <c r="AA580" s="63">
        <f t="shared" si="751"/>
        <v>24.2242</v>
      </c>
      <c r="AB580" s="63">
        <f t="shared" si="752"/>
        <v>335</v>
      </c>
      <c r="AC580" s="63">
        <f t="shared" si="753"/>
        <v>10356.36</v>
      </c>
      <c r="AD580" s="63">
        <f t="shared" si="754"/>
        <v>106.9136</v>
      </c>
      <c r="AE580" s="149" t="s">
        <v>3381</v>
      </c>
      <c r="AF580" s="69">
        <f t="shared" si="740"/>
        <v>0</v>
      </c>
      <c r="AG580" s="69">
        <f t="shared" si="741"/>
        <v>18394.2906</v>
      </c>
      <c r="AH580" s="110"/>
      <c r="AI580" s="69">
        <f t="shared" si="742"/>
        <v>18394.2906</v>
      </c>
      <c r="AJ580" s="69">
        <f t="shared" si="743"/>
        <v>18394.2906</v>
      </c>
    </row>
    <row r="581" spans="1:36" x14ac:dyDescent="0.25">
      <c r="A581" s="168" t="s">
        <v>3381</v>
      </c>
      <c r="B581" s="92" t="s">
        <v>3394</v>
      </c>
      <c r="C581" s="71" t="s">
        <v>3395</v>
      </c>
      <c r="D581" s="126" t="s">
        <v>3408</v>
      </c>
      <c r="E581" s="126" t="s">
        <v>3409</v>
      </c>
      <c r="F581" s="188">
        <v>39450</v>
      </c>
      <c r="G581" s="59">
        <f t="shared" si="744"/>
        <v>14</v>
      </c>
      <c r="H581" s="57"/>
      <c r="I581" s="66">
        <v>38137</v>
      </c>
      <c r="J581" s="66">
        <v>38137</v>
      </c>
      <c r="K581" s="59"/>
      <c r="L581" s="59">
        <f t="shared" si="745"/>
        <v>18.335096153846155</v>
      </c>
      <c r="M581" s="61">
        <f t="shared" si="746"/>
        <v>1466.8076923076924</v>
      </c>
      <c r="N581" s="100"/>
      <c r="O581" s="138"/>
      <c r="P581" s="138"/>
      <c r="Q581" s="61">
        <f t="shared" si="747"/>
        <v>0</v>
      </c>
      <c r="R581" s="63">
        <f t="shared" si="748"/>
        <v>38137</v>
      </c>
      <c r="S581" s="169"/>
      <c r="T581" s="169"/>
      <c r="U581" s="169"/>
      <c r="V581" s="63">
        <f t="shared" si="737"/>
        <v>38137</v>
      </c>
      <c r="W581" s="63">
        <f t="shared" si="738"/>
        <v>2364.4940000000001</v>
      </c>
      <c r="X581" s="63">
        <f t="shared" si="739"/>
        <v>552.98649999999998</v>
      </c>
      <c r="Y581" s="63">
        <f t="shared" si="749"/>
        <v>5365.8759</v>
      </c>
      <c r="Z581" s="63">
        <f t="shared" si="750"/>
        <v>61.019200000000005</v>
      </c>
      <c r="AA581" s="63">
        <f t="shared" si="751"/>
        <v>26.695899999999998</v>
      </c>
      <c r="AB581" s="63">
        <f t="shared" si="752"/>
        <v>335</v>
      </c>
      <c r="AC581" s="63">
        <f t="shared" si="753"/>
        <v>10356.36</v>
      </c>
      <c r="AD581" s="63">
        <f t="shared" si="754"/>
        <v>106.9136</v>
      </c>
      <c r="AE581" s="149" t="s">
        <v>3381</v>
      </c>
      <c r="AF581" s="69">
        <f t="shared" si="740"/>
        <v>0</v>
      </c>
      <c r="AG581" s="69">
        <f t="shared" si="741"/>
        <v>19169.345100000002</v>
      </c>
      <c r="AH581" s="65"/>
      <c r="AI581" s="69">
        <f t="shared" si="742"/>
        <v>19169.345100000002</v>
      </c>
      <c r="AJ581" s="69">
        <f t="shared" si="743"/>
        <v>19169.345100000002</v>
      </c>
    </row>
    <row r="582" spans="1:36" x14ac:dyDescent="0.25">
      <c r="A582" s="168" t="s">
        <v>3381</v>
      </c>
      <c r="B582" s="92" t="s">
        <v>3396</v>
      </c>
      <c r="C582" s="71" t="s">
        <v>3397</v>
      </c>
      <c r="D582" s="168" t="s">
        <v>3398</v>
      </c>
      <c r="E582" s="168" t="s">
        <v>3399</v>
      </c>
      <c r="F582" s="58">
        <v>42450</v>
      </c>
      <c r="G582" s="59">
        <f t="shared" si="744"/>
        <v>5.7808219178082192</v>
      </c>
      <c r="H582" s="57"/>
      <c r="I582" s="66">
        <v>41806</v>
      </c>
      <c r="J582" s="66">
        <v>41806</v>
      </c>
      <c r="K582" s="59"/>
      <c r="L582" s="59">
        <f t="shared" si="745"/>
        <v>20.099038461538463</v>
      </c>
      <c r="M582" s="61">
        <f t="shared" si="746"/>
        <v>1607.9230769230769</v>
      </c>
      <c r="N582" s="100"/>
      <c r="O582" s="138"/>
      <c r="P582" s="138"/>
      <c r="Q582" s="61">
        <f t="shared" si="747"/>
        <v>0</v>
      </c>
      <c r="R582" s="63">
        <f t="shared" si="748"/>
        <v>41806</v>
      </c>
      <c r="S582" s="169"/>
      <c r="T582" s="169"/>
      <c r="U582" s="169"/>
      <c r="V582" s="63">
        <f t="shared" si="737"/>
        <v>41806</v>
      </c>
      <c r="W582" s="63">
        <f t="shared" si="738"/>
        <v>2591.9720000000002</v>
      </c>
      <c r="X582" s="63">
        <f t="shared" si="739"/>
        <v>606.18700000000001</v>
      </c>
      <c r="Y582" s="63">
        <f t="shared" si="749"/>
        <v>5882.1041999999998</v>
      </c>
      <c r="Z582" s="63">
        <f t="shared" si="750"/>
        <v>66.889600000000002</v>
      </c>
      <c r="AA582" s="63">
        <f t="shared" si="751"/>
        <v>29.264199999999999</v>
      </c>
      <c r="AB582" s="63">
        <f t="shared" si="752"/>
        <v>335</v>
      </c>
      <c r="AC582" s="63">
        <f t="shared" si="753"/>
        <v>10356.36</v>
      </c>
      <c r="AD582" s="63">
        <f t="shared" si="754"/>
        <v>106.9136</v>
      </c>
      <c r="AE582" s="149" t="s">
        <v>3381</v>
      </c>
      <c r="AF582" s="69">
        <f t="shared" si="740"/>
        <v>0</v>
      </c>
      <c r="AG582" s="69">
        <f t="shared" si="741"/>
        <v>19974.690600000002</v>
      </c>
      <c r="AH582" s="65"/>
      <c r="AI582" s="69">
        <f t="shared" si="742"/>
        <v>19974.690600000002</v>
      </c>
      <c r="AJ582" s="69">
        <f t="shared" si="743"/>
        <v>19974.690600000002</v>
      </c>
    </row>
    <row r="583" spans="1:36" x14ac:dyDescent="0.25">
      <c r="A583" s="168" t="s">
        <v>3381</v>
      </c>
      <c r="B583" s="92" t="s">
        <v>3400</v>
      </c>
      <c r="C583" s="71" t="s">
        <v>3397</v>
      </c>
      <c r="D583" s="168" t="s">
        <v>2437</v>
      </c>
      <c r="E583" s="168" t="s">
        <v>3401</v>
      </c>
      <c r="F583" s="74">
        <v>42814</v>
      </c>
      <c r="G583" s="59">
        <f t="shared" si="744"/>
        <v>4.7835616438356166</v>
      </c>
      <c r="H583" s="66">
        <v>39548</v>
      </c>
      <c r="I583" s="66">
        <v>42010</v>
      </c>
      <c r="J583" s="182">
        <v>40273</v>
      </c>
      <c r="K583" s="59"/>
      <c r="L583" s="59">
        <f t="shared" si="745"/>
        <v>19.362019230769231</v>
      </c>
      <c r="M583" s="61">
        <f t="shared" si="746"/>
        <v>1548.9615384615386</v>
      </c>
      <c r="N583" s="100"/>
      <c r="O583" s="138"/>
      <c r="P583" s="138"/>
      <c r="Q583" s="61">
        <f t="shared" si="747"/>
        <v>0</v>
      </c>
      <c r="R583" s="63">
        <f t="shared" si="748"/>
        <v>40273</v>
      </c>
      <c r="S583" s="169"/>
      <c r="T583" s="169"/>
      <c r="U583" s="169"/>
      <c r="V583" s="63">
        <f t="shared" si="737"/>
        <v>40273</v>
      </c>
      <c r="W583" s="63">
        <f t="shared" si="738"/>
        <v>2496.9259999999999</v>
      </c>
      <c r="X583" s="63">
        <f t="shared" si="739"/>
        <v>583.95850000000007</v>
      </c>
      <c r="Y583" s="63">
        <f t="shared" si="749"/>
        <v>5666.4110999999994</v>
      </c>
      <c r="Z583" s="63">
        <f t="shared" si="750"/>
        <v>64.436800000000005</v>
      </c>
      <c r="AA583" s="63">
        <f t="shared" si="751"/>
        <v>28.191099999999999</v>
      </c>
      <c r="AB583" s="63">
        <f t="shared" si="752"/>
        <v>335</v>
      </c>
      <c r="AC583" s="63">
        <f t="shared" si="753"/>
        <v>10356.36</v>
      </c>
      <c r="AD583" s="63">
        <f t="shared" si="754"/>
        <v>106.9136</v>
      </c>
      <c r="AE583" s="149" t="s">
        <v>3381</v>
      </c>
      <c r="AF583" s="69">
        <f t="shared" si="740"/>
        <v>-1737</v>
      </c>
      <c r="AG583" s="69">
        <f t="shared" si="741"/>
        <v>19638.197099999998</v>
      </c>
      <c r="AH583" s="67">
        <v>27716.45</v>
      </c>
      <c r="AI583" s="69">
        <f t="shared" si="742"/>
        <v>-8078.2529000000031</v>
      </c>
      <c r="AJ583" s="69">
        <f t="shared" si="743"/>
        <v>-9815.2529000000031</v>
      </c>
    </row>
    <row r="584" spans="1:36" x14ac:dyDescent="0.25">
      <c r="A584" s="168" t="s">
        <v>3381</v>
      </c>
      <c r="B584" s="92" t="s">
        <v>3402</v>
      </c>
      <c r="C584" s="71" t="s">
        <v>3403</v>
      </c>
      <c r="D584" s="183" t="s">
        <v>3175</v>
      </c>
      <c r="E584" s="183" t="s">
        <v>3404</v>
      </c>
      <c r="F584" s="74">
        <v>42891</v>
      </c>
      <c r="G584" s="59">
        <f t="shared" si="744"/>
        <v>4.5726027397260278</v>
      </c>
      <c r="H584" s="57"/>
      <c r="I584" s="66">
        <v>40295</v>
      </c>
      <c r="J584" s="182">
        <v>41034</v>
      </c>
      <c r="K584" s="59"/>
      <c r="L584" s="59">
        <f t="shared" si="745"/>
        <v>19.727884615384614</v>
      </c>
      <c r="M584" s="61">
        <f t="shared" si="746"/>
        <v>1578.2307692307693</v>
      </c>
      <c r="N584" s="100"/>
      <c r="O584" s="138"/>
      <c r="P584" s="138"/>
      <c r="Q584" s="61">
        <f t="shared" si="747"/>
        <v>0</v>
      </c>
      <c r="R584" s="63">
        <f t="shared" si="748"/>
        <v>41034</v>
      </c>
      <c r="S584" s="169"/>
      <c r="T584" s="169"/>
      <c r="U584" s="169"/>
      <c r="V584" s="63">
        <f t="shared" si="737"/>
        <v>41034</v>
      </c>
      <c r="W584" s="63">
        <f t="shared" si="738"/>
        <v>2544.1080000000002</v>
      </c>
      <c r="X584" s="63">
        <f t="shared" si="739"/>
        <v>594.99300000000005</v>
      </c>
      <c r="Y584" s="63">
        <f t="shared" si="749"/>
        <v>5773.4838</v>
      </c>
      <c r="Z584" s="63">
        <f t="shared" si="750"/>
        <v>65.65440000000001</v>
      </c>
      <c r="AA584" s="63">
        <f t="shared" si="751"/>
        <v>28.723800000000001</v>
      </c>
      <c r="AB584" s="63">
        <f t="shared" si="752"/>
        <v>335</v>
      </c>
      <c r="AC584" s="63">
        <f t="shared" si="753"/>
        <v>10356.36</v>
      </c>
      <c r="AD584" s="63">
        <f t="shared" si="754"/>
        <v>106.9136</v>
      </c>
      <c r="AE584" s="149" t="s">
        <v>3381</v>
      </c>
      <c r="AF584" s="69">
        <f t="shared" si="740"/>
        <v>739</v>
      </c>
      <c r="AG584" s="69">
        <f t="shared" si="741"/>
        <v>19805.2366</v>
      </c>
      <c r="AH584" s="67">
        <v>0</v>
      </c>
      <c r="AI584" s="69">
        <f t="shared" si="742"/>
        <v>19805.2366</v>
      </c>
      <c r="AJ584" s="69">
        <f t="shared" si="743"/>
        <v>20544.2366</v>
      </c>
    </row>
    <row r="585" spans="1:36" x14ac:dyDescent="0.25">
      <c r="A585" s="168" t="s">
        <v>3381</v>
      </c>
      <c r="B585" s="92" t="s">
        <v>3405</v>
      </c>
      <c r="C585" s="71" t="s">
        <v>3406</v>
      </c>
      <c r="D585" s="185" t="s">
        <v>2437</v>
      </c>
      <c r="E585" s="185" t="s">
        <v>2664</v>
      </c>
      <c r="F585" s="58">
        <v>35906</v>
      </c>
      <c r="G585" s="59">
        <f t="shared" si="744"/>
        <v>23.709589041095889</v>
      </c>
      <c r="H585" s="57"/>
      <c r="I585" s="66">
        <v>48107</v>
      </c>
      <c r="J585" s="66">
        <v>48107</v>
      </c>
      <c r="K585" s="59"/>
      <c r="L585" s="59">
        <f t="shared" si="745"/>
        <v>23.128365384615385</v>
      </c>
      <c r="M585" s="61">
        <f t="shared" si="746"/>
        <v>1850.2692307692307</v>
      </c>
      <c r="N585" s="100"/>
      <c r="O585" s="138"/>
      <c r="P585" s="138"/>
      <c r="Q585" s="61">
        <f t="shared" si="747"/>
        <v>0</v>
      </c>
      <c r="R585" s="63">
        <f t="shared" si="748"/>
        <v>48107</v>
      </c>
      <c r="S585" s="169"/>
      <c r="T585" s="169"/>
      <c r="U585" s="169"/>
      <c r="V585" s="63">
        <f t="shared" si="737"/>
        <v>48107</v>
      </c>
      <c r="W585" s="63">
        <f t="shared" si="738"/>
        <v>2982.634</v>
      </c>
      <c r="X585" s="63">
        <f t="shared" si="739"/>
        <v>697.55150000000003</v>
      </c>
      <c r="Y585" s="63">
        <f t="shared" si="749"/>
        <v>6768.6548999999995</v>
      </c>
      <c r="Z585" s="63">
        <f t="shared" si="750"/>
        <v>76.97120000000001</v>
      </c>
      <c r="AA585" s="63">
        <f t="shared" si="751"/>
        <v>33.674900000000001</v>
      </c>
      <c r="AB585" s="63">
        <f t="shared" si="752"/>
        <v>335</v>
      </c>
      <c r="AC585" s="63">
        <f t="shared" si="753"/>
        <v>10356.36</v>
      </c>
      <c r="AD585" s="63">
        <f t="shared" si="754"/>
        <v>106.9136</v>
      </c>
      <c r="AE585" s="149" t="s">
        <v>3381</v>
      </c>
      <c r="AF585" s="69">
        <f t="shared" si="740"/>
        <v>0</v>
      </c>
      <c r="AG585" s="69">
        <f t="shared" si="741"/>
        <v>21357.7601</v>
      </c>
      <c r="AH585" s="67">
        <v>21814.78</v>
      </c>
      <c r="AI585" s="69">
        <f t="shared" si="742"/>
        <v>-457.01989999999932</v>
      </c>
      <c r="AJ585" s="69">
        <f t="shared" si="743"/>
        <v>-457.01989999999932</v>
      </c>
    </row>
    <row r="586" spans="1:36" x14ac:dyDescent="0.25">
      <c r="A586" s="168" t="s">
        <v>3381</v>
      </c>
      <c r="B586" s="138"/>
      <c r="C586" s="168" t="s">
        <v>1627</v>
      </c>
      <c r="D586" s="168" t="s">
        <v>3852</v>
      </c>
      <c r="E586" s="168" t="s">
        <v>2486</v>
      </c>
      <c r="F586" s="58">
        <v>43250</v>
      </c>
      <c r="G586" s="167" t="s">
        <v>2422</v>
      </c>
      <c r="H586" s="88"/>
      <c r="I586" s="218">
        <v>40000</v>
      </c>
      <c r="J586" s="218">
        <v>40000</v>
      </c>
      <c r="K586" s="219"/>
      <c r="L586" s="219"/>
      <c r="M586" s="219"/>
      <c r="N586" s="220" t="s">
        <v>27</v>
      </c>
      <c r="O586" s="219"/>
      <c r="P586" s="219"/>
      <c r="Q586" s="220">
        <v>0</v>
      </c>
      <c r="R586" s="172">
        <v>20800</v>
      </c>
      <c r="S586" s="173"/>
      <c r="T586" s="173"/>
      <c r="U586" s="173"/>
      <c r="V586" s="172">
        <f t="shared" si="737"/>
        <v>20800</v>
      </c>
      <c r="W586" s="172">
        <f t="shared" si="738"/>
        <v>1289.5999999999999</v>
      </c>
      <c r="X586" s="172">
        <f t="shared" si="739"/>
        <v>301.60000000000002</v>
      </c>
      <c r="Y586" s="172">
        <f t="shared" si="749"/>
        <v>2926.56</v>
      </c>
      <c r="Z586" s="172">
        <f t="shared" si="750"/>
        <v>33.28</v>
      </c>
      <c r="AA586" s="172">
        <f t="shared" si="751"/>
        <v>14.56</v>
      </c>
      <c r="AB586" s="172" t="s">
        <v>2422</v>
      </c>
      <c r="AC586" s="172" t="s">
        <v>2422</v>
      </c>
      <c r="AD586" s="172" t="s">
        <v>2422</v>
      </c>
      <c r="AE586" s="149" t="s">
        <v>3381</v>
      </c>
      <c r="AF586" s="69">
        <f t="shared" si="740"/>
        <v>0</v>
      </c>
      <c r="AG586" s="69">
        <f t="shared" si="741"/>
        <v>4565.6000000000004</v>
      </c>
      <c r="AH586" s="67">
        <v>18970.14</v>
      </c>
      <c r="AI586" s="69">
        <f t="shared" si="742"/>
        <v>-14404.539999999999</v>
      </c>
      <c r="AJ586" s="100">
        <f t="shared" si="743"/>
        <v>-14404.539999999999</v>
      </c>
    </row>
    <row r="587" spans="1:36" x14ac:dyDescent="0.25">
      <c r="A587" s="168"/>
      <c r="B587" s="178">
        <v>611099</v>
      </c>
      <c r="C587" s="183" t="s">
        <v>3407</v>
      </c>
      <c r="D587" s="183" t="s">
        <v>3853</v>
      </c>
      <c r="E587" s="183" t="s">
        <v>2753</v>
      </c>
      <c r="F587" s="84">
        <v>43355</v>
      </c>
      <c r="G587" s="138"/>
      <c r="H587" s="88"/>
      <c r="I587" s="88"/>
      <c r="J587" s="218"/>
      <c r="K587" s="286"/>
      <c r="L587" s="286"/>
      <c r="M587" s="286"/>
      <c r="N587" s="286"/>
      <c r="O587" s="286"/>
      <c r="P587" s="286"/>
      <c r="Q587" s="286"/>
      <c r="R587" s="286"/>
      <c r="S587" s="286"/>
      <c r="T587" s="286"/>
      <c r="U587" s="286"/>
      <c r="V587" s="286"/>
      <c r="W587" s="286"/>
      <c r="X587" s="286"/>
      <c r="Y587" s="286"/>
      <c r="Z587" s="286"/>
      <c r="AA587" s="286"/>
      <c r="AB587" s="286"/>
      <c r="AC587" s="286"/>
      <c r="AD587" s="286"/>
      <c r="AE587" s="149"/>
      <c r="AF587" s="69">
        <f t="shared" si="740"/>
        <v>0</v>
      </c>
      <c r="AG587" s="100">
        <f t="shared" si="741"/>
        <v>0</v>
      </c>
      <c r="AH587" s="225">
        <v>19797.52</v>
      </c>
      <c r="AI587" s="100">
        <f t="shared" si="742"/>
        <v>-19797.52</v>
      </c>
      <c r="AJ587" s="100">
        <f t="shared" si="743"/>
        <v>-19797.52</v>
      </c>
    </row>
    <row r="588" spans="1:36" x14ac:dyDescent="0.25">
      <c r="A588" s="168" t="s">
        <v>3381</v>
      </c>
      <c r="B588" s="138"/>
      <c r="C588" s="138"/>
      <c r="D588" s="138"/>
      <c r="E588" s="138"/>
      <c r="F588" s="138"/>
      <c r="G588" s="138"/>
      <c r="H588" s="221"/>
      <c r="I588" s="222">
        <f t="shared" ref="I588:J588" si="755">SUM(I575:I586)</f>
        <v>467063</v>
      </c>
      <c r="J588" s="222">
        <f t="shared" si="755"/>
        <v>466065</v>
      </c>
      <c r="K588" s="223"/>
      <c r="L588" s="223">
        <f t="shared" ref="L588:AD588" si="756">SUM(L575:L586)</f>
        <v>204.83894230769232</v>
      </c>
      <c r="M588" s="223">
        <f t="shared" si="756"/>
        <v>16410.195384615385</v>
      </c>
      <c r="N588" s="223">
        <f t="shared" si="756"/>
        <v>0</v>
      </c>
      <c r="O588" s="223">
        <f t="shared" si="756"/>
        <v>0</v>
      </c>
      <c r="P588" s="223">
        <f t="shared" si="756"/>
        <v>0</v>
      </c>
      <c r="Q588" s="223">
        <f t="shared" si="756"/>
        <v>0</v>
      </c>
      <c r="R588" s="223">
        <f t="shared" si="756"/>
        <v>446865</v>
      </c>
      <c r="S588" s="223">
        <f t="shared" si="756"/>
        <v>4200</v>
      </c>
      <c r="T588" s="223">
        <f t="shared" si="756"/>
        <v>0</v>
      </c>
      <c r="U588" s="223">
        <f t="shared" si="756"/>
        <v>0</v>
      </c>
      <c r="V588" s="223">
        <f t="shared" si="756"/>
        <v>451065</v>
      </c>
      <c r="W588" s="223">
        <f t="shared" si="756"/>
        <v>27966.03</v>
      </c>
      <c r="X588" s="223">
        <f t="shared" si="756"/>
        <v>6540.442500000001</v>
      </c>
      <c r="Y588" s="223">
        <f t="shared" si="756"/>
        <v>63464.845499999996</v>
      </c>
      <c r="Z588" s="223">
        <f t="shared" si="756"/>
        <v>721.70400000000018</v>
      </c>
      <c r="AA588" s="223">
        <f t="shared" si="756"/>
        <v>263.87200000000001</v>
      </c>
      <c r="AB588" s="223">
        <f t="shared" si="756"/>
        <v>3350</v>
      </c>
      <c r="AC588" s="223">
        <f t="shared" si="756"/>
        <v>103563.6</v>
      </c>
      <c r="AD588" s="223">
        <f t="shared" si="756"/>
        <v>1069.136</v>
      </c>
      <c r="AE588" s="149" t="s">
        <v>3381</v>
      </c>
      <c r="AF588" s="195">
        <f>SUM(AF575:AF587)</f>
        <v>-998</v>
      </c>
      <c r="AG588" s="100">
        <f t="shared" si="741"/>
        <v>206939.63</v>
      </c>
      <c r="AH588" s="225">
        <v>20025.830000000002</v>
      </c>
      <c r="AI588" s="226">
        <f t="shared" si="742"/>
        <v>186913.8</v>
      </c>
      <c r="AJ588" s="176">
        <f t="shared" si="743"/>
        <v>185915.8</v>
      </c>
    </row>
    <row r="589" spans="1:36" hidden="1" x14ac:dyDescent="0.25">
      <c r="A589" s="138"/>
      <c r="B589" s="138"/>
      <c r="C589" s="138"/>
      <c r="D589" s="138"/>
      <c r="E589" s="138"/>
      <c r="F589" s="138"/>
      <c r="G589" s="138"/>
      <c r="H589" s="78"/>
      <c r="I589" s="78">
        <v>357158</v>
      </c>
      <c r="J589" s="78">
        <f>SUM(J577:J585)</f>
        <v>356160</v>
      </c>
      <c r="K589" s="138"/>
      <c r="L589" s="138"/>
      <c r="M589" s="138"/>
      <c r="N589" s="138"/>
      <c r="O589" s="138"/>
      <c r="P589" s="138"/>
      <c r="Q589" s="138"/>
      <c r="R589" s="169"/>
      <c r="S589" s="169"/>
      <c r="T589" s="169"/>
      <c r="U589" s="169"/>
      <c r="V589" s="169"/>
      <c r="W589" s="63">
        <f>SUM(W588:X588)</f>
        <v>34506.472500000003</v>
      </c>
      <c r="X589" s="169"/>
      <c r="Y589" s="169"/>
      <c r="Z589" s="169"/>
      <c r="AA589" s="169"/>
      <c r="AB589" s="169"/>
      <c r="AC589" s="169">
        <f>SUM(AC588:AD588)</f>
        <v>104632.736</v>
      </c>
      <c r="AD589" s="169"/>
      <c r="AE589" s="149"/>
      <c r="AF589" s="69">
        <f t="shared" ref="AF589:AG589" si="757">SUM(AF575:AF587)</f>
        <v>-998</v>
      </c>
      <c r="AG589" s="69">
        <f t="shared" si="757"/>
        <v>206939.63000000003</v>
      </c>
      <c r="AH589" s="67">
        <v>20371.849999999999</v>
      </c>
      <c r="AI589" s="69">
        <f t="shared" ref="AI589:AJ589" si="758">SUM(AI575:AI587)</f>
        <v>29708.589999999993</v>
      </c>
      <c r="AJ589" s="69">
        <f t="shared" si="758"/>
        <v>28710.589999999993</v>
      </c>
    </row>
    <row r="590" spans="1:36" x14ac:dyDescent="0.25">
      <c r="A590" s="138"/>
      <c r="B590" s="138"/>
      <c r="C590" s="168"/>
      <c r="G590" s="138"/>
      <c r="H590" s="148"/>
      <c r="I590" s="148"/>
      <c r="J590" s="148"/>
      <c r="K590" s="138"/>
      <c r="L590" s="138"/>
      <c r="M590" s="138"/>
      <c r="N590" s="138"/>
      <c r="O590" s="138"/>
      <c r="P590" s="138"/>
      <c r="Q590" s="138"/>
      <c r="R590" s="169"/>
      <c r="S590" s="169"/>
      <c r="T590" s="169"/>
      <c r="U590" s="169"/>
      <c r="V590" s="169"/>
      <c r="W590" s="169"/>
      <c r="X590" s="169"/>
      <c r="Y590" s="169"/>
      <c r="Z590" s="169"/>
      <c r="AA590" s="169"/>
      <c r="AB590" s="169"/>
      <c r="AC590" s="169"/>
      <c r="AD590" s="169"/>
      <c r="AE590" s="149"/>
      <c r="AF590" s="178"/>
      <c r="AG590" s="178"/>
      <c r="AH590" s="67">
        <v>19854.77</v>
      </c>
      <c r="AI590" s="178"/>
      <c r="AJ590" s="178"/>
    </row>
    <row r="591" spans="1:36" x14ac:dyDescent="0.25">
      <c r="A591" s="138"/>
      <c r="B591" s="138"/>
      <c r="C591" s="138"/>
      <c r="D591" s="138"/>
      <c r="E591" s="138"/>
      <c r="F591" s="138"/>
      <c r="G591" s="138"/>
      <c r="H591" s="148"/>
      <c r="I591" s="148"/>
      <c r="J591" s="148"/>
      <c r="K591" s="138"/>
      <c r="L591" s="138"/>
      <c r="M591" s="138"/>
      <c r="N591" s="138"/>
      <c r="O591" s="138"/>
      <c r="P591" s="138"/>
      <c r="Q591" s="138"/>
      <c r="R591" s="169"/>
      <c r="S591" s="169"/>
      <c r="T591" s="169"/>
      <c r="U591" s="169"/>
      <c r="V591" s="169"/>
      <c r="W591" s="169"/>
      <c r="X591" s="169"/>
      <c r="Y591" s="169"/>
      <c r="Z591" s="169"/>
      <c r="AA591" s="169"/>
      <c r="AB591" s="169"/>
      <c r="AC591" s="169"/>
      <c r="AD591" s="169"/>
      <c r="AE591" s="149"/>
      <c r="AF591" s="178"/>
      <c r="AG591" s="178"/>
      <c r="AH591" s="67">
        <v>18723.05</v>
      </c>
      <c r="AI591" s="178"/>
      <c r="AJ591" s="178"/>
    </row>
    <row r="592" spans="1:36" x14ac:dyDescent="0.25">
      <c r="A592" s="168" t="s">
        <v>3410</v>
      </c>
      <c r="B592" s="92" t="s">
        <v>3411</v>
      </c>
      <c r="C592" s="168" t="s">
        <v>3412</v>
      </c>
      <c r="D592" s="168" t="s">
        <v>3413</v>
      </c>
      <c r="E592" s="168" t="s">
        <v>3414</v>
      </c>
      <c r="F592" s="74">
        <v>43466</v>
      </c>
      <c r="G592" s="59">
        <f>(DATE(2021,12,30)-(F592))/365</f>
        <v>2.9972602739726026</v>
      </c>
      <c r="H592" s="57"/>
      <c r="I592" s="57">
        <v>69905</v>
      </c>
      <c r="J592" s="182">
        <v>71186</v>
      </c>
      <c r="K592" s="59"/>
      <c r="L592" s="59">
        <f>SUM(J592/$L$7)</f>
        <v>34.224038461538463</v>
      </c>
      <c r="M592" s="61">
        <f>SUM(J592/$M$7)</f>
        <v>2737.9230769230771</v>
      </c>
      <c r="N592" s="100">
        <f>IF(G592&lt;4,0,(G592-1)*$N$7)</f>
        <v>0</v>
      </c>
      <c r="O592" s="138"/>
      <c r="P592" s="138"/>
      <c r="Q592" s="61">
        <f>IF(N592+P592&gt;5000,5000,N592+P592)</f>
        <v>0</v>
      </c>
      <c r="R592" s="63">
        <f>SUM(J592+Q592)</f>
        <v>71186</v>
      </c>
      <c r="S592" s="63">
        <v>4200</v>
      </c>
      <c r="T592" s="169"/>
      <c r="U592" s="169"/>
      <c r="V592" s="63">
        <f t="shared" ref="V592:V604" si="759">SUM(R592:U592)</f>
        <v>75386</v>
      </c>
      <c r="W592" s="63">
        <f t="shared" ref="W592:W604" si="760">SUM(V592*$W$7)</f>
        <v>4673.9319999999998</v>
      </c>
      <c r="X592" s="63">
        <f t="shared" ref="X592:X604" si="761">SUM(V592*$X$7)</f>
        <v>1093.097</v>
      </c>
      <c r="Y592" s="63">
        <f>SUM(V592*$Y$7)</f>
        <v>10606.8102</v>
      </c>
      <c r="Z592" s="63">
        <f>SUM(V592*$Z$7)</f>
        <v>120.61760000000001</v>
      </c>
      <c r="AA592" s="63" t="s">
        <v>2420</v>
      </c>
      <c r="AB592" s="63">
        <f>SUM($AB$7)</f>
        <v>335</v>
      </c>
      <c r="AC592" s="63">
        <f>$AC$7</f>
        <v>10356.36</v>
      </c>
      <c r="AD592" s="63">
        <f>SUM(AB592+AC592)*$AD$7</f>
        <v>106.9136</v>
      </c>
      <c r="AE592" s="149" t="s">
        <v>3410</v>
      </c>
      <c r="AF592" s="69">
        <f t="shared" ref="AF592:AF604" si="762">SUM(J592-I592)</f>
        <v>1281</v>
      </c>
      <c r="AG592" s="69">
        <f>SUM(W592:AD592)</f>
        <v>27292.7304</v>
      </c>
      <c r="AH592" s="67">
        <v>18868.46</v>
      </c>
      <c r="AI592" s="69">
        <f t="shared" ref="AI592:AI605" si="763">AG592-AH592</f>
        <v>8424.2704000000012</v>
      </c>
      <c r="AJ592" s="69">
        <f t="shared" ref="AJ592:AJ605" si="764">AF592+AI592</f>
        <v>9705.2704000000012</v>
      </c>
    </row>
    <row r="593" spans="1:36" x14ac:dyDescent="0.25">
      <c r="A593" s="138"/>
      <c r="B593" s="138"/>
      <c r="C593" s="168" t="s">
        <v>2901</v>
      </c>
      <c r="D593" s="168" t="s">
        <v>3413</v>
      </c>
      <c r="E593" s="168" t="s">
        <v>3414</v>
      </c>
      <c r="F593" s="138"/>
      <c r="G593" s="167" t="s">
        <v>2422</v>
      </c>
      <c r="H593" s="284"/>
      <c r="I593" s="284">
        <v>0</v>
      </c>
      <c r="J593" s="284">
        <v>0</v>
      </c>
      <c r="K593" s="138"/>
      <c r="L593" s="138"/>
      <c r="M593" s="167">
        <v>23.08</v>
      </c>
      <c r="N593" s="167" t="s">
        <v>2420</v>
      </c>
      <c r="O593" s="138"/>
      <c r="P593" s="138"/>
      <c r="Q593" s="167">
        <v>0</v>
      </c>
      <c r="R593" s="63">
        <v>0</v>
      </c>
      <c r="S593" s="169"/>
      <c r="T593" s="169"/>
      <c r="U593" s="169"/>
      <c r="V593" s="63">
        <f t="shared" si="759"/>
        <v>0</v>
      </c>
      <c r="W593" s="63">
        <f t="shared" si="760"/>
        <v>0</v>
      </c>
      <c r="X593" s="63">
        <f t="shared" si="761"/>
        <v>0</v>
      </c>
      <c r="Y593" s="63" t="s">
        <v>2420</v>
      </c>
      <c r="Z593" s="63" t="s">
        <v>2420</v>
      </c>
      <c r="AA593" s="63" t="s">
        <v>2422</v>
      </c>
      <c r="AB593" s="63" t="s">
        <v>2422</v>
      </c>
      <c r="AC593" s="63" t="s">
        <v>2422</v>
      </c>
      <c r="AD593" s="63" t="s">
        <v>2422</v>
      </c>
      <c r="AE593" s="149" t="s">
        <v>3434</v>
      </c>
      <c r="AF593" s="69">
        <f t="shared" si="762"/>
        <v>0</v>
      </c>
      <c r="AG593" s="178">
        <v>0</v>
      </c>
      <c r="AH593" s="67">
        <v>20547.259999999998</v>
      </c>
      <c r="AI593" s="69">
        <f t="shared" si="763"/>
        <v>-20547.259999999998</v>
      </c>
      <c r="AJ593" s="285">
        <f t="shared" si="764"/>
        <v>-20547.259999999998</v>
      </c>
    </row>
    <row r="594" spans="1:36" x14ac:dyDescent="0.25">
      <c r="A594" s="168" t="s">
        <v>3410</v>
      </c>
      <c r="B594" s="92" t="s">
        <v>3415</v>
      </c>
      <c r="C594" s="71" t="s">
        <v>2740</v>
      </c>
      <c r="D594" s="185" t="s">
        <v>2452</v>
      </c>
      <c r="E594" s="185" t="s">
        <v>3416</v>
      </c>
      <c r="F594" s="58">
        <v>38082</v>
      </c>
      <c r="G594" s="59">
        <f t="shared" ref="G594:G602" si="765">(DATE(2021,12,30)-(F594))/365</f>
        <v>17.747945205479454</v>
      </c>
      <c r="H594" s="57"/>
      <c r="I594" s="66">
        <v>38374</v>
      </c>
      <c r="J594" s="66">
        <v>38374</v>
      </c>
      <c r="K594" s="59"/>
      <c r="L594" s="59">
        <f t="shared" ref="L594:L602" si="766">SUM(J594/$L$7)</f>
        <v>18.449038461538461</v>
      </c>
      <c r="M594" s="61">
        <f t="shared" ref="M594:M602" si="767">SUM(J594/$M$7)</f>
        <v>1475.9230769230769</v>
      </c>
      <c r="N594" s="100"/>
      <c r="O594" s="138"/>
      <c r="P594" s="138"/>
      <c r="Q594" s="61">
        <f t="shared" ref="Q594:Q602" si="768">IF(N594+P594&gt;5000,5000,N594+P594)</f>
        <v>0</v>
      </c>
      <c r="R594" s="63">
        <f t="shared" ref="R594:R604" si="769">SUM(J594+Q594)</f>
        <v>38374</v>
      </c>
      <c r="S594" s="169"/>
      <c r="T594" s="169"/>
      <c r="U594" s="169"/>
      <c r="V594" s="63">
        <f t="shared" si="759"/>
        <v>38374</v>
      </c>
      <c r="W594" s="63">
        <f t="shared" si="760"/>
        <v>2379.1880000000001</v>
      </c>
      <c r="X594" s="63">
        <f t="shared" si="761"/>
        <v>556.423</v>
      </c>
      <c r="Y594" s="63">
        <f t="shared" ref="Y594:Y604" si="770">SUM(V594*$Y$7)</f>
        <v>5399.2217999999993</v>
      </c>
      <c r="Z594" s="63">
        <f t="shared" ref="Z594:Z604" si="771">SUM(V594*$Z$7)</f>
        <v>61.398400000000002</v>
      </c>
      <c r="AA594" s="63">
        <f t="shared" ref="AA594:AA604" si="772">SUM(V594*$AA$7)</f>
        <v>26.861799999999999</v>
      </c>
      <c r="AB594" s="63">
        <f t="shared" ref="AB594:AB602" si="773">SUM($AB$7)</f>
        <v>335</v>
      </c>
      <c r="AC594" s="63">
        <f t="shared" ref="AC594:AC602" si="774">$AC$7</f>
        <v>10356.36</v>
      </c>
      <c r="AD594" s="63">
        <f t="shared" ref="AD594:AD602" si="775">SUM(AB594+AC594)*$AD$7</f>
        <v>106.9136</v>
      </c>
      <c r="AE594" s="149" t="s">
        <v>3410</v>
      </c>
      <c r="AF594" s="69">
        <f t="shared" si="762"/>
        <v>0</v>
      </c>
      <c r="AG594" s="69">
        <f t="shared" ref="AG594:AG605" si="776">SUM(W594:AD594)</f>
        <v>19221.366600000001</v>
      </c>
      <c r="AH594" s="67">
        <v>4763.2</v>
      </c>
      <c r="AI594" s="69">
        <f t="shared" si="763"/>
        <v>14458.1666</v>
      </c>
      <c r="AJ594" s="69">
        <f t="shared" si="764"/>
        <v>14458.1666</v>
      </c>
    </row>
    <row r="595" spans="1:36" x14ac:dyDescent="0.25">
      <c r="A595" s="168" t="s">
        <v>3410</v>
      </c>
      <c r="B595" s="92" t="s">
        <v>3417</v>
      </c>
      <c r="C595" s="71" t="s">
        <v>3387</v>
      </c>
      <c r="D595" s="181" t="s">
        <v>3854</v>
      </c>
      <c r="E595" s="181" t="s">
        <v>3855</v>
      </c>
      <c r="F595" s="58">
        <v>43402</v>
      </c>
      <c r="G595" s="59">
        <f t="shared" si="765"/>
        <v>3.1726027397260275</v>
      </c>
      <c r="H595" s="57"/>
      <c r="I595" s="66">
        <v>40019</v>
      </c>
      <c r="J595" s="66">
        <v>40019</v>
      </c>
      <c r="K595" s="59"/>
      <c r="L595" s="59">
        <f t="shared" si="766"/>
        <v>19.239903846153847</v>
      </c>
      <c r="M595" s="61">
        <f t="shared" si="767"/>
        <v>1539.1923076923076</v>
      </c>
      <c r="N595" s="100"/>
      <c r="O595" s="138"/>
      <c r="P595" s="138"/>
      <c r="Q595" s="61">
        <f t="shared" si="768"/>
        <v>0</v>
      </c>
      <c r="R595" s="63">
        <f t="shared" si="769"/>
        <v>40019</v>
      </c>
      <c r="S595" s="169"/>
      <c r="T595" s="169"/>
      <c r="U595" s="169"/>
      <c r="V595" s="63">
        <f t="shared" si="759"/>
        <v>40019</v>
      </c>
      <c r="W595" s="63">
        <f t="shared" si="760"/>
        <v>2481.1779999999999</v>
      </c>
      <c r="X595" s="63">
        <f t="shared" si="761"/>
        <v>580.27550000000008</v>
      </c>
      <c r="Y595" s="63">
        <f t="shared" si="770"/>
        <v>5630.6732999999995</v>
      </c>
      <c r="Z595" s="63">
        <f t="shared" si="771"/>
        <v>64.0304</v>
      </c>
      <c r="AA595" s="63">
        <f t="shared" si="772"/>
        <v>28.013300000000001</v>
      </c>
      <c r="AB595" s="63">
        <f t="shared" si="773"/>
        <v>335</v>
      </c>
      <c r="AC595" s="63">
        <f t="shared" si="774"/>
        <v>10356.36</v>
      </c>
      <c r="AD595" s="63">
        <f t="shared" si="775"/>
        <v>106.9136</v>
      </c>
      <c r="AE595" s="149" t="s">
        <v>3410</v>
      </c>
      <c r="AF595" s="69">
        <f t="shared" si="762"/>
        <v>0</v>
      </c>
      <c r="AG595" s="69">
        <f t="shared" si="776"/>
        <v>19582.444100000001</v>
      </c>
      <c r="AH595" s="67">
        <v>0</v>
      </c>
      <c r="AI595" s="69">
        <f t="shared" si="763"/>
        <v>19582.444100000001</v>
      </c>
      <c r="AJ595" s="69">
        <f t="shared" si="764"/>
        <v>19582.444100000001</v>
      </c>
    </row>
    <row r="596" spans="1:36" x14ac:dyDescent="0.25">
      <c r="A596" s="168" t="s">
        <v>3410</v>
      </c>
      <c r="B596" s="92" t="s">
        <v>3422</v>
      </c>
      <c r="C596" s="71" t="s">
        <v>3387</v>
      </c>
      <c r="D596" s="126" t="s">
        <v>3423</v>
      </c>
      <c r="E596" s="126" t="s">
        <v>3424</v>
      </c>
      <c r="F596" s="206">
        <v>43724</v>
      </c>
      <c r="G596" s="59">
        <f t="shared" si="765"/>
        <v>2.2904109589041095</v>
      </c>
      <c r="H596" s="57"/>
      <c r="I596" s="66">
        <v>34606</v>
      </c>
      <c r="J596" s="182">
        <v>35241</v>
      </c>
      <c r="K596" s="59"/>
      <c r="L596" s="59">
        <f t="shared" si="766"/>
        <v>16.942788461538463</v>
      </c>
      <c r="M596" s="61">
        <f t="shared" si="767"/>
        <v>1355.4230769230769</v>
      </c>
      <c r="N596" s="100"/>
      <c r="O596" s="138"/>
      <c r="P596" s="138"/>
      <c r="Q596" s="61">
        <f t="shared" si="768"/>
        <v>0</v>
      </c>
      <c r="R596" s="63">
        <f t="shared" si="769"/>
        <v>35241</v>
      </c>
      <c r="S596" s="169"/>
      <c r="T596" s="169"/>
      <c r="U596" s="169"/>
      <c r="V596" s="63">
        <f t="shared" si="759"/>
        <v>35241</v>
      </c>
      <c r="W596" s="63">
        <f t="shared" si="760"/>
        <v>2184.942</v>
      </c>
      <c r="X596" s="63">
        <f t="shared" si="761"/>
        <v>510.99450000000002</v>
      </c>
      <c r="Y596" s="63">
        <f t="shared" si="770"/>
        <v>4958.4087</v>
      </c>
      <c r="Z596" s="63">
        <f t="shared" si="771"/>
        <v>56.385600000000004</v>
      </c>
      <c r="AA596" s="63">
        <f t="shared" si="772"/>
        <v>24.668700000000001</v>
      </c>
      <c r="AB596" s="63">
        <f t="shared" si="773"/>
        <v>335</v>
      </c>
      <c r="AC596" s="63">
        <f t="shared" si="774"/>
        <v>10356.36</v>
      </c>
      <c r="AD596" s="63">
        <f t="shared" si="775"/>
        <v>106.9136</v>
      </c>
      <c r="AE596" s="149" t="s">
        <v>3410</v>
      </c>
      <c r="AF596" s="69">
        <f t="shared" si="762"/>
        <v>635</v>
      </c>
      <c r="AG596" s="69">
        <f t="shared" si="776"/>
        <v>18533.6731</v>
      </c>
      <c r="AH596" s="67">
        <v>211453.29</v>
      </c>
      <c r="AI596" s="69">
        <f t="shared" si="763"/>
        <v>-192919.61690000002</v>
      </c>
      <c r="AJ596" s="69">
        <f t="shared" si="764"/>
        <v>-192284.61690000002</v>
      </c>
    </row>
    <row r="597" spans="1:36" x14ac:dyDescent="0.25">
      <c r="A597" s="168" t="s">
        <v>3410</v>
      </c>
      <c r="B597" s="92" t="s">
        <v>3419</v>
      </c>
      <c r="C597" s="71" t="s">
        <v>3387</v>
      </c>
      <c r="D597" s="168" t="s">
        <v>3856</v>
      </c>
      <c r="E597" s="168" t="s">
        <v>3455</v>
      </c>
      <c r="F597" s="58">
        <v>43277</v>
      </c>
      <c r="G597" s="59">
        <f t="shared" si="765"/>
        <v>3.515068493150685</v>
      </c>
      <c r="H597" s="57"/>
      <c r="I597" s="66">
        <v>40019</v>
      </c>
      <c r="J597" s="66">
        <v>40019</v>
      </c>
      <c r="K597" s="59"/>
      <c r="L597" s="59">
        <f t="shared" si="766"/>
        <v>19.239903846153847</v>
      </c>
      <c r="M597" s="61">
        <f t="shared" si="767"/>
        <v>1539.1923076923076</v>
      </c>
      <c r="N597" s="100"/>
      <c r="O597" s="138"/>
      <c r="P597" s="138"/>
      <c r="Q597" s="61">
        <f t="shared" si="768"/>
        <v>0</v>
      </c>
      <c r="R597" s="63">
        <f t="shared" si="769"/>
        <v>40019</v>
      </c>
      <c r="S597" s="169"/>
      <c r="T597" s="169"/>
      <c r="U597" s="169"/>
      <c r="V597" s="63">
        <f t="shared" si="759"/>
        <v>40019</v>
      </c>
      <c r="W597" s="63">
        <f t="shared" si="760"/>
        <v>2481.1779999999999</v>
      </c>
      <c r="X597" s="63">
        <f t="shared" si="761"/>
        <v>580.27550000000008</v>
      </c>
      <c r="Y597" s="63">
        <f t="shared" si="770"/>
        <v>5630.6732999999995</v>
      </c>
      <c r="Z597" s="63">
        <f t="shared" si="771"/>
        <v>64.0304</v>
      </c>
      <c r="AA597" s="63">
        <f t="shared" si="772"/>
        <v>28.013300000000001</v>
      </c>
      <c r="AB597" s="63">
        <f t="shared" si="773"/>
        <v>335</v>
      </c>
      <c r="AC597" s="63">
        <f t="shared" si="774"/>
        <v>10356.36</v>
      </c>
      <c r="AD597" s="63">
        <f t="shared" si="775"/>
        <v>106.9136</v>
      </c>
      <c r="AE597" s="149" t="s">
        <v>3410</v>
      </c>
      <c r="AF597" s="69">
        <f t="shared" si="762"/>
        <v>0</v>
      </c>
      <c r="AG597" s="69">
        <f t="shared" si="776"/>
        <v>19582.444100000001</v>
      </c>
      <c r="AH597" s="67">
        <v>211453.29</v>
      </c>
      <c r="AI597" s="69">
        <f t="shared" si="763"/>
        <v>-191870.84590000001</v>
      </c>
      <c r="AJ597" s="69">
        <f t="shared" si="764"/>
        <v>-191870.84590000001</v>
      </c>
    </row>
    <row r="598" spans="1:36" x14ac:dyDescent="0.25">
      <c r="A598" s="168" t="s">
        <v>3410</v>
      </c>
      <c r="B598" s="92" t="s">
        <v>3425</v>
      </c>
      <c r="C598" s="71" t="s">
        <v>3387</v>
      </c>
      <c r="D598" s="193" t="s">
        <v>3426</v>
      </c>
      <c r="E598" s="193" t="s">
        <v>2900</v>
      </c>
      <c r="F598" s="263">
        <v>43553</v>
      </c>
      <c r="G598" s="59">
        <f t="shared" si="765"/>
        <v>2.7589041095890412</v>
      </c>
      <c r="H598" s="57"/>
      <c r="I598" s="66">
        <v>36544</v>
      </c>
      <c r="J598" s="182">
        <v>37214</v>
      </c>
      <c r="K598" s="59"/>
      <c r="L598" s="59">
        <f t="shared" si="766"/>
        <v>17.891346153846154</v>
      </c>
      <c r="M598" s="61">
        <f t="shared" si="767"/>
        <v>1431.3076923076924</v>
      </c>
      <c r="N598" s="100"/>
      <c r="O598" s="138"/>
      <c r="P598" s="138"/>
      <c r="Q598" s="61">
        <f t="shared" si="768"/>
        <v>0</v>
      </c>
      <c r="R598" s="63">
        <f t="shared" si="769"/>
        <v>37214</v>
      </c>
      <c r="S598" s="169"/>
      <c r="T598" s="169"/>
      <c r="U598" s="169"/>
      <c r="V598" s="63">
        <f t="shared" si="759"/>
        <v>37214</v>
      </c>
      <c r="W598" s="63">
        <f t="shared" si="760"/>
        <v>2307.268</v>
      </c>
      <c r="X598" s="63">
        <f t="shared" si="761"/>
        <v>539.60300000000007</v>
      </c>
      <c r="Y598" s="63">
        <f t="shared" si="770"/>
        <v>5236.0097999999998</v>
      </c>
      <c r="Z598" s="63">
        <f t="shared" si="771"/>
        <v>59.542400000000001</v>
      </c>
      <c r="AA598" s="63">
        <f t="shared" si="772"/>
        <v>26.049800000000001</v>
      </c>
      <c r="AB598" s="63">
        <f t="shared" si="773"/>
        <v>335</v>
      </c>
      <c r="AC598" s="63">
        <f t="shared" si="774"/>
        <v>10356.36</v>
      </c>
      <c r="AD598" s="63">
        <f t="shared" si="775"/>
        <v>106.9136</v>
      </c>
      <c r="AE598" s="149" t="s">
        <v>3410</v>
      </c>
      <c r="AF598" s="69">
        <f t="shared" si="762"/>
        <v>670</v>
      </c>
      <c r="AG598" s="69">
        <f t="shared" si="776"/>
        <v>18966.746599999999</v>
      </c>
      <c r="AH598" s="65"/>
      <c r="AI598" s="69">
        <f t="shared" si="763"/>
        <v>18966.746599999999</v>
      </c>
      <c r="AJ598" s="69">
        <f t="shared" si="764"/>
        <v>19636.746599999999</v>
      </c>
    </row>
    <row r="599" spans="1:36" x14ac:dyDescent="0.25">
      <c r="A599" s="168" t="s">
        <v>3410</v>
      </c>
      <c r="B599" s="92" t="s">
        <v>3427</v>
      </c>
      <c r="C599" s="71" t="s">
        <v>3397</v>
      </c>
      <c r="D599" s="168" t="s">
        <v>3244</v>
      </c>
      <c r="E599" s="168" t="s">
        <v>2486</v>
      </c>
      <c r="F599" s="74">
        <v>39818</v>
      </c>
      <c r="G599" s="59">
        <f t="shared" si="765"/>
        <v>12.991780821917809</v>
      </c>
      <c r="H599" s="57"/>
      <c r="I599" s="66">
        <v>43353</v>
      </c>
      <c r="J599" s="182">
        <v>44147</v>
      </c>
      <c r="K599" s="59"/>
      <c r="L599" s="59">
        <f t="shared" si="766"/>
        <v>21.224519230769232</v>
      </c>
      <c r="M599" s="61">
        <f t="shared" si="767"/>
        <v>1697.9615384615386</v>
      </c>
      <c r="N599" s="100"/>
      <c r="O599" s="138"/>
      <c r="P599" s="100">
        <v>0</v>
      </c>
      <c r="Q599" s="61">
        <f t="shared" si="768"/>
        <v>0</v>
      </c>
      <c r="R599" s="63">
        <f t="shared" si="769"/>
        <v>44147</v>
      </c>
      <c r="S599" s="169"/>
      <c r="T599" s="169"/>
      <c r="U599" s="169"/>
      <c r="V599" s="63">
        <f t="shared" si="759"/>
        <v>44147</v>
      </c>
      <c r="W599" s="63">
        <f t="shared" si="760"/>
        <v>2737.114</v>
      </c>
      <c r="X599" s="63">
        <f t="shared" si="761"/>
        <v>640.13150000000007</v>
      </c>
      <c r="Y599" s="63">
        <f t="shared" si="770"/>
        <v>6211.4829</v>
      </c>
      <c r="Z599" s="63">
        <f t="shared" si="771"/>
        <v>70.635199999999998</v>
      </c>
      <c r="AA599" s="63">
        <f t="shared" si="772"/>
        <v>30.902899999999999</v>
      </c>
      <c r="AB599" s="63">
        <f t="shared" si="773"/>
        <v>335</v>
      </c>
      <c r="AC599" s="63">
        <f t="shared" si="774"/>
        <v>10356.36</v>
      </c>
      <c r="AD599" s="63">
        <f t="shared" si="775"/>
        <v>106.9136</v>
      </c>
      <c r="AE599" s="149" t="s">
        <v>3410</v>
      </c>
      <c r="AF599" s="69">
        <f t="shared" si="762"/>
        <v>794</v>
      </c>
      <c r="AG599" s="69">
        <f t="shared" si="776"/>
        <v>20488.540099999998</v>
      </c>
      <c r="AH599" s="65"/>
      <c r="AI599" s="69">
        <f t="shared" si="763"/>
        <v>20488.540099999998</v>
      </c>
      <c r="AJ599" s="69">
        <f t="shared" si="764"/>
        <v>21282.540099999998</v>
      </c>
    </row>
    <row r="600" spans="1:36" x14ac:dyDescent="0.25">
      <c r="A600" s="168" t="s">
        <v>3410</v>
      </c>
      <c r="B600" s="92" t="s">
        <v>3428</v>
      </c>
      <c r="C600" s="71" t="s">
        <v>3397</v>
      </c>
      <c r="D600" s="168" t="s">
        <v>3429</v>
      </c>
      <c r="E600" s="168" t="s">
        <v>2796</v>
      </c>
      <c r="F600" s="74">
        <v>39118</v>
      </c>
      <c r="G600" s="59">
        <f t="shared" si="765"/>
        <v>14.90958904109589</v>
      </c>
      <c r="H600" s="57"/>
      <c r="I600" s="57">
        <v>43353</v>
      </c>
      <c r="J600" s="182">
        <v>44147</v>
      </c>
      <c r="K600" s="59"/>
      <c r="L600" s="59">
        <f t="shared" si="766"/>
        <v>21.224519230769232</v>
      </c>
      <c r="M600" s="61">
        <f t="shared" si="767"/>
        <v>1697.9615384615386</v>
      </c>
      <c r="N600" s="100"/>
      <c r="O600" s="138"/>
      <c r="P600" s="138"/>
      <c r="Q600" s="61">
        <f t="shared" si="768"/>
        <v>0</v>
      </c>
      <c r="R600" s="63">
        <f t="shared" si="769"/>
        <v>44147</v>
      </c>
      <c r="S600" s="169"/>
      <c r="T600" s="169"/>
      <c r="U600" s="169"/>
      <c r="V600" s="63">
        <f t="shared" si="759"/>
        <v>44147</v>
      </c>
      <c r="W600" s="63">
        <f t="shared" si="760"/>
        <v>2737.114</v>
      </c>
      <c r="X600" s="63">
        <f t="shared" si="761"/>
        <v>640.13150000000007</v>
      </c>
      <c r="Y600" s="63">
        <f t="shared" si="770"/>
        <v>6211.4829</v>
      </c>
      <c r="Z600" s="63">
        <f t="shared" si="771"/>
        <v>70.635199999999998</v>
      </c>
      <c r="AA600" s="63">
        <f t="shared" si="772"/>
        <v>30.902899999999999</v>
      </c>
      <c r="AB600" s="63">
        <f t="shared" si="773"/>
        <v>335</v>
      </c>
      <c r="AC600" s="63">
        <f t="shared" si="774"/>
        <v>10356.36</v>
      </c>
      <c r="AD600" s="63">
        <f t="shared" si="775"/>
        <v>106.9136</v>
      </c>
      <c r="AE600" s="149" t="s">
        <v>3410</v>
      </c>
      <c r="AF600" s="69">
        <f t="shared" si="762"/>
        <v>794</v>
      </c>
      <c r="AG600" s="69">
        <f t="shared" si="776"/>
        <v>20488.540099999998</v>
      </c>
      <c r="AH600" s="67">
        <v>27716.45</v>
      </c>
      <c r="AI600" s="69">
        <f t="shared" si="763"/>
        <v>-7227.9099000000024</v>
      </c>
      <c r="AJ600" s="69">
        <f t="shared" si="764"/>
        <v>-6433.9099000000024</v>
      </c>
    </row>
    <row r="601" spans="1:36" x14ac:dyDescent="0.25">
      <c r="A601" s="168" t="s">
        <v>3410</v>
      </c>
      <c r="B601" s="92" t="s">
        <v>3430</v>
      </c>
      <c r="C601" s="71" t="s">
        <v>3403</v>
      </c>
      <c r="D601" s="185" t="s">
        <v>2429</v>
      </c>
      <c r="E601" s="185" t="s">
        <v>3431</v>
      </c>
      <c r="F601" s="58">
        <v>36753</v>
      </c>
      <c r="G601" s="59">
        <f t="shared" si="765"/>
        <v>21.389041095890413</v>
      </c>
      <c r="H601" s="57"/>
      <c r="I601" s="66">
        <v>44935</v>
      </c>
      <c r="J601" s="66">
        <v>44935</v>
      </c>
      <c r="K601" s="59"/>
      <c r="L601" s="59">
        <f t="shared" si="766"/>
        <v>21.603365384615383</v>
      </c>
      <c r="M601" s="61">
        <f t="shared" si="767"/>
        <v>1728.2692307692307</v>
      </c>
      <c r="N601" s="100">
        <f t="shared" ref="N601:N602" si="777">IF(G601&lt;4,0,(G601-1)*$N$7)</f>
        <v>5382.7068493150691</v>
      </c>
      <c r="O601" s="138"/>
      <c r="P601" s="138"/>
      <c r="Q601" s="61">
        <f t="shared" si="768"/>
        <v>5000</v>
      </c>
      <c r="R601" s="63">
        <f t="shared" si="769"/>
        <v>49935</v>
      </c>
      <c r="S601" s="169"/>
      <c r="T601" s="169"/>
      <c r="U601" s="169"/>
      <c r="V601" s="63">
        <f t="shared" si="759"/>
        <v>49935</v>
      </c>
      <c r="W601" s="63">
        <f t="shared" si="760"/>
        <v>3095.97</v>
      </c>
      <c r="X601" s="63">
        <f t="shared" si="761"/>
        <v>724.0575</v>
      </c>
      <c r="Y601" s="63">
        <f t="shared" si="770"/>
        <v>7025.8544999999995</v>
      </c>
      <c r="Z601" s="63">
        <f t="shared" si="771"/>
        <v>79.896000000000001</v>
      </c>
      <c r="AA601" s="63">
        <f t="shared" si="772"/>
        <v>34.954500000000003</v>
      </c>
      <c r="AB601" s="63">
        <f t="shared" si="773"/>
        <v>335</v>
      </c>
      <c r="AC601" s="63">
        <f t="shared" si="774"/>
        <v>10356.36</v>
      </c>
      <c r="AD601" s="63">
        <f t="shared" si="775"/>
        <v>106.9136</v>
      </c>
      <c r="AE601" s="149" t="s">
        <v>3410</v>
      </c>
      <c r="AF601" s="69">
        <f t="shared" si="762"/>
        <v>0</v>
      </c>
      <c r="AG601" s="69">
        <f t="shared" si="776"/>
        <v>21759.006099999999</v>
      </c>
      <c r="AH601" s="64">
        <v>0</v>
      </c>
      <c r="AI601" s="69">
        <f t="shared" si="763"/>
        <v>21759.006099999999</v>
      </c>
      <c r="AJ601" s="69">
        <f t="shared" si="764"/>
        <v>21759.006099999999</v>
      </c>
    </row>
    <row r="602" spans="1:36" x14ac:dyDescent="0.25">
      <c r="A602" s="168" t="s">
        <v>3410</v>
      </c>
      <c r="B602" s="92" t="s">
        <v>3432</v>
      </c>
      <c r="C602" s="71" t="s">
        <v>3406</v>
      </c>
      <c r="D602" s="185" t="s">
        <v>3433</v>
      </c>
      <c r="E602" s="185" t="s">
        <v>2675</v>
      </c>
      <c r="F602" s="74">
        <v>36290</v>
      </c>
      <c r="G602" s="59">
        <f t="shared" si="765"/>
        <v>22.657534246575342</v>
      </c>
      <c r="H602" s="57"/>
      <c r="I602" s="66">
        <v>48107</v>
      </c>
      <c r="J602" s="182">
        <v>48988</v>
      </c>
      <c r="K602" s="59"/>
      <c r="L602" s="59">
        <f t="shared" si="766"/>
        <v>23.551923076923078</v>
      </c>
      <c r="M602" s="61">
        <f t="shared" si="767"/>
        <v>1884.1538461538462</v>
      </c>
      <c r="N602" s="100">
        <f t="shared" si="777"/>
        <v>5717.58904109589</v>
      </c>
      <c r="O602" s="138"/>
      <c r="P602" s="138"/>
      <c r="Q602" s="61">
        <f t="shared" si="768"/>
        <v>5000</v>
      </c>
      <c r="R602" s="63">
        <f t="shared" si="769"/>
        <v>53988</v>
      </c>
      <c r="S602" s="169"/>
      <c r="T602" s="169"/>
      <c r="U602" s="169"/>
      <c r="V602" s="63">
        <f t="shared" si="759"/>
        <v>53988</v>
      </c>
      <c r="W602" s="63">
        <f t="shared" si="760"/>
        <v>3347.2559999999999</v>
      </c>
      <c r="X602" s="63">
        <f t="shared" si="761"/>
        <v>782.82600000000002</v>
      </c>
      <c r="Y602" s="63">
        <f t="shared" si="770"/>
        <v>7596.1115999999993</v>
      </c>
      <c r="Z602" s="63">
        <f t="shared" si="771"/>
        <v>86.380800000000008</v>
      </c>
      <c r="AA602" s="63">
        <f t="shared" si="772"/>
        <v>37.791600000000003</v>
      </c>
      <c r="AB602" s="63">
        <f t="shared" si="773"/>
        <v>335</v>
      </c>
      <c r="AC602" s="63">
        <f t="shared" si="774"/>
        <v>10356.36</v>
      </c>
      <c r="AD602" s="63">
        <f t="shared" si="775"/>
        <v>106.9136</v>
      </c>
      <c r="AE602" s="149" t="s">
        <v>3410</v>
      </c>
      <c r="AF602" s="69">
        <f t="shared" si="762"/>
        <v>881</v>
      </c>
      <c r="AG602" s="69">
        <f t="shared" si="776"/>
        <v>22648.639600000002</v>
      </c>
      <c r="AH602" s="67">
        <v>21814.78</v>
      </c>
      <c r="AI602" s="69">
        <f t="shared" si="763"/>
        <v>833.85960000000341</v>
      </c>
      <c r="AJ602" s="69">
        <f t="shared" si="764"/>
        <v>1714.8596000000034</v>
      </c>
    </row>
    <row r="603" spans="1:36" x14ac:dyDescent="0.25">
      <c r="A603" s="168" t="s">
        <v>3410</v>
      </c>
      <c r="B603" s="138"/>
      <c r="C603" s="168" t="s">
        <v>1627</v>
      </c>
      <c r="D603" s="168"/>
      <c r="E603" s="168"/>
      <c r="F603" s="58"/>
      <c r="G603" s="167" t="s">
        <v>2422</v>
      </c>
      <c r="H603" s="88"/>
      <c r="I603" s="88">
        <v>40000</v>
      </c>
      <c r="J603" s="88">
        <v>40000</v>
      </c>
      <c r="K603" s="138"/>
      <c r="L603" s="138"/>
      <c r="M603" s="138"/>
      <c r="N603" s="167" t="s">
        <v>27</v>
      </c>
      <c r="O603" s="138"/>
      <c r="P603" s="138"/>
      <c r="Q603" s="167">
        <v>0</v>
      </c>
      <c r="R603" s="63">
        <f t="shared" si="769"/>
        <v>40000</v>
      </c>
      <c r="S603" s="169"/>
      <c r="T603" s="169"/>
      <c r="U603" s="169"/>
      <c r="V603" s="63">
        <f t="shared" si="759"/>
        <v>40000</v>
      </c>
      <c r="W603" s="63">
        <f t="shared" si="760"/>
        <v>2480</v>
      </c>
      <c r="X603" s="63">
        <f t="shared" si="761"/>
        <v>580</v>
      </c>
      <c r="Y603" s="63">
        <f t="shared" si="770"/>
        <v>5628</v>
      </c>
      <c r="Z603" s="63">
        <f t="shared" si="771"/>
        <v>64</v>
      </c>
      <c r="AA603" s="63">
        <f t="shared" si="772"/>
        <v>28</v>
      </c>
      <c r="AB603" s="63" t="s">
        <v>2422</v>
      </c>
      <c r="AC603" s="63" t="s">
        <v>2422</v>
      </c>
      <c r="AD603" s="63" t="s">
        <v>2422</v>
      </c>
      <c r="AE603" s="149" t="s">
        <v>3410</v>
      </c>
      <c r="AF603" s="69">
        <f t="shared" si="762"/>
        <v>0</v>
      </c>
      <c r="AG603" s="69">
        <f t="shared" si="776"/>
        <v>8780</v>
      </c>
      <c r="AH603" s="67">
        <v>21088.39</v>
      </c>
      <c r="AI603" s="69">
        <f t="shared" si="763"/>
        <v>-12308.39</v>
      </c>
      <c r="AJ603" s="100">
        <f t="shared" si="764"/>
        <v>-12308.39</v>
      </c>
    </row>
    <row r="604" spans="1:36" x14ac:dyDescent="0.25">
      <c r="A604" s="168" t="s">
        <v>3410</v>
      </c>
      <c r="B604" s="138"/>
      <c r="C604" s="168" t="s">
        <v>2495</v>
      </c>
      <c r="D604" s="168" t="s">
        <v>3857</v>
      </c>
      <c r="E604" s="168" t="s">
        <v>2773</v>
      </c>
      <c r="F604" s="287"/>
      <c r="G604" s="167" t="s">
        <v>2422</v>
      </c>
      <c r="H604" s="88"/>
      <c r="I604" s="88">
        <v>15000</v>
      </c>
      <c r="J604" s="218">
        <v>15000</v>
      </c>
      <c r="K604" s="219"/>
      <c r="L604" s="219"/>
      <c r="M604" s="219"/>
      <c r="N604" s="220" t="s">
        <v>27</v>
      </c>
      <c r="O604" s="219"/>
      <c r="P604" s="219"/>
      <c r="Q604" s="220">
        <v>0</v>
      </c>
      <c r="R604" s="172">
        <f t="shared" si="769"/>
        <v>15000</v>
      </c>
      <c r="S604" s="173"/>
      <c r="T604" s="173"/>
      <c r="U604" s="173"/>
      <c r="V604" s="172">
        <f t="shared" si="759"/>
        <v>15000</v>
      </c>
      <c r="W604" s="172">
        <f t="shared" si="760"/>
        <v>930</v>
      </c>
      <c r="X604" s="172">
        <f t="shared" si="761"/>
        <v>217.5</v>
      </c>
      <c r="Y604" s="172">
        <f t="shared" si="770"/>
        <v>2110.5</v>
      </c>
      <c r="Z604" s="172">
        <f t="shared" si="771"/>
        <v>24</v>
      </c>
      <c r="AA604" s="172">
        <f t="shared" si="772"/>
        <v>10.5</v>
      </c>
      <c r="AB604" s="172" t="s">
        <v>2422</v>
      </c>
      <c r="AC604" s="172" t="s">
        <v>2422</v>
      </c>
      <c r="AD604" s="172" t="s">
        <v>2422</v>
      </c>
      <c r="AE604" s="149" t="s">
        <v>3410</v>
      </c>
      <c r="AF604" s="69">
        <f t="shared" si="762"/>
        <v>0</v>
      </c>
      <c r="AG604" s="69">
        <f t="shared" si="776"/>
        <v>3292.5</v>
      </c>
      <c r="AH604" s="67">
        <v>19585.919999999998</v>
      </c>
      <c r="AI604" s="69">
        <f t="shared" si="763"/>
        <v>-16293.419999999998</v>
      </c>
      <c r="AJ604" s="100">
        <f t="shared" si="764"/>
        <v>-16293.419999999998</v>
      </c>
    </row>
    <row r="605" spans="1:36" x14ac:dyDescent="0.25">
      <c r="A605" s="168" t="s">
        <v>3410</v>
      </c>
      <c r="B605" s="138"/>
      <c r="C605" s="138"/>
      <c r="G605" s="138"/>
      <c r="H605" s="221"/>
      <c r="I605" s="222">
        <f t="shared" ref="I605:J605" si="778">SUM(I592:I604)</f>
        <v>494215</v>
      </c>
      <c r="J605" s="222">
        <f t="shared" si="778"/>
        <v>499270</v>
      </c>
      <c r="K605" s="223"/>
      <c r="L605" s="223">
        <f t="shared" ref="L605:AD605" si="779">SUM(L591:L604)</f>
        <v>213.59134615384616</v>
      </c>
      <c r="M605" s="223">
        <f t="shared" si="779"/>
        <v>17110.387692307693</v>
      </c>
      <c r="N605" s="223">
        <f t="shared" si="779"/>
        <v>11100.295890410958</v>
      </c>
      <c r="O605" s="223">
        <f t="shared" si="779"/>
        <v>0</v>
      </c>
      <c r="P605" s="223">
        <f t="shared" si="779"/>
        <v>0</v>
      </c>
      <c r="Q605" s="223">
        <f t="shared" si="779"/>
        <v>10000</v>
      </c>
      <c r="R605" s="223">
        <f t="shared" si="779"/>
        <v>509270</v>
      </c>
      <c r="S605" s="223">
        <f t="shared" si="779"/>
        <v>4200</v>
      </c>
      <c r="T605" s="223">
        <f t="shared" si="779"/>
        <v>0</v>
      </c>
      <c r="U605" s="223">
        <f t="shared" si="779"/>
        <v>0</v>
      </c>
      <c r="V605" s="223">
        <f t="shared" si="779"/>
        <v>513470</v>
      </c>
      <c r="W605" s="223">
        <f t="shared" si="779"/>
        <v>31835.140000000003</v>
      </c>
      <c r="X605" s="223">
        <f t="shared" si="779"/>
        <v>7445.3150000000005</v>
      </c>
      <c r="Y605" s="223">
        <f t="shared" si="779"/>
        <v>72245.228999999992</v>
      </c>
      <c r="Z605" s="223">
        <f t="shared" si="779"/>
        <v>821.55200000000002</v>
      </c>
      <c r="AA605" s="223">
        <f t="shared" si="779"/>
        <v>306.65879999999999</v>
      </c>
      <c r="AB605" s="223">
        <f t="shared" si="779"/>
        <v>3350</v>
      </c>
      <c r="AC605" s="223">
        <f t="shared" si="779"/>
        <v>103563.6</v>
      </c>
      <c r="AD605" s="223">
        <f t="shared" si="779"/>
        <v>1069.136</v>
      </c>
      <c r="AE605" s="149" t="s">
        <v>3410</v>
      </c>
      <c r="AF605" s="195">
        <f>SUM(AF592:AF604)</f>
        <v>5055</v>
      </c>
      <c r="AG605" s="100">
        <f t="shared" si="776"/>
        <v>220636.63079999998</v>
      </c>
      <c r="AH605" s="225">
        <v>20726.11</v>
      </c>
      <c r="AI605" s="226">
        <f t="shared" si="763"/>
        <v>199910.5208</v>
      </c>
      <c r="AJ605" s="176">
        <f t="shared" si="764"/>
        <v>204965.5208</v>
      </c>
    </row>
    <row r="606" spans="1:36" hidden="1" x14ac:dyDescent="0.25">
      <c r="A606" s="138"/>
      <c r="B606" s="138"/>
      <c r="C606" s="138"/>
      <c r="D606" s="138"/>
      <c r="E606" s="138"/>
      <c r="F606" s="138"/>
      <c r="G606" s="138"/>
      <c r="H606" s="78"/>
      <c r="I606" s="78">
        <v>376049</v>
      </c>
      <c r="J606" s="78">
        <f>SUM(J594:J602)</f>
        <v>373084</v>
      </c>
      <c r="K606" s="138"/>
      <c r="L606" s="138"/>
      <c r="M606" s="138"/>
      <c r="N606" s="138"/>
      <c r="O606" s="138"/>
      <c r="P606" s="138"/>
      <c r="Q606" s="138"/>
      <c r="R606" s="169"/>
      <c r="S606" s="169"/>
      <c r="T606" s="169"/>
      <c r="U606" s="169"/>
      <c r="V606" s="169"/>
      <c r="W606" s="63">
        <f>SUM(W605:X605)</f>
        <v>39280.455000000002</v>
      </c>
      <c r="X606" s="169"/>
      <c r="Y606" s="169"/>
      <c r="Z606" s="169"/>
      <c r="AA606" s="169"/>
      <c r="AB606" s="169"/>
      <c r="AC606" s="63">
        <f>SUM(AC605:AD605)</f>
        <v>104632.736</v>
      </c>
      <c r="AD606" s="169"/>
      <c r="AE606" s="149"/>
      <c r="AF606" s="69">
        <f t="shared" ref="AF606:AG606" si="780">SUM(AF592:AF604)</f>
        <v>5055</v>
      </c>
      <c r="AG606" s="69">
        <f t="shared" si="780"/>
        <v>220636.63079999998</v>
      </c>
      <c r="AH606" s="67">
        <v>19635.61</v>
      </c>
      <c r="AI606" s="69">
        <f t="shared" ref="AI606:AJ606" si="781">SUM(AI592:AI604)</f>
        <v>-336654.40920000005</v>
      </c>
      <c r="AJ606" s="69">
        <f t="shared" si="781"/>
        <v>-331599.40920000005</v>
      </c>
    </row>
    <row r="607" spans="1:36" x14ac:dyDescent="0.25">
      <c r="A607" s="138"/>
      <c r="B607" s="138"/>
      <c r="G607" s="138"/>
      <c r="H607" s="148"/>
      <c r="I607" s="148"/>
      <c r="J607" s="148"/>
      <c r="K607" s="138"/>
      <c r="L607" s="138"/>
      <c r="M607" s="138"/>
      <c r="N607" s="138"/>
      <c r="O607" s="138"/>
      <c r="P607" s="138"/>
      <c r="Q607" s="138"/>
      <c r="R607" s="169"/>
      <c r="S607" s="169"/>
      <c r="T607" s="169"/>
      <c r="U607" s="169"/>
      <c r="V607" s="169"/>
      <c r="W607" s="169"/>
      <c r="X607" s="169"/>
      <c r="Y607" s="169"/>
      <c r="Z607" s="169"/>
      <c r="AA607" s="169"/>
      <c r="AB607" s="169"/>
      <c r="AC607" s="169"/>
      <c r="AD607" s="169"/>
      <c r="AE607" s="149"/>
      <c r="AF607" s="178"/>
      <c r="AG607" s="178"/>
      <c r="AH607" s="67">
        <v>19962.62</v>
      </c>
      <c r="AI607" s="178"/>
      <c r="AJ607" s="178"/>
    </row>
    <row r="608" spans="1:36" x14ac:dyDescent="0.25">
      <c r="A608" s="138"/>
      <c r="B608" s="138"/>
      <c r="C608" s="138"/>
      <c r="D608" s="138"/>
      <c r="E608" s="138"/>
      <c r="F608" s="138"/>
      <c r="G608" s="138"/>
      <c r="H608" s="148"/>
      <c r="I608" s="148"/>
      <c r="J608" s="148"/>
      <c r="K608" s="138"/>
      <c r="L608" s="138"/>
      <c r="M608" s="138"/>
      <c r="N608" s="138"/>
      <c r="O608" s="138"/>
      <c r="P608" s="138"/>
      <c r="Q608" s="138"/>
      <c r="R608" s="169"/>
      <c r="S608" s="169"/>
      <c r="T608" s="169"/>
      <c r="U608" s="169"/>
      <c r="V608" s="169"/>
      <c r="W608" s="169"/>
      <c r="X608" s="169"/>
      <c r="Y608" s="169"/>
      <c r="Z608" s="169"/>
      <c r="AA608" s="169"/>
      <c r="AB608" s="169"/>
      <c r="AC608" s="169"/>
      <c r="AD608" s="169"/>
      <c r="AE608" s="149"/>
      <c r="AF608" s="178"/>
      <c r="AG608" s="178"/>
      <c r="AH608" s="67">
        <v>20726.11</v>
      </c>
      <c r="AI608" s="178"/>
      <c r="AJ608" s="178"/>
    </row>
    <row r="609" spans="1:36" x14ac:dyDescent="0.25">
      <c r="A609" s="168" t="s">
        <v>3434</v>
      </c>
      <c r="B609" s="92" t="s">
        <v>3435</v>
      </c>
      <c r="C609" s="168" t="s">
        <v>3436</v>
      </c>
      <c r="D609" s="181" t="s">
        <v>3437</v>
      </c>
      <c r="E609" s="181" t="s">
        <v>3438</v>
      </c>
      <c r="F609" s="74">
        <v>42736</v>
      </c>
      <c r="G609" s="59">
        <f>(DATE(2021,12,30)-(F609))/365</f>
        <v>4.9972602739726026</v>
      </c>
      <c r="H609" s="57"/>
      <c r="I609" s="57">
        <v>69905</v>
      </c>
      <c r="J609" s="182">
        <v>71186</v>
      </c>
      <c r="K609" s="59"/>
      <c r="L609" s="59">
        <f>SUM(J609/$L$7)</f>
        <v>34.224038461538463</v>
      </c>
      <c r="M609" s="61">
        <f>SUM(J609/$M$7)</f>
        <v>2737.9230769230771</v>
      </c>
      <c r="N609" s="100">
        <f>IF(G609&lt;4,0,(G609-1)*264)</f>
        <v>1055.2767123287672</v>
      </c>
      <c r="O609" s="138"/>
      <c r="P609" s="138"/>
      <c r="Q609" s="61">
        <f>IF(N609+P609&gt;5000,5000,N609+P609)</f>
        <v>1055.2767123287672</v>
      </c>
      <c r="R609" s="63">
        <f>SUM(J609+Q609)</f>
        <v>72241.276712328763</v>
      </c>
      <c r="S609" s="63">
        <v>4200</v>
      </c>
      <c r="T609" s="169"/>
      <c r="U609" s="169"/>
      <c r="V609" s="63">
        <f t="shared" ref="V609:V620" si="782">SUM(R609:U609)</f>
        <v>76441.276712328763</v>
      </c>
      <c r="W609" s="63">
        <f t="shared" ref="W609:W620" si="783">SUM(V609*$W$7)</f>
        <v>4739.3591561643834</v>
      </c>
      <c r="X609" s="63">
        <f t="shared" ref="X609:X620" si="784">SUM(V609*$X$7)</f>
        <v>1108.3985123287671</v>
      </c>
      <c r="Y609" s="63">
        <f>SUM(V609*$Y$7)</f>
        <v>10755.287633424656</v>
      </c>
      <c r="Z609" s="63">
        <f>SUM(V609*$Z$7)</f>
        <v>122.30604273972602</v>
      </c>
      <c r="AA609" s="63" t="s">
        <v>2420</v>
      </c>
      <c r="AB609" s="63">
        <f>SUM($AB$7)</f>
        <v>335</v>
      </c>
      <c r="AC609" s="63">
        <f>$AC$7</f>
        <v>10356.36</v>
      </c>
      <c r="AD609" s="63">
        <f>SUM(AB609+AC609)*$AD$7</f>
        <v>106.9136</v>
      </c>
      <c r="AE609" s="149" t="s">
        <v>3434</v>
      </c>
      <c r="AF609" s="69">
        <f t="shared" ref="AF609:AF620" si="785">SUM(J609-I609)</f>
        <v>1281</v>
      </c>
      <c r="AG609" s="69">
        <f t="shared" ref="AG609:AG621" si="786">SUM(W609:AD609)</f>
        <v>27523.624944657531</v>
      </c>
      <c r="AH609" s="67">
        <v>19962.62</v>
      </c>
      <c r="AI609" s="69">
        <f t="shared" ref="AI609:AI621" si="787">AG609-AH609</f>
        <v>7561.0049446575322</v>
      </c>
      <c r="AJ609" s="69">
        <f t="shared" ref="AJ609:AJ621" si="788">AF609+AI609</f>
        <v>8842.0049446575322</v>
      </c>
    </row>
    <row r="610" spans="1:36" x14ac:dyDescent="0.25">
      <c r="A610" s="138"/>
      <c r="B610" s="138"/>
      <c r="C610" s="168" t="s">
        <v>2901</v>
      </c>
      <c r="D610" s="181" t="s">
        <v>3437</v>
      </c>
      <c r="E610" s="181" t="s">
        <v>3438</v>
      </c>
      <c r="F610" s="138"/>
      <c r="G610" s="167" t="s">
        <v>2422</v>
      </c>
      <c r="H610" s="284"/>
      <c r="I610" s="284">
        <v>600</v>
      </c>
      <c r="J610" s="284">
        <v>600</v>
      </c>
      <c r="K610" s="138"/>
      <c r="L610" s="138"/>
      <c r="M610" s="167">
        <v>23.08</v>
      </c>
      <c r="N610" s="167" t="s">
        <v>2420</v>
      </c>
      <c r="O610" s="138"/>
      <c r="P610" s="138"/>
      <c r="Q610" s="61">
        <v>0</v>
      </c>
      <c r="R610" s="63">
        <v>600</v>
      </c>
      <c r="S610" s="169"/>
      <c r="T610" s="169"/>
      <c r="U610" s="169"/>
      <c r="V610" s="63">
        <f t="shared" si="782"/>
        <v>600</v>
      </c>
      <c r="W610" s="63">
        <f t="shared" si="783"/>
        <v>37.200000000000003</v>
      </c>
      <c r="X610" s="63">
        <f t="shared" si="784"/>
        <v>8.7000000000000011</v>
      </c>
      <c r="Y610" s="63" t="s">
        <v>2422</v>
      </c>
      <c r="Z610" s="63" t="s">
        <v>2422</v>
      </c>
      <c r="AA610" s="63" t="s">
        <v>2422</v>
      </c>
      <c r="AB610" s="63" t="s">
        <v>2422</v>
      </c>
      <c r="AC610" s="63" t="s">
        <v>2422</v>
      </c>
      <c r="AD610" s="63" t="s">
        <v>2422</v>
      </c>
      <c r="AE610" s="149" t="s">
        <v>3434</v>
      </c>
      <c r="AF610" s="69">
        <f t="shared" si="785"/>
        <v>0</v>
      </c>
      <c r="AG610" s="69">
        <f t="shared" si="786"/>
        <v>45.900000000000006</v>
      </c>
      <c r="AH610" s="67">
        <v>19797.52</v>
      </c>
      <c r="AI610" s="69">
        <f t="shared" si="787"/>
        <v>-19751.62</v>
      </c>
      <c r="AJ610" s="285">
        <f t="shared" si="788"/>
        <v>-19751.62</v>
      </c>
    </row>
    <row r="611" spans="1:36" x14ac:dyDescent="0.25">
      <c r="A611" s="168" t="s">
        <v>3434</v>
      </c>
      <c r="B611" s="92" t="s">
        <v>3439</v>
      </c>
      <c r="C611" s="71" t="s">
        <v>2740</v>
      </c>
      <c r="D611" s="168" t="s">
        <v>2603</v>
      </c>
      <c r="E611" s="168" t="s">
        <v>3440</v>
      </c>
      <c r="F611" s="74">
        <v>42921</v>
      </c>
      <c r="G611" s="59">
        <f t="shared" ref="G611:G619" si="789">(DATE(2021,12,30)-(F611))/365</f>
        <v>4.4904109589041097</v>
      </c>
      <c r="H611" s="57"/>
      <c r="I611" s="66">
        <v>30340</v>
      </c>
      <c r="J611" s="182">
        <v>30896</v>
      </c>
      <c r="K611" s="59"/>
      <c r="L611" s="59">
        <f t="shared" ref="L611:L619" si="790">SUM(J611/$L$7)</f>
        <v>14.853846153846154</v>
      </c>
      <c r="M611" s="61">
        <f t="shared" ref="M611:M620" si="791">SUM(J611/$M$7)</f>
        <v>1188.3076923076924</v>
      </c>
      <c r="N611" s="100">
        <f>IF(G611&lt;4,0,(G611-1)*264)</f>
        <v>921.46849315068494</v>
      </c>
      <c r="O611" s="138"/>
      <c r="P611" s="167"/>
      <c r="Q611" s="61">
        <f t="shared" ref="Q611:Q619" si="792">IF(N611+P611&gt;5000,5000,N611+P611)</f>
        <v>921.46849315068494</v>
      </c>
      <c r="R611" s="63">
        <f t="shared" ref="R611:R620" si="793">SUM(J611+Q611)</f>
        <v>31817.468493150685</v>
      </c>
      <c r="S611" s="169"/>
      <c r="T611" s="169"/>
      <c r="U611" s="169"/>
      <c r="V611" s="63">
        <f t="shared" si="782"/>
        <v>31817.468493150685</v>
      </c>
      <c r="W611" s="63">
        <f t="shared" si="783"/>
        <v>1972.6830465753426</v>
      </c>
      <c r="X611" s="63">
        <f t="shared" si="784"/>
        <v>461.35329315068498</v>
      </c>
      <c r="Y611" s="63">
        <f t="shared" ref="Y611:Y620" si="794">SUM(V611*$Y$7)</f>
        <v>4476.7178169863009</v>
      </c>
      <c r="Z611" s="63">
        <f t="shared" ref="Z611:Z620" si="795">SUM(V611*$Z$7)</f>
        <v>50.907949589041102</v>
      </c>
      <c r="AA611" s="63">
        <f t="shared" ref="AA611:AA620" si="796">SUM(V611*$AA$7)</f>
        <v>22.272227945205479</v>
      </c>
      <c r="AB611" s="63">
        <f t="shared" ref="AB611:AB619" si="797">SUM($AB$7)</f>
        <v>335</v>
      </c>
      <c r="AC611" s="63">
        <f t="shared" ref="AC611:AC619" si="798">$AC$7</f>
        <v>10356.36</v>
      </c>
      <c r="AD611" s="63">
        <f t="shared" ref="AD611:AD619" si="799">SUM(AB611+AC611)*$AD$7</f>
        <v>106.9136</v>
      </c>
      <c r="AE611" s="149" t="s">
        <v>3434</v>
      </c>
      <c r="AF611" s="69">
        <f t="shared" si="785"/>
        <v>556</v>
      </c>
      <c r="AG611" s="69">
        <f t="shared" si="786"/>
        <v>17782.207934246573</v>
      </c>
      <c r="AH611" s="67">
        <v>9160</v>
      </c>
      <c r="AI611" s="69">
        <f t="shared" si="787"/>
        <v>8622.2079342465731</v>
      </c>
      <c r="AJ611" s="69">
        <f t="shared" si="788"/>
        <v>9178.2079342465731</v>
      </c>
    </row>
    <row r="612" spans="1:36" x14ac:dyDescent="0.25">
      <c r="A612" s="168" t="s">
        <v>3434</v>
      </c>
      <c r="B612" s="92" t="s">
        <v>3441</v>
      </c>
      <c r="C612" s="71" t="s">
        <v>3442</v>
      </c>
      <c r="D612" s="168" t="s">
        <v>2655</v>
      </c>
      <c r="E612" s="168" t="s">
        <v>3443</v>
      </c>
      <c r="F612" s="84">
        <v>43444</v>
      </c>
      <c r="G612" s="59">
        <f t="shared" si="789"/>
        <v>3.0575342465753423</v>
      </c>
      <c r="H612" s="57"/>
      <c r="I612" s="66">
        <v>37451</v>
      </c>
      <c r="J612" s="66">
        <v>37451</v>
      </c>
      <c r="K612" s="59"/>
      <c r="L612" s="59">
        <f t="shared" si="790"/>
        <v>18.005288461538463</v>
      </c>
      <c r="M612" s="61">
        <f t="shared" si="791"/>
        <v>1440.4230769230769</v>
      </c>
      <c r="N612" s="100"/>
      <c r="O612" s="138"/>
      <c r="P612" s="138"/>
      <c r="Q612" s="61">
        <f t="shared" si="792"/>
        <v>0</v>
      </c>
      <c r="R612" s="63">
        <f t="shared" si="793"/>
        <v>37451</v>
      </c>
      <c r="S612" s="169"/>
      <c r="T612" s="169"/>
      <c r="U612" s="169"/>
      <c r="V612" s="63">
        <f t="shared" si="782"/>
        <v>37451</v>
      </c>
      <c r="W612" s="63">
        <f t="shared" si="783"/>
        <v>2321.962</v>
      </c>
      <c r="X612" s="63">
        <f t="shared" si="784"/>
        <v>543.03949999999998</v>
      </c>
      <c r="Y612" s="63">
        <f t="shared" si="794"/>
        <v>5269.3557000000001</v>
      </c>
      <c r="Z612" s="63">
        <f t="shared" si="795"/>
        <v>59.921600000000005</v>
      </c>
      <c r="AA612" s="63">
        <f t="shared" si="796"/>
        <v>26.215699999999998</v>
      </c>
      <c r="AB612" s="63">
        <f t="shared" si="797"/>
        <v>335</v>
      </c>
      <c r="AC612" s="63">
        <f t="shared" si="798"/>
        <v>10356.36</v>
      </c>
      <c r="AD612" s="63">
        <f t="shared" si="799"/>
        <v>106.9136</v>
      </c>
      <c r="AE612" s="149" t="s">
        <v>3434</v>
      </c>
      <c r="AF612" s="69">
        <f t="shared" si="785"/>
        <v>0</v>
      </c>
      <c r="AG612" s="69">
        <f t="shared" si="786"/>
        <v>19018.768100000001</v>
      </c>
      <c r="AH612" s="67">
        <v>3435</v>
      </c>
      <c r="AI612" s="69">
        <f t="shared" si="787"/>
        <v>15583.768100000001</v>
      </c>
      <c r="AJ612" s="69">
        <f t="shared" si="788"/>
        <v>15583.768100000001</v>
      </c>
    </row>
    <row r="613" spans="1:36" x14ac:dyDescent="0.25">
      <c r="A613" s="168" t="s">
        <v>3434</v>
      </c>
      <c r="B613" s="92" t="s">
        <v>3444</v>
      </c>
      <c r="C613" s="71" t="s">
        <v>3445</v>
      </c>
      <c r="D613" s="168" t="s">
        <v>3446</v>
      </c>
      <c r="E613" s="168" t="s">
        <v>3447</v>
      </c>
      <c r="F613" s="58">
        <v>41001</v>
      </c>
      <c r="G613" s="59">
        <f t="shared" si="789"/>
        <v>9.75068493150685</v>
      </c>
      <c r="H613" s="57"/>
      <c r="I613" s="66">
        <v>41806</v>
      </c>
      <c r="J613" s="66">
        <v>41806</v>
      </c>
      <c r="K613" s="59"/>
      <c r="L613" s="59">
        <f t="shared" si="790"/>
        <v>20.099038461538463</v>
      </c>
      <c r="M613" s="61">
        <f t="shared" si="791"/>
        <v>1607.9230769230769</v>
      </c>
      <c r="N613" s="100"/>
      <c r="O613" s="138"/>
      <c r="P613" s="138"/>
      <c r="Q613" s="61">
        <f t="shared" si="792"/>
        <v>0</v>
      </c>
      <c r="R613" s="63">
        <f t="shared" si="793"/>
        <v>41806</v>
      </c>
      <c r="S613" s="169"/>
      <c r="T613" s="169"/>
      <c r="U613" s="169"/>
      <c r="V613" s="63">
        <f t="shared" si="782"/>
        <v>41806</v>
      </c>
      <c r="W613" s="63">
        <f t="shared" si="783"/>
        <v>2591.9720000000002</v>
      </c>
      <c r="X613" s="63">
        <f t="shared" si="784"/>
        <v>606.18700000000001</v>
      </c>
      <c r="Y613" s="63">
        <f t="shared" si="794"/>
        <v>5882.1041999999998</v>
      </c>
      <c r="Z613" s="63">
        <f t="shared" si="795"/>
        <v>66.889600000000002</v>
      </c>
      <c r="AA613" s="63">
        <f t="shared" si="796"/>
        <v>29.264199999999999</v>
      </c>
      <c r="AB613" s="63">
        <f t="shared" si="797"/>
        <v>335</v>
      </c>
      <c r="AC613" s="63">
        <f t="shared" si="798"/>
        <v>10356.36</v>
      </c>
      <c r="AD613" s="63">
        <f t="shared" si="799"/>
        <v>106.9136</v>
      </c>
      <c r="AE613" s="149" t="s">
        <v>3434</v>
      </c>
      <c r="AF613" s="69">
        <f t="shared" si="785"/>
        <v>0</v>
      </c>
      <c r="AG613" s="69">
        <f t="shared" si="786"/>
        <v>19974.690600000002</v>
      </c>
      <c r="AH613" s="67">
        <v>223611.13</v>
      </c>
      <c r="AI613" s="69">
        <f t="shared" si="787"/>
        <v>-203636.4394</v>
      </c>
      <c r="AJ613" s="69">
        <f t="shared" si="788"/>
        <v>-203636.4394</v>
      </c>
    </row>
    <row r="614" spans="1:36" x14ac:dyDescent="0.25">
      <c r="A614" s="168" t="s">
        <v>3434</v>
      </c>
      <c r="B614" s="92" t="s">
        <v>3448</v>
      </c>
      <c r="C614" s="71" t="s">
        <v>3445</v>
      </c>
      <c r="D614" s="168" t="s">
        <v>3858</v>
      </c>
      <c r="E614" s="168" t="s">
        <v>3859</v>
      </c>
      <c r="F614" s="58">
        <v>41134</v>
      </c>
      <c r="G614" s="59">
        <f t="shared" si="789"/>
        <v>9.3863013698630144</v>
      </c>
      <c r="H614" s="57"/>
      <c r="I614" s="66">
        <v>42572</v>
      </c>
      <c r="J614" s="66">
        <v>42572</v>
      </c>
      <c r="K614" s="59"/>
      <c r="L614" s="59">
        <f t="shared" si="790"/>
        <v>20.467307692307692</v>
      </c>
      <c r="M614" s="61">
        <f t="shared" si="791"/>
        <v>1637.3846153846155</v>
      </c>
      <c r="N614" s="100"/>
      <c r="O614" s="138"/>
      <c r="P614" s="138"/>
      <c r="Q614" s="61">
        <f t="shared" si="792"/>
        <v>0</v>
      </c>
      <c r="R614" s="63">
        <f t="shared" si="793"/>
        <v>42572</v>
      </c>
      <c r="S614" s="169"/>
      <c r="T614" s="169"/>
      <c r="U614" s="169"/>
      <c r="V614" s="63">
        <f t="shared" si="782"/>
        <v>42572</v>
      </c>
      <c r="W614" s="63">
        <f t="shared" si="783"/>
        <v>2639.4639999999999</v>
      </c>
      <c r="X614" s="63">
        <f t="shared" si="784"/>
        <v>617.29399999999998</v>
      </c>
      <c r="Y614" s="63">
        <f t="shared" si="794"/>
        <v>5989.8804</v>
      </c>
      <c r="Z614" s="63">
        <f t="shared" si="795"/>
        <v>68.115200000000002</v>
      </c>
      <c r="AA614" s="63">
        <f t="shared" si="796"/>
        <v>29.8004</v>
      </c>
      <c r="AB614" s="63">
        <f t="shared" si="797"/>
        <v>335</v>
      </c>
      <c r="AC614" s="63">
        <f t="shared" si="798"/>
        <v>10356.36</v>
      </c>
      <c r="AD614" s="63">
        <f t="shared" si="799"/>
        <v>106.9136</v>
      </c>
      <c r="AE614" s="149" t="s">
        <v>3434</v>
      </c>
      <c r="AF614" s="69">
        <f t="shared" si="785"/>
        <v>0</v>
      </c>
      <c r="AG614" s="69">
        <f t="shared" si="786"/>
        <v>20142.827600000001</v>
      </c>
      <c r="AH614" s="67">
        <v>223611.13</v>
      </c>
      <c r="AI614" s="69">
        <f t="shared" si="787"/>
        <v>-203468.30240000002</v>
      </c>
      <c r="AJ614" s="69">
        <f t="shared" si="788"/>
        <v>-203468.30240000002</v>
      </c>
    </row>
    <row r="615" spans="1:36" x14ac:dyDescent="0.25">
      <c r="A615" s="168" t="s">
        <v>3434</v>
      </c>
      <c r="B615" s="92" t="s">
        <v>3449</v>
      </c>
      <c r="C615" s="71" t="s">
        <v>3445</v>
      </c>
      <c r="D615" s="168" t="s">
        <v>2614</v>
      </c>
      <c r="E615" s="168" t="s">
        <v>3443</v>
      </c>
      <c r="F615" s="58">
        <v>40232</v>
      </c>
      <c r="G615" s="59">
        <f t="shared" si="789"/>
        <v>11.857534246575343</v>
      </c>
      <c r="H615" s="57"/>
      <c r="I615" s="66">
        <v>42572</v>
      </c>
      <c r="J615" s="66">
        <v>42572</v>
      </c>
      <c r="K615" s="59"/>
      <c r="L615" s="59">
        <f t="shared" si="790"/>
        <v>20.467307692307692</v>
      </c>
      <c r="M615" s="61">
        <f t="shared" si="791"/>
        <v>1637.3846153846155</v>
      </c>
      <c r="N615" s="100"/>
      <c r="O615" s="138"/>
      <c r="P615" s="138"/>
      <c r="Q615" s="61">
        <f t="shared" si="792"/>
        <v>0</v>
      </c>
      <c r="R615" s="63">
        <f t="shared" si="793"/>
        <v>42572</v>
      </c>
      <c r="S615" s="169"/>
      <c r="T615" s="169"/>
      <c r="U615" s="169"/>
      <c r="V615" s="63">
        <f t="shared" si="782"/>
        <v>42572</v>
      </c>
      <c r="W615" s="63">
        <f t="shared" si="783"/>
        <v>2639.4639999999999</v>
      </c>
      <c r="X615" s="63">
        <f t="shared" si="784"/>
        <v>617.29399999999998</v>
      </c>
      <c r="Y615" s="63">
        <f t="shared" si="794"/>
        <v>5989.8804</v>
      </c>
      <c r="Z615" s="63">
        <f t="shared" si="795"/>
        <v>68.115200000000002</v>
      </c>
      <c r="AA615" s="63">
        <f t="shared" si="796"/>
        <v>29.8004</v>
      </c>
      <c r="AB615" s="63">
        <f t="shared" si="797"/>
        <v>335</v>
      </c>
      <c r="AC615" s="63">
        <f t="shared" si="798"/>
        <v>10356.36</v>
      </c>
      <c r="AD615" s="63">
        <f t="shared" si="799"/>
        <v>106.9136</v>
      </c>
      <c r="AE615" s="149" t="s">
        <v>3434</v>
      </c>
      <c r="AF615" s="69">
        <f t="shared" si="785"/>
        <v>0</v>
      </c>
      <c r="AG615" s="69">
        <f t="shared" si="786"/>
        <v>20142.827600000001</v>
      </c>
      <c r="AH615" s="65"/>
      <c r="AI615" s="69">
        <f t="shared" si="787"/>
        <v>20142.827600000001</v>
      </c>
      <c r="AJ615" s="69">
        <f t="shared" si="788"/>
        <v>20142.827600000001</v>
      </c>
    </row>
    <row r="616" spans="1:36" x14ac:dyDescent="0.25">
      <c r="A616" s="168" t="s">
        <v>3434</v>
      </c>
      <c r="B616" s="92" t="s">
        <v>3450</v>
      </c>
      <c r="C616" s="71" t="s">
        <v>3445</v>
      </c>
      <c r="D616" s="185" t="s">
        <v>3860</v>
      </c>
      <c r="E616" s="185" t="s">
        <v>3861</v>
      </c>
      <c r="F616" s="58">
        <v>38082</v>
      </c>
      <c r="G616" s="59">
        <f t="shared" si="789"/>
        <v>17.747945205479454</v>
      </c>
      <c r="H616" s="57"/>
      <c r="I616" s="66">
        <v>44957</v>
      </c>
      <c r="J616" s="66">
        <v>44957</v>
      </c>
      <c r="K616" s="59"/>
      <c r="L616" s="59">
        <f t="shared" si="790"/>
        <v>21.613942307692309</v>
      </c>
      <c r="M616" s="61">
        <f t="shared" si="791"/>
        <v>1729.1153846153845</v>
      </c>
      <c r="N616" s="100"/>
      <c r="O616" s="138"/>
      <c r="P616" s="138"/>
      <c r="Q616" s="61">
        <f t="shared" si="792"/>
        <v>0</v>
      </c>
      <c r="R616" s="63">
        <f t="shared" si="793"/>
        <v>44957</v>
      </c>
      <c r="S616" s="169"/>
      <c r="T616" s="169"/>
      <c r="U616" s="169"/>
      <c r="V616" s="63">
        <f t="shared" si="782"/>
        <v>44957</v>
      </c>
      <c r="W616" s="63">
        <f t="shared" si="783"/>
        <v>2787.3339999999998</v>
      </c>
      <c r="X616" s="63">
        <f t="shared" si="784"/>
        <v>651.87650000000008</v>
      </c>
      <c r="Y616" s="63">
        <f t="shared" si="794"/>
        <v>6325.4498999999996</v>
      </c>
      <c r="Z616" s="63">
        <f t="shared" si="795"/>
        <v>71.931200000000004</v>
      </c>
      <c r="AA616" s="63">
        <f t="shared" si="796"/>
        <v>31.469899999999999</v>
      </c>
      <c r="AB616" s="63">
        <f t="shared" si="797"/>
        <v>335</v>
      </c>
      <c r="AC616" s="63">
        <f t="shared" si="798"/>
        <v>10356.36</v>
      </c>
      <c r="AD616" s="63">
        <f t="shared" si="799"/>
        <v>106.9136</v>
      </c>
      <c r="AE616" s="149" t="s">
        <v>3434</v>
      </c>
      <c r="AF616" s="69">
        <f t="shared" si="785"/>
        <v>0</v>
      </c>
      <c r="AG616" s="69">
        <f t="shared" si="786"/>
        <v>20666.335100000004</v>
      </c>
      <c r="AH616" s="65"/>
      <c r="AI616" s="69">
        <f t="shared" si="787"/>
        <v>20666.335100000004</v>
      </c>
      <c r="AJ616" s="69">
        <f t="shared" si="788"/>
        <v>20666.335100000004</v>
      </c>
    </row>
    <row r="617" spans="1:36" x14ac:dyDescent="0.25">
      <c r="A617" s="168" t="s">
        <v>3434</v>
      </c>
      <c r="B617" s="92" t="s">
        <v>3454</v>
      </c>
      <c r="C617" s="71" t="s">
        <v>3445</v>
      </c>
      <c r="D617" s="185" t="s">
        <v>3800</v>
      </c>
      <c r="E617" s="185" t="s">
        <v>3862</v>
      </c>
      <c r="F617" s="74">
        <v>34995</v>
      </c>
      <c r="G617" s="59">
        <f t="shared" si="789"/>
        <v>26.205479452054796</v>
      </c>
      <c r="H617" s="57"/>
      <c r="I617" s="66">
        <v>46620</v>
      </c>
      <c r="J617" s="182">
        <v>47474</v>
      </c>
      <c r="K617" s="59"/>
      <c r="L617" s="59">
        <f t="shared" si="790"/>
        <v>22.824038461538461</v>
      </c>
      <c r="M617" s="61">
        <f t="shared" si="791"/>
        <v>1825.9230769230769</v>
      </c>
      <c r="N617" s="100"/>
      <c r="O617" s="138"/>
      <c r="P617" s="138"/>
      <c r="Q617" s="61">
        <f t="shared" si="792"/>
        <v>0</v>
      </c>
      <c r="R617" s="63">
        <f t="shared" si="793"/>
        <v>47474</v>
      </c>
      <c r="S617" s="169"/>
      <c r="T617" s="169"/>
      <c r="U617" s="169"/>
      <c r="V617" s="63">
        <f t="shared" si="782"/>
        <v>47474</v>
      </c>
      <c r="W617" s="63">
        <f t="shared" si="783"/>
        <v>2943.3879999999999</v>
      </c>
      <c r="X617" s="63">
        <f t="shared" si="784"/>
        <v>688.37300000000005</v>
      </c>
      <c r="Y617" s="63">
        <f t="shared" si="794"/>
        <v>6679.5917999999992</v>
      </c>
      <c r="Z617" s="63">
        <f t="shared" si="795"/>
        <v>75.958399999999997</v>
      </c>
      <c r="AA617" s="63">
        <f t="shared" si="796"/>
        <v>33.2318</v>
      </c>
      <c r="AB617" s="63">
        <f t="shared" si="797"/>
        <v>335</v>
      </c>
      <c r="AC617" s="63">
        <f t="shared" si="798"/>
        <v>10356.36</v>
      </c>
      <c r="AD617" s="63">
        <f t="shared" si="799"/>
        <v>106.9136</v>
      </c>
      <c r="AE617" s="149" t="s">
        <v>3434</v>
      </c>
      <c r="AF617" s="69">
        <f t="shared" si="785"/>
        <v>854</v>
      </c>
      <c r="AG617" s="69">
        <f t="shared" si="786"/>
        <v>21218.816599999998</v>
      </c>
      <c r="AH617" s="67">
        <v>27716.45</v>
      </c>
      <c r="AI617" s="69">
        <f t="shared" si="787"/>
        <v>-6497.6334000000024</v>
      </c>
      <c r="AJ617" s="69">
        <f t="shared" si="788"/>
        <v>-5643.6334000000024</v>
      </c>
    </row>
    <row r="618" spans="1:36" x14ac:dyDescent="0.25">
      <c r="A618" s="168" t="s">
        <v>3434</v>
      </c>
      <c r="B618" s="92" t="s">
        <v>3456</v>
      </c>
      <c r="C618" s="71" t="s">
        <v>3403</v>
      </c>
      <c r="D618" s="168" t="s">
        <v>2433</v>
      </c>
      <c r="E618" s="168" t="s">
        <v>2909</v>
      </c>
      <c r="F618" s="74">
        <v>42800</v>
      </c>
      <c r="G618" s="59">
        <f t="shared" si="789"/>
        <v>4.8219178082191778</v>
      </c>
      <c r="H618" s="57"/>
      <c r="I618" s="66">
        <v>40295</v>
      </c>
      <c r="J618" s="182">
        <v>41034</v>
      </c>
      <c r="K618" s="59"/>
      <c r="L618" s="59">
        <f t="shared" si="790"/>
        <v>19.727884615384614</v>
      </c>
      <c r="M618" s="61">
        <f t="shared" si="791"/>
        <v>1578.2307692307693</v>
      </c>
      <c r="N618" s="100">
        <f t="shared" ref="N618:N619" si="800">IF(G618&lt;4,0,(G618-1)*264)</f>
        <v>1008.986301369863</v>
      </c>
      <c r="O618" s="138"/>
      <c r="P618" s="138"/>
      <c r="Q618" s="61">
        <f t="shared" si="792"/>
        <v>1008.986301369863</v>
      </c>
      <c r="R618" s="63">
        <f t="shared" si="793"/>
        <v>42042.986301369863</v>
      </c>
      <c r="S618" s="169"/>
      <c r="T618" s="169"/>
      <c r="U618" s="169"/>
      <c r="V618" s="63">
        <f t="shared" si="782"/>
        <v>42042.986301369863</v>
      </c>
      <c r="W618" s="63">
        <f t="shared" si="783"/>
        <v>2606.6651506849316</v>
      </c>
      <c r="X618" s="63">
        <f t="shared" si="784"/>
        <v>609.62330136986304</v>
      </c>
      <c r="Y618" s="63">
        <f t="shared" si="794"/>
        <v>5915.4481726027398</v>
      </c>
      <c r="Z618" s="63">
        <f t="shared" si="795"/>
        <v>67.268778082191787</v>
      </c>
      <c r="AA618" s="63">
        <f t="shared" si="796"/>
        <v>29.430090410958904</v>
      </c>
      <c r="AB618" s="63">
        <f t="shared" si="797"/>
        <v>335</v>
      </c>
      <c r="AC618" s="63">
        <f t="shared" si="798"/>
        <v>10356.36</v>
      </c>
      <c r="AD618" s="63">
        <f t="shared" si="799"/>
        <v>106.9136</v>
      </c>
      <c r="AE618" s="149" t="s">
        <v>3434</v>
      </c>
      <c r="AF618" s="69">
        <f t="shared" si="785"/>
        <v>739</v>
      </c>
      <c r="AG618" s="69">
        <f t="shared" si="786"/>
        <v>20026.709093150686</v>
      </c>
      <c r="AH618" s="67">
        <v>45.9</v>
      </c>
      <c r="AI618" s="69">
        <f t="shared" si="787"/>
        <v>19980.809093150685</v>
      </c>
      <c r="AJ618" s="69">
        <f t="shared" si="788"/>
        <v>20719.809093150685</v>
      </c>
    </row>
    <row r="619" spans="1:36" x14ac:dyDescent="0.25">
      <c r="A619" s="168" t="s">
        <v>3434</v>
      </c>
      <c r="B619" s="92" t="s">
        <v>3457</v>
      </c>
      <c r="C619" s="71" t="s">
        <v>3406</v>
      </c>
      <c r="D619" s="168" t="s">
        <v>2810</v>
      </c>
      <c r="E619" s="168" t="s">
        <v>2527</v>
      </c>
      <c r="F619" s="74">
        <v>42821</v>
      </c>
      <c r="G619" s="59">
        <f t="shared" si="789"/>
        <v>4.7643835616438359</v>
      </c>
      <c r="H619" s="57"/>
      <c r="I619" s="66">
        <v>43930</v>
      </c>
      <c r="J619" s="182">
        <v>44735</v>
      </c>
      <c r="K619" s="59"/>
      <c r="L619" s="59">
        <f t="shared" si="790"/>
        <v>21.50721153846154</v>
      </c>
      <c r="M619" s="61">
        <f t="shared" si="791"/>
        <v>1720.5769230769231</v>
      </c>
      <c r="N619" s="100">
        <f t="shared" si="800"/>
        <v>993.79726027397271</v>
      </c>
      <c r="O619" s="138"/>
      <c r="P619" s="138"/>
      <c r="Q619" s="61">
        <f t="shared" si="792"/>
        <v>993.79726027397271</v>
      </c>
      <c r="R619" s="63">
        <f t="shared" si="793"/>
        <v>45728.797260273976</v>
      </c>
      <c r="S619" s="169"/>
      <c r="T619" s="169"/>
      <c r="U619" s="169"/>
      <c r="V619" s="63">
        <f t="shared" si="782"/>
        <v>45728.797260273976</v>
      </c>
      <c r="W619" s="63">
        <f t="shared" si="783"/>
        <v>2835.1854301369863</v>
      </c>
      <c r="X619" s="63">
        <f t="shared" si="784"/>
        <v>663.06756027397273</v>
      </c>
      <c r="Y619" s="63">
        <f t="shared" si="794"/>
        <v>6434.0417745205477</v>
      </c>
      <c r="Z619" s="63">
        <f t="shared" si="795"/>
        <v>73.166075616438363</v>
      </c>
      <c r="AA619" s="63">
        <f t="shared" si="796"/>
        <v>32.010158082191779</v>
      </c>
      <c r="AB619" s="63">
        <f t="shared" si="797"/>
        <v>335</v>
      </c>
      <c r="AC619" s="63">
        <f t="shared" si="798"/>
        <v>10356.36</v>
      </c>
      <c r="AD619" s="63">
        <f t="shared" si="799"/>
        <v>106.9136</v>
      </c>
      <c r="AE619" s="149" t="s">
        <v>3434</v>
      </c>
      <c r="AF619" s="69">
        <f t="shared" si="785"/>
        <v>805</v>
      </c>
      <c r="AG619" s="69">
        <f t="shared" si="786"/>
        <v>20835.744598630139</v>
      </c>
      <c r="AH619" s="67">
        <v>20858.240000000002</v>
      </c>
      <c r="AI619" s="69">
        <f t="shared" si="787"/>
        <v>-22.49540136986252</v>
      </c>
      <c r="AJ619" s="69">
        <f t="shared" si="788"/>
        <v>782.50459863013748</v>
      </c>
    </row>
    <row r="620" spans="1:36" ht="24.75" customHeight="1" x14ac:dyDescent="0.25">
      <c r="A620" s="168" t="s">
        <v>3434</v>
      </c>
      <c r="B620" s="138"/>
      <c r="C620" s="168" t="s">
        <v>1627</v>
      </c>
      <c r="D620" s="183" t="s">
        <v>3452</v>
      </c>
      <c r="E620" s="183" t="s">
        <v>3453</v>
      </c>
      <c r="F620" s="84">
        <v>43102</v>
      </c>
      <c r="G620" s="167" t="s">
        <v>2422</v>
      </c>
      <c r="H620" s="88"/>
      <c r="I620" s="88">
        <v>22000</v>
      </c>
      <c r="J620" s="218">
        <v>22000</v>
      </c>
      <c r="K620" s="269"/>
      <c r="L620" s="269">
        <f>SUM(J620/1040)</f>
        <v>21.153846153846153</v>
      </c>
      <c r="M620" s="132">
        <f t="shared" si="791"/>
        <v>846.15384615384619</v>
      </c>
      <c r="N620" s="220" t="s">
        <v>27</v>
      </c>
      <c r="O620" s="219"/>
      <c r="P620" s="219"/>
      <c r="Q620" s="220">
        <v>0</v>
      </c>
      <c r="R620" s="172">
        <f t="shared" si="793"/>
        <v>22000</v>
      </c>
      <c r="S620" s="173"/>
      <c r="T620" s="173"/>
      <c r="U620" s="173"/>
      <c r="V620" s="172">
        <f t="shared" si="782"/>
        <v>22000</v>
      </c>
      <c r="W620" s="172">
        <f t="shared" si="783"/>
        <v>1364</v>
      </c>
      <c r="X620" s="172">
        <f t="shared" si="784"/>
        <v>319</v>
      </c>
      <c r="Y620" s="172">
        <f t="shared" si="794"/>
        <v>3095.3999999999996</v>
      </c>
      <c r="Z620" s="172">
        <f t="shared" si="795"/>
        <v>35.200000000000003</v>
      </c>
      <c r="AA620" s="172">
        <f t="shared" si="796"/>
        <v>15.4</v>
      </c>
      <c r="AB620" s="172" t="s">
        <v>2422</v>
      </c>
      <c r="AC620" s="172" t="s">
        <v>2422</v>
      </c>
      <c r="AD620" s="172" t="s">
        <v>2422</v>
      </c>
      <c r="AE620" s="149" t="s">
        <v>3434</v>
      </c>
      <c r="AF620" s="69">
        <f t="shared" si="785"/>
        <v>0</v>
      </c>
      <c r="AG620" s="69">
        <f t="shared" si="786"/>
        <v>4828.9999999999991</v>
      </c>
      <c r="AH620" s="67">
        <v>21474.25</v>
      </c>
      <c r="AI620" s="69">
        <f t="shared" si="787"/>
        <v>-16645.25</v>
      </c>
      <c r="AJ620" s="100">
        <f t="shared" si="788"/>
        <v>-16645.25</v>
      </c>
    </row>
    <row r="621" spans="1:36" x14ac:dyDescent="0.25">
      <c r="A621" s="168" t="s">
        <v>3434</v>
      </c>
      <c r="B621" s="138"/>
      <c r="C621" s="138"/>
      <c r="D621" s="138"/>
      <c r="E621" s="138"/>
      <c r="F621" s="138"/>
      <c r="G621" s="138"/>
      <c r="H621" s="221"/>
      <c r="I621" s="222">
        <f t="shared" ref="I621:J621" si="801">SUM(I609:I620)</f>
        <v>463048</v>
      </c>
      <c r="J621" s="222">
        <f t="shared" si="801"/>
        <v>467283</v>
      </c>
      <c r="K621" s="223"/>
      <c r="L621" s="223">
        <f t="shared" ref="L621:AD621" si="802">SUM(L608:L620)</f>
        <v>234.94375000000002</v>
      </c>
      <c r="M621" s="223">
        <f t="shared" si="802"/>
        <v>17972.426153846154</v>
      </c>
      <c r="N621" s="223">
        <f t="shared" si="802"/>
        <v>3979.5287671232882</v>
      </c>
      <c r="O621" s="223">
        <f t="shared" si="802"/>
        <v>0</v>
      </c>
      <c r="P621" s="223">
        <f t="shared" si="802"/>
        <v>0</v>
      </c>
      <c r="Q621" s="223">
        <f t="shared" si="802"/>
        <v>3979.5287671232882</v>
      </c>
      <c r="R621" s="223">
        <f t="shared" si="802"/>
        <v>471262.52876712324</v>
      </c>
      <c r="S621" s="223">
        <f t="shared" si="802"/>
        <v>4200</v>
      </c>
      <c r="T621" s="223">
        <f t="shared" si="802"/>
        <v>0</v>
      </c>
      <c r="U621" s="223">
        <f t="shared" si="802"/>
        <v>0</v>
      </c>
      <c r="V621" s="223">
        <f t="shared" si="802"/>
        <v>475462.52876712324</v>
      </c>
      <c r="W621" s="223">
        <f t="shared" si="802"/>
        <v>29478.676783561641</v>
      </c>
      <c r="X621" s="223">
        <f t="shared" si="802"/>
        <v>6894.2066671232878</v>
      </c>
      <c r="Y621" s="223">
        <f t="shared" si="802"/>
        <v>66813.157797534252</v>
      </c>
      <c r="Z621" s="223">
        <f t="shared" si="802"/>
        <v>759.78004602739736</v>
      </c>
      <c r="AA621" s="223">
        <f t="shared" si="802"/>
        <v>278.89487643835611</v>
      </c>
      <c r="AB621" s="223">
        <f t="shared" si="802"/>
        <v>3350</v>
      </c>
      <c r="AC621" s="223">
        <f t="shared" si="802"/>
        <v>103563.6</v>
      </c>
      <c r="AD621" s="223">
        <f t="shared" si="802"/>
        <v>1069.136</v>
      </c>
      <c r="AE621" s="149" t="s">
        <v>3434</v>
      </c>
      <c r="AF621" s="195">
        <f>SUM(AF609:AF620)</f>
        <v>4235</v>
      </c>
      <c r="AG621" s="100">
        <f t="shared" si="786"/>
        <v>212207.45217068493</v>
      </c>
      <c r="AH621" s="225">
        <v>21093.43</v>
      </c>
      <c r="AI621" s="226">
        <f t="shared" si="787"/>
        <v>191114.02217068494</v>
      </c>
      <c r="AJ621" s="176">
        <f t="shared" si="788"/>
        <v>195349.02217068494</v>
      </c>
    </row>
    <row r="622" spans="1:36" hidden="1" x14ac:dyDescent="0.25">
      <c r="A622" s="138"/>
      <c r="B622" s="138"/>
      <c r="C622" s="138"/>
      <c r="D622" s="138"/>
      <c r="E622" s="138"/>
      <c r="F622" s="138"/>
      <c r="G622" s="138"/>
      <c r="H622" s="78"/>
      <c r="I622" s="78">
        <v>370543</v>
      </c>
      <c r="J622" s="78">
        <f>SUM(J611:J619)</f>
        <v>373497</v>
      </c>
      <c r="K622" s="138"/>
      <c r="L622" s="138"/>
      <c r="M622" s="138"/>
      <c r="N622" s="100">
        <v>19611.82</v>
      </c>
      <c r="O622" s="138"/>
      <c r="P622" s="138"/>
      <c r="Q622" s="138"/>
      <c r="R622" s="169"/>
      <c r="S622" s="169"/>
      <c r="T622" s="169"/>
      <c r="U622" s="169"/>
      <c r="V622" s="169"/>
      <c r="W622" s="63">
        <f>SUM(W621:X621)</f>
        <v>36372.883450684931</v>
      </c>
      <c r="X622" s="169"/>
      <c r="Y622" s="169"/>
      <c r="Z622" s="169"/>
      <c r="AA622" s="169"/>
      <c r="AB622" s="169"/>
      <c r="AC622" s="63">
        <f>SUM(AC621:AD621)</f>
        <v>104632.736</v>
      </c>
      <c r="AD622" s="169"/>
      <c r="AE622" s="149"/>
      <c r="AF622" s="69">
        <f t="shared" ref="AF622:AG622" si="803">SUM(AF609:AF620)</f>
        <v>4235</v>
      </c>
      <c r="AG622" s="69">
        <f t="shared" si="803"/>
        <v>212207.45217068493</v>
      </c>
      <c r="AH622" s="67">
        <v>20371.849999999999</v>
      </c>
      <c r="AI622" s="69">
        <f t="shared" ref="AI622:AJ622" si="804">SUM(AI609:AI620)</f>
        <v>-357464.78782931506</v>
      </c>
      <c r="AJ622" s="69">
        <f t="shared" si="804"/>
        <v>-353229.78782931506</v>
      </c>
    </row>
    <row r="623" spans="1:36" x14ac:dyDescent="0.25">
      <c r="A623" s="138"/>
      <c r="B623" s="138"/>
      <c r="C623" s="138"/>
      <c r="G623" s="138"/>
      <c r="H623" s="148"/>
      <c r="I623" s="148"/>
      <c r="J623" s="148"/>
      <c r="K623" s="138"/>
      <c r="L623" s="138"/>
      <c r="M623" s="138"/>
      <c r="N623" s="138"/>
      <c r="O623" s="138"/>
      <c r="P623" s="138"/>
      <c r="Q623" s="138"/>
      <c r="R623" s="169"/>
      <c r="S623" s="169"/>
      <c r="T623" s="169"/>
      <c r="U623" s="169"/>
      <c r="V623" s="169"/>
      <c r="W623" s="169"/>
      <c r="X623" s="169"/>
      <c r="Y623" s="169"/>
      <c r="Z623" s="169"/>
      <c r="AA623" s="169"/>
      <c r="AB623" s="169"/>
      <c r="AC623" s="169"/>
      <c r="AD623" s="169"/>
      <c r="AE623" s="149"/>
      <c r="AF623" s="178"/>
      <c r="AG623" s="178"/>
      <c r="AH623" s="67">
        <v>20025.830000000002</v>
      </c>
      <c r="AI623" s="178"/>
      <c r="AJ623" s="178"/>
    </row>
    <row r="624" spans="1:36" x14ac:dyDescent="0.25">
      <c r="A624" s="138"/>
      <c r="B624" s="138"/>
      <c r="C624" s="138"/>
      <c r="G624" s="138"/>
      <c r="H624" s="148"/>
      <c r="I624" s="148"/>
      <c r="J624" s="148"/>
      <c r="K624" s="138"/>
      <c r="L624" s="138"/>
      <c r="M624" s="138"/>
      <c r="N624" s="138"/>
      <c r="O624" s="138"/>
      <c r="P624" s="138"/>
      <c r="Q624" s="138"/>
      <c r="R624" s="169"/>
      <c r="S624" s="169"/>
      <c r="T624" s="169"/>
      <c r="U624" s="169"/>
      <c r="V624" s="169"/>
      <c r="W624" s="169"/>
      <c r="X624" s="169"/>
      <c r="Y624" s="169"/>
      <c r="Z624" s="169"/>
      <c r="AA624" s="169"/>
      <c r="AB624" s="169"/>
      <c r="AC624" s="169"/>
      <c r="AD624" s="169"/>
      <c r="AE624" s="149"/>
      <c r="AF624" s="178"/>
      <c r="AG624" s="178"/>
      <c r="AH624" s="67">
        <v>20547.259999999998</v>
      </c>
      <c r="AI624" s="178"/>
      <c r="AJ624" s="178"/>
    </row>
    <row r="625" spans="1:36" x14ac:dyDescent="0.25">
      <c r="A625" s="168" t="s">
        <v>3458</v>
      </c>
      <c r="B625" s="92" t="s">
        <v>3459</v>
      </c>
      <c r="C625" s="168" t="s">
        <v>3460</v>
      </c>
      <c r="D625" s="71" t="s">
        <v>3863</v>
      </c>
      <c r="E625" s="71" t="s">
        <v>3864</v>
      </c>
      <c r="F625" s="72">
        <v>43843</v>
      </c>
      <c r="G625" s="59">
        <f>(DATE(2021,12,30)-(F625))/365</f>
        <v>1.9643835616438357</v>
      </c>
      <c r="H625" s="57"/>
      <c r="I625" s="66">
        <v>69905</v>
      </c>
      <c r="J625" s="66">
        <v>69905</v>
      </c>
      <c r="K625" s="59"/>
      <c r="L625" s="59">
        <f>SUM(J625/$L$7)</f>
        <v>33.60817307692308</v>
      </c>
      <c r="M625" s="61">
        <f>SUM(J625/$M$7)</f>
        <v>2688.6538461538462</v>
      </c>
      <c r="N625" s="100"/>
      <c r="O625" s="138"/>
      <c r="P625" s="138"/>
      <c r="Q625" s="61">
        <f>IF(N625+P625&gt;5000,5000,N625+P625)</f>
        <v>0</v>
      </c>
      <c r="R625" s="63">
        <f>SUM(J625+Q625)</f>
        <v>69905</v>
      </c>
      <c r="S625" s="63">
        <v>4200</v>
      </c>
      <c r="T625" s="169"/>
      <c r="U625" s="169"/>
      <c r="V625" s="63">
        <f t="shared" ref="V625:V637" si="805">SUM(R625:U625)</f>
        <v>74105</v>
      </c>
      <c r="W625" s="63">
        <f t="shared" ref="W625:W637" si="806">SUM(V625*$W$7)</f>
        <v>4594.51</v>
      </c>
      <c r="X625" s="63">
        <f t="shared" ref="X625:X637" si="807">SUM(V625*$X$7)</f>
        <v>1074.5225</v>
      </c>
      <c r="Y625" s="63">
        <f>SUM(V625*$Y$7)</f>
        <v>10426.573499999999</v>
      </c>
      <c r="Z625" s="63">
        <f>SUM(V625*$Z$7)</f>
        <v>118.56800000000001</v>
      </c>
      <c r="AA625" s="63" t="s">
        <v>2420</v>
      </c>
      <c r="AB625" s="63">
        <f>SUM($AB$7)</f>
        <v>335</v>
      </c>
      <c r="AC625" s="63">
        <f>$AC$7</f>
        <v>10356.36</v>
      </c>
      <c r="AD625" s="63">
        <f>SUM(AB625+AC625)*$AD$7</f>
        <v>106.9136</v>
      </c>
      <c r="AE625" s="149" t="s">
        <v>3458</v>
      </c>
      <c r="AF625" s="69">
        <f t="shared" ref="AF625:AF637" si="808">SUM(J625-I625)</f>
        <v>0</v>
      </c>
      <c r="AG625" s="69">
        <f t="shared" ref="AG625:AG638" si="809">SUM(W625:AD625)</f>
        <v>27012.4476</v>
      </c>
      <c r="AH625" s="67">
        <v>20547.259999999998</v>
      </c>
      <c r="AI625" s="69">
        <f t="shared" ref="AI625:AI638" si="810">AG625-AH625</f>
        <v>6465.1876000000011</v>
      </c>
      <c r="AJ625" s="69">
        <f t="shared" ref="AJ625:AJ638" si="811">AF625+AI625</f>
        <v>6465.1876000000011</v>
      </c>
    </row>
    <row r="626" spans="1:36" x14ac:dyDescent="0.25">
      <c r="A626" s="138"/>
      <c r="B626" s="138"/>
      <c r="C626" s="168" t="s">
        <v>2901</v>
      </c>
      <c r="D626" s="138"/>
      <c r="E626" s="138"/>
      <c r="F626" s="138"/>
      <c r="G626" s="167" t="s">
        <v>2422</v>
      </c>
      <c r="H626" s="284"/>
      <c r="I626" s="284">
        <v>600</v>
      </c>
      <c r="J626" s="284">
        <v>600</v>
      </c>
      <c r="K626" s="138"/>
      <c r="L626" s="138"/>
      <c r="M626" s="167">
        <v>23.08</v>
      </c>
      <c r="N626" s="138"/>
      <c r="O626" s="138"/>
      <c r="P626" s="138"/>
      <c r="Q626" s="138"/>
      <c r="R626" s="63">
        <v>600</v>
      </c>
      <c r="S626" s="169"/>
      <c r="T626" s="169"/>
      <c r="U626" s="169"/>
      <c r="V626" s="63">
        <f t="shared" si="805"/>
        <v>600</v>
      </c>
      <c r="W626" s="63">
        <f t="shared" si="806"/>
        <v>37.200000000000003</v>
      </c>
      <c r="X626" s="63">
        <f t="shared" si="807"/>
        <v>8.7000000000000011</v>
      </c>
      <c r="Y626" s="63" t="s">
        <v>2422</v>
      </c>
      <c r="Z626" s="63" t="s">
        <v>2422</v>
      </c>
      <c r="AA626" s="63" t="s">
        <v>2422</v>
      </c>
      <c r="AB626" s="63" t="s">
        <v>2422</v>
      </c>
      <c r="AC626" s="63" t="s">
        <v>2422</v>
      </c>
      <c r="AD626" s="63" t="s">
        <v>2422</v>
      </c>
      <c r="AE626" s="149"/>
      <c r="AF626" s="69">
        <f t="shared" si="808"/>
        <v>0</v>
      </c>
      <c r="AG626" s="69">
        <f t="shared" si="809"/>
        <v>45.900000000000006</v>
      </c>
      <c r="AH626" s="67">
        <v>19374.55</v>
      </c>
      <c r="AI626" s="69">
        <f t="shared" si="810"/>
        <v>-19328.649999999998</v>
      </c>
      <c r="AJ626" s="285">
        <f t="shared" si="811"/>
        <v>-19328.649999999998</v>
      </c>
    </row>
    <row r="627" spans="1:36" x14ac:dyDescent="0.25">
      <c r="A627" s="168" t="s">
        <v>3458</v>
      </c>
      <c r="B627" s="92" t="s">
        <v>3463</v>
      </c>
      <c r="C627" s="71" t="s">
        <v>3387</v>
      </c>
      <c r="D627" s="181" t="s">
        <v>3464</v>
      </c>
      <c r="E627" s="181" t="s">
        <v>2909</v>
      </c>
      <c r="F627" s="74">
        <v>43002</v>
      </c>
      <c r="G627" s="59">
        <f t="shared" ref="G627:G635" si="812">(DATE(2021,12,30)-(F627))/365</f>
        <v>4.2684931506849315</v>
      </c>
      <c r="H627" s="57"/>
      <c r="I627" s="66">
        <v>37214</v>
      </c>
      <c r="J627" s="182">
        <v>37896</v>
      </c>
      <c r="K627" s="59"/>
      <c r="L627" s="59">
        <f t="shared" ref="L627:L635" si="813">SUM(J627/$L$7)</f>
        <v>18.219230769230769</v>
      </c>
      <c r="M627" s="61">
        <f t="shared" ref="M627:M635" si="814">SUM(J627/$M$7)</f>
        <v>1457.5384615384614</v>
      </c>
      <c r="N627" s="100"/>
      <c r="O627" s="138"/>
      <c r="P627" s="138"/>
      <c r="Q627" s="61">
        <f t="shared" ref="Q627:Q635" si="815">IF(N627+P627&gt;5000,5000,N627+P627)</f>
        <v>0</v>
      </c>
      <c r="R627" s="63">
        <f t="shared" ref="R627:R637" si="816">SUM(J627+Q627)</f>
        <v>37896</v>
      </c>
      <c r="S627" s="169"/>
      <c r="T627" s="169"/>
      <c r="U627" s="169"/>
      <c r="V627" s="63">
        <f t="shared" si="805"/>
        <v>37896</v>
      </c>
      <c r="W627" s="63">
        <f t="shared" si="806"/>
        <v>2349.5520000000001</v>
      </c>
      <c r="X627" s="63">
        <f t="shared" si="807"/>
        <v>549.49200000000008</v>
      </c>
      <c r="Y627" s="63">
        <f t="shared" ref="Y627:Y637" si="817">SUM(V627*$Y$7)</f>
        <v>5331.9672</v>
      </c>
      <c r="Z627" s="63">
        <f t="shared" ref="Z627:Z637" si="818">SUM(V627*$Z$7)</f>
        <v>60.633600000000001</v>
      </c>
      <c r="AA627" s="63">
        <f t="shared" ref="AA627:AA637" si="819">SUM(V627*$AA$7)</f>
        <v>26.527200000000001</v>
      </c>
      <c r="AB627" s="63">
        <f t="shared" ref="AB627:AB635" si="820">SUM($AB$7)</f>
        <v>335</v>
      </c>
      <c r="AC627" s="63">
        <f t="shared" ref="AC627:AC635" si="821">$AC$7</f>
        <v>10356.36</v>
      </c>
      <c r="AD627" s="63">
        <f t="shared" ref="AD627:AD635" si="822">SUM(AB627+AC627)*$AD$7</f>
        <v>106.9136</v>
      </c>
      <c r="AE627" s="149" t="s">
        <v>3458</v>
      </c>
      <c r="AF627" s="69">
        <f t="shared" si="808"/>
        <v>682</v>
      </c>
      <c r="AG627" s="69">
        <f t="shared" si="809"/>
        <v>19116.445599999999</v>
      </c>
      <c r="AH627" s="67">
        <v>17746.13</v>
      </c>
      <c r="AI627" s="69">
        <f t="shared" si="810"/>
        <v>1370.3155999999981</v>
      </c>
      <c r="AJ627" s="69">
        <f t="shared" si="811"/>
        <v>2052.3155999999981</v>
      </c>
    </row>
    <row r="628" spans="1:36" x14ac:dyDescent="0.25">
      <c r="A628" s="168" t="s">
        <v>3458</v>
      </c>
      <c r="B628" s="92" t="s">
        <v>3465</v>
      </c>
      <c r="C628" s="71" t="s">
        <v>3387</v>
      </c>
      <c r="D628" s="168" t="s">
        <v>3466</v>
      </c>
      <c r="E628" s="168" t="s">
        <v>2486</v>
      </c>
      <c r="F628" s="74">
        <v>42905</v>
      </c>
      <c r="G628" s="59">
        <f t="shared" si="812"/>
        <v>4.5342465753424657</v>
      </c>
      <c r="H628" s="57"/>
      <c r="I628" s="66">
        <v>35241</v>
      </c>
      <c r="J628" s="182">
        <v>35887</v>
      </c>
      <c r="K628" s="59"/>
      <c r="L628" s="59">
        <f t="shared" si="813"/>
        <v>17.253365384615385</v>
      </c>
      <c r="M628" s="61">
        <f t="shared" si="814"/>
        <v>1380.2692307692307</v>
      </c>
      <c r="N628" s="100"/>
      <c r="O628" s="138"/>
      <c r="P628" s="167">
        <v>0</v>
      </c>
      <c r="Q628" s="61">
        <f t="shared" si="815"/>
        <v>0</v>
      </c>
      <c r="R628" s="63">
        <f t="shared" si="816"/>
        <v>35887</v>
      </c>
      <c r="S628" s="169"/>
      <c r="T628" s="169"/>
      <c r="U628" s="169"/>
      <c r="V628" s="63">
        <f t="shared" si="805"/>
        <v>35887</v>
      </c>
      <c r="W628" s="63">
        <f t="shared" si="806"/>
        <v>2224.9940000000001</v>
      </c>
      <c r="X628" s="63">
        <f t="shared" si="807"/>
        <v>520.36149999999998</v>
      </c>
      <c r="Y628" s="63">
        <f t="shared" si="817"/>
        <v>5049.3008999999993</v>
      </c>
      <c r="Z628" s="63">
        <f t="shared" si="818"/>
        <v>57.419200000000004</v>
      </c>
      <c r="AA628" s="63">
        <f t="shared" si="819"/>
        <v>25.120899999999999</v>
      </c>
      <c r="AB628" s="63">
        <f t="shared" si="820"/>
        <v>335</v>
      </c>
      <c r="AC628" s="63">
        <f t="shared" si="821"/>
        <v>10356.36</v>
      </c>
      <c r="AD628" s="63">
        <f t="shared" si="822"/>
        <v>106.9136</v>
      </c>
      <c r="AE628" s="149" t="s">
        <v>3458</v>
      </c>
      <c r="AF628" s="69">
        <f t="shared" si="808"/>
        <v>646</v>
      </c>
      <c r="AG628" s="69">
        <f t="shared" si="809"/>
        <v>18675.470099999999</v>
      </c>
      <c r="AH628" s="67">
        <v>5038</v>
      </c>
      <c r="AI628" s="69">
        <f t="shared" si="810"/>
        <v>13637.470099999999</v>
      </c>
      <c r="AJ628" s="69">
        <f t="shared" si="811"/>
        <v>14283.470099999999</v>
      </c>
    </row>
    <row r="629" spans="1:36" x14ac:dyDescent="0.25">
      <c r="A629" s="168" t="s">
        <v>3458</v>
      </c>
      <c r="B629" s="92" t="s">
        <v>3467</v>
      </c>
      <c r="C629" s="71" t="s">
        <v>3395</v>
      </c>
      <c r="D629" s="168" t="s">
        <v>3468</v>
      </c>
      <c r="E629" s="168" t="s">
        <v>3012</v>
      </c>
      <c r="F629" s="74">
        <v>42897</v>
      </c>
      <c r="G629" s="59">
        <f t="shared" si="812"/>
        <v>4.5561643835616437</v>
      </c>
      <c r="H629" s="57"/>
      <c r="I629" s="57">
        <v>38137</v>
      </c>
      <c r="J629" s="182">
        <v>38836</v>
      </c>
      <c r="K629" s="59"/>
      <c r="L629" s="59">
        <f t="shared" si="813"/>
        <v>18.671153846153846</v>
      </c>
      <c r="M629" s="61">
        <f t="shared" si="814"/>
        <v>1493.6923076923076</v>
      </c>
      <c r="N629" s="100"/>
      <c r="O629" s="138"/>
      <c r="P629" s="138"/>
      <c r="Q629" s="61">
        <f t="shared" si="815"/>
        <v>0</v>
      </c>
      <c r="R629" s="63">
        <f t="shared" si="816"/>
        <v>38836</v>
      </c>
      <c r="S629" s="169"/>
      <c r="T629" s="169"/>
      <c r="U629" s="169"/>
      <c r="V629" s="63">
        <f t="shared" si="805"/>
        <v>38836</v>
      </c>
      <c r="W629" s="63">
        <f t="shared" si="806"/>
        <v>2407.8319999999999</v>
      </c>
      <c r="X629" s="63">
        <f t="shared" si="807"/>
        <v>563.12200000000007</v>
      </c>
      <c r="Y629" s="63">
        <f t="shared" si="817"/>
        <v>5464.2251999999999</v>
      </c>
      <c r="Z629" s="63">
        <f t="shared" si="818"/>
        <v>62.137600000000006</v>
      </c>
      <c r="AA629" s="63">
        <f t="shared" si="819"/>
        <v>27.185199999999998</v>
      </c>
      <c r="AB629" s="63">
        <f t="shared" si="820"/>
        <v>335</v>
      </c>
      <c r="AC629" s="63">
        <f t="shared" si="821"/>
        <v>10356.36</v>
      </c>
      <c r="AD629" s="63">
        <f t="shared" si="822"/>
        <v>106.9136</v>
      </c>
      <c r="AE629" s="149" t="s">
        <v>3458</v>
      </c>
      <c r="AF629" s="69">
        <f t="shared" si="808"/>
        <v>699</v>
      </c>
      <c r="AG629" s="69">
        <f t="shared" si="809"/>
        <v>19322.775600000001</v>
      </c>
      <c r="AH629" s="67">
        <v>214839.15</v>
      </c>
      <c r="AI629" s="69">
        <f t="shared" si="810"/>
        <v>-195516.3744</v>
      </c>
      <c r="AJ629" s="69">
        <f t="shared" si="811"/>
        <v>-194817.3744</v>
      </c>
    </row>
    <row r="630" spans="1:36" x14ac:dyDescent="0.25">
      <c r="A630" s="168" t="s">
        <v>3458</v>
      </c>
      <c r="B630" s="92" t="s">
        <v>3469</v>
      </c>
      <c r="C630" s="71" t="s">
        <v>3395</v>
      </c>
      <c r="D630" s="168" t="s">
        <v>3339</v>
      </c>
      <c r="E630" s="168" t="s">
        <v>3431</v>
      </c>
      <c r="F630" s="74">
        <v>42100</v>
      </c>
      <c r="G630" s="59">
        <f t="shared" si="812"/>
        <v>6.7397260273972606</v>
      </c>
      <c r="H630" s="57"/>
      <c r="I630" s="66">
        <v>39548</v>
      </c>
      <c r="J630" s="182">
        <v>40273</v>
      </c>
      <c r="K630" s="59"/>
      <c r="L630" s="59">
        <f t="shared" si="813"/>
        <v>19.362019230769231</v>
      </c>
      <c r="M630" s="61">
        <f t="shared" si="814"/>
        <v>1548.9615384615386</v>
      </c>
      <c r="N630" s="100"/>
      <c r="O630" s="138"/>
      <c r="P630" s="138"/>
      <c r="Q630" s="61">
        <f t="shared" si="815"/>
        <v>0</v>
      </c>
      <c r="R630" s="63">
        <f t="shared" si="816"/>
        <v>40273</v>
      </c>
      <c r="S630" s="169"/>
      <c r="T630" s="169"/>
      <c r="U630" s="169"/>
      <c r="V630" s="63">
        <f t="shared" si="805"/>
        <v>40273</v>
      </c>
      <c r="W630" s="63">
        <f t="shared" si="806"/>
        <v>2496.9259999999999</v>
      </c>
      <c r="X630" s="63">
        <f t="shared" si="807"/>
        <v>583.95850000000007</v>
      </c>
      <c r="Y630" s="63">
        <f t="shared" si="817"/>
        <v>5666.4110999999994</v>
      </c>
      <c r="Z630" s="63">
        <f t="shared" si="818"/>
        <v>64.436800000000005</v>
      </c>
      <c r="AA630" s="63">
        <f t="shared" si="819"/>
        <v>28.191099999999999</v>
      </c>
      <c r="AB630" s="63">
        <f t="shared" si="820"/>
        <v>335</v>
      </c>
      <c r="AC630" s="63">
        <f t="shared" si="821"/>
        <v>10356.36</v>
      </c>
      <c r="AD630" s="63">
        <f t="shared" si="822"/>
        <v>106.9136</v>
      </c>
      <c r="AE630" s="149" t="s">
        <v>3458</v>
      </c>
      <c r="AF630" s="69">
        <f t="shared" si="808"/>
        <v>725</v>
      </c>
      <c r="AG630" s="69">
        <f t="shared" si="809"/>
        <v>19638.197099999998</v>
      </c>
      <c r="AH630" s="67">
        <v>214839.15</v>
      </c>
      <c r="AI630" s="69">
        <f t="shared" si="810"/>
        <v>-195200.9529</v>
      </c>
      <c r="AJ630" s="69">
        <f t="shared" si="811"/>
        <v>-194475.9529</v>
      </c>
    </row>
    <row r="631" spans="1:36" x14ac:dyDescent="0.25">
      <c r="A631" s="168" t="s">
        <v>3458</v>
      </c>
      <c r="B631" s="92" t="s">
        <v>3470</v>
      </c>
      <c r="C631" s="71" t="s">
        <v>3395</v>
      </c>
      <c r="D631" s="168" t="s">
        <v>3471</v>
      </c>
      <c r="E631" s="168" t="s">
        <v>2738</v>
      </c>
      <c r="F631" s="74">
        <v>42079</v>
      </c>
      <c r="G631" s="59">
        <f t="shared" si="812"/>
        <v>6.7972602739726025</v>
      </c>
      <c r="H631" s="57"/>
      <c r="I631" s="66">
        <v>39548</v>
      </c>
      <c r="J631" s="182">
        <v>40273</v>
      </c>
      <c r="K631" s="59"/>
      <c r="L631" s="59">
        <f t="shared" si="813"/>
        <v>19.362019230769231</v>
      </c>
      <c r="M631" s="61">
        <f t="shared" si="814"/>
        <v>1548.9615384615386</v>
      </c>
      <c r="N631" s="100"/>
      <c r="O631" s="138"/>
      <c r="P631" s="138"/>
      <c r="Q631" s="61">
        <f t="shared" si="815"/>
        <v>0</v>
      </c>
      <c r="R631" s="63">
        <f t="shared" si="816"/>
        <v>40273</v>
      </c>
      <c r="S631" s="169"/>
      <c r="T631" s="169"/>
      <c r="U631" s="169"/>
      <c r="V631" s="63">
        <f t="shared" si="805"/>
        <v>40273</v>
      </c>
      <c r="W631" s="63">
        <f t="shared" si="806"/>
        <v>2496.9259999999999</v>
      </c>
      <c r="X631" s="63">
        <f t="shared" si="807"/>
        <v>583.95850000000007</v>
      </c>
      <c r="Y631" s="63">
        <f t="shared" si="817"/>
        <v>5666.4110999999994</v>
      </c>
      <c r="Z631" s="63">
        <f t="shared" si="818"/>
        <v>64.436800000000005</v>
      </c>
      <c r="AA631" s="63">
        <f t="shared" si="819"/>
        <v>28.191099999999999</v>
      </c>
      <c r="AB631" s="63">
        <f t="shared" si="820"/>
        <v>335</v>
      </c>
      <c r="AC631" s="63">
        <f t="shared" si="821"/>
        <v>10356.36</v>
      </c>
      <c r="AD631" s="63">
        <f t="shared" si="822"/>
        <v>106.9136</v>
      </c>
      <c r="AE631" s="149" t="s">
        <v>3458</v>
      </c>
      <c r="AF631" s="69">
        <f t="shared" si="808"/>
        <v>725</v>
      </c>
      <c r="AG631" s="69">
        <f t="shared" si="809"/>
        <v>19638.197099999998</v>
      </c>
      <c r="AH631" s="65"/>
      <c r="AI631" s="69">
        <f t="shared" si="810"/>
        <v>19638.197099999998</v>
      </c>
      <c r="AJ631" s="69">
        <f t="shared" si="811"/>
        <v>20363.197099999998</v>
      </c>
    </row>
    <row r="632" spans="1:36" x14ac:dyDescent="0.25">
      <c r="A632" s="168" t="s">
        <v>3458</v>
      </c>
      <c r="B632" s="92" t="s">
        <v>3472</v>
      </c>
      <c r="C632" s="71" t="s">
        <v>3395</v>
      </c>
      <c r="D632" s="168" t="s">
        <v>3367</v>
      </c>
      <c r="E632" s="168" t="s">
        <v>3473</v>
      </c>
      <c r="F632" s="58">
        <v>41078</v>
      </c>
      <c r="G632" s="59">
        <f t="shared" si="812"/>
        <v>9.5397260273972595</v>
      </c>
      <c r="H632" s="57"/>
      <c r="I632" s="66">
        <v>41011</v>
      </c>
      <c r="J632" s="66">
        <v>41011</v>
      </c>
      <c r="K632" s="59"/>
      <c r="L632" s="59">
        <f t="shared" si="813"/>
        <v>19.716826923076923</v>
      </c>
      <c r="M632" s="61">
        <f t="shared" si="814"/>
        <v>1577.3461538461538</v>
      </c>
      <c r="N632" s="100"/>
      <c r="O632" s="138"/>
      <c r="P632" s="138"/>
      <c r="Q632" s="61">
        <f t="shared" si="815"/>
        <v>0</v>
      </c>
      <c r="R632" s="63">
        <f t="shared" si="816"/>
        <v>41011</v>
      </c>
      <c r="S632" s="169"/>
      <c r="T632" s="169"/>
      <c r="U632" s="169"/>
      <c r="V632" s="63">
        <f t="shared" si="805"/>
        <v>41011</v>
      </c>
      <c r="W632" s="63">
        <f t="shared" si="806"/>
        <v>2542.6819999999998</v>
      </c>
      <c r="X632" s="63">
        <f t="shared" si="807"/>
        <v>594.65949999999998</v>
      </c>
      <c r="Y632" s="63">
        <f t="shared" si="817"/>
        <v>5770.2476999999999</v>
      </c>
      <c r="Z632" s="63">
        <f t="shared" si="818"/>
        <v>65.61760000000001</v>
      </c>
      <c r="AA632" s="63">
        <f t="shared" si="819"/>
        <v>28.707699999999999</v>
      </c>
      <c r="AB632" s="63">
        <f t="shared" si="820"/>
        <v>335</v>
      </c>
      <c r="AC632" s="63">
        <f t="shared" si="821"/>
        <v>10356.36</v>
      </c>
      <c r="AD632" s="63">
        <f t="shared" si="822"/>
        <v>106.9136</v>
      </c>
      <c r="AE632" s="149" t="s">
        <v>3458</v>
      </c>
      <c r="AF632" s="69">
        <f t="shared" si="808"/>
        <v>0</v>
      </c>
      <c r="AG632" s="69">
        <f t="shared" si="809"/>
        <v>19800.188099999999</v>
      </c>
      <c r="AH632" s="65"/>
      <c r="AI632" s="69">
        <f t="shared" si="810"/>
        <v>19800.188099999999</v>
      </c>
      <c r="AJ632" s="69">
        <f t="shared" si="811"/>
        <v>19800.188099999999</v>
      </c>
    </row>
    <row r="633" spans="1:36" x14ac:dyDescent="0.25">
      <c r="A633" s="168" t="s">
        <v>3458</v>
      </c>
      <c r="B633" s="92" t="s">
        <v>3474</v>
      </c>
      <c r="C633" s="71" t="s">
        <v>3397</v>
      </c>
      <c r="D633" s="168" t="s">
        <v>3367</v>
      </c>
      <c r="E633" s="168" t="s">
        <v>3475</v>
      </c>
      <c r="F633" s="74">
        <v>40819</v>
      </c>
      <c r="G633" s="59">
        <f t="shared" si="812"/>
        <v>10.24931506849315</v>
      </c>
      <c r="H633" s="57"/>
      <c r="I633" s="66">
        <v>41806</v>
      </c>
      <c r="J633" s="182">
        <v>42572</v>
      </c>
      <c r="K633" s="59"/>
      <c r="L633" s="59">
        <f t="shared" si="813"/>
        <v>20.467307692307692</v>
      </c>
      <c r="M633" s="61">
        <f t="shared" si="814"/>
        <v>1637.3846153846155</v>
      </c>
      <c r="N633" s="100"/>
      <c r="O633" s="138"/>
      <c r="P633" s="138"/>
      <c r="Q633" s="61">
        <f t="shared" si="815"/>
        <v>0</v>
      </c>
      <c r="R633" s="63">
        <f t="shared" si="816"/>
        <v>42572</v>
      </c>
      <c r="S633" s="169"/>
      <c r="T633" s="169"/>
      <c r="U633" s="169"/>
      <c r="V633" s="63">
        <f t="shared" si="805"/>
        <v>42572</v>
      </c>
      <c r="W633" s="63">
        <f t="shared" si="806"/>
        <v>2639.4639999999999</v>
      </c>
      <c r="X633" s="63">
        <f t="shared" si="807"/>
        <v>617.29399999999998</v>
      </c>
      <c r="Y633" s="63">
        <f t="shared" si="817"/>
        <v>5989.8804</v>
      </c>
      <c r="Z633" s="63">
        <f t="shared" si="818"/>
        <v>68.115200000000002</v>
      </c>
      <c r="AA633" s="63">
        <f t="shared" si="819"/>
        <v>29.8004</v>
      </c>
      <c r="AB633" s="63">
        <f t="shared" si="820"/>
        <v>335</v>
      </c>
      <c r="AC633" s="63">
        <f t="shared" si="821"/>
        <v>10356.36</v>
      </c>
      <c r="AD633" s="63">
        <f t="shared" si="822"/>
        <v>106.9136</v>
      </c>
      <c r="AE633" s="149" t="s">
        <v>3458</v>
      </c>
      <c r="AF633" s="69">
        <f t="shared" si="808"/>
        <v>766</v>
      </c>
      <c r="AG633" s="69">
        <f t="shared" si="809"/>
        <v>20142.827600000001</v>
      </c>
      <c r="AH633" s="67">
        <v>28306.83</v>
      </c>
      <c r="AI633" s="69">
        <f t="shared" si="810"/>
        <v>-8164.0024000000012</v>
      </c>
      <c r="AJ633" s="69">
        <f t="shared" si="811"/>
        <v>-7398.0024000000012</v>
      </c>
    </row>
    <row r="634" spans="1:36" x14ac:dyDescent="0.25">
      <c r="A634" s="168" t="s">
        <v>3458</v>
      </c>
      <c r="B634" s="92" t="s">
        <v>3476</v>
      </c>
      <c r="C634" s="71" t="s">
        <v>3406</v>
      </c>
      <c r="D634" s="168" t="s">
        <v>3477</v>
      </c>
      <c r="E634" s="168" t="s">
        <v>3475</v>
      </c>
      <c r="F634" s="74">
        <v>37138</v>
      </c>
      <c r="G634" s="59">
        <f t="shared" si="812"/>
        <v>20.334246575342465</v>
      </c>
      <c r="H634" s="57"/>
      <c r="I634" s="66">
        <v>47241</v>
      </c>
      <c r="J634" s="182">
        <v>48107</v>
      </c>
      <c r="K634" s="59"/>
      <c r="L634" s="59">
        <f t="shared" si="813"/>
        <v>23.128365384615385</v>
      </c>
      <c r="M634" s="61">
        <f t="shared" si="814"/>
        <v>1850.2692307692307</v>
      </c>
      <c r="N634" s="100"/>
      <c r="O634" s="138"/>
      <c r="P634" s="138"/>
      <c r="Q634" s="61">
        <f t="shared" si="815"/>
        <v>0</v>
      </c>
      <c r="R634" s="63">
        <f t="shared" si="816"/>
        <v>48107</v>
      </c>
      <c r="S634" s="169"/>
      <c r="T634" s="169"/>
      <c r="U634" s="169"/>
      <c r="V634" s="63">
        <f t="shared" si="805"/>
        <v>48107</v>
      </c>
      <c r="W634" s="63">
        <f t="shared" si="806"/>
        <v>2982.634</v>
      </c>
      <c r="X634" s="63">
        <f t="shared" si="807"/>
        <v>697.55150000000003</v>
      </c>
      <c r="Y634" s="63">
        <f t="shared" si="817"/>
        <v>6768.6548999999995</v>
      </c>
      <c r="Z634" s="63">
        <f t="shared" si="818"/>
        <v>76.97120000000001</v>
      </c>
      <c r="AA634" s="63">
        <f t="shared" si="819"/>
        <v>33.674900000000001</v>
      </c>
      <c r="AB634" s="63">
        <f t="shared" si="820"/>
        <v>335</v>
      </c>
      <c r="AC634" s="63">
        <f t="shared" si="821"/>
        <v>10356.36</v>
      </c>
      <c r="AD634" s="63">
        <f t="shared" si="822"/>
        <v>106.9136</v>
      </c>
      <c r="AE634" s="149" t="s">
        <v>3458</v>
      </c>
      <c r="AF634" s="69">
        <f t="shared" si="808"/>
        <v>866</v>
      </c>
      <c r="AG634" s="69">
        <f t="shared" si="809"/>
        <v>21357.7601</v>
      </c>
      <c r="AH634" s="67">
        <v>45.9</v>
      </c>
      <c r="AI634" s="69">
        <f t="shared" si="810"/>
        <v>21311.860099999998</v>
      </c>
      <c r="AJ634" s="69">
        <f t="shared" si="811"/>
        <v>22177.860099999998</v>
      </c>
    </row>
    <row r="635" spans="1:36" x14ac:dyDescent="0.25">
      <c r="A635" s="168" t="s">
        <v>3458</v>
      </c>
      <c r="B635" s="92" t="s">
        <v>3478</v>
      </c>
      <c r="C635" s="71" t="s">
        <v>3865</v>
      </c>
      <c r="D635" s="168" t="s">
        <v>3250</v>
      </c>
      <c r="E635" s="168" t="s">
        <v>3461</v>
      </c>
      <c r="F635" s="58">
        <v>36787</v>
      </c>
      <c r="G635" s="59">
        <f t="shared" si="812"/>
        <v>21.295890410958904</v>
      </c>
      <c r="H635" s="57"/>
      <c r="I635" s="66">
        <v>49164</v>
      </c>
      <c r="J635" s="66">
        <v>49164</v>
      </c>
      <c r="K635" s="59"/>
      <c r="L635" s="59">
        <f t="shared" si="813"/>
        <v>23.636538461538461</v>
      </c>
      <c r="M635" s="61">
        <f t="shared" si="814"/>
        <v>1890.9230769230769</v>
      </c>
      <c r="N635" s="100"/>
      <c r="O635" s="138"/>
      <c r="P635" s="138"/>
      <c r="Q635" s="61">
        <f t="shared" si="815"/>
        <v>0</v>
      </c>
      <c r="R635" s="63">
        <f t="shared" si="816"/>
        <v>49164</v>
      </c>
      <c r="S635" s="169"/>
      <c r="T635" s="169"/>
      <c r="U635" s="169"/>
      <c r="V635" s="63">
        <f t="shared" si="805"/>
        <v>49164</v>
      </c>
      <c r="W635" s="63">
        <f t="shared" si="806"/>
        <v>3048.1680000000001</v>
      </c>
      <c r="X635" s="63">
        <f t="shared" si="807"/>
        <v>712.87800000000004</v>
      </c>
      <c r="Y635" s="63">
        <f t="shared" si="817"/>
        <v>6917.3747999999996</v>
      </c>
      <c r="Z635" s="63">
        <f t="shared" si="818"/>
        <v>78.662400000000005</v>
      </c>
      <c r="AA635" s="63">
        <f t="shared" si="819"/>
        <v>34.4148</v>
      </c>
      <c r="AB635" s="63">
        <f t="shared" si="820"/>
        <v>335</v>
      </c>
      <c r="AC635" s="63">
        <f t="shared" si="821"/>
        <v>10356.36</v>
      </c>
      <c r="AD635" s="63">
        <f t="shared" si="822"/>
        <v>106.9136</v>
      </c>
      <c r="AE635" s="149" t="s">
        <v>3458</v>
      </c>
      <c r="AF635" s="69">
        <f t="shared" si="808"/>
        <v>0</v>
      </c>
      <c r="AG635" s="69">
        <f t="shared" si="809"/>
        <v>21589.7716</v>
      </c>
      <c r="AH635" s="67">
        <v>19854.77</v>
      </c>
      <c r="AI635" s="69">
        <f t="shared" si="810"/>
        <v>1735.0015999999996</v>
      </c>
      <c r="AJ635" s="69">
        <f t="shared" si="811"/>
        <v>1735.0015999999996</v>
      </c>
    </row>
    <row r="636" spans="1:36" x14ac:dyDescent="0.25">
      <c r="A636" s="168" t="s">
        <v>3458</v>
      </c>
      <c r="B636" s="167">
        <v>614099</v>
      </c>
      <c r="C636" s="168" t="s">
        <v>3479</v>
      </c>
      <c r="D636" s="168"/>
      <c r="E636" s="168"/>
      <c r="F636" s="288"/>
      <c r="G636" s="167" t="s">
        <v>2422</v>
      </c>
      <c r="H636" s="88"/>
      <c r="I636" s="88">
        <v>22800</v>
      </c>
      <c r="J636" s="88">
        <v>22800</v>
      </c>
      <c r="K636" s="138"/>
      <c r="L636" s="138"/>
      <c r="M636" s="138"/>
      <c r="N636" s="167" t="s">
        <v>27</v>
      </c>
      <c r="O636" s="138"/>
      <c r="P636" s="138"/>
      <c r="Q636" s="167">
        <v>0</v>
      </c>
      <c r="R636" s="63">
        <f t="shared" si="816"/>
        <v>22800</v>
      </c>
      <c r="S636" s="169"/>
      <c r="T636" s="169"/>
      <c r="U636" s="169"/>
      <c r="V636" s="63">
        <f t="shared" si="805"/>
        <v>22800</v>
      </c>
      <c r="W636" s="63">
        <f t="shared" si="806"/>
        <v>1413.6</v>
      </c>
      <c r="X636" s="63">
        <f t="shared" si="807"/>
        <v>330.6</v>
      </c>
      <c r="Y636" s="63">
        <f t="shared" si="817"/>
        <v>3207.96</v>
      </c>
      <c r="Z636" s="63">
        <f t="shared" si="818"/>
        <v>36.480000000000004</v>
      </c>
      <c r="AA636" s="63">
        <f t="shared" si="819"/>
        <v>15.959999999999999</v>
      </c>
      <c r="AB636" s="63" t="s">
        <v>2422</v>
      </c>
      <c r="AC636" s="63" t="s">
        <v>2422</v>
      </c>
      <c r="AD636" s="63" t="s">
        <v>2422</v>
      </c>
      <c r="AE636" s="149" t="s">
        <v>3458</v>
      </c>
      <c r="AF636" s="69">
        <f t="shared" si="808"/>
        <v>0</v>
      </c>
      <c r="AG636" s="69">
        <f t="shared" si="809"/>
        <v>5004.5999999999995</v>
      </c>
      <c r="AH636" s="67">
        <v>21616.46</v>
      </c>
      <c r="AI636" s="69">
        <f t="shared" si="810"/>
        <v>-16611.86</v>
      </c>
      <c r="AJ636" s="100">
        <f t="shared" si="811"/>
        <v>-16611.86</v>
      </c>
    </row>
    <row r="637" spans="1:36" x14ac:dyDescent="0.25">
      <c r="A637" s="168" t="s">
        <v>3458</v>
      </c>
      <c r="B637" s="138"/>
      <c r="C637" s="168" t="s">
        <v>2495</v>
      </c>
      <c r="D637" s="168" t="s">
        <v>3480</v>
      </c>
      <c r="E637" s="168" t="s">
        <v>3393</v>
      </c>
      <c r="F637" s="58">
        <v>42130</v>
      </c>
      <c r="G637" s="167" t="s">
        <v>2422</v>
      </c>
      <c r="H637" s="88"/>
      <c r="I637" s="88">
        <v>11257</v>
      </c>
      <c r="J637" s="218">
        <v>11257</v>
      </c>
      <c r="K637" s="219"/>
      <c r="L637" s="219"/>
      <c r="M637" s="219"/>
      <c r="N637" s="220" t="s">
        <v>27</v>
      </c>
      <c r="O637" s="219"/>
      <c r="P637" s="219"/>
      <c r="Q637" s="220">
        <v>0</v>
      </c>
      <c r="R637" s="172">
        <f t="shared" si="816"/>
        <v>11257</v>
      </c>
      <c r="S637" s="173"/>
      <c r="T637" s="173"/>
      <c r="U637" s="173"/>
      <c r="V637" s="172">
        <f t="shared" si="805"/>
        <v>11257</v>
      </c>
      <c r="W637" s="172">
        <f t="shared" si="806"/>
        <v>697.93399999999997</v>
      </c>
      <c r="X637" s="172">
        <f t="shared" si="807"/>
        <v>163.22650000000002</v>
      </c>
      <c r="Y637" s="172">
        <f t="shared" si="817"/>
        <v>1583.8598999999999</v>
      </c>
      <c r="Z637" s="172">
        <f t="shared" si="818"/>
        <v>18.011200000000002</v>
      </c>
      <c r="AA637" s="172">
        <f t="shared" si="819"/>
        <v>7.8799000000000001</v>
      </c>
      <c r="AB637" s="172" t="s">
        <v>2422</v>
      </c>
      <c r="AC637" s="172" t="s">
        <v>2422</v>
      </c>
      <c r="AD637" s="172" t="s">
        <v>2422</v>
      </c>
      <c r="AE637" s="149" t="s">
        <v>3458</v>
      </c>
      <c r="AF637" s="69">
        <f t="shared" si="808"/>
        <v>0</v>
      </c>
      <c r="AG637" s="69">
        <f t="shared" si="809"/>
        <v>2470.9114999999997</v>
      </c>
      <c r="AH637" s="67">
        <v>19531.650000000001</v>
      </c>
      <c r="AI637" s="69">
        <f t="shared" si="810"/>
        <v>-17060.738500000003</v>
      </c>
      <c r="AJ637" s="100">
        <f t="shared" si="811"/>
        <v>-17060.738500000003</v>
      </c>
    </row>
    <row r="638" spans="1:36" x14ac:dyDescent="0.25">
      <c r="A638" s="168" t="s">
        <v>3458</v>
      </c>
      <c r="B638" s="138"/>
      <c r="C638" s="138"/>
      <c r="D638" s="138"/>
      <c r="E638" s="138"/>
      <c r="F638" s="138"/>
      <c r="G638" s="138"/>
      <c r="H638" s="221"/>
      <c r="I638" s="222">
        <f t="shared" ref="I638:J638" si="823">SUM(I625:I637)</f>
        <v>473472</v>
      </c>
      <c r="J638" s="222">
        <f t="shared" si="823"/>
        <v>478581</v>
      </c>
      <c r="K638" s="223"/>
      <c r="L638" s="223">
        <f t="shared" ref="L638:AD638" si="824">SUM(L624:L637)</f>
        <v>213.42500000000001</v>
      </c>
      <c r="M638" s="223">
        <f t="shared" si="824"/>
        <v>17097.080000000002</v>
      </c>
      <c r="N638" s="223">
        <f t="shared" si="824"/>
        <v>0</v>
      </c>
      <c r="O638" s="223">
        <f t="shared" si="824"/>
        <v>0</v>
      </c>
      <c r="P638" s="223">
        <f t="shared" si="824"/>
        <v>0</v>
      </c>
      <c r="Q638" s="223">
        <f t="shared" si="824"/>
        <v>0</v>
      </c>
      <c r="R638" s="223">
        <f t="shared" si="824"/>
        <v>478581</v>
      </c>
      <c r="S638" s="223">
        <f t="shared" si="824"/>
        <v>4200</v>
      </c>
      <c r="T638" s="223">
        <f t="shared" si="824"/>
        <v>0</v>
      </c>
      <c r="U638" s="223">
        <f t="shared" si="824"/>
        <v>0</v>
      </c>
      <c r="V638" s="223">
        <f t="shared" si="824"/>
        <v>482781</v>
      </c>
      <c r="W638" s="223">
        <f t="shared" si="824"/>
        <v>29932.422000000002</v>
      </c>
      <c r="X638" s="223">
        <f t="shared" si="824"/>
        <v>7000.3245000000006</v>
      </c>
      <c r="Y638" s="223">
        <f t="shared" si="824"/>
        <v>67842.866699999999</v>
      </c>
      <c r="Z638" s="223">
        <f t="shared" si="824"/>
        <v>771.48960000000011</v>
      </c>
      <c r="AA638" s="223">
        <f t="shared" si="824"/>
        <v>285.65319999999997</v>
      </c>
      <c r="AB638" s="223">
        <f t="shared" si="824"/>
        <v>3350</v>
      </c>
      <c r="AC638" s="223">
        <f t="shared" si="824"/>
        <v>103563.6</v>
      </c>
      <c r="AD638" s="223">
        <f t="shared" si="824"/>
        <v>1069.136</v>
      </c>
      <c r="AE638" s="149" t="s">
        <v>3458</v>
      </c>
      <c r="AF638" s="230">
        <f>SUM(AF625:AF637)</f>
        <v>5109</v>
      </c>
      <c r="AG638" s="100">
        <f t="shared" si="809"/>
        <v>213815.492</v>
      </c>
      <c r="AH638" s="225">
        <v>19854.77</v>
      </c>
      <c r="AI638" s="226">
        <f t="shared" si="810"/>
        <v>193960.72200000001</v>
      </c>
      <c r="AJ638" s="226">
        <f t="shared" si="811"/>
        <v>199069.72200000001</v>
      </c>
    </row>
    <row r="639" spans="1:36" hidden="1" x14ac:dyDescent="0.25">
      <c r="A639" s="138"/>
      <c r="B639" s="138"/>
      <c r="C639" s="138"/>
      <c r="D639" s="138"/>
      <c r="E639" s="138"/>
      <c r="F639" s="138"/>
      <c r="G639" s="138"/>
      <c r="H639" s="78"/>
      <c r="I639" s="78">
        <v>368910</v>
      </c>
      <c r="J639" s="78">
        <f>SUM(J627:J635)</f>
        <v>374019</v>
      </c>
      <c r="K639" s="138"/>
      <c r="L639" s="138"/>
      <c r="M639" s="138"/>
      <c r="N639" s="100">
        <v>19996.39</v>
      </c>
      <c r="O639" s="138"/>
      <c r="P639" s="138"/>
      <c r="Q639" s="138"/>
      <c r="R639" s="169"/>
      <c r="S639" s="169"/>
      <c r="T639" s="169"/>
      <c r="U639" s="169"/>
      <c r="V639" s="169"/>
      <c r="W639" s="63">
        <f>SUM(W638:X638)</f>
        <v>36932.746500000001</v>
      </c>
      <c r="X639" s="169"/>
      <c r="Y639" s="169"/>
      <c r="Z639" s="169"/>
      <c r="AA639" s="169"/>
      <c r="AB639" s="169"/>
      <c r="AC639" s="63">
        <f>SUM(AC638:AD638)</f>
        <v>104632.736</v>
      </c>
      <c r="AD639" s="169"/>
      <c r="AE639" s="149"/>
      <c r="AF639" s="69">
        <f t="shared" ref="AF639:AG639" si="825">SUM(AF625:AF637)</f>
        <v>5109</v>
      </c>
      <c r="AG639" s="69">
        <f t="shared" si="825"/>
        <v>213815.49199999997</v>
      </c>
      <c r="AH639" s="67">
        <v>20189.79</v>
      </c>
      <c r="AI639" s="69">
        <f t="shared" ref="AI639:AJ639" si="826">SUM(AI625:AI637)</f>
        <v>-367924.35800000001</v>
      </c>
      <c r="AJ639" s="69">
        <f t="shared" si="826"/>
        <v>-362815.35800000001</v>
      </c>
    </row>
    <row r="640" spans="1:36" x14ac:dyDescent="0.25">
      <c r="A640" s="138"/>
      <c r="B640" s="138"/>
      <c r="C640" s="138"/>
      <c r="D640" s="138"/>
      <c r="E640" s="138"/>
      <c r="F640" s="138"/>
      <c r="G640" s="138"/>
      <c r="H640" s="148"/>
      <c r="I640" s="148"/>
      <c r="J640" s="148"/>
      <c r="K640" s="138"/>
      <c r="L640" s="138"/>
      <c r="M640" s="138"/>
      <c r="N640" s="138"/>
      <c r="O640" s="138"/>
      <c r="P640" s="138"/>
      <c r="Q640" s="138"/>
      <c r="R640" s="169"/>
      <c r="S640" s="169"/>
      <c r="T640" s="169"/>
      <c r="U640" s="169"/>
      <c r="V640" s="169"/>
      <c r="W640" s="169"/>
      <c r="X640" s="169"/>
      <c r="Y640" s="169"/>
      <c r="Z640" s="169"/>
      <c r="AA640" s="169"/>
      <c r="AB640" s="169"/>
      <c r="AC640" s="169"/>
      <c r="AD640" s="169"/>
      <c r="AE640" s="149"/>
      <c r="AF640" s="178"/>
      <c r="AG640" s="178"/>
      <c r="AH640" s="67">
        <v>19320.28</v>
      </c>
      <c r="AI640" s="178"/>
      <c r="AJ640" s="178"/>
    </row>
    <row r="641" spans="1:36" x14ac:dyDescent="0.25">
      <c r="A641" s="183" t="s">
        <v>3481</v>
      </c>
      <c r="B641" s="183" t="s">
        <v>3481</v>
      </c>
      <c r="C641" s="183" t="s">
        <v>2066</v>
      </c>
      <c r="D641" s="138"/>
      <c r="E641" s="138"/>
      <c r="F641" s="138"/>
      <c r="G641" s="138"/>
      <c r="H641" s="148"/>
      <c r="I641" s="148"/>
      <c r="J641" s="274"/>
      <c r="K641" s="219"/>
      <c r="L641" s="219"/>
      <c r="M641" s="219"/>
      <c r="N641" s="219"/>
      <c r="O641" s="219"/>
      <c r="P641" s="219"/>
      <c r="Q641" s="219"/>
      <c r="R641" s="173"/>
      <c r="S641" s="173"/>
      <c r="T641" s="173"/>
      <c r="U641" s="173"/>
      <c r="V641" s="173"/>
      <c r="W641" s="173"/>
      <c r="X641" s="173"/>
      <c r="Y641" s="173"/>
      <c r="Z641" s="173"/>
      <c r="AA641" s="173"/>
      <c r="AB641" s="173"/>
      <c r="AC641" s="173"/>
      <c r="AD641" s="173"/>
      <c r="AE641" s="149"/>
      <c r="AF641" s="138"/>
      <c r="AG641" s="138"/>
      <c r="AH641" s="67">
        <v>22056.83</v>
      </c>
      <c r="AI641" s="169">
        <f t="shared" ref="AI641:AI642" si="827">AG641-AH641</f>
        <v>-22056.83</v>
      </c>
      <c r="AJ641" s="169">
        <f t="shared" ref="AJ641:AJ642" si="828">AF641+AI641</f>
        <v>-22056.83</v>
      </c>
    </row>
    <row r="642" spans="1:36" x14ac:dyDescent="0.25">
      <c r="A642" s="168" t="s">
        <v>3481</v>
      </c>
      <c r="B642" s="138"/>
      <c r="C642" s="168" t="s">
        <v>1627</v>
      </c>
      <c r="D642" s="289" t="s">
        <v>3339</v>
      </c>
      <c r="E642" s="289" t="s">
        <v>3866</v>
      </c>
      <c r="F642" s="285">
        <v>12</v>
      </c>
      <c r="G642" s="167" t="s">
        <v>2422</v>
      </c>
      <c r="H642" s="221"/>
      <c r="I642" s="222">
        <v>66404</v>
      </c>
      <c r="J642" s="222">
        <v>66404</v>
      </c>
      <c r="K642" s="290"/>
      <c r="L642" s="290"/>
      <c r="M642" s="223"/>
      <c r="N642" s="223">
        <v>0</v>
      </c>
      <c r="O642" s="276"/>
      <c r="P642" s="276"/>
      <c r="Q642" s="223">
        <f>SUM(N642+P642)</f>
        <v>0</v>
      </c>
      <c r="R642" s="175">
        <f>SUM(J642+Q642)</f>
        <v>66404</v>
      </c>
      <c r="S642" s="175">
        <v>0</v>
      </c>
      <c r="T642" s="175">
        <v>0</v>
      </c>
      <c r="U642" s="175">
        <v>0</v>
      </c>
      <c r="V642" s="175">
        <f>SUM(R642:U642)</f>
        <v>66404</v>
      </c>
      <c r="W642" s="175">
        <f>SUM(V642*$W$7)</f>
        <v>4117.0479999999998</v>
      </c>
      <c r="X642" s="175">
        <f>SUM(V642*$X$7)</f>
        <v>962.85800000000006</v>
      </c>
      <c r="Y642" s="175">
        <f>SUM(V642*$Y$7)</f>
        <v>9343.0427999999993</v>
      </c>
      <c r="Z642" s="175">
        <f>SUM(V642*$Z$7)</f>
        <v>106.24640000000001</v>
      </c>
      <c r="AA642" s="175">
        <f>SUM(V642*$AA$7)</f>
        <v>46.482799999999997</v>
      </c>
      <c r="AB642" s="175">
        <v>0</v>
      </c>
      <c r="AC642" s="175">
        <v>0</v>
      </c>
      <c r="AD642" s="175">
        <v>0</v>
      </c>
      <c r="AE642" s="149" t="s">
        <v>3481</v>
      </c>
      <c r="AF642" s="226">
        <f>SUM(J642-I642)</f>
        <v>0</v>
      </c>
      <c r="AG642" s="169">
        <f>SUM(W642:AD642)</f>
        <v>14575.677999999998</v>
      </c>
      <c r="AH642" s="67">
        <v>20371.849999999999</v>
      </c>
      <c r="AI642" s="176">
        <f t="shared" si="827"/>
        <v>-5796.1720000000005</v>
      </c>
      <c r="AJ642" s="226">
        <f t="shared" si="828"/>
        <v>-5796.1720000000005</v>
      </c>
    </row>
    <row r="643" spans="1:36" hidden="1" x14ac:dyDescent="0.25">
      <c r="A643" s="138"/>
      <c r="B643" s="138"/>
      <c r="C643" s="138"/>
      <c r="D643" s="289" t="s">
        <v>3867</v>
      </c>
      <c r="E643" s="289" t="s">
        <v>3868</v>
      </c>
      <c r="F643" s="285">
        <v>11.76</v>
      </c>
      <c r="G643" s="138"/>
      <c r="H643" s="148"/>
      <c r="I643" s="148"/>
      <c r="J643" s="148"/>
      <c r="K643" s="138"/>
      <c r="L643" s="138"/>
      <c r="M643" s="138"/>
      <c r="N643" s="138"/>
      <c r="O643" s="138"/>
      <c r="P643" s="138"/>
      <c r="Q643" s="138"/>
      <c r="R643" s="169"/>
      <c r="S643" s="169"/>
      <c r="T643" s="169"/>
      <c r="U643" s="169"/>
      <c r="V643" s="169"/>
      <c r="W643" s="63">
        <f>SUM(W642:X642)</f>
        <v>5079.9059999999999</v>
      </c>
      <c r="X643" s="169"/>
      <c r="Y643" s="169"/>
      <c r="Z643" s="169"/>
      <c r="AA643" s="169"/>
      <c r="AB643" s="169"/>
      <c r="AC643" s="63">
        <v>0</v>
      </c>
      <c r="AD643" s="169"/>
      <c r="AE643" s="149"/>
      <c r="AF643" s="138"/>
      <c r="AG643" s="138"/>
      <c r="AH643" s="67">
        <v>18868.46</v>
      </c>
      <c r="AI643" s="138"/>
      <c r="AJ643" s="138"/>
    </row>
    <row r="644" spans="1:36" x14ac:dyDescent="0.25">
      <c r="A644" s="138"/>
      <c r="B644" s="138"/>
      <c r="C644" s="138"/>
      <c r="D644" s="289" t="s">
        <v>2603</v>
      </c>
      <c r="E644" s="289" t="s">
        <v>3869</v>
      </c>
      <c r="F644" s="285">
        <v>11.5</v>
      </c>
      <c r="G644" s="138"/>
      <c r="H644" s="148"/>
      <c r="I644" s="148"/>
      <c r="J644" s="148"/>
      <c r="K644" s="138"/>
      <c r="L644" s="138"/>
      <c r="M644" s="138"/>
      <c r="N644" s="138"/>
      <c r="O644" s="138"/>
      <c r="P644" s="138"/>
      <c r="Q644" s="138"/>
      <c r="R644" s="169"/>
      <c r="S644" s="169"/>
      <c r="T644" s="169"/>
      <c r="U644" s="169"/>
      <c r="V644" s="169"/>
      <c r="W644" s="169"/>
      <c r="X644" s="169"/>
      <c r="Y644" s="169"/>
      <c r="Z644" s="169"/>
      <c r="AA644" s="169"/>
      <c r="AB644" s="169"/>
      <c r="AC644" s="169"/>
      <c r="AD644" s="169"/>
      <c r="AE644" s="149"/>
      <c r="AF644" s="138"/>
      <c r="AG644" s="138"/>
      <c r="AH644" s="67">
        <v>5221.2</v>
      </c>
      <c r="AI644" s="138"/>
      <c r="AJ644" s="138"/>
    </row>
    <row r="645" spans="1:36" hidden="1" x14ac:dyDescent="0.25">
      <c r="A645" s="138"/>
      <c r="B645" s="138"/>
      <c r="C645" s="138"/>
      <c r="D645" s="138" t="s">
        <v>3870</v>
      </c>
      <c r="E645" s="138" t="s">
        <v>3871</v>
      </c>
      <c r="F645" s="291">
        <v>11.4</v>
      </c>
      <c r="G645" s="138"/>
      <c r="H645" s="148"/>
      <c r="I645" s="148"/>
      <c r="J645" s="148"/>
      <c r="K645" s="138"/>
      <c r="L645" s="138"/>
      <c r="M645" s="138"/>
      <c r="N645" s="138"/>
      <c r="O645" s="138"/>
      <c r="P645" s="138"/>
      <c r="Q645" s="138"/>
      <c r="R645" s="169"/>
      <c r="S645" s="169"/>
      <c r="T645" s="169"/>
      <c r="U645" s="169"/>
      <c r="V645" s="169"/>
      <c r="W645" s="169"/>
      <c r="X645" s="169"/>
      <c r="Y645" s="169"/>
      <c r="Z645" s="169"/>
      <c r="AA645" s="169"/>
      <c r="AB645" s="169"/>
      <c r="AC645" s="169"/>
      <c r="AD645" s="169"/>
      <c r="AE645" s="149"/>
      <c r="AF645" s="138"/>
      <c r="AG645" s="138"/>
      <c r="AH645" s="67">
        <v>2577.85</v>
      </c>
      <c r="AI645" s="138"/>
      <c r="AJ645" s="138"/>
    </row>
    <row r="646" spans="1:36" hidden="1" x14ac:dyDescent="0.25">
      <c r="A646" s="138"/>
      <c r="B646" s="138"/>
      <c r="C646" s="138"/>
      <c r="D646" s="138"/>
      <c r="E646" s="138"/>
      <c r="F646" s="285">
        <f>SUM(F642:F645)</f>
        <v>46.66</v>
      </c>
      <c r="G646" s="138" t="s">
        <v>3872</v>
      </c>
      <c r="H646" s="148"/>
      <c r="I646" s="148"/>
      <c r="J646" s="148"/>
      <c r="K646" s="138"/>
      <c r="L646" s="138"/>
      <c r="M646" s="138"/>
      <c r="N646" s="138"/>
      <c r="O646" s="138"/>
      <c r="P646" s="138"/>
      <c r="Q646" s="138"/>
      <c r="R646" s="169"/>
      <c r="S646" s="169"/>
      <c r="T646" s="169"/>
      <c r="U646" s="169"/>
      <c r="V646" s="169"/>
      <c r="W646" s="169"/>
      <c r="X646" s="169"/>
      <c r="Y646" s="169"/>
      <c r="Z646" s="169"/>
      <c r="AA646" s="169"/>
      <c r="AB646" s="169"/>
      <c r="AC646" s="169"/>
      <c r="AD646" s="169"/>
      <c r="AE646" s="149"/>
      <c r="AF646" s="138"/>
      <c r="AG646" s="138"/>
      <c r="AH646" s="67">
        <v>217816.63</v>
      </c>
      <c r="AI646" s="138"/>
      <c r="AJ646" s="138"/>
    </row>
    <row r="647" spans="1:36" hidden="1" x14ac:dyDescent="0.25">
      <c r="A647" s="138"/>
      <c r="B647" s="138"/>
      <c r="C647" s="138"/>
      <c r="D647" s="138"/>
      <c r="E647" s="138"/>
      <c r="F647" s="138"/>
      <c r="G647" s="138"/>
      <c r="H647" s="148"/>
      <c r="I647" s="148"/>
      <c r="J647" s="148"/>
      <c r="K647" s="138"/>
      <c r="L647" s="138"/>
      <c r="M647" s="138"/>
      <c r="N647" s="138"/>
      <c r="O647" s="138"/>
      <c r="P647" s="138"/>
      <c r="Q647" s="138"/>
      <c r="R647" s="169"/>
      <c r="S647" s="169"/>
      <c r="T647" s="169"/>
      <c r="U647" s="169"/>
      <c r="V647" s="169"/>
      <c r="W647" s="169"/>
      <c r="X647" s="169"/>
      <c r="Y647" s="169"/>
      <c r="Z647" s="169"/>
      <c r="AA647" s="169"/>
      <c r="AB647" s="169"/>
      <c r="AC647" s="169"/>
      <c r="AD647" s="169"/>
      <c r="AE647" s="149"/>
      <c r="AF647" s="138"/>
      <c r="AG647" s="138"/>
      <c r="AH647" s="67">
        <v>217816.63</v>
      </c>
      <c r="AI647" s="138"/>
      <c r="AJ647" s="138"/>
    </row>
    <row r="648" spans="1:36" x14ac:dyDescent="0.25">
      <c r="A648" s="138"/>
      <c r="B648" s="138"/>
      <c r="C648" s="138"/>
      <c r="D648" s="138"/>
      <c r="E648" s="138"/>
      <c r="F648" s="138"/>
      <c r="G648" s="138"/>
      <c r="H648" s="148"/>
      <c r="I648" s="148"/>
      <c r="J648" s="148"/>
      <c r="K648" s="138"/>
      <c r="L648" s="138"/>
      <c r="M648" s="138"/>
      <c r="N648" s="138"/>
      <c r="O648" s="138"/>
      <c r="P648" s="138"/>
      <c r="Q648" s="138"/>
      <c r="R648" s="169"/>
      <c r="S648" s="169"/>
      <c r="T648" s="169"/>
      <c r="U648" s="169"/>
      <c r="V648" s="169"/>
      <c r="W648" s="169"/>
      <c r="X648" s="169"/>
      <c r="Y648" s="169"/>
      <c r="Z648" s="169"/>
      <c r="AA648" s="169"/>
      <c r="AB648" s="169"/>
      <c r="AC648" s="169"/>
      <c r="AD648" s="169"/>
      <c r="AE648" s="149"/>
      <c r="AF648" s="138"/>
      <c r="AG648" s="138"/>
      <c r="AH648" s="65"/>
      <c r="AI648" s="138"/>
      <c r="AJ648" s="138"/>
    </row>
    <row r="649" spans="1:36" x14ac:dyDescent="0.25">
      <c r="A649" s="168" t="s">
        <v>3482</v>
      </c>
      <c r="B649" s="168" t="s">
        <v>3482</v>
      </c>
      <c r="C649" s="168" t="s">
        <v>3483</v>
      </c>
      <c r="D649" s="138"/>
      <c r="E649" s="138"/>
      <c r="F649" s="138"/>
      <c r="G649" s="138"/>
      <c r="H649" s="148"/>
      <c r="I649" s="148"/>
      <c r="J649" s="148"/>
      <c r="K649" s="138"/>
      <c r="L649" s="138"/>
      <c r="M649" s="138"/>
      <c r="N649" s="138"/>
      <c r="O649" s="138"/>
      <c r="P649" s="138"/>
      <c r="Q649" s="138"/>
      <c r="R649" s="169"/>
      <c r="S649" s="169"/>
      <c r="T649" s="169"/>
      <c r="U649" s="169"/>
      <c r="V649" s="169"/>
      <c r="W649" s="169"/>
      <c r="X649" s="169"/>
      <c r="Y649" s="169"/>
      <c r="Z649" s="169"/>
      <c r="AA649" s="169"/>
      <c r="AB649" s="169"/>
      <c r="AC649" s="169"/>
      <c r="AD649" s="169"/>
      <c r="AE649" s="149"/>
      <c r="AF649" s="138"/>
      <c r="AG649" s="138"/>
      <c r="AH649" s="65"/>
      <c r="AI649" s="138"/>
      <c r="AJ649" s="138"/>
    </row>
    <row r="650" spans="1:36" x14ac:dyDescent="0.25">
      <c r="A650" s="168" t="s">
        <v>3482</v>
      </c>
      <c r="B650" s="167">
        <v>475013</v>
      </c>
      <c r="C650" s="168" t="s">
        <v>3484</v>
      </c>
      <c r="D650" s="168" t="s">
        <v>2699</v>
      </c>
      <c r="E650" s="168" t="s">
        <v>2683</v>
      </c>
      <c r="F650" s="138"/>
      <c r="G650" s="167" t="s">
        <v>2422</v>
      </c>
      <c r="H650" s="88"/>
      <c r="I650" s="88">
        <v>2500</v>
      </c>
      <c r="J650" s="88">
        <v>2500</v>
      </c>
      <c r="K650" s="292"/>
      <c r="L650" s="292"/>
      <c r="M650" s="61">
        <f t="shared" ref="M650:M654" si="829">SUM(J650/$M$7)</f>
        <v>96.15384615384616</v>
      </c>
      <c r="N650" s="251"/>
      <c r="O650" s="138"/>
      <c r="P650" s="138"/>
      <c r="Q650" s="61">
        <f t="shared" ref="Q650:Q654" si="830">SUM(N650+P650)</f>
        <v>0</v>
      </c>
      <c r="R650" s="63">
        <f t="shared" ref="R650:R654" si="831">SUM(J650+Q650)</f>
        <v>2500</v>
      </c>
      <c r="S650" s="169"/>
      <c r="T650" s="169"/>
      <c r="U650" s="169"/>
      <c r="V650" s="63">
        <f t="shared" ref="V650:V654" si="832">SUM(R650:U650)</f>
        <v>2500</v>
      </c>
      <c r="W650" s="63">
        <f t="shared" ref="W650:W653" si="833">SUM(V650*$W$7)</f>
        <v>155</v>
      </c>
      <c r="X650" s="63">
        <f t="shared" ref="X650:X653" si="834">SUM(V650*$X$7)</f>
        <v>36.25</v>
      </c>
      <c r="Y650" s="63">
        <f t="shared" ref="Y650:Y653" si="835">SUM(V650*$Y$7)</f>
        <v>351.75</v>
      </c>
      <c r="Z650" s="63">
        <f t="shared" ref="Z650:Z653" si="836">SUM(V650*$Z$7)</f>
        <v>4</v>
      </c>
      <c r="AA650" s="63">
        <f t="shared" ref="AA650:AA653" si="837">SUM(V650*$AA$7)</f>
        <v>1.75</v>
      </c>
      <c r="AB650" s="63" t="s">
        <v>2422</v>
      </c>
      <c r="AC650" s="63" t="s">
        <v>2422</v>
      </c>
      <c r="AD650" s="63" t="s">
        <v>2422</v>
      </c>
      <c r="AE650" s="293" t="s">
        <v>3873</v>
      </c>
      <c r="AF650" s="251">
        <f t="shared" ref="AF650:AF654" si="838">SUM(J650-I650)</f>
        <v>0</v>
      </c>
      <c r="AG650" s="169">
        <f t="shared" ref="AG650:AG655" si="839">SUM(W650:AD650)</f>
        <v>548.75</v>
      </c>
      <c r="AH650" s="294">
        <v>15206.52</v>
      </c>
      <c r="AI650" s="138"/>
      <c r="AJ650" s="138"/>
    </row>
    <row r="651" spans="1:36" x14ac:dyDescent="0.25">
      <c r="A651" s="168" t="s">
        <v>3482</v>
      </c>
      <c r="B651" s="167">
        <v>475015</v>
      </c>
      <c r="C651" s="168" t="s">
        <v>3485</v>
      </c>
      <c r="D651" s="168" t="s">
        <v>3486</v>
      </c>
      <c r="E651" s="168" t="s">
        <v>2687</v>
      </c>
      <c r="F651" s="138"/>
      <c r="G651" s="167" t="s">
        <v>2422</v>
      </c>
      <c r="H651" s="88"/>
      <c r="I651" s="88">
        <v>2500</v>
      </c>
      <c r="J651" s="88">
        <v>2500</v>
      </c>
      <c r="K651" s="292"/>
      <c r="L651" s="292"/>
      <c r="M651" s="61">
        <f t="shared" si="829"/>
        <v>96.15384615384616</v>
      </c>
      <c r="N651" s="251"/>
      <c r="O651" s="138"/>
      <c r="P651" s="138"/>
      <c r="Q651" s="61">
        <f t="shared" si="830"/>
        <v>0</v>
      </c>
      <c r="R651" s="63">
        <f t="shared" si="831"/>
        <v>2500</v>
      </c>
      <c r="S651" s="169"/>
      <c r="T651" s="169"/>
      <c r="U651" s="169"/>
      <c r="V651" s="63">
        <f t="shared" si="832"/>
        <v>2500</v>
      </c>
      <c r="W651" s="63">
        <f t="shared" si="833"/>
        <v>155</v>
      </c>
      <c r="X651" s="63">
        <f t="shared" si="834"/>
        <v>36.25</v>
      </c>
      <c r="Y651" s="63">
        <f t="shared" si="835"/>
        <v>351.75</v>
      </c>
      <c r="Z651" s="63">
        <f t="shared" si="836"/>
        <v>4</v>
      </c>
      <c r="AA651" s="63">
        <f t="shared" si="837"/>
        <v>1.75</v>
      </c>
      <c r="AB651" s="63" t="s">
        <v>2422</v>
      </c>
      <c r="AC651" s="63" t="s">
        <v>2422</v>
      </c>
      <c r="AD651" s="63" t="s">
        <v>2422</v>
      </c>
      <c r="AE651" s="149"/>
      <c r="AF651" s="251">
        <f t="shared" si="838"/>
        <v>0</v>
      </c>
      <c r="AG651" s="169">
        <f t="shared" si="839"/>
        <v>548.75</v>
      </c>
      <c r="AH651" s="65"/>
      <c r="AI651" s="138"/>
      <c r="AJ651" s="138"/>
    </row>
    <row r="652" spans="1:36" x14ac:dyDescent="0.25">
      <c r="A652" s="168" t="s">
        <v>3482</v>
      </c>
      <c r="B652" s="167">
        <v>475011</v>
      </c>
      <c r="C652" s="168" t="s">
        <v>2685</v>
      </c>
      <c r="D652" s="168" t="s">
        <v>3487</v>
      </c>
      <c r="E652" s="138" t="s">
        <v>2479</v>
      </c>
      <c r="F652" s="138"/>
      <c r="G652" s="167" t="s">
        <v>2422</v>
      </c>
      <c r="H652" s="88"/>
      <c r="I652" s="88">
        <v>1500</v>
      </c>
      <c r="J652" s="88">
        <v>1500</v>
      </c>
      <c r="K652" s="292"/>
      <c r="L652" s="292"/>
      <c r="M652" s="61">
        <f t="shared" si="829"/>
        <v>57.692307692307693</v>
      </c>
      <c r="N652" s="251"/>
      <c r="O652" s="138"/>
      <c r="P652" s="138"/>
      <c r="Q652" s="61">
        <f t="shared" si="830"/>
        <v>0</v>
      </c>
      <c r="R652" s="63">
        <f t="shared" si="831"/>
        <v>1500</v>
      </c>
      <c r="S652" s="169"/>
      <c r="T652" s="169"/>
      <c r="U652" s="169"/>
      <c r="V652" s="63">
        <f t="shared" si="832"/>
        <v>1500</v>
      </c>
      <c r="W652" s="63">
        <f t="shared" si="833"/>
        <v>93</v>
      </c>
      <c r="X652" s="63">
        <f t="shared" si="834"/>
        <v>21.75</v>
      </c>
      <c r="Y652" s="63">
        <f t="shared" si="835"/>
        <v>211.04999999999998</v>
      </c>
      <c r="Z652" s="63">
        <f t="shared" si="836"/>
        <v>2.4</v>
      </c>
      <c r="AA652" s="63">
        <f t="shared" si="837"/>
        <v>1.05</v>
      </c>
      <c r="AB652" s="63" t="s">
        <v>2422</v>
      </c>
      <c r="AC652" s="63" t="s">
        <v>2422</v>
      </c>
      <c r="AD652" s="63" t="s">
        <v>2422</v>
      </c>
      <c r="AE652" s="149"/>
      <c r="AF652" s="251">
        <f t="shared" si="838"/>
        <v>0</v>
      </c>
      <c r="AG652" s="169">
        <f t="shared" si="839"/>
        <v>329.24999999999994</v>
      </c>
      <c r="AH652" s="65"/>
      <c r="AI652" s="138"/>
      <c r="AJ652" s="138"/>
    </row>
    <row r="653" spans="1:36" x14ac:dyDescent="0.25">
      <c r="A653" s="168" t="s">
        <v>3482</v>
      </c>
      <c r="B653" s="167">
        <v>475004</v>
      </c>
      <c r="C653" s="168" t="s">
        <v>3488</v>
      </c>
      <c r="D653" s="168" t="s">
        <v>2674</v>
      </c>
      <c r="E653" s="168" t="s">
        <v>2675</v>
      </c>
      <c r="F653" s="138"/>
      <c r="G653" s="167" t="s">
        <v>2422</v>
      </c>
      <c r="H653" s="88"/>
      <c r="I653" s="88">
        <v>2000</v>
      </c>
      <c r="J653" s="88">
        <v>2000</v>
      </c>
      <c r="K653" s="292"/>
      <c r="L653" s="292"/>
      <c r="M653" s="61">
        <f t="shared" si="829"/>
        <v>76.92307692307692</v>
      </c>
      <c r="N653" s="251"/>
      <c r="O653" s="138"/>
      <c r="P653" s="138"/>
      <c r="Q653" s="61">
        <f t="shared" si="830"/>
        <v>0</v>
      </c>
      <c r="R653" s="63">
        <f t="shared" si="831"/>
        <v>2000</v>
      </c>
      <c r="S653" s="169"/>
      <c r="T653" s="169"/>
      <c r="U653" s="169"/>
      <c r="V653" s="63">
        <f t="shared" si="832"/>
        <v>2000</v>
      </c>
      <c r="W653" s="63">
        <f t="shared" si="833"/>
        <v>124</v>
      </c>
      <c r="X653" s="63">
        <f t="shared" si="834"/>
        <v>29</v>
      </c>
      <c r="Y653" s="63">
        <f t="shared" si="835"/>
        <v>281.39999999999998</v>
      </c>
      <c r="Z653" s="63">
        <f t="shared" si="836"/>
        <v>3.2</v>
      </c>
      <c r="AA653" s="63">
        <f t="shared" si="837"/>
        <v>1.4</v>
      </c>
      <c r="AB653" s="63" t="s">
        <v>2422</v>
      </c>
      <c r="AC653" s="63" t="s">
        <v>2422</v>
      </c>
      <c r="AD653" s="63" t="s">
        <v>2422</v>
      </c>
      <c r="AE653" s="149"/>
      <c r="AF653" s="251">
        <f t="shared" si="838"/>
        <v>0</v>
      </c>
      <c r="AG653" s="169">
        <f t="shared" si="839"/>
        <v>438.99999999999994</v>
      </c>
      <c r="AH653" s="65"/>
      <c r="AI653" s="138"/>
      <c r="AJ653" s="138"/>
    </row>
    <row r="654" spans="1:36" x14ac:dyDescent="0.25">
      <c r="A654" s="168" t="s">
        <v>3482</v>
      </c>
      <c r="B654" s="167">
        <v>475000</v>
      </c>
      <c r="C654" s="168" t="s">
        <v>2703</v>
      </c>
      <c r="D654" s="168"/>
      <c r="E654" s="168"/>
      <c r="F654" s="138"/>
      <c r="G654" s="167"/>
      <c r="H654" s="88"/>
      <c r="I654" s="88">
        <v>8400</v>
      </c>
      <c r="J654" s="218">
        <v>8400</v>
      </c>
      <c r="K654" s="295"/>
      <c r="L654" s="295"/>
      <c r="M654" s="296">
        <f t="shared" si="829"/>
        <v>323.07692307692309</v>
      </c>
      <c r="N654" s="296"/>
      <c r="O654" s="219"/>
      <c r="P654" s="219"/>
      <c r="Q654" s="296">
        <f t="shared" si="830"/>
        <v>0</v>
      </c>
      <c r="R654" s="172">
        <f t="shared" si="831"/>
        <v>8400</v>
      </c>
      <c r="S654" s="173"/>
      <c r="T654" s="173"/>
      <c r="U654" s="173"/>
      <c r="V654" s="172">
        <f t="shared" si="832"/>
        <v>8400</v>
      </c>
      <c r="W654" s="172"/>
      <c r="X654" s="172"/>
      <c r="Y654" s="172"/>
      <c r="Z654" s="172"/>
      <c r="AA654" s="172"/>
      <c r="AB654" s="172"/>
      <c r="AC654" s="172"/>
      <c r="AD654" s="172"/>
      <c r="AE654" s="149"/>
      <c r="AF654" s="251">
        <f t="shared" si="838"/>
        <v>0</v>
      </c>
      <c r="AG654" s="169">
        <f t="shared" si="839"/>
        <v>0</v>
      </c>
      <c r="AH654" s="65"/>
      <c r="AI654" s="138"/>
      <c r="AJ654" s="138"/>
    </row>
    <row r="655" spans="1:36" x14ac:dyDescent="0.25">
      <c r="A655" s="168" t="s">
        <v>3482</v>
      </c>
      <c r="B655" s="138"/>
      <c r="C655" s="138"/>
      <c r="D655" s="138"/>
      <c r="E655" s="138"/>
      <c r="F655" s="138"/>
      <c r="G655" s="138"/>
      <c r="H655" s="221"/>
      <c r="I655" s="222">
        <f t="shared" ref="I655:J655" si="840">SUM(I650:I654)</f>
        <v>16900</v>
      </c>
      <c r="J655" s="222">
        <f t="shared" si="840"/>
        <v>16900</v>
      </c>
      <c r="K655" s="223"/>
      <c r="L655" s="223">
        <f t="shared" ref="L655:U655" si="841">SUM(L649:L653)</f>
        <v>0</v>
      </c>
      <c r="M655" s="223">
        <f t="shared" si="841"/>
        <v>326.92307692307691</v>
      </c>
      <c r="N655" s="223">
        <f t="shared" si="841"/>
        <v>0</v>
      </c>
      <c r="O655" s="223">
        <f t="shared" si="841"/>
        <v>0</v>
      </c>
      <c r="P655" s="223">
        <f t="shared" si="841"/>
        <v>0</v>
      </c>
      <c r="Q655" s="223">
        <f t="shared" si="841"/>
        <v>0</v>
      </c>
      <c r="R655" s="223">
        <f t="shared" si="841"/>
        <v>8500</v>
      </c>
      <c r="S655" s="223">
        <f t="shared" si="841"/>
        <v>0</v>
      </c>
      <c r="T655" s="223">
        <f t="shared" si="841"/>
        <v>0</v>
      </c>
      <c r="U655" s="223">
        <f t="shared" si="841"/>
        <v>0</v>
      </c>
      <c r="V655" s="223">
        <f>SUM(V649:V654)</f>
        <v>16900</v>
      </c>
      <c r="W655" s="223">
        <f t="shared" ref="W655:AD655" si="842">SUM(W649:W653)</f>
        <v>527</v>
      </c>
      <c r="X655" s="223">
        <f t="shared" si="842"/>
        <v>123.25</v>
      </c>
      <c r="Y655" s="223">
        <f t="shared" si="842"/>
        <v>1195.9499999999998</v>
      </c>
      <c r="Z655" s="223">
        <f t="shared" si="842"/>
        <v>13.600000000000001</v>
      </c>
      <c r="AA655" s="223">
        <f t="shared" si="842"/>
        <v>5.9499999999999993</v>
      </c>
      <c r="AB655" s="223">
        <f t="shared" si="842"/>
        <v>0</v>
      </c>
      <c r="AC655" s="223">
        <f t="shared" si="842"/>
        <v>0</v>
      </c>
      <c r="AD655" s="223">
        <f t="shared" si="842"/>
        <v>0</v>
      </c>
      <c r="AE655" s="149" t="s">
        <v>3482</v>
      </c>
      <c r="AF655" s="226">
        <f>SUM(AF650:AF654)</f>
        <v>0</v>
      </c>
      <c r="AG655" s="251">
        <f t="shared" si="839"/>
        <v>1865.7499999999998</v>
      </c>
      <c r="AH655" s="62"/>
      <c r="AI655" s="226">
        <f>AG655-AH655</f>
        <v>1865.7499999999998</v>
      </c>
      <c r="AJ655" s="226">
        <f>AF655+AI655</f>
        <v>1865.7499999999998</v>
      </c>
    </row>
    <row r="656" spans="1:36" x14ac:dyDescent="0.25">
      <c r="A656" s="138"/>
      <c r="B656" s="138"/>
      <c r="C656" s="138"/>
      <c r="D656" s="138"/>
      <c r="E656" s="138"/>
      <c r="F656" s="138"/>
      <c r="G656" s="138"/>
      <c r="H656" s="148"/>
      <c r="I656" s="148"/>
      <c r="J656" s="148"/>
      <c r="K656" s="138"/>
      <c r="L656" s="138"/>
      <c r="M656" s="138"/>
      <c r="N656" s="138"/>
      <c r="O656" s="138"/>
      <c r="P656" s="138"/>
      <c r="Q656" s="138"/>
      <c r="R656" s="169"/>
      <c r="S656" s="169"/>
      <c r="T656" s="169"/>
      <c r="U656" s="169"/>
      <c r="V656" s="169"/>
      <c r="W656" s="63">
        <f>SUM(W655:X655)</f>
        <v>650.25</v>
      </c>
      <c r="X656" s="169"/>
      <c r="Y656" s="169"/>
      <c r="Z656" s="169"/>
      <c r="AA656" s="169"/>
      <c r="AB656" s="169"/>
      <c r="AC656" s="169"/>
      <c r="AD656" s="169"/>
      <c r="AE656" s="149"/>
      <c r="AF656" s="138"/>
      <c r="AG656" s="138"/>
      <c r="AH656" s="65"/>
      <c r="AI656" s="138"/>
      <c r="AJ656" s="138"/>
    </row>
    <row r="657" spans="1:36" hidden="1" x14ac:dyDescent="0.25">
      <c r="A657" s="138"/>
      <c r="B657" s="138"/>
      <c r="C657" s="138"/>
      <c r="D657" s="138"/>
      <c r="E657" s="138"/>
      <c r="F657" s="138"/>
      <c r="G657" s="138"/>
      <c r="H657" s="148"/>
      <c r="I657" s="148"/>
      <c r="J657" s="148"/>
      <c r="K657" s="138"/>
      <c r="L657" s="138"/>
      <c r="M657" s="138"/>
      <c r="N657" s="138"/>
      <c r="O657" s="138"/>
      <c r="P657" s="138"/>
      <c r="Q657" s="138"/>
      <c r="R657" s="169"/>
      <c r="S657" s="169"/>
      <c r="T657" s="169"/>
      <c r="U657" s="169"/>
      <c r="V657" s="169"/>
      <c r="W657" s="169"/>
      <c r="X657" s="169"/>
      <c r="Y657" s="169"/>
      <c r="Z657" s="169"/>
      <c r="AA657" s="169"/>
      <c r="AB657" s="169"/>
      <c r="AC657" s="169"/>
      <c r="AD657" s="169"/>
      <c r="AE657" s="149"/>
      <c r="AF657" s="138"/>
      <c r="AG657" s="138"/>
      <c r="AH657" s="65"/>
      <c r="AI657" s="138"/>
      <c r="AJ657" s="138"/>
    </row>
    <row r="658" spans="1:36" x14ac:dyDescent="0.25">
      <c r="A658" s="138"/>
      <c r="B658" s="138"/>
      <c r="C658" s="138"/>
      <c r="D658" s="138"/>
      <c r="E658" s="138"/>
      <c r="F658" s="138"/>
      <c r="G658" s="138"/>
      <c r="H658" s="148"/>
      <c r="I658" s="148"/>
      <c r="J658" s="148"/>
      <c r="K658" s="138"/>
      <c r="L658" s="138"/>
      <c r="M658" s="138"/>
      <c r="N658" s="138"/>
      <c r="O658" s="138"/>
      <c r="P658" s="138"/>
      <c r="Q658" s="138"/>
      <c r="R658" s="169"/>
      <c r="S658" s="169"/>
      <c r="T658" s="169"/>
      <c r="U658" s="169"/>
      <c r="V658" s="169"/>
      <c r="W658" s="169"/>
      <c r="X658" s="169"/>
      <c r="Y658" s="169"/>
      <c r="Z658" s="169"/>
      <c r="AA658" s="169"/>
      <c r="AB658" s="169"/>
      <c r="AC658" s="169"/>
      <c r="AD658" s="169"/>
      <c r="AE658" s="149"/>
      <c r="AF658" s="138"/>
      <c r="AG658" s="138"/>
      <c r="AH658" s="294">
        <v>572.5</v>
      </c>
      <c r="AI658" s="138"/>
      <c r="AJ658" s="138"/>
    </row>
    <row r="659" spans="1:36" x14ac:dyDescent="0.25">
      <c r="A659" s="168" t="s">
        <v>3489</v>
      </c>
      <c r="B659" s="168" t="s">
        <v>3489</v>
      </c>
      <c r="C659" s="168" t="s">
        <v>3490</v>
      </c>
      <c r="D659" s="138"/>
      <c r="E659" s="138"/>
      <c r="F659" s="138"/>
      <c r="G659" s="138"/>
      <c r="H659" s="148"/>
      <c r="I659" s="148"/>
      <c r="J659" s="148"/>
      <c r="K659" s="138"/>
      <c r="L659" s="138"/>
      <c r="M659" s="138"/>
      <c r="N659" s="138"/>
      <c r="O659" s="138"/>
      <c r="P659" s="138"/>
      <c r="Q659" s="138"/>
      <c r="R659" s="169"/>
      <c r="S659" s="169"/>
      <c r="T659" s="169"/>
      <c r="U659" s="169"/>
      <c r="V659" s="169"/>
      <c r="W659" s="169"/>
      <c r="X659" s="169"/>
      <c r="Y659" s="169"/>
      <c r="Z659" s="169"/>
      <c r="AA659" s="169"/>
      <c r="AB659" s="169"/>
      <c r="AC659" s="169"/>
      <c r="AD659" s="169"/>
      <c r="AE659" s="149"/>
      <c r="AF659" s="138"/>
      <c r="AG659" s="138"/>
      <c r="AH659" s="294">
        <v>572.5</v>
      </c>
      <c r="AI659" s="138"/>
      <c r="AJ659" s="138"/>
    </row>
    <row r="660" spans="1:36" x14ac:dyDescent="0.25">
      <c r="A660" s="168" t="s">
        <v>3489</v>
      </c>
      <c r="B660" s="167">
        <v>475000</v>
      </c>
      <c r="C660" s="168" t="s">
        <v>2703</v>
      </c>
      <c r="D660" s="297" t="s">
        <v>3421</v>
      </c>
      <c r="E660" s="297" t="s">
        <v>3491</v>
      </c>
      <c r="F660" s="138"/>
      <c r="G660" s="167" t="s">
        <v>2422</v>
      </c>
      <c r="H660" s="88"/>
      <c r="I660" s="88">
        <v>15000</v>
      </c>
      <c r="J660" s="218">
        <v>15000</v>
      </c>
      <c r="K660" s="172"/>
      <c r="L660" s="172">
        <f>SUM(J660/2080)</f>
        <v>7.2115384615384617</v>
      </c>
      <c r="M660" s="172">
        <f>SUM(J660/26)</f>
        <v>576.92307692307691</v>
      </c>
      <c r="N660" s="220" t="s">
        <v>27</v>
      </c>
      <c r="O660" s="219"/>
      <c r="P660" s="219"/>
      <c r="Q660" s="172">
        <v>0</v>
      </c>
      <c r="R660" s="172">
        <f>Q660+J660</f>
        <v>15000</v>
      </c>
      <c r="S660" s="173"/>
      <c r="T660" s="173"/>
      <c r="U660" s="173"/>
      <c r="V660" s="172">
        <f>SUM(R660:U660)</f>
        <v>15000</v>
      </c>
      <c r="W660" s="172">
        <f>SUM(V660*$W$7)</f>
        <v>930</v>
      </c>
      <c r="X660" s="172">
        <f>SUM(V660*$X$7)</f>
        <v>217.5</v>
      </c>
      <c r="Y660" s="172">
        <f>SUM(V660*$Y$7)</f>
        <v>2110.5</v>
      </c>
      <c r="Z660" s="172">
        <f>SUM(V660*$Z$7)</f>
        <v>24</v>
      </c>
      <c r="AA660" s="172">
        <f>SUM(V660*$AA$7)</f>
        <v>10.5</v>
      </c>
      <c r="AB660" s="172" t="s">
        <v>2422</v>
      </c>
      <c r="AC660" s="172" t="s">
        <v>2422</v>
      </c>
      <c r="AD660" s="172" t="s">
        <v>2422</v>
      </c>
      <c r="AE660" s="149">
        <v>511</v>
      </c>
      <c r="AF660" s="251">
        <f>SUM(J660-I660)</f>
        <v>0</v>
      </c>
      <c r="AG660" s="169">
        <f t="shared" ref="AG660:AG661" si="843">SUM(W660:AD660)</f>
        <v>3292.5</v>
      </c>
      <c r="AH660" s="294">
        <v>343.5</v>
      </c>
      <c r="AI660" s="138"/>
      <c r="AJ660" s="138"/>
    </row>
    <row r="661" spans="1:36" x14ac:dyDescent="0.25">
      <c r="A661" s="168" t="s">
        <v>3489</v>
      </c>
      <c r="B661" s="138"/>
      <c r="C661" s="138"/>
      <c r="D661" s="138"/>
      <c r="E661" s="138"/>
      <c r="F661" s="138"/>
      <c r="G661" s="138"/>
      <c r="H661" s="221"/>
      <c r="I661" s="222">
        <v>15000</v>
      </c>
      <c r="J661" s="222">
        <f>SUM(J660)</f>
        <v>15000</v>
      </c>
      <c r="K661" s="223"/>
      <c r="L661" s="223">
        <f t="shared" ref="L661:AD661" si="844">SUM(L659:L660)</f>
        <v>7.2115384615384617</v>
      </c>
      <c r="M661" s="223">
        <f t="shared" si="844"/>
        <v>576.92307692307691</v>
      </c>
      <c r="N661" s="223">
        <f t="shared" si="844"/>
        <v>0</v>
      </c>
      <c r="O661" s="223">
        <f t="shared" si="844"/>
        <v>0</v>
      </c>
      <c r="P661" s="223">
        <f t="shared" si="844"/>
        <v>0</v>
      </c>
      <c r="Q661" s="223">
        <f t="shared" si="844"/>
        <v>0</v>
      </c>
      <c r="R661" s="223">
        <f t="shared" si="844"/>
        <v>15000</v>
      </c>
      <c r="S661" s="223">
        <f t="shared" si="844"/>
        <v>0</v>
      </c>
      <c r="T661" s="223">
        <f t="shared" si="844"/>
        <v>0</v>
      </c>
      <c r="U661" s="223">
        <f t="shared" si="844"/>
        <v>0</v>
      </c>
      <c r="V661" s="223">
        <f t="shared" si="844"/>
        <v>15000</v>
      </c>
      <c r="W661" s="223">
        <f t="shared" si="844"/>
        <v>930</v>
      </c>
      <c r="X661" s="223">
        <f t="shared" si="844"/>
        <v>217.5</v>
      </c>
      <c r="Y661" s="223">
        <f t="shared" si="844"/>
        <v>2110.5</v>
      </c>
      <c r="Z661" s="223">
        <f t="shared" si="844"/>
        <v>24</v>
      </c>
      <c r="AA661" s="223">
        <f t="shared" si="844"/>
        <v>10.5</v>
      </c>
      <c r="AB661" s="223">
        <f t="shared" si="844"/>
        <v>0</v>
      </c>
      <c r="AC661" s="223">
        <f t="shared" si="844"/>
        <v>0</v>
      </c>
      <c r="AD661" s="223">
        <f t="shared" si="844"/>
        <v>0</v>
      </c>
      <c r="AE661" s="149">
        <v>511</v>
      </c>
      <c r="AF661" s="226">
        <f>SUM(AF660)</f>
        <v>0</v>
      </c>
      <c r="AG661" s="251">
        <f t="shared" si="843"/>
        <v>3292.5</v>
      </c>
      <c r="AH661" s="298">
        <v>458</v>
      </c>
      <c r="AI661" s="226">
        <f>AG661-AH661</f>
        <v>2834.5</v>
      </c>
      <c r="AJ661" s="226">
        <f>AF661+AI661</f>
        <v>2834.5</v>
      </c>
    </row>
    <row r="662" spans="1:36" x14ac:dyDescent="0.25">
      <c r="A662" s="138"/>
      <c r="B662" s="138"/>
      <c r="C662" s="138"/>
      <c r="D662" s="138"/>
      <c r="E662" s="138"/>
      <c r="F662" s="138"/>
      <c r="G662" s="138"/>
      <c r="H662" s="78"/>
      <c r="I662" s="78"/>
      <c r="J662" s="78"/>
      <c r="K662" s="138"/>
      <c r="L662" s="138"/>
      <c r="M662" s="138"/>
      <c r="N662" s="138"/>
      <c r="O662" s="138"/>
      <c r="P662" s="138"/>
      <c r="Q662" s="138"/>
      <c r="R662" s="169"/>
      <c r="S662" s="169"/>
      <c r="T662" s="169"/>
      <c r="U662" s="169"/>
      <c r="V662" s="169"/>
      <c r="W662" s="169">
        <f>SUM(W661:X661)</f>
        <v>1147.5</v>
      </c>
      <c r="X662" s="169"/>
      <c r="Y662" s="169"/>
      <c r="Z662" s="169"/>
      <c r="AA662" s="169"/>
      <c r="AB662" s="169"/>
      <c r="AC662" s="169"/>
      <c r="AD662" s="169"/>
      <c r="AE662" s="149"/>
      <c r="AF662" s="138"/>
      <c r="AG662" s="138"/>
      <c r="AH662" s="294">
        <v>0</v>
      </c>
      <c r="AI662" s="138"/>
      <c r="AJ662" s="138"/>
    </row>
    <row r="663" spans="1:36" hidden="1" x14ac:dyDescent="0.25">
      <c r="A663" s="168"/>
      <c r="B663" s="168"/>
      <c r="C663" s="168"/>
      <c r="D663" s="138"/>
      <c r="E663" s="138"/>
      <c r="F663" s="138"/>
      <c r="G663" s="138"/>
      <c r="H663" s="148"/>
      <c r="I663" s="148"/>
      <c r="J663" s="148"/>
      <c r="K663" s="138"/>
      <c r="L663" s="138"/>
      <c r="M663" s="138"/>
      <c r="N663" s="138"/>
      <c r="O663" s="138"/>
      <c r="P663" s="138"/>
      <c r="Q663" s="138"/>
      <c r="R663" s="169"/>
      <c r="S663" s="169"/>
      <c r="T663" s="169"/>
      <c r="U663" s="169"/>
      <c r="V663" s="169"/>
      <c r="W663" s="169"/>
      <c r="X663" s="169"/>
      <c r="Y663" s="138"/>
      <c r="Z663" s="169"/>
      <c r="AA663" s="169"/>
      <c r="AB663" s="169"/>
      <c r="AC663" s="169"/>
      <c r="AD663" s="169"/>
      <c r="AE663" s="149"/>
      <c r="AF663" s="138"/>
      <c r="AG663" s="138"/>
      <c r="AH663" s="294">
        <v>1946.5</v>
      </c>
      <c r="AI663" s="138"/>
      <c r="AJ663" s="138"/>
    </row>
    <row r="664" spans="1:36" hidden="1" x14ac:dyDescent="0.25">
      <c r="A664" s="168" t="s">
        <v>3874</v>
      </c>
      <c r="B664" s="168" t="s">
        <v>3874</v>
      </c>
      <c r="C664" s="168" t="s">
        <v>65</v>
      </c>
      <c r="D664" s="299" t="s">
        <v>3875</v>
      </c>
      <c r="E664" s="138"/>
      <c r="F664" s="138"/>
      <c r="G664" s="138"/>
      <c r="H664" s="148"/>
      <c r="I664" s="148"/>
      <c r="J664" s="148"/>
      <c r="K664" s="138"/>
      <c r="L664" s="138"/>
      <c r="M664" s="138"/>
      <c r="N664" s="138"/>
      <c r="O664" s="138"/>
      <c r="P664" s="138"/>
      <c r="Q664" s="138"/>
      <c r="R664" s="169"/>
      <c r="S664" s="169"/>
      <c r="T664" s="169"/>
      <c r="U664" s="169"/>
      <c r="V664" s="169"/>
      <c r="W664" s="169"/>
      <c r="X664" s="169"/>
      <c r="Y664" s="169"/>
      <c r="Z664" s="169"/>
      <c r="AA664" s="169"/>
      <c r="AB664" s="169"/>
      <c r="AC664" s="169"/>
      <c r="AD664" s="169"/>
      <c r="AE664" s="149"/>
      <c r="AF664" s="138"/>
      <c r="AG664" s="138"/>
      <c r="AH664" s="65"/>
      <c r="AI664" s="138"/>
      <c r="AJ664" s="138"/>
    </row>
    <row r="665" spans="1:36" hidden="1" x14ac:dyDescent="0.25">
      <c r="A665" s="168" t="s">
        <v>3874</v>
      </c>
      <c r="B665" s="138"/>
      <c r="C665" s="168" t="s">
        <v>103</v>
      </c>
      <c r="D665" s="168" t="s">
        <v>2655</v>
      </c>
      <c r="E665" s="168" t="s">
        <v>2656</v>
      </c>
      <c r="F665" s="138"/>
      <c r="G665" s="167" t="s">
        <v>2422</v>
      </c>
      <c r="H665" s="88"/>
      <c r="I665" s="88">
        <v>0</v>
      </c>
      <c r="J665" s="88">
        <v>0</v>
      </c>
      <c r="K665" s="292"/>
      <c r="L665" s="292">
        <f t="shared" ref="L665:L666" si="845">SUM(J665/$L$7)</f>
        <v>0</v>
      </c>
      <c r="M665" s="61">
        <f t="shared" ref="M665:M666" si="846">SUM(J665/$M$7)</f>
        <v>0</v>
      </c>
      <c r="N665" s="251"/>
      <c r="O665" s="138"/>
      <c r="P665" s="138"/>
      <c r="Q665" s="61">
        <f t="shared" ref="Q665:Q666" si="847">SUM(N665+P665)</f>
        <v>0</v>
      </c>
      <c r="R665" s="63">
        <f t="shared" ref="R665:R666" si="848">SUM(J665+Q665)</f>
        <v>0</v>
      </c>
      <c r="S665" s="169"/>
      <c r="T665" s="169"/>
      <c r="U665" s="169"/>
      <c r="V665" s="63">
        <f t="shared" ref="V665:V666" si="849">SUM(R665:U665)</f>
        <v>0</v>
      </c>
      <c r="W665" s="63">
        <f t="shared" ref="W665:W666" si="850">SUM(V665*$W$7)</f>
        <v>0</v>
      </c>
      <c r="X665" s="63">
        <f t="shared" ref="X665:X666" si="851">SUM(V665*$X$7)</f>
        <v>0</v>
      </c>
      <c r="Y665" s="63">
        <f t="shared" ref="Y665:Y666" si="852">SUM(V665*$Y$7)</f>
        <v>0</v>
      </c>
      <c r="Z665" s="63">
        <f t="shared" ref="Z665:Z666" si="853">SUM(V665*$Z$7)</f>
        <v>0</v>
      </c>
      <c r="AA665" s="82" t="s">
        <v>2420</v>
      </c>
      <c r="AB665" s="63" t="s">
        <v>2422</v>
      </c>
      <c r="AC665" s="63" t="s">
        <v>2422</v>
      </c>
      <c r="AD665" s="63" t="s">
        <v>2422</v>
      </c>
      <c r="AE665" s="149" t="s">
        <v>2420</v>
      </c>
      <c r="AF665" s="251" t="e">
        <f t="shared" ref="AF665:AF667" si="854">SUM(J665-#REF!)</f>
        <v>#REF!</v>
      </c>
      <c r="AG665" s="169">
        <f t="shared" ref="AG665:AG667" si="855">SUM(W665:AD665)</f>
        <v>0</v>
      </c>
      <c r="AH665" s="65"/>
      <c r="AI665" s="138"/>
      <c r="AJ665" s="138"/>
    </row>
    <row r="666" spans="1:36" hidden="1" x14ac:dyDescent="0.25">
      <c r="A666" s="168" t="s">
        <v>3874</v>
      </c>
      <c r="B666" s="138"/>
      <c r="C666" s="168" t="s">
        <v>3876</v>
      </c>
      <c r="D666" s="168" t="s">
        <v>2682</v>
      </c>
      <c r="E666" s="168" t="s">
        <v>2683</v>
      </c>
      <c r="F666" s="138"/>
      <c r="G666" s="167" t="s">
        <v>2422</v>
      </c>
      <c r="H666" s="88"/>
      <c r="I666" s="88">
        <v>0</v>
      </c>
      <c r="J666" s="218">
        <v>0</v>
      </c>
      <c r="K666" s="295"/>
      <c r="L666" s="295">
        <f t="shared" si="845"/>
        <v>0</v>
      </c>
      <c r="M666" s="296">
        <f t="shared" si="846"/>
        <v>0</v>
      </c>
      <c r="N666" s="296"/>
      <c r="O666" s="219"/>
      <c r="P666" s="219"/>
      <c r="Q666" s="296">
        <f t="shared" si="847"/>
        <v>0</v>
      </c>
      <c r="R666" s="172">
        <f t="shared" si="848"/>
        <v>0</v>
      </c>
      <c r="S666" s="173"/>
      <c r="T666" s="173"/>
      <c r="U666" s="173"/>
      <c r="V666" s="172">
        <f t="shared" si="849"/>
        <v>0</v>
      </c>
      <c r="W666" s="172">
        <f t="shared" si="850"/>
        <v>0</v>
      </c>
      <c r="X666" s="172">
        <f t="shared" si="851"/>
        <v>0</v>
      </c>
      <c r="Y666" s="172">
        <f t="shared" si="852"/>
        <v>0</v>
      </c>
      <c r="Z666" s="172">
        <f t="shared" si="853"/>
        <v>0</v>
      </c>
      <c r="AA666" s="172">
        <f>SUM(V666*$AA$7)</f>
        <v>0</v>
      </c>
      <c r="AB666" s="172" t="s">
        <v>2422</v>
      </c>
      <c r="AC666" s="172" t="s">
        <v>2422</v>
      </c>
      <c r="AD666" s="172" t="s">
        <v>2422</v>
      </c>
      <c r="AE666" s="293" t="s">
        <v>3873</v>
      </c>
      <c r="AF666" s="251" t="e">
        <f t="shared" si="854"/>
        <v>#REF!</v>
      </c>
      <c r="AG666" s="169">
        <f t="shared" si="855"/>
        <v>0</v>
      </c>
      <c r="AH666" s="65"/>
      <c r="AI666" s="138"/>
      <c r="AJ666" s="138"/>
    </row>
    <row r="667" spans="1:36" hidden="1" x14ac:dyDescent="0.25">
      <c r="A667" s="168" t="s">
        <v>3874</v>
      </c>
      <c r="B667" s="138"/>
      <c r="C667" s="138"/>
      <c r="D667" s="138"/>
      <c r="E667" s="138"/>
      <c r="F667" s="138"/>
      <c r="G667" s="138"/>
      <c r="H667" s="221"/>
      <c r="I667" s="221">
        <v>0</v>
      </c>
      <c r="J667" s="222">
        <v>0</v>
      </c>
      <c r="K667" s="223"/>
      <c r="L667" s="223">
        <f t="shared" ref="L667:AD667" si="856">SUM(L665:L666)</f>
        <v>0</v>
      </c>
      <c r="M667" s="223">
        <f t="shared" si="856"/>
        <v>0</v>
      </c>
      <c r="N667" s="223">
        <f t="shared" si="856"/>
        <v>0</v>
      </c>
      <c r="O667" s="223">
        <f t="shared" si="856"/>
        <v>0</v>
      </c>
      <c r="P667" s="223">
        <f t="shared" si="856"/>
        <v>0</v>
      </c>
      <c r="Q667" s="223">
        <f t="shared" si="856"/>
        <v>0</v>
      </c>
      <c r="R667" s="223">
        <f t="shared" si="856"/>
        <v>0</v>
      </c>
      <c r="S667" s="223">
        <f t="shared" si="856"/>
        <v>0</v>
      </c>
      <c r="T667" s="223">
        <f t="shared" si="856"/>
        <v>0</v>
      </c>
      <c r="U667" s="223">
        <f t="shared" si="856"/>
        <v>0</v>
      </c>
      <c r="V667" s="223">
        <f t="shared" si="856"/>
        <v>0</v>
      </c>
      <c r="W667" s="223">
        <f t="shared" si="856"/>
        <v>0</v>
      </c>
      <c r="X667" s="223">
        <f t="shared" si="856"/>
        <v>0</v>
      </c>
      <c r="Y667" s="223">
        <f t="shared" si="856"/>
        <v>0</v>
      </c>
      <c r="Z667" s="223">
        <f t="shared" si="856"/>
        <v>0</v>
      </c>
      <c r="AA667" s="223">
        <f t="shared" si="856"/>
        <v>0</v>
      </c>
      <c r="AB667" s="223">
        <f t="shared" si="856"/>
        <v>0</v>
      </c>
      <c r="AC667" s="223">
        <f t="shared" si="856"/>
        <v>0</v>
      </c>
      <c r="AD667" s="223">
        <f t="shared" si="856"/>
        <v>0</v>
      </c>
      <c r="AE667" s="149" t="s">
        <v>3874</v>
      </c>
      <c r="AF667" s="226" t="e">
        <f t="shared" si="854"/>
        <v>#REF!</v>
      </c>
      <c r="AG667" s="251">
        <f t="shared" si="855"/>
        <v>0</v>
      </c>
      <c r="AH667" s="62"/>
      <c r="AI667" s="226">
        <f>AG667-AH667</f>
        <v>0</v>
      </c>
      <c r="AJ667" s="226" t="e">
        <f>AF667+AI667</f>
        <v>#REF!</v>
      </c>
    </row>
    <row r="668" spans="1:36" hidden="1" x14ac:dyDescent="0.25">
      <c r="A668" s="138"/>
      <c r="B668" s="138"/>
      <c r="C668" s="138"/>
      <c r="D668" s="138"/>
      <c r="E668" s="138"/>
      <c r="F668" s="138"/>
      <c r="G668" s="138"/>
      <c r="H668" s="148"/>
      <c r="I668" s="148"/>
      <c r="J668" s="148"/>
      <c r="K668" s="138"/>
      <c r="L668" s="138"/>
      <c r="M668" s="138"/>
      <c r="N668" s="138"/>
      <c r="O668" s="138"/>
      <c r="P668" s="138"/>
      <c r="Q668" s="138"/>
      <c r="R668" s="169"/>
      <c r="S668" s="169"/>
      <c r="T668" s="169"/>
      <c r="U668" s="169"/>
      <c r="V668" s="169"/>
      <c r="W668" s="63"/>
      <c r="X668" s="169"/>
      <c r="Y668" s="169"/>
      <c r="Z668" s="169"/>
      <c r="AA668" s="169"/>
      <c r="AB668" s="169"/>
      <c r="AC668" s="63">
        <v>0</v>
      </c>
      <c r="AD668" s="169"/>
      <c r="AE668" s="149"/>
      <c r="AF668" s="138"/>
      <c r="AG668" s="138"/>
      <c r="AH668" s="294">
        <v>3435</v>
      </c>
      <c r="AI668" s="138"/>
      <c r="AJ668" s="138"/>
    </row>
    <row r="669" spans="1:36" x14ac:dyDescent="0.25">
      <c r="A669" s="138"/>
      <c r="B669" s="138"/>
      <c r="C669" s="138"/>
      <c r="D669" s="138"/>
      <c r="E669" s="138"/>
      <c r="F669" s="138"/>
      <c r="G669" s="138"/>
      <c r="H669" s="148"/>
      <c r="I669" s="148"/>
      <c r="J669" s="148"/>
      <c r="K669" s="138"/>
      <c r="L669" s="138"/>
      <c r="M669" s="138"/>
      <c r="N669" s="138"/>
      <c r="O669" s="138"/>
      <c r="P669" s="138"/>
      <c r="Q669" s="138"/>
      <c r="R669" s="169"/>
      <c r="S669" s="169"/>
      <c r="T669" s="169"/>
      <c r="U669" s="169"/>
      <c r="V669" s="169"/>
      <c r="W669" s="169"/>
      <c r="X669" s="169"/>
      <c r="Y669" s="169"/>
      <c r="Z669" s="169"/>
      <c r="AA669" s="169"/>
      <c r="AB669" s="169"/>
      <c r="AC669" s="169"/>
      <c r="AD669" s="169"/>
      <c r="AE669" s="149"/>
      <c r="AF669" s="138"/>
      <c r="AG669" s="138"/>
      <c r="AH669" s="294">
        <v>3435</v>
      </c>
      <c r="AI669" s="138"/>
      <c r="AJ669" s="138"/>
    </row>
    <row r="670" spans="1:36" x14ac:dyDescent="0.25">
      <c r="A670" s="138"/>
      <c r="B670" s="138"/>
      <c r="C670" s="138"/>
      <c r="D670" s="138"/>
      <c r="E670" s="138"/>
      <c r="F670" s="138"/>
      <c r="G670" s="138"/>
      <c r="H670" s="148"/>
      <c r="I670" s="148"/>
      <c r="J670" s="148"/>
      <c r="K670" s="138"/>
      <c r="L670" s="138"/>
      <c r="M670" s="138"/>
      <c r="N670" s="138"/>
      <c r="O670" s="138"/>
      <c r="P670" s="138"/>
      <c r="Q670" s="138"/>
      <c r="R670" s="169"/>
      <c r="S670" s="169"/>
      <c r="T670" s="169"/>
      <c r="U670" s="169"/>
      <c r="V670" s="169"/>
      <c r="W670" s="169"/>
      <c r="X670" s="169"/>
      <c r="Y670" s="169"/>
      <c r="Z670" s="169"/>
      <c r="AA670" s="169"/>
      <c r="AB670" s="169"/>
      <c r="AC670" s="169"/>
      <c r="AD670" s="169"/>
      <c r="AE670" s="149"/>
      <c r="AF670" s="138"/>
      <c r="AG670" s="138"/>
      <c r="AH670" s="65"/>
      <c r="AI670" s="138"/>
      <c r="AJ670" s="138"/>
    </row>
    <row r="671" spans="1:36" x14ac:dyDescent="0.25">
      <c r="A671" s="168" t="s">
        <v>3492</v>
      </c>
      <c r="B671" s="168" t="s">
        <v>3492</v>
      </c>
      <c r="C671" s="168" t="s">
        <v>3493</v>
      </c>
      <c r="D671" s="138"/>
      <c r="E671" s="138"/>
      <c r="F671" s="138"/>
      <c r="G671" s="138"/>
      <c r="H671" s="148"/>
      <c r="I671" s="148"/>
      <c r="J671" s="148"/>
      <c r="K671" s="138"/>
      <c r="L671" s="138"/>
      <c r="M671" s="138"/>
      <c r="N671" s="138"/>
      <c r="O671" s="138"/>
      <c r="P671" s="138"/>
      <c r="Q671" s="138"/>
      <c r="R671" s="169"/>
      <c r="S671" s="169"/>
      <c r="T671" s="169"/>
      <c r="U671" s="169"/>
      <c r="V671" s="169"/>
      <c r="W671" s="169"/>
      <c r="X671" s="169"/>
      <c r="Y671" s="169"/>
      <c r="Z671" s="169"/>
      <c r="AA671" s="169"/>
      <c r="AB671" s="169"/>
      <c r="AC671" s="169"/>
      <c r="AD671" s="169"/>
      <c r="AE671" s="149"/>
      <c r="AF671" s="138"/>
      <c r="AG671" s="138"/>
      <c r="AH671" s="65"/>
      <c r="AI671" s="138"/>
      <c r="AJ671" s="138"/>
    </row>
    <row r="672" spans="1:36" x14ac:dyDescent="0.25">
      <c r="A672" s="168" t="s">
        <v>3492</v>
      </c>
      <c r="B672" s="167">
        <v>485015</v>
      </c>
      <c r="C672" s="168" t="s">
        <v>3494</v>
      </c>
      <c r="D672" s="168" t="s">
        <v>2478</v>
      </c>
      <c r="E672" s="168" t="s">
        <v>2479</v>
      </c>
      <c r="F672" s="138"/>
      <c r="G672" s="167" t="s">
        <v>2422</v>
      </c>
      <c r="H672" s="88"/>
      <c r="I672" s="88">
        <v>2500</v>
      </c>
      <c r="J672" s="88">
        <v>2500</v>
      </c>
      <c r="K672" s="292"/>
      <c r="L672" s="292"/>
      <c r="M672" s="61">
        <f t="shared" ref="M672:M679" si="857">SUM(J672/$M$7)</f>
        <v>96.15384615384616</v>
      </c>
      <c r="N672" s="251"/>
      <c r="O672" s="138"/>
      <c r="P672" s="138"/>
      <c r="Q672" s="61">
        <f t="shared" ref="Q672:Q679" si="858">SUM(N672+P672)</f>
        <v>0</v>
      </c>
      <c r="R672" s="63">
        <f t="shared" ref="R672:R679" si="859">SUM(J672+Q672)</f>
        <v>2500</v>
      </c>
      <c r="S672" s="169"/>
      <c r="T672" s="169"/>
      <c r="U672" s="169"/>
      <c r="V672" s="63">
        <f t="shared" ref="V672:V679" si="860">SUM(R672:U672)</f>
        <v>2500</v>
      </c>
      <c r="W672" s="63">
        <f t="shared" ref="W672:W679" si="861">SUM(V672*$W$7)</f>
        <v>155</v>
      </c>
      <c r="X672" s="63">
        <f t="shared" ref="X672:X679" si="862">SUM(V672*$X$7)</f>
        <v>36.25</v>
      </c>
      <c r="Y672" s="63">
        <f t="shared" ref="Y672:Y679" si="863">SUM(V672*$Y$7)</f>
        <v>351.75</v>
      </c>
      <c r="Z672" s="63">
        <f t="shared" ref="Z672:Z679" si="864">SUM(V672*$Z$7)</f>
        <v>4</v>
      </c>
      <c r="AA672" s="63">
        <f t="shared" ref="AA672:AA679" si="865">SUM(V672*$AA$7)</f>
        <v>1.75</v>
      </c>
      <c r="AB672" s="63" t="s">
        <v>2422</v>
      </c>
      <c r="AC672" s="63" t="s">
        <v>2422</v>
      </c>
      <c r="AD672" s="63" t="s">
        <v>2422</v>
      </c>
      <c r="AE672" s="149" t="s">
        <v>3492</v>
      </c>
      <c r="AF672" s="251">
        <f t="shared" ref="AF672:AF678" si="866">SUM(J672-I672)</f>
        <v>0</v>
      </c>
      <c r="AG672" s="169">
        <f t="shared" ref="AG672:AG680" si="867">SUM(W672:AD672)</f>
        <v>548.75</v>
      </c>
      <c r="AH672" s="65"/>
      <c r="AI672" s="138"/>
      <c r="AJ672" s="138"/>
    </row>
    <row r="673" spans="1:36" x14ac:dyDescent="0.25">
      <c r="A673" s="168" t="s">
        <v>3492</v>
      </c>
      <c r="B673" s="167">
        <v>485016</v>
      </c>
      <c r="C673" s="168" t="s">
        <v>3495</v>
      </c>
      <c r="D673" s="168" t="s">
        <v>3779</v>
      </c>
      <c r="E673" s="168" t="s">
        <v>2492</v>
      </c>
      <c r="F673" s="138"/>
      <c r="G673" s="167" t="s">
        <v>2422</v>
      </c>
      <c r="H673" s="88"/>
      <c r="I673" s="88">
        <v>1000</v>
      </c>
      <c r="J673" s="88">
        <v>1000</v>
      </c>
      <c r="K673" s="292"/>
      <c r="L673" s="292"/>
      <c r="M673" s="61">
        <f t="shared" si="857"/>
        <v>38.46153846153846</v>
      </c>
      <c r="N673" s="251"/>
      <c r="O673" s="138"/>
      <c r="P673" s="138"/>
      <c r="Q673" s="61">
        <f t="shared" si="858"/>
        <v>0</v>
      </c>
      <c r="R673" s="63">
        <f t="shared" si="859"/>
        <v>1000</v>
      </c>
      <c r="S673" s="169"/>
      <c r="T673" s="169"/>
      <c r="U673" s="169"/>
      <c r="V673" s="63">
        <f t="shared" si="860"/>
        <v>1000</v>
      </c>
      <c r="W673" s="63">
        <f t="shared" si="861"/>
        <v>62</v>
      </c>
      <c r="X673" s="63">
        <f t="shared" si="862"/>
        <v>14.5</v>
      </c>
      <c r="Y673" s="63">
        <f t="shared" si="863"/>
        <v>140.69999999999999</v>
      </c>
      <c r="Z673" s="63">
        <f t="shared" si="864"/>
        <v>1.6</v>
      </c>
      <c r="AA673" s="63">
        <f t="shared" si="865"/>
        <v>0.7</v>
      </c>
      <c r="AB673" s="63" t="s">
        <v>2422</v>
      </c>
      <c r="AC673" s="63" t="s">
        <v>2422</v>
      </c>
      <c r="AD673" s="63" t="s">
        <v>2422</v>
      </c>
      <c r="AE673" s="149" t="s">
        <v>3492</v>
      </c>
      <c r="AF673" s="251">
        <f t="shared" si="866"/>
        <v>0</v>
      </c>
      <c r="AG673" s="169">
        <f t="shared" si="867"/>
        <v>219.49999999999997</v>
      </c>
      <c r="AH673" s="294">
        <v>0</v>
      </c>
      <c r="AI673" s="138"/>
      <c r="AJ673" s="138"/>
    </row>
    <row r="674" spans="1:36" x14ac:dyDescent="0.25">
      <c r="A674" s="168" t="s">
        <v>3492</v>
      </c>
      <c r="B674" s="167">
        <v>485006</v>
      </c>
      <c r="C674" s="168" t="s">
        <v>3496</v>
      </c>
      <c r="D674" s="168" t="s">
        <v>3009</v>
      </c>
      <c r="E674" s="168" t="s">
        <v>3877</v>
      </c>
      <c r="F674" s="138"/>
      <c r="G674" s="167" t="s">
        <v>2422</v>
      </c>
      <c r="H674" s="88"/>
      <c r="I674" s="88">
        <v>1000</v>
      </c>
      <c r="J674" s="88">
        <v>1000</v>
      </c>
      <c r="K674" s="292"/>
      <c r="L674" s="292"/>
      <c r="M674" s="61">
        <f t="shared" si="857"/>
        <v>38.46153846153846</v>
      </c>
      <c r="N674" s="251"/>
      <c r="O674" s="138"/>
      <c r="P674" s="138"/>
      <c r="Q674" s="61">
        <f t="shared" si="858"/>
        <v>0</v>
      </c>
      <c r="R674" s="63">
        <f t="shared" si="859"/>
        <v>1000</v>
      </c>
      <c r="S674" s="169"/>
      <c r="T674" s="169"/>
      <c r="U674" s="169"/>
      <c r="V674" s="63">
        <f t="shared" si="860"/>
        <v>1000</v>
      </c>
      <c r="W674" s="63">
        <f t="shared" si="861"/>
        <v>62</v>
      </c>
      <c r="X674" s="63">
        <f t="shared" si="862"/>
        <v>14.5</v>
      </c>
      <c r="Y674" s="63">
        <f t="shared" si="863"/>
        <v>140.69999999999999</v>
      </c>
      <c r="Z674" s="63">
        <f t="shared" si="864"/>
        <v>1.6</v>
      </c>
      <c r="AA674" s="63">
        <f t="shared" si="865"/>
        <v>0.7</v>
      </c>
      <c r="AB674" s="63" t="s">
        <v>2422</v>
      </c>
      <c r="AC674" s="63" t="s">
        <v>2422</v>
      </c>
      <c r="AD674" s="63" t="s">
        <v>2422</v>
      </c>
      <c r="AE674" s="149" t="s">
        <v>3492</v>
      </c>
      <c r="AF674" s="251">
        <f t="shared" si="866"/>
        <v>0</v>
      </c>
      <c r="AG674" s="169">
        <f t="shared" si="867"/>
        <v>219.49999999999997</v>
      </c>
      <c r="AH674" s="294">
        <v>0</v>
      </c>
      <c r="AI674" s="138"/>
      <c r="AJ674" s="138"/>
    </row>
    <row r="675" spans="1:36" x14ac:dyDescent="0.25">
      <c r="A675" s="168" t="s">
        <v>3492</v>
      </c>
      <c r="B675" s="167">
        <v>485018</v>
      </c>
      <c r="C675" s="168" t="s">
        <v>3878</v>
      </c>
      <c r="D675" s="168"/>
      <c r="E675" s="168"/>
      <c r="F675" s="138"/>
      <c r="G675" s="167" t="s">
        <v>2422</v>
      </c>
      <c r="H675" s="88"/>
      <c r="I675" s="88">
        <v>1500</v>
      </c>
      <c r="J675" s="88">
        <v>1500</v>
      </c>
      <c r="K675" s="292"/>
      <c r="L675" s="292"/>
      <c r="M675" s="61">
        <f t="shared" si="857"/>
        <v>57.692307692307693</v>
      </c>
      <c r="N675" s="251"/>
      <c r="O675" s="138"/>
      <c r="P675" s="138"/>
      <c r="Q675" s="61">
        <f t="shared" si="858"/>
        <v>0</v>
      </c>
      <c r="R675" s="63">
        <f t="shared" si="859"/>
        <v>1500</v>
      </c>
      <c r="S675" s="169"/>
      <c r="T675" s="169"/>
      <c r="U675" s="169"/>
      <c r="V675" s="63">
        <f t="shared" si="860"/>
        <v>1500</v>
      </c>
      <c r="W675" s="63">
        <f t="shared" si="861"/>
        <v>93</v>
      </c>
      <c r="X675" s="63">
        <f t="shared" si="862"/>
        <v>21.75</v>
      </c>
      <c r="Y675" s="63">
        <f t="shared" si="863"/>
        <v>211.04999999999998</v>
      </c>
      <c r="Z675" s="63">
        <f t="shared" si="864"/>
        <v>2.4</v>
      </c>
      <c r="AA675" s="63">
        <f t="shared" si="865"/>
        <v>1.05</v>
      </c>
      <c r="AB675" s="63" t="s">
        <v>2422</v>
      </c>
      <c r="AC675" s="63" t="s">
        <v>2422</v>
      </c>
      <c r="AD675" s="63" t="s">
        <v>2422</v>
      </c>
      <c r="AE675" s="149" t="s">
        <v>3492</v>
      </c>
      <c r="AF675" s="251">
        <f t="shared" si="866"/>
        <v>0</v>
      </c>
      <c r="AG675" s="169">
        <f t="shared" si="867"/>
        <v>329.24999999999994</v>
      </c>
      <c r="AH675" s="294">
        <v>0</v>
      </c>
      <c r="AI675" s="138"/>
      <c r="AJ675" s="138"/>
    </row>
    <row r="676" spans="1:36" x14ac:dyDescent="0.25">
      <c r="A676" s="168" t="s">
        <v>3492</v>
      </c>
      <c r="B676" s="167">
        <v>485040</v>
      </c>
      <c r="C676" s="168" t="s">
        <v>3497</v>
      </c>
      <c r="D676" s="168" t="s">
        <v>2761</v>
      </c>
      <c r="E676" s="168" t="s">
        <v>2762</v>
      </c>
      <c r="F676" s="138"/>
      <c r="G676" s="167" t="s">
        <v>2422</v>
      </c>
      <c r="H676" s="88"/>
      <c r="I676" s="88">
        <v>2000</v>
      </c>
      <c r="J676" s="88">
        <v>2000</v>
      </c>
      <c r="K676" s="292"/>
      <c r="L676" s="292"/>
      <c r="M676" s="61">
        <f t="shared" si="857"/>
        <v>76.92307692307692</v>
      </c>
      <c r="N676" s="251"/>
      <c r="O676" s="138"/>
      <c r="P676" s="138"/>
      <c r="Q676" s="61">
        <f t="shared" si="858"/>
        <v>0</v>
      </c>
      <c r="R676" s="63">
        <f t="shared" si="859"/>
        <v>2000</v>
      </c>
      <c r="S676" s="169"/>
      <c r="T676" s="169"/>
      <c r="U676" s="169"/>
      <c r="V676" s="63">
        <f t="shared" si="860"/>
        <v>2000</v>
      </c>
      <c r="W676" s="63">
        <f t="shared" si="861"/>
        <v>124</v>
      </c>
      <c r="X676" s="63">
        <f t="shared" si="862"/>
        <v>29</v>
      </c>
      <c r="Y676" s="63">
        <f t="shared" si="863"/>
        <v>281.39999999999998</v>
      </c>
      <c r="Z676" s="63">
        <f t="shared" si="864"/>
        <v>3.2</v>
      </c>
      <c r="AA676" s="63">
        <f t="shared" si="865"/>
        <v>1.4</v>
      </c>
      <c r="AB676" s="63" t="s">
        <v>2422</v>
      </c>
      <c r="AC676" s="63" t="s">
        <v>2422</v>
      </c>
      <c r="AD676" s="63" t="s">
        <v>2422</v>
      </c>
      <c r="AE676" s="149" t="s">
        <v>3492</v>
      </c>
      <c r="AF676" s="251">
        <f t="shared" si="866"/>
        <v>0</v>
      </c>
      <c r="AG676" s="169">
        <f t="shared" si="867"/>
        <v>438.99999999999994</v>
      </c>
      <c r="AH676" s="65"/>
      <c r="AI676" s="138"/>
      <c r="AJ676" s="138"/>
    </row>
    <row r="677" spans="1:36" x14ac:dyDescent="0.25">
      <c r="A677" s="168" t="s">
        <v>3492</v>
      </c>
      <c r="B677" s="167">
        <v>485041</v>
      </c>
      <c r="C677" s="168" t="s">
        <v>2713</v>
      </c>
      <c r="D677" s="168" t="s">
        <v>3183</v>
      </c>
      <c r="E677" s="168" t="s">
        <v>2483</v>
      </c>
      <c r="F677" s="138"/>
      <c r="G677" s="167" t="s">
        <v>2422</v>
      </c>
      <c r="H677" s="88"/>
      <c r="I677" s="88">
        <v>1000</v>
      </c>
      <c r="J677" s="88">
        <v>1000</v>
      </c>
      <c r="K677" s="292"/>
      <c r="L677" s="292"/>
      <c r="M677" s="61">
        <f t="shared" si="857"/>
        <v>38.46153846153846</v>
      </c>
      <c r="N677" s="251"/>
      <c r="O677" s="138"/>
      <c r="P677" s="138"/>
      <c r="Q677" s="61">
        <f t="shared" si="858"/>
        <v>0</v>
      </c>
      <c r="R677" s="63">
        <f t="shared" si="859"/>
        <v>1000</v>
      </c>
      <c r="S677" s="169"/>
      <c r="T677" s="169"/>
      <c r="U677" s="169"/>
      <c r="V677" s="63">
        <f t="shared" si="860"/>
        <v>1000</v>
      </c>
      <c r="W677" s="63">
        <f t="shared" si="861"/>
        <v>62</v>
      </c>
      <c r="X677" s="63">
        <f t="shared" si="862"/>
        <v>14.5</v>
      </c>
      <c r="Y677" s="63">
        <f t="shared" si="863"/>
        <v>140.69999999999999</v>
      </c>
      <c r="Z677" s="63">
        <f t="shared" si="864"/>
        <v>1.6</v>
      </c>
      <c r="AA677" s="63">
        <f t="shared" si="865"/>
        <v>0.7</v>
      </c>
      <c r="AB677" s="63" t="s">
        <v>2422</v>
      </c>
      <c r="AC677" s="63" t="s">
        <v>2422</v>
      </c>
      <c r="AD677" s="63" t="s">
        <v>2422</v>
      </c>
      <c r="AE677" s="149" t="s">
        <v>3492</v>
      </c>
      <c r="AF677" s="251">
        <f t="shared" si="866"/>
        <v>0</v>
      </c>
      <c r="AG677" s="169">
        <f t="shared" si="867"/>
        <v>219.49999999999997</v>
      </c>
      <c r="AH677" s="65"/>
      <c r="AI677" s="138"/>
      <c r="AJ677" s="138"/>
    </row>
    <row r="678" spans="1:36" x14ac:dyDescent="0.25">
      <c r="A678" s="168" t="s">
        <v>3492</v>
      </c>
      <c r="B678" s="167">
        <v>485004</v>
      </c>
      <c r="C678" s="168" t="s">
        <v>3879</v>
      </c>
      <c r="D678" s="168"/>
      <c r="E678" s="168"/>
      <c r="F678" s="138"/>
      <c r="G678" s="167" t="s">
        <v>2422</v>
      </c>
      <c r="H678" s="88"/>
      <c r="I678" s="88">
        <v>1000</v>
      </c>
      <c r="J678" s="88">
        <v>1000</v>
      </c>
      <c r="K678" s="292"/>
      <c r="L678" s="292"/>
      <c r="M678" s="61">
        <f t="shared" si="857"/>
        <v>38.46153846153846</v>
      </c>
      <c r="N678" s="251"/>
      <c r="O678" s="138"/>
      <c r="P678" s="138"/>
      <c r="Q678" s="61">
        <f t="shared" si="858"/>
        <v>0</v>
      </c>
      <c r="R678" s="63">
        <f t="shared" si="859"/>
        <v>1000</v>
      </c>
      <c r="S678" s="169"/>
      <c r="T678" s="169"/>
      <c r="U678" s="169"/>
      <c r="V678" s="63">
        <f t="shared" si="860"/>
        <v>1000</v>
      </c>
      <c r="W678" s="63">
        <f t="shared" si="861"/>
        <v>62</v>
      </c>
      <c r="X678" s="63">
        <f t="shared" si="862"/>
        <v>14.5</v>
      </c>
      <c r="Y678" s="63">
        <f t="shared" si="863"/>
        <v>140.69999999999999</v>
      </c>
      <c r="Z678" s="63">
        <f t="shared" si="864"/>
        <v>1.6</v>
      </c>
      <c r="AA678" s="63">
        <f t="shared" si="865"/>
        <v>0.7</v>
      </c>
      <c r="AB678" s="63" t="s">
        <v>2422</v>
      </c>
      <c r="AC678" s="63" t="s">
        <v>2422</v>
      </c>
      <c r="AD678" s="63" t="s">
        <v>2422</v>
      </c>
      <c r="AE678" s="149" t="s">
        <v>3492</v>
      </c>
      <c r="AF678" s="251">
        <f t="shared" si="866"/>
        <v>0</v>
      </c>
      <c r="AG678" s="169">
        <f t="shared" si="867"/>
        <v>219.49999999999997</v>
      </c>
      <c r="AH678" s="65"/>
      <c r="AI678" s="138"/>
      <c r="AJ678" s="138"/>
    </row>
    <row r="679" spans="1:36" hidden="1" x14ac:dyDescent="0.25">
      <c r="A679" s="168" t="s">
        <v>3492</v>
      </c>
      <c r="B679" s="168"/>
      <c r="C679" s="168"/>
      <c r="D679" s="168"/>
      <c r="E679" s="168"/>
      <c r="F679" s="138"/>
      <c r="G679" s="167" t="s">
        <v>2422</v>
      </c>
      <c r="H679" s="88"/>
      <c r="I679" s="88"/>
      <c r="J679" s="218"/>
      <c r="K679" s="295"/>
      <c r="L679" s="295"/>
      <c r="M679" s="296">
        <f t="shared" si="857"/>
        <v>0</v>
      </c>
      <c r="N679" s="296"/>
      <c r="O679" s="219"/>
      <c r="P679" s="219"/>
      <c r="Q679" s="296">
        <f t="shared" si="858"/>
        <v>0</v>
      </c>
      <c r="R679" s="172">
        <f t="shared" si="859"/>
        <v>0</v>
      </c>
      <c r="S679" s="173"/>
      <c r="T679" s="173"/>
      <c r="U679" s="173"/>
      <c r="V679" s="172">
        <f t="shared" si="860"/>
        <v>0</v>
      </c>
      <c r="W679" s="172">
        <f t="shared" si="861"/>
        <v>0</v>
      </c>
      <c r="X679" s="172">
        <f t="shared" si="862"/>
        <v>0</v>
      </c>
      <c r="Y679" s="172">
        <f t="shared" si="863"/>
        <v>0</v>
      </c>
      <c r="Z679" s="172">
        <f t="shared" si="864"/>
        <v>0</v>
      </c>
      <c r="AA679" s="172">
        <f t="shared" si="865"/>
        <v>0</v>
      </c>
      <c r="AB679" s="172" t="s">
        <v>2422</v>
      </c>
      <c r="AC679" s="172" t="s">
        <v>2422</v>
      </c>
      <c r="AD679" s="172" t="s">
        <v>2422</v>
      </c>
      <c r="AE679" s="149" t="s">
        <v>3492</v>
      </c>
      <c r="AF679" s="251" t="e">
        <f>SUM(J679-#REF!)</f>
        <v>#REF!</v>
      </c>
      <c r="AG679" s="169">
        <f t="shared" si="867"/>
        <v>0</v>
      </c>
      <c r="AH679" s="65"/>
      <c r="AI679" s="138"/>
      <c r="AJ679" s="138"/>
    </row>
    <row r="680" spans="1:36" x14ac:dyDescent="0.25">
      <c r="A680" s="138"/>
      <c r="B680" s="138"/>
      <c r="C680" s="138"/>
      <c r="D680" s="138"/>
      <c r="E680" s="138"/>
      <c r="F680" s="138"/>
      <c r="G680" s="138"/>
      <c r="H680" s="221"/>
      <c r="I680" s="222">
        <f t="shared" ref="I680:J680" si="868">SUM(I672:I678)</f>
        <v>10000</v>
      </c>
      <c r="J680" s="222">
        <f t="shared" si="868"/>
        <v>10000</v>
      </c>
      <c r="K680" s="223"/>
      <c r="L680" s="223">
        <f t="shared" ref="L680:AD680" si="869">SUM(L671:L679)</f>
        <v>0</v>
      </c>
      <c r="M680" s="223">
        <f t="shared" si="869"/>
        <v>384.61538461538458</v>
      </c>
      <c r="N680" s="223">
        <f t="shared" si="869"/>
        <v>0</v>
      </c>
      <c r="O680" s="223">
        <f t="shared" si="869"/>
        <v>0</v>
      </c>
      <c r="P680" s="223">
        <f t="shared" si="869"/>
        <v>0</v>
      </c>
      <c r="Q680" s="223">
        <f t="shared" si="869"/>
        <v>0</v>
      </c>
      <c r="R680" s="223">
        <f t="shared" si="869"/>
        <v>10000</v>
      </c>
      <c r="S680" s="223">
        <f t="shared" si="869"/>
        <v>0</v>
      </c>
      <c r="T680" s="223">
        <f t="shared" si="869"/>
        <v>0</v>
      </c>
      <c r="U680" s="223">
        <f t="shared" si="869"/>
        <v>0</v>
      </c>
      <c r="V680" s="223">
        <f t="shared" si="869"/>
        <v>10000</v>
      </c>
      <c r="W680" s="223">
        <f t="shared" si="869"/>
        <v>620</v>
      </c>
      <c r="X680" s="223">
        <f t="shared" si="869"/>
        <v>145</v>
      </c>
      <c r="Y680" s="223">
        <f t="shared" si="869"/>
        <v>1407</v>
      </c>
      <c r="Z680" s="223">
        <f t="shared" si="869"/>
        <v>16</v>
      </c>
      <c r="AA680" s="223">
        <f t="shared" si="869"/>
        <v>7</v>
      </c>
      <c r="AB680" s="223">
        <f t="shared" si="869"/>
        <v>0</v>
      </c>
      <c r="AC680" s="223">
        <f t="shared" si="869"/>
        <v>0</v>
      </c>
      <c r="AD680" s="223">
        <f t="shared" si="869"/>
        <v>0</v>
      </c>
      <c r="AE680" s="149" t="s">
        <v>3492</v>
      </c>
      <c r="AF680" s="226">
        <f>SUM(AF672:AF678)</f>
        <v>0</v>
      </c>
      <c r="AG680" s="251">
        <f t="shared" si="867"/>
        <v>2195</v>
      </c>
      <c r="AH680" s="298">
        <v>572.5</v>
      </c>
      <c r="AI680" s="226">
        <f>AG680-AH680</f>
        <v>1622.5</v>
      </c>
      <c r="AJ680" s="226">
        <f>AF680+AI680</f>
        <v>1622.5</v>
      </c>
    </row>
    <row r="681" spans="1:36" x14ac:dyDescent="0.25">
      <c r="A681" s="138"/>
      <c r="B681" s="138"/>
      <c r="C681" s="138"/>
      <c r="D681" s="138"/>
      <c r="E681" s="138"/>
      <c r="F681" s="138"/>
      <c r="G681" s="138"/>
      <c r="H681" s="148"/>
      <c r="I681" s="148"/>
      <c r="J681" s="148"/>
      <c r="K681" s="138"/>
      <c r="L681" s="138"/>
      <c r="M681" s="138"/>
      <c r="N681" s="138"/>
      <c r="O681" s="138"/>
      <c r="P681" s="138"/>
      <c r="Q681" s="138"/>
      <c r="R681" s="169"/>
      <c r="S681" s="169"/>
      <c r="T681" s="169"/>
      <c r="U681" s="169"/>
      <c r="V681" s="169"/>
      <c r="W681" s="63">
        <f>SUM(W680:X680)</f>
        <v>765</v>
      </c>
      <c r="X681" s="169"/>
      <c r="Y681" s="169"/>
      <c r="Z681" s="169"/>
      <c r="AA681" s="169"/>
      <c r="AB681" s="169"/>
      <c r="AC681" s="63">
        <v>0</v>
      </c>
      <c r="AD681" s="169"/>
      <c r="AE681" s="149"/>
      <c r="AF681" s="138"/>
      <c r="AG681" s="138"/>
      <c r="AH681" s="294">
        <v>229</v>
      </c>
      <c r="AI681" s="138"/>
      <c r="AJ681" s="138"/>
    </row>
    <row r="682" spans="1:36" hidden="1" x14ac:dyDescent="0.25">
      <c r="A682" s="138"/>
      <c r="B682" s="138"/>
      <c r="C682" s="138"/>
      <c r="D682" s="138"/>
      <c r="E682" s="138"/>
      <c r="F682" s="138"/>
      <c r="G682" s="138"/>
      <c r="H682" s="148"/>
      <c r="I682" s="148"/>
      <c r="J682" s="148"/>
      <c r="K682" s="138"/>
      <c r="L682" s="138"/>
      <c r="M682" s="138"/>
      <c r="N682" s="138"/>
      <c r="O682" s="138"/>
      <c r="P682" s="138"/>
      <c r="Q682" s="138"/>
      <c r="R682" s="169"/>
      <c r="S682" s="169"/>
      <c r="T682" s="169"/>
      <c r="U682" s="169"/>
      <c r="V682" s="169"/>
      <c r="W682" s="169"/>
      <c r="X682" s="169"/>
      <c r="Y682" s="169"/>
      <c r="Z682" s="169"/>
      <c r="AA682" s="169"/>
      <c r="AB682" s="169"/>
      <c r="AC682" s="169"/>
      <c r="AD682" s="169"/>
      <c r="AE682" s="149"/>
      <c r="AF682" s="138"/>
      <c r="AG682" s="138"/>
      <c r="AH682" s="294">
        <v>229</v>
      </c>
      <c r="AI682" s="138"/>
      <c r="AJ682" s="138"/>
    </row>
    <row r="683" spans="1:36" x14ac:dyDescent="0.25">
      <c r="A683" s="138"/>
      <c r="B683" s="138"/>
      <c r="C683" s="138"/>
      <c r="D683" s="138"/>
      <c r="E683" s="138"/>
      <c r="F683" s="138"/>
      <c r="G683" s="138"/>
      <c r="H683" s="148"/>
      <c r="I683" s="148"/>
      <c r="J683" s="274"/>
      <c r="K683" s="219"/>
      <c r="L683" s="219"/>
      <c r="M683" s="219"/>
      <c r="N683" s="219"/>
      <c r="O683" s="219"/>
      <c r="P683" s="219"/>
      <c r="Q683" s="219"/>
      <c r="R683" s="173"/>
      <c r="S683" s="173"/>
      <c r="T683" s="173"/>
      <c r="U683" s="173"/>
      <c r="V683" s="173"/>
      <c r="W683" s="173"/>
      <c r="X683" s="173"/>
      <c r="Y683" s="173"/>
      <c r="Z683" s="173"/>
      <c r="AA683" s="173"/>
      <c r="AB683" s="173"/>
      <c r="AC683" s="173"/>
      <c r="AD683" s="173"/>
      <c r="AE683" s="149"/>
      <c r="AF683" s="138"/>
      <c r="AG683" s="138"/>
      <c r="AH683" s="294">
        <v>343.5</v>
      </c>
      <c r="AI683" s="138"/>
      <c r="AJ683" s="138"/>
    </row>
    <row r="684" spans="1:36" x14ac:dyDescent="0.25">
      <c r="A684" s="168" t="s">
        <v>3500</v>
      </c>
      <c r="B684" s="138"/>
      <c r="C684" s="168" t="s">
        <v>3501</v>
      </c>
      <c r="D684" s="300" t="s">
        <v>3502</v>
      </c>
      <c r="E684" s="301" t="s">
        <v>3503</v>
      </c>
      <c r="F684" s="138"/>
      <c r="G684" s="167" t="s">
        <v>2422</v>
      </c>
      <c r="H684" s="221"/>
      <c r="I684" s="221">
        <v>0</v>
      </c>
      <c r="J684" s="222">
        <v>0</v>
      </c>
      <c r="K684" s="290"/>
      <c r="L684" s="290">
        <f>SUM(J684/L7)</f>
        <v>0</v>
      </c>
      <c r="M684" s="302">
        <v>115.38</v>
      </c>
      <c r="N684" s="302">
        <v>0</v>
      </c>
      <c r="O684" s="276"/>
      <c r="P684" s="276"/>
      <c r="Q684" s="302">
        <v>0</v>
      </c>
      <c r="R684" s="175">
        <f>SUM(J684+Q684)</f>
        <v>0</v>
      </c>
      <c r="S684" s="303"/>
      <c r="T684" s="303"/>
      <c r="U684" s="303"/>
      <c r="V684" s="175">
        <f>SUM(R684:U684)</f>
        <v>0</v>
      </c>
      <c r="W684" s="175">
        <f>SUM(V684*$W$7)</f>
        <v>0</v>
      </c>
      <c r="X684" s="175">
        <f>SUM(V684*$X$7)</f>
        <v>0</v>
      </c>
      <c r="Y684" s="175">
        <f>SUM(V684*$Y$7)</f>
        <v>0</v>
      </c>
      <c r="Z684" s="175">
        <f>SUM(V684*$Z$7)</f>
        <v>0</v>
      </c>
      <c r="AA684" s="175">
        <f>SUM(V684*$AA$7)</f>
        <v>0</v>
      </c>
      <c r="AB684" s="175">
        <v>0</v>
      </c>
      <c r="AC684" s="175">
        <v>0</v>
      </c>
      <c r="AD684" s="175">
        <v>0</v>
      </c>
      <c r="AE684" s="149" t="s">
        <v>3500</v>
      </c>
      <c r="AF684" s="226">
        <f>SUM(J684-I684)</f>
        <v>0</v>
      </c>
      <c r="AG684" s="169">
        <f>SUM(W684:AD684)</f>
        <v>0</v>
      </c>
      <c r="AH684" s="294">
        <v>458</v>
      </c>
      <c r="AI684" s="176">
        <f>AG684-AH684</f>
        <v>-458</v>
      </c>
      <c r="AJ684" s="226">
        <f>AF684+AI684</f>
        <v>-458</v>
      </c>
    </row>
    <row r="685" spans="1:36" x14ac:dyDescent="0.25">
      <c r="A685" s="138"/>
      <c r="B685" s="138"/>
      <c r="C685" s="138"/>
      <c r="D685" s="138"/>
      <c r="E685" s="138"/>
      <c r="F685" s="138"/>
      <c r="G685" s="138"/>
      <c r="H685" s="148"/>
      <c r="I685" s="148"/>
      <c r="J685" s="148"/>
      <c r="K685" s="138"/>
      <c r="L685" s="138"/>
      <c r="M685" s="138"/>
      <c r="N685" s="138"/>
      <c r="O685" s="138"/>
      <c r="P685" s="138"/>
      <c r="Q685" s="138"/>
      <c r="R685" s="169"/>
      <c r="S685" s="169"/>
      <c r="T685" s="169"/>
      <c r="U685" s="169"/>
      <c r="V685" s="169"/>
      <c r="W685" s="63">
        <f>SUM(W684:X684)</f>
        <v>0</v>
      </c>
      <c r="X685" s="169"/>
      <c r="Y685" s="169"/>
      <c r="Z685" s="169"/>
      <c r="AA685" s="169"/>
      <c r="AB685" s="169"/>
      <c r="AC685" s="169"/>
      <c r="AD685" s="169"/>
      <c r="AE685" s="149"/>
      <c r="AF685" s="138"/>
      <c r="AG685" s="138"/>
      <c r="AH685" s="294">
        <v>229</v>
      </c>
      <c r="AI685" s="138"/>
      <c r="AJ685" s="138"/>
    </row>
    <row r="686" spans="1:36" x14ac:dyDescent="0.25">
      <c r="A686" s="138"/>
      <c r="B686" s="138"/>
      <c r="C686" s="138"/>
      <c r="G686" s="138"/>
      <c r="H686" s="148"/>
      <c r="I686" s="148"/>
      <c r="J686" s="148"/>
      <c r="K686" s="138"/>
      <c r="L686" s="138"/>
      <c r="M686" s="138"/>
      <c r="N686" s="138"/>
      <c r="O686" s="138"/>
      <c r="P686" s="138"/>
      <c r="Q686" s="138"/>
      <c r="R686" s="169"/>
      <c r="S686" s="169"/>
      <c r="T686" s="169"/>
      <c r="U686" s="169"/>
      <c r="V686" s="169"/>
      <c r="W686" s="169"/>
      <c r="X686" s="169"/>
      <c r="Y686" s="169"/>
      <c r="Z686" s="169"/>
      <c r="AA686" s="169"/>
      <c r="AB686" s="169"/>
      <c r="AC686" s="169"/>
      <c r="AD686" s="169"/>
      <c r="AE686" s="149"/>
      <c r="AF686" s="178"/>
      <c r="AG686" s="178"/>
      <c r="AH686" s="294">
        <v>229</v>
      </c>
      <c r="AI686" s="178"/>
      <c r="AJ686" s="178"/>
    </row>
    <row r="687" spans="1:36" x14ac:dyDescent="0.25">
      <c r="A687" s="183" t="s">
        <v>3880</v>
      </c>
      <c r="B687" s="304"/>
      <c r="C687" s="183" t="s">
        <v>3881</v>
      </c>
      <c r="D687" s="138"/>
      <c r="E687" s="138"/>
      <c r="F687" s="138"/>
      <c r="G687" s="138"/>
      <c r="H687" s="148"/>
      <c r="I687" s="148"/>
      <c r="J687" s="148"/>
      <c r="K687" s="138"/>
      <c r="L687" s="138"/>
      <c r="M687" s="138"/>
      <c r="N687" s="138"/>
      <c r="O687" s="138"/>
      <c r="P687" s="138"/>
      <c r="Q687" s="138"/>
      <c r="R687" s="169"/>
      <c r="S687" s="169"/>
      <c r="T687" s="169"/>
      <c r="U687" s="169"/>
      <c r="V687" s="169"/>
      <c r="W687" s="169"/>
      <c r="X687" s="169"/>
      <c r="Y687" s="169"/>
      <c r="Z687" s="169"/>
      <c r="AA687" s="169"/>
      <c r="AB687" s="169"/>
      <c r="AC687" s="169"/>
      <c r="AD687" s="169"/>
      <c r="AE687" s="149"/>
      <c r="AF687" s="178"/>
      <c r="AG687" s="178"/>
      <c r="AH687" s="294">
        <v>0</v>
      </c>
      <c r="AI687" s="178"/>
      <c r="AJ687" s="178"/>
    </row>
    <row r="688" spans="1:36" x14ac:dyDescent="0.25">
      <c r="A688" s="167" t="s">
        <v>3880</v>
      </c>
      <c r="B688" s="304" t="s">
        <v>3882</v>
      </c>
      <c r="C688" s="168" t="s">
        <v>3883</v>
      </c>
      <c r="D688" s="183" t="s">
        <v>3884</v>
      </c>
      <c r="E688" s="183" t="s">
        <v>3885</v>
      </c>
      <c r="F688" s="58">
        <v>43101</v>
      </c>
      <c r="G688" s="59">
        <f t="shared" ref="G688:G692" si="870">(DATE(2021,12,30)-(F688))/365</f>
        <v>3.9972602739726026</v>
      </c>
      <c r="H688" s="57"/>
      <c r="I688" s="57">
        <v>37451</v>
      </c>
      <c r="J688" s="66">
        <v>0</v>
      </c>
      <c r="K688" s="61"/>
      <c r="L688" s="61">
        <f t="shared" ref="L688:L694" si="871">SUM(J688/$L$7)</f>
        <v>0</v>
      </c>
      <c r="M688" s="61">
        <f t="shared" ref="M688:M693" si="872">SUM(J688/$M$7)</f>
        <v>0</v>
      </c>
      <c r="N688" s="100">
        <f t="shared" ref="N688:N693" si="873">IF(G688&lt;4,0,(G688-1)*264)</f>
        <v>0</v>
      </c>
      <c r="O688" s="138"/>
      <c r="P688" s="251"/>
      <c r="Q688" s="61">
        <f t="shared" ref="Q688:Q694" si="874">SUM(N688+P688)</f>
        <v>0</v>
      </c>
      <c r="R688" s="63">
        <f t="shared" ref="R688:R694" si="875">SUM(J688+Q688)</f>
        <v>0</v>
      </c>
      <c r="S688" s="63"/>
      <c r="T688" s="169"/>
      <c r="U688" s="63"/>
      <c r="V688" s="63">
        <f t="shared" ref="V688:V694" si="876">SUM(R688:U688)</f>
        <v>0</v>
      </c>
      <c r="W688" s="63">
        <f t="shared" ref="W688:W694" si="877">SUM(V688*$W$7)</f>
        <v>0</v>
      </c>
      <c r="X688" s="63">
        <f t="shared" ref="X688:X694" si="878">SUM(V688*$X$7)</f>
        <v>0</v>
      </c>
      <c r="Y688" s="63">
        <f t="shared" ref="Y688:Y694" si="879">SUM(V688*$Y$7)</f>
        <v>0</v>
      </c>
      <c r="Z688" s="63">
        <f t="shared" ref="Z688:Z694" si="880">SUM(V688*$Z$7)</f>
        <v>0</v>
      </c>
      <c r="AA688" s="63">
        <f t="shared" ref="AA688:AA692" si="881">SUM(V688*$AA$7)</f>
        <v>0</v>
      </c>
      <c r="AB688" s="101">
        <v>0</v>
      </c>
      <c r="AC688" s="101">
        <v>0</v>
      </c>
      <c r="AD688" s="63">
        <f t="shared" ref="AD688:AD692" si="882">SUM(AB688+AC688)*$AD$7</f>
        <v>0</v>
      </c>
      <c r="AE688" s="149" t="s">
        <v>3880</v>
      </c>
      <c r="AF688" s="69">
        <f t="shared" ref="AF688:AF694" si="883">SUM(J688-I688)</f>
        <v>-37451</v>
      </c>
      <c r="AG688" s="69">
        <f t="shared" ref="AG688:AG695" si="884">SUM(W688:AD688)</f>
        <v>0</v>
      </c>
      <c r="AH688" s="294">
        <v>2290</v>
      </c>
      <c r="AI688" s="69">
        <f t="shared" ref="AI688:AI695" si="885">AG688-AH688</f>
        <v>-2290</v>
      </c>
      <c r="AJ688" s="69">
        <f t="shared" ref="AJ688:AJ695" si="886">AF688+AI688</f>
        <v>-39741</v>
      </c>
    </row>
    <row r="689" spans="1:36" x14ac:dyDescent="0.25">
      <c r="A689" s="167" t="s">
        <v>3880</v>
      </c>
      <c r="B689" s="304" t="s">
        <v>3886</v>
      </c>
      <c r="C689" s="71" t="s">
        <v>3887</v>
      </c>
      <c r="D689" s="183" t="s">
        <v>2988</v>
      </c>
      <c r="E689" s="183" t="s">
        <v>2792</v>
      </c>
      <c r="F689" s="58">
        <v>43102</v>
      </c>
      <c r="G689" s="59">
        <f t="shared" si="870"/>
        <v>3.9945205479452053</v>
      </c>
      <c r="H689" s="57"/>
      <c r="I689" s="66">
        <v>28444</v>
      </c>
      <c r="J689" s="66">
        <v>0</v>
      </c>
      <c r="K689" s="61"/>
      <c r="L689" s="61">
        <f t="shared" si="871"/>
        <v>0</v>
      </c>
      <c r="M689" s="61">
        <f t="shared" si="872"/>
        <v>0</v>
      </c>
      <c r="N689" s="100">
        <f t="shared" si="873"/>
        <v>0</v>
      </c>
      <c r="O689" s="138"/>
      <c r="P689" s="251"/>
      <c r="Q689" s="61">
        <f t="shared" si="874"/>
        <v>0</v>
      </c>
      <c r="R689" s="63">
        <f t="shared" si="875"/>
        <v>0</v>
      </c>
      <c r="S689" s="63"/>
      <c r="T689" s="169"/>
      <c r="U689" s="63"/>
      <c r="V689" s="63">
        <f t="shared" si="876"/>
        <v>0</v>
      </c>
      <c r="W689" s="63">
        <f t="shared" si="877"/>
        <v>0</v>
      </c>
      <c r="X689" s="63">
        <f t="shared" si="878"/>
        <v>0</v>
      </c>
      <c r="Y689" s="63">
        <f t="shared" si="879"/>
        <v>0</v>
      </c>
      <c r="Z689" s="63">
        <f t="shared" si="880"/>
        <v>0</v>
      </c>
      <c r="AA689" s="63">
        <f t="shared" si="881"/>
        <v>0</v>
      </c>
      <c r="AB689" s="101">
        <v>0</v>
      </c>
      <c r="AC689" s="101">
        <v>0</v>
      </c>
      <c r="AD689" s="63">
        <f t="shared" si="882"/>
        <v>0</v>
      </c>
      <c r="AE689" s="149" t="s">
        <v>3880</v>
      </c>
      <c r="AF689" s="69">
        <f t="shared" si="883"/>
        <v>-28444</v>
      </c>
      <c r="AG689" s="69">
        <f t="shared" si="884"/>
        <v>0</v>
      </c>
      <c r="AH689" s="65"/>
      <c r="AI689" s="69">
        <f t="shared" si="885"/>
        <v>0</v>
      </c>
      <c r="AJ689" s="69">
        <f t="shared" si="886"/>
        <v>-28444</v>
      </c>
    </row>
    <row r="690" spans="1:36" x14ac:dyDescent="0.25">
      <c r="A690" s="167" t="s">
        <v>3880</v>
      </c>
      <c r="B690" s="304" t="s">
        <v>3888</v>
      </c>
      <c r="C690" s="71" t="s">
        <v>3889</v>
      </c>
      <c r="D690" s="193" t="s">
        <v>3890</v>
      </c>
      <c r="E690" s="193" t="s">
        <v>3891</v>
      </c>
      <c r="F690" s="260">
        <v>43789</v>
      </c>
      <c r="G690" s="59">
        <f t="shared" si="870"/>
        <v>2.1123287671232878</v>
      </c>
      <c r="H690" s="57"/>
      <c r="I690" s="66">
        <v>22755</v>
      </c>
      <c r="J690" s="182">
        <v>0</v>
      </c>
      <c r="K690" s="61"/>
      <c r="L690" s="61">
        <f t="shared" si="871"/>
        <v>0</v>
      </c>
      <c r="M690" s="61">
        <f t="shared" si="872"/>
        <v>0</v>
      </c>
      <c r="N690" s="100">
        <f t="shared" si="873"/>
        <v>0</v>
      </c>
      <c r="O690" s="138"/>
      <c r="P690" s="251"/>
      <c r="Q690" s="61">
        <f t="shared" si="874"/>
        <v>0</v>
      </c>
      <c r="R690" s="63">
        <f t="shared" si="875"/>
        <v>0</v>
      </c>
      <c r="S690" s="63"/>
      <c r="T690" s="169"/>
      <c r="U690" s="63"/>
      <c r="V690" s="63">
        <f t="shared" si="876"/>
        <v>0</v>
      </c>
      <c r="W690" s="63">
        <f t="shared" si="877"/>
        <v>0</v>
      </c>
      <c r="X690" s="63">
        <f t="shared" si="878"/>
        <v>0</v>
      </c>
      <c r="Y690" s="63">
        <f t="shared" si="879"/>
        <v>0</v>
      </c>
      <c r="Z690" s="63">
        <f t="shared" si="880"/>
        <v>0</v>
      </c>
      <c r="AA690" s="63">
        <f t="shared" si="881"/>
        <v>0</v>
      </c>
      <c r="AB690" s="101">
        <v>0</v>
      </c>
      <c r="AC690" s="101">
        <v>0</v>
      </c>
      <c r="AD690" s="63">
        <f t="shared" si="882"/>
        <v>0</v>
      </c>
      <c r="AE690" s="149" t="s">
        <v>3880</v>
      </c>
      <c r="AF690" s="69">
        <f t="shared" si="883"/>
        <v>-22755</v>
      </c>
      <c r="AG690" s="69">
        <f t="shared" si="884"/>
        <v>0</v>
      </c>
      <c r="AH690" s="65"/>
      <c r="AI690" s="69">
        <f t="shared" si="885"/>
        <v>0</v>
      </c>
      <c r="AJ690" s="69">
        <f t="shared" si="886"/>
        <v>-22755</v>
      </c>
    </row>
    <row r="691" spans="1:36" x14ac:dyDescent="0.25">
      <c r="A691" s="167" t="s">
        <v>3880</v>
      </c>
      <c r="B691" s="304" t="s">
        <v>3892</v>
      </c>
      <c r="C691" s="71" t="s">
        <v>3893</v>
      </c>
      <c r="D691" s="183" t="s">
        <v>3894</v>
      </c>
      <c r="E691" s="183" t="s">
        <v>3895</v>
      </c>
      <c r="F691" s="58">
        <v>43101</v>
      </c>
      <c r="G691" s="59">
        <f t="shared" si="870"/>
        <v>3.9972602739726026</v>
      </c>
      <c r="H691" s="57"/>
      <c r="I691" s="66">
        <v>24651</v>
      </c>
      <c r="J691" s="66">
        <v>0</v>
      </c>
      <c r="K691" s="61"/>
      <c r="L691" s="61">
        <f t="shared" si="871"/>
        <v>0</v>
      </c>
      <c r="M691" s="61">
        <f t="shared" si="872"/>
        <v>0</v>
      </c>
      <c r="N691" s="100">
        <f t="shared" si="873"/>
        <v>0</v>
      </c>
      <c r="O691" s="138"/>
      <c r="P691" s="251"/>
      <c r="Q691" s="61">
        <f t="shared" si="874"/>
        <v>0</v>
      </c>
      <c r="R691" s="63">
        <f t="shared" si="875"/>
        <v>0</v>
      </c>
      <c r="S691" s="63"/>
      <c r="T691" s="169"/>
      <c r="U691" s="63"/>
      <c r="V691" s="63">
        <f t="shared" si="876"/>
        <v>0</v>
      </c>
      <c r="W691" s="63">
        <f t="shared" si="877"/>
        <v>0</v>
      </c>
      <c r="X691" s="63">
        <f t="shared" si="878"/>
        <v>0</v>
      </c>
      <c r="Y691" s="63">
        <f t="shared" si="879"/>
        <v>0</v>
      </c>
      <c r="Z691" s="63">
        <f t="shared" si="880"/>
        <v>0</v>
      </c>
      <c r="AA691" s="63">
        <f t="shared" si="881"/>
        <v>0</v>
      </c>
      <c r="AB691" s="101">
        <v>0</v>
      </c>
      <c r="AC691" s="101">
        <v>0</v>
      </c>
      <c r="AD691" s="63">
        <f t="shared" si="882"/>
        <v>0</v>
      </c>
      <c r="AE691" s="149" t="s">
        <v>3880</v>
      </c>
      <c r="AF691" s="69">
        <f t="shared" si="883"/>
        <v>-24651</v>
      </c>
      <c r="AG691" s="69">
        <f t="shared" si="884"/>
        <v>0</v>
      </c>
      <c r="AH691" s="65"/>
      <c r="AI691" s="69">
        <f t="shared" si="885"/>
        <v>0</v>
      </c>
      <c r="AJ691" s="69">
        <f t="shared" si="886"/>
        <v>-24651</v>
      </c>
    </row>
    <row r="692" spans="1:36" x14ac:dyDescent="0.25">
      <c r="A692" s="167" t="s">
        <v>3880</v>
      </c>
      <c r="B692" s="304" t="s">
        <v>3896</v>
      </c>
      <c r="C692" s="71" t="s">
        <v>3897</v>
      </c>
      <c r="D692" s="183" t="s">
        <v>3898</v>
      </c>
      <c r="E692" s="183" t="s">
        <v>3440</v>
      </c>
      <c r="F692" s="58">
        <v>43326</v>
      </c>
      <c r="G692" s="59">
        <f t="shared" si="870"/>
        <v>3.3808219178082193</v>
      </c>
      <c r="H692" s="57"/>
      <c r="I692" s="57">
        <v>26547</v>
      </c>
      <c r="J692" s="66">
        <v>0</v>
      </c>
      <c r="K692" s="61"/>
      <c r="L692" s="61">
        <f t="shared" si="871"/>
        <v>0</v>
      </c>
      <c r="M692" s="61">
        <f t="shared" si="872"/>
        <v>0</v>
      </c>
      <c r="N692" s="100">
        <f t="shared" si="873"/>
        <v>0</v>
      </c>
      <c r="O692" s="138"/>
      <c r="P692" s="251"/>
      <c r="Q692" s="61">
        <f t="shared" si="874"/>
        <v>0</v>
      </c>
      <c r="R692" s="63">
        <f t="shared" si="875"/>
        <v>0</v>
      </c>
      <c r="S692" s="63"/>
      <c r="T692" s="169"/>
      <c r="U692" s="63"/>
      <c r="V692" s="63">
        <f t="shared" si="876"/>
        <v>0</v>
      </c>
      <c r="W692" s="63">
        <f t="shared" si="877"/>
        <v>0</v>
      </c>
      <c r="X692" s="63">
        <f t="shared" si="878"/>
        <v>0</v>
      </c>
      <c r="Y692" s="63">
        <f t="shared" si="879"/>
        <v>0</v>
      </c>
      <c r="Z692" s="63">
        <f t="shared" si="880"/>
        <v>0</v>
      </c>
      <c r="AA692" s="63">
        <f t="shared" si="881"/>
        <v>0</v>
      </c>
      <c r="AB692" s="101">
        <v>0</v>
      </c>
      <c r="AC692" s="101">
        <v>0</v>
      </c>
      <c r="AD692" s="63">
        <f t="shared" si="882"/>
        <v>0</v>
      </c>
      <c r="AE692" s="149" t="s">
        <v>3880</v>
      </c>
      <c r="AF692" s="69">
        <f t="shared" si="883"/>
        <v>-26547</v>
      </c>
      <c r="AG692" s="69">
        <f t="shared" si="884"/>
        <v>0</v>
      </c>
      <c r="AH692" s="294">
        <v>0</v>
      </c>
      <c r="AI692" s="69">
        <f t="shared" si="885"/>
        <v>0</v>
      </c>
      <c r="AJ692" s="69">
        <f t="shared" si="886"/>
        <v>-26547</v>
      </c>
    </row>
    <row r="693" spans="1:36" x14ac:dyDescent="0.25">
      <c r="A693" s="167" t="s">
        <v>3880</v>
      </c>
      <c r="B693" s="138"/>
      <c r="C693" s="192" t="s">
        <v>3899</v>
      </c>
      <c r="D693" s="183"/>
      <c r="E693" s="183"/>
      <c r="F693" s="58"/>
      <c r="G693" s="59"/>
      <c r="H693" s="57"/>
      <c r="I693" s="57">
        <v>24700</v>
      </c>
      <c r="J693" s="66">
        <v>0</v>
      </c>
      <c r="K693" s="61"/>
      <c r="L693" s="61">
        <f t="shared" si="871"/>
        <v>0</v>
      </c>
      <c r="M693" s="61">
        <f t="shared" si="872"/>
        <v>0</v>
      </c>
      <c r="N693" s="100">
        <f t="shared" si="873"/>
        <v>0</v>
      </c>
      <c r="O693" s="138"/>
      <c r="P693" s="251"/>
      <c r="Q693" s="61">
        <f t="shared" si="874"/>
        <v>0</v>
      </c>
      <c r="R693" s="63">
        <f t="shared" si="875"/>
        <v>0</v>
      </c>
      <c r="S693" s="169"/>
      <c r="T693" s="169"/>
      <c r="U693" s="63"/>
      <c r="V693" s="63">
        <f t="shared" si="876"/>
        <v>0</v>
      </c>
      <c r="W693" s="63">
        <f t="shared" si="877"/>
        <v>0</v>
      </c>
      <c r="X693" s="63">
        <f t="shared" si="878"/>
        <v>0</v>
      </c>
      <c r="Y693" s="63">
        <f t="shared" si="879"/>
        <v>0</v>
      </c>
      <c r="Z693" s="63">
        <f t="shared" si="880"/>
        <v>0</v>
      </c>
      <c r="AA693" s="63" t="s">
        <v>2422</v>
      </c>
      <c r="AB693" s="63" t="s">
        <v>2422</v>
      </c>
      <c r="AC693" s="63" t="s">
        <v>2422</v>
      </c>
      <c r="AD693" s="63" t="s">
        <v>2422</v>
      </c>
      <c r="AE693" s="149" t="s">
        <v>3880</v>
      </c>
      <c r="AF693" s="69">
        <f t="shared" si="883"/>
        <v>-24700</v>
      </c>
      <c r="AG693" s="69">
        <f t="shared" si="884"/>
        <v>0</v>
      </c>
      <c r="AH693" s="65"/>
      <c r="AI693" s="69">
        <f t="shared" si="885"/>
        <v>0</v>
      </c>
      <c r="AJ693" s="69">
        <f t="shared" si="886"/>
        <v>-24700</v>
      </c>
    </row>
    <row r="694" spans="1:36" x14ac:dyDescent="0.25">
      <c r="A694" s="167" t="s">
        <v>3880</v>
      </c>
      <c r="B694" s="138"/>
      <c r="C694" s="168" t="s">
        <v>2495</v>
      </c>
      <c r="D694" s="183" t="s">
        <v>3900</v>
      </c>
      <c r="E694" s="183" t="s">
        <v>3901</v>
      </c>
      <c r="F694" s="305"/>
      <c r="G694" s="138"/>
      <c r="H694" s="268"/>
      <c r="I694" s="268">
        <v>2000</v>
      </c>
      <c r="J694" s="306">
        <v>0</v>
      </c>
      <c r="K694" s="61"/>
      <c r="L694" s="61">
        <f t="shared" si="871"/>
        <v>0</v>
      </c>
      <c r="M694" s="132">
        <f>IF(G694&lt;4,0,(G694-1)*264)</f>
        <v>0</v>
      </c>
      <c r="N694" s="219"/>
      <c r="O694" s="219"/>
      <c r="P694" s="132"/>
      <c r="Q694" s="132">
        <f t="shared" si="874"/>
        <v>0</v>
      </c>
      <c r="R694" s="172">
        <f t="shared" si="875"/>
        <v>0</v>
      </c>
      <c r="S694" s="173"/>
      <c r="T694" s="173"/>
      <c r="U694" s="172"/>
      <c r="V694" s="172">
        <f t="shared" si="876"/>
        <v>0</v>
      </c>
      <c r="W694" s="172">
        <f t="shared" si="877"/>
        <v>0</v>
      </c>
      <c r="X694" s="172">
        <f t="shared" si="878"/>
        <v>0</v>
      </c>
      <c r="Y694" s="172">
        <f t="shared" si="879"/>
        <v>0</v>
      </c>
      <c r="Z694" s="172">
        <f t="shared" si="880"/>
        <v>0</v>
      </c>
      <c r="AA694" s="172" t="s">
        <v>2422</v>
      </c>
      <c r="AB694" s="172" t="s">
        <v>2422</v>
      </c>
      <c r="AC694" s="172" t="s">
        <v>2422</v>
      </c>
      <c r="AD694" s="172" t="s">
        <v>2422</v>
      </c>
      <c r="AE694" s="149" t="s">
        <v>3880</v>
      </c>
      <c r="AF694" s="69">
        <f t="shared" si="883"/>
        <v>-2000</v>
      </c>
      <c r="AG694" s="69">
        <f t="shared" si="884"/>
        <v>0</v>
      </c>
      <c r="AH694" s="65"/>
      <c r="AI694" s="69">
        <f t="shared" si="885"/>
        <v>0</v>
      </c>
      <c r="AJ694" s="100">
        <f t="shared" si="886"/>
        <v>-2000</v>
      </c>
    </row>
    <row r="695" spans="1:36" x14ac:dyDescent="0.25">
      <c r="A695" s="167"/>
      <c r="B695" s="138"/>
      <c r="C695" s="138"/>
      <c r="D695" s="183" t="s">
        <v>3902</v>
      </c>
      <c r="E695" s="183" t="s">
        <v>3885</v>
      </c>
      <c r="F695" s="99">
        <v>43403</v>
      </c>
      <c r="G695" s="138"/>
      <c r="H695" s="221"/>
      <c r="I695" s="222">
        <f t="shared" ref="I695:J695" si="887">SUM(I688:I694)</f>
        <v>166548</v>
      </c>
      <c r="J695" s="222">
        <f t="shared" si="887"/>
        <v>0</v>
      </c>
      <c r="K695" s="223"/>
      <c r="L695" s="223">
        <f t="shared" ref="L695:AD695" si="888">SUM(L688:L694)</f>
        <v>0</v>
      </c>
      <c r="M695" s="223">
        <f t="shared" si="888"/>
        <v>0</v>
      </c>
      <c r="N695" s="223">
        <f t="shared" si="888"/>
        <v>0</v>
      </c>
      <c r="O695" s="223">
        <f t="shared" si="888"/>
        <v>0</v>
      </c>
      <c r="P695" s="223">
        <f t="shared" si="888"/>
        <v>0</v>
      </c>
      <c r="Q695" s="223">
        <f t="shared" si="888"/>
        <v>0</v>
      </c>
      <c r="R695" s="223">
        <f t="shared" si="888"/>
        <v>0</v>
      </c>
      <c r="S695" s="223">
        <f t="shared" si="888"/>
        <v>0</v>
      </c>
      <c r="T695" s="223">
        <f t="shared" si="888"/>
        <v>0</v>
      </c>
      <c r="U695" s="223">
        <f t="shared" si="888"/>
        <v>0</v>
      </c>
      <c r="V695" s="223">
        <f t="shared" si="888"/>
        <v>0</v>
      </c>
      <c r="W695" s="223">
        <f t="shared" si="888"/>
        <v>0</v>
      </c>
      <c r="X695" s="223">
        <f t="shared" si="888"/>
        <v>0</v>
      </c>
      <c r="Y695" s="223">
        <f t="shared" si="888"/>
        <v>0</v>
      </c>
      <c r="Z695" s="223">
        <f t="shared" si="888"/>
        <v>0</v>
      </c>
      <c r="AA695" s="223">
        <f t="shared" si="888"/>
        <v>0</v>
      </c>
      <c r="AB695" s="223">
        <f t="shared" si="888"/>
        <v>0</v>
      </c>
      <c r="AC695" s="223">
        <f t="shared" si="888"/>
        <v>0</v>
      </c>
      <c r="AD695" s="223">
        <f t="shared" si="888"/>
        <v>0</v>
      </c>
      <c r="AE695" s="149"/>
      <c r="AF695" s="230">
        <f>SUM(AF688:AF694)</f>
        <v>-166548</v>
      </c>
      <c r="AG695" s="100">
        <f t="shared" si="884"/>
        <v>0</v>
      </c>
      <c r="AH695" s="62"/>
      <c r="AI695" s="226">
        <f t="shared" si="885"/>
        <v>0</v>
      </c>
      <c r="AJ695" s="226">
        <f t="shared" si="886"/>
        <v>-166548</v>
      </c>
    </row>
    <row r="696" spans="1:36" hidden="1" x14ac:dyDescent="0.25">
      <c r="A696" s="138"/>
      <c r="B696" s="138"/>
      <c r="C696" s="138"/>
      <c r="D696" s="138"/>
      <c r="E696" s="138"/>
      <c r="F696" s="138"/>
      <c r="G696" s="138"/>
      <c r="H696" s="78"/>
      <c r="I696" s="78">
        <v>139848</v>
      </c>
      <c r="J696" s="78">
        <f>SUM(J688:J692)</f>
        <v>0</v>
      </c>
      <c r="K696" s="138"/>
      <c r="L696" s="138"/>
      <c r="M696" s="138"/>
      <c r="N696" s="138"/>
      <c r="O696" s="138"/>
      <c r="P696" s="138"/>
      <c r="Q696" s="169"/>
      <c r="R696" s="169"/>
      <c r="S696" s="169"/>
      <c r="T696" s="169"/>
      <c r="U696" s="169"/>
      <c r="V696" s="63"/>
      <c r="W696" s="69">
        <f>SUM(W695+X695)</f>
        <v>0</v>
      </c>
      <c r="X696" s="169"/>
      <c r="Y696" s="169"/>
      <c r="Z696" s="169"/>
      <c r="AA696" s="169"/>
      <c r="AB696" s="63"/>
      <c r="AC696" s="63">
        <f>SUM(AC695:AD695)</f>
        <v>0</v>
      </c>
      <c r="AD696" s="169"/>
      <c r="AE696" s="149"/>
      <c r="AF696" s="178"/>
      <c r="AG696" s="178"/>
      <c r="AH696" s="67">
        <v>19374.55</v>
      </c>
      <c r="AI696" s="178"/>
      <c r="AJ696" s="178"/>
    </row>
    <row r="697" spans="1:36" x14ac:dyDescent="0.25">
      <c r="A697" s="138"/>
      <c r="B697" s="138"/>
      <c r="C697" s="138"/>
      <c r="D697" s="138"/>
      <c r="E697" s="138"/>
      <c r="F697" s="138"/>
      <c r="G697" s="138"/>
      <c r="H697" s="148"/>
      <c r="I697" s="148"/>
      <c r="J697" s="148"/>
      <c r="K697" s="138"/>
      <c r="L697" s="138"/>
      <c r="M697" s="138"/>
      <c r="N697" s="138"/>
      <c r="O697" s="138"/>
      <c r="P697" s="138"/>
      <c r="Q697" s="138"/>
      <c r="R697" s="169"/>
      <c r="S697" s="169"/>
      <c r="T697" s="169"/>
      <c r="U697" s="169"/>
      <c r="V697" s="169"/>
      <c r="W697" s="169">
        <f>SUM(W695+X695)</f>
        <v>0</v>
      </c>
      <c r="X697" s="169"/>
      <c r="Y697" s="169"/>
      <c r="Z697" s="169"/>
      <c r="AA697" s="169"/>
      <c r="AB697" s="169"/>
      <c r="AC697" s="169"/>
      <c r="AD697" s="169"/>
      <c r="AE697" s="149"/>
      <c r="AF697" s="178"/>
      <c r="AG697" s="178"/>
      <c r="AH697" s="67">
        <v>16009.17</v>
      </c>
      <c r="AI697" s="178"/>
      <c r="AJ697" s="178"/>
    </row>
    <row r="698" spans="1:36" x14ac:dyDescent="0.25">
      <c r="A698" s="138"/>
      <c r="B698" s="138"/>
      <c r="C698" s="138"/>
      <c r="D698" s="138"/>
      <c r="E698" s="138"/>
      <c r="F698" s="138"/>
      <c r="G698" s="138"/>
      <c r="H698" s="148"/>
      <c r="I698" s="148"/>
      <c r="J698" s="148"/>
      <c r="K698" s="138"/>
      <c r="L698" s="138"/>
      <c r="M698" s="138"/>
      <c r="N698" s="138"/>
      <c r="O698" s="138"/>
      <c r="P698" s="138"/>
      <c r="Q698" s="138"/>
      <c r="R698" s="169"/>
      <c r="S698" s="169"/>
      <c r="T698" s="169"/>
      <c r="U698" s="169"/>
      <c r="V698" s="169"/>
      <c r="W698" s="169"/>
      <c r="X698" s="169"/>
      <c r="Y698" s="169"/>
      <c r="Z698" s="169"/>
      <c r="AA698" s="169"/>
      <c r="AB698" s="169"/>
      <c r="AC698" s="169"/>
      <c r="AD698" s="169"/>
      <c r="AE698" s="149"/>
      <c r="AF698" s="178"/>
      <c r="AG698" s="178"/>
      <c r="AH698" s="67">
        <v>16443.349999999999</v>
      </c>
      <c r="AI698" s="178"/>
      <c r="AJ698" s="178"/>
    </row>
    <row r="699" spans="1:36" x14ac:dyDescent="0.25">
      <c r="A699" s="138"/>
      <c r="B699" s="138"/>
      <c r="C699" s="138"/>
      <c r="D699" s="138"/>
      <c r="E699" s="138"/>
      <c r="F699" s="138"/>
      <c r="G699" s="138"/>
      <c r="H699" s="148"/>
      <c r="I699" s="148"/>
      <c r="J699" s="148"/>
      <c r="K699" s="138"/>
      <c r="L699" s="138"/>
      <c r="M699" s="138"/>
      <c r="N699" s="138"/>
      <c r="O699" s="138"/>
      <c r="P699" s="138"/>
      <c r="Q699" s="138"/>
      <c r="R699" s="169"/>
      <c r="S699" s="169"/>
      <c r="T699" s="169"/>
      <c r="U699" s="169"/>
      <c r="V699" s="169"/>
      <c r="W699" s="169"/>
      <c r="X699" s="169"/>
      <c r="Y699" s="63"/>
      <c r="Z699" s="169"/>
      <c r="AA699" s="63"/>
      <c r="AB699" s="63"/>
      <c r="AC699" s="63"/>
      <c r="AD699" s="169"/>
      <c r="AE699" s="149"/>
      <c r="AF699" s="178"/>
      <c r="AG699" s="178"/>
      <c r="AH699" s="67">
        <v>17311.95</v>
      </c>
      <c r="AI699" s="178"/>
      <c r="AJ699" s="178"/>
    </row>
    <row r="700" spans="1:36" x14ac:dyDescent="0.25">
      <c r="A700" s="168" t="s">
        <v>3506</v>
      </c>
      <c r="B700" s="92" t="s">
        <v>3507</v>
      </c>
      <c r="C700" s="168" t="s">
        <v>3508</v>
      </c>
      <c r="D700" s="168" t="s">
        <v>3256</v>
      </c>
      <c r="E700" s="168" t="s">
        <v>3903</v>
      </c>
      <c r="F700" s="74">
        <v>36934</v>
      </c>
      <c r="G700" s="59">
        <f t="shared" ref="G700:G702" si="889">(DATE(2021,12,30)-(F700))/365</f>
        <v>20.893150684931506</v>
      </c>
      <c r="H700" s="57"/>
      <c r="I700" s="57">
        <v>61257</v>
      </c>
      <c r="J700" s="182">
        <v>62380</v>
      </c>
      <c r="K700" s="59"/>
      <c r="L700" s="59">
        <f t="shared" ref="L700:L703" si="890">SUM(J700/$L$7)</f>
        <v>29.990384615384617</v>
      </c>
      <c r="M700" s="61">
        <f t="shared" ref="M700:M703" si="891">SUM(J700/$M$7)</f>
        <v>2399.2307692307691</v>
      </c>
      <c r="N700" s="100">
        <v>0</v>
      </c>
      <c r="O700" s="138"/>
      <c r="P700" s="138"/>
      <c r="Q700" s="61">
        <f t="shared" ref="Q700:Q702" si="892">IF(N700+P700&gt;5000,5000,N700+P700)</f>
        <v>0</v>
      </c>
      <c r="R700" s="63">
        <f t="shared" ref="R700:R703" si="893">SUM(J700+Q700)</f>
        <v>62380</v>
      </c>
      <c r="S700" s="63">
        <v>9500</v>
      </c>
      <c r="T700" s="169"/>
      <c r="U700" s="169"/>
      <c r="V700" s="63">
        <f t="shared" ref="V700:V704" si="894">SUM(R700:U700)</f>
        <v>71880</v>
      </c>
      <c r="W700" s="63">
        <f t="shared" ref="W700:W704" si="895">SUM(V700*$W$7)</f>
        <v>4456.5600000000004</v>
      </c>
      <c r="X700" s="63">
        <f t="shared" ref="X700:X704" si="896">SUM(V700*$X$7)</f>
        <v>1042.26</v>
      </c>
      <c r="Y700" s="63">
        <f t="shared" ref="Y700:Y704" si="897">SUM(V700*$Y$7)</f>
        <v>10113.516</v>
      </c>
      <c r="Z700" s="63">
        <f t="shared" ref="Z700:Z704" si="898">SUM(V700*$Z$7)</f>
        <v>115.00800000000001</v>
      </c>
      <c r="AA700" s="63">
        <f t="shared" ref="AA700:AA704" si="899">SUM(V700*$AA$7)</f>
        <v>50.316000000000003</v>
      </c>
      <c r="AB700" s="63">
        <f t="shared" ref="AB700:AB702" si="900">SUM($AB$7)</f>
        <v>335</v>
      </c>
      <c r="AC700" s="63">
        <f t="shared" ref="AC700:AC702" si="901">$AC$7</f>
        <v>10356.36</v>
      </c>
      <c r="AD700" s="63">
        <f t="shared" ref="AD700:AD702" si="902">SUM(AB700+AC700)*$AD$7</f>
        <v>106.9136</v>
      </c>
      <c r="AE700" s="149" t="s">
        <v>3506</v>
      </c>
      <c r="AF700" s="69">
        <f t="shared" ref="AF700:AF704" si="903">SUM(J700-I700)</f>
        <v>1123</v>
      </c>
      <c r="AG700" s="69">
        <f t="shared" ref="AG700:AG705" si="904">SUM(W700:AD700)</f>
        <v>26575.9336</v>
      </c>
      <c r="AH700" s="67">
        <v>16877.54</v>
      </c>
      <c r="AI700" s="69">
        <f t="shared" ref="AI700:AI705" si="905">AG700-AH700</f>
        <v>9698.3935999999994</v>
      </c>
      <c r="AJ700" s="69">
        <f t="shared" ref="AJ700:AJ705" si="906">AF700+AI700</f>
        <v>10821.393599999999</v>
      </c>
    </row>
    <row r="701" spans="1:36" x14ac:dyDescent="0.25">
      <c r="A701" s="168" t="s">
        <v>3506</v>
      </c>
      <c r="B701" s="92" t="s">
        <v>3511</v>
      </c>
      <c r="C701" s="71" t="s">
        <v>3904</v>
      </c>
      <c r="D701" s="168" t="s">
        <v>3509</v>
      </c>
      <c r="E701" s="168" t="s">
        <v>3510</v>
      </c>
      <c r="F701" s="58">
        <v>41641</v>
      </c>
      <c r="G701" s="59">
        <f t="shared" si="889"/>
        <v>7.9972602739726026</v>
      </c>
      <c r="H701" s="57"/>
      <c r="I701" s="57">
        <v>39328</v>
      </c>
      <c r="J701" s="57">
        <v>39328</v>
      </c>
      <c r="K701" s="59"/>
      <c r="L701" s="59">
        <f t="shared" si="890"/>
        <v>18.907692307692308</v>
      </c>
      <c r="M701" s="61">
        <f t="shared" si="891"/>
        <v>1512.6153846153845</v>
      </c>
      <c r="N701" s="100"/>
      <c r="O701" s="138"/>
      <c r="P701" s="138"/>
      <c r="Q701" s="61">
        <f t="shared" si="892"/>
        <v>0</v>
      </c>
      <c r="R701" s="63">
        <f t="shared" si="893"/>
        <v>39328</v>
      </c>
      <c r="S701" s="169"/>
      <c r="T701" s="169"/>
      <c r="U701" s="169"/>
      <c r="V701" s="63">
        <f t="shared" si="894"/>
        <v>39328</v>
      </c>
      <c r="W701" s="63">
        <f t="shared" si="895"/>
        <v>2438.3359999999998</v>
      </c>
      <c r="X701" s="63">
        <f t="shared" si="896"/>
        <v>570.25600000000009</v>
      </c>
      <c r="Y701" s="63">
        <f t="shared" si="897"/>
        <v>5533.4495999999999</v>
      </c>
      <c r="Z701" s="63">
        <f t="shared" si="898"/>
        <v>62.924800000000005</v>
      </c>
      <c r="AA701" s="63">
        <f t="shared" si="899"/>
        <v>27.529599999999999</v>
      </c>
      <c r="AB701" s="63">
        <f t="shared" si="900"/>
        <v>335</v>
      </c>
      <c r="AC701" s="63">
        <f t="shared" si="901"/>
        <v>10356.36</v>
      </c>
      <c r="AD701" s="63">
        <f t="shared" si="902"/>
        <v>106.9136</v>
      </c>
      <c r="AE701" s="149" t="s">
        <v>3506</v>
      </c>
      <c r="AF701" s="69">
        <f t="shared" si="903"/>
        <v>0</v>
      </c>
      <c r="AG701" s="69">
        <f t="shared" si="904"/>
        <v>19430.7696</v>
      </c>
      <c r="AH701" s="67">
        <v>5639.01</v>
      </c>
      <c r="AI701" s="69">
        <f t="shared" si="905"/>
        <v>13791.759599999999</v>
      </c>
      <c r="AJ701" s="69">
        <f t="shared" si="906"/>
        <v>13791.759599999999</v>
      </c>
    </row>
    <row r="702" spans="1:36" x14ac:dyDescent="0.25">
      <c r="A702" s="168" t="s">
        <v>3506</v>
      </c>
      <c r="B702" s="92" t="s">
        <v>3513</v>
      </c>
      <c r="C702" s="71" t="s">
        <v>3517</v>
      </c>
      <c r="D702" s="168" t="s">
        <v>2478</v>
      </c>
      <c r="E702" s="168" t="s">
        <v>3905</v>
      </c>
      <c r="F702" s="307">
        <v>43614</v>
      </c>
      <c r="G702" s="59">
        <f t="shared" si="889"/>
        <v>2.591780821917808</v>
      </c>
      <c r="H702" s="57"/>
      <c r="I702" s="57">
        <v>33184</v>
      </c>
      <c r="J702" s="182">
        <v>33792</v>
      </c>
      <c r="K702" s="59"/>
      <c r="L702" s="59">
        <f t="shared" si="890"/>
        <v>16.246153846153845</v>
      </c>
      <c r="M702" s="61">
        <f t="shared" si="891"/>
        <v>1299.6923076923076</v>
      </c>
      <c r="N702" s="100">
        <f>IF(G702&lt;4,0,(G702-1)*264)</f>
        <v>0</v>
      </c>
      <c r="O702" s="138"/>
      <c r="P702" s="138"/>
      <c r="Q702" s="61">
        <f t="shared" si="892"/>
        <v>0</v>
      </c>
      <c r="R702" s="63">
        <f t="shared" si="893"/>
        <v>33792</v>
      </c>
      <c r="S702" s="169"/>
      <c r="T702" s="169"/>
      <c r="U702" s="169"/>
      <c r="V702" s="63">
        <f t="shared" si="894"/>
        <v>33792</v>
      </c>
      <c r="W702" s="63">
        <f t="shared" si="895"/>
        <v>2095.1039999999998</v>
      </c>
      <c r="X702" s="63">
        <f t="shared" si="896"/>
        <v>489.98400000000004</v>
      </c>
      <c r="Y702" s="63">
        <f t="shared" si="897"/>
        <v>4754.5343999999996</v>
      </c>
      <c r="Z702" s="63">
        <f t="shared" si="898"/>
        <v>54.0672</v>
      </c>
      <c r="AA702" s="63">
        <f t="shared" si="899"/>
        <v>23.654399999999999</v>
      </c>
      <c r="AB702" s="63">
        <f t="shared" si="900"/>
        <v>335</v>
      </c>
      <c r="AC702" s="63">
        <f t="shared" si="901"/>
        <v>10356.36</v>
      </c>
      <c r="AD702" s="63">
        <f t="shared" si="902"/>
        <v>106.9136</v>
      </c>
      <c r="AE702" s="149" t="s">
        <v>3906</v>
      </c>
      <c r="AF702" s="69">
        <f t="shared" si="903"/>
        <v>608</v>
      </c>
      <c r="AG702" s="69">
        <f t="shared" si="904"/>
        <v>18215.617600000001</v>
      </c>
      <c r="AH702" s="67">
        <v>456.6</v>
      </c>
      <c r="AI702" s="69">
        <f t="shared" si="905"/>
        <v>17759.017600000003</v>
      </c>
      <c r="AJ702" s="69">
        <f t="shared" si="906"/>
        <v>18367.017600000003</v>
      </c>
    </row>
    <row r="703" spans="1:36" x14ac:dyDescent="0.25">
      <c r="A703" s="168" t="s">
        <v>3506</v>
      </c>
      <c r="B703" s="138"/>
      <c r="C703" s="168" t="s">
        <v>1627</v>
      </c>
      <c r="D703" s="168" t="s">
        <v>2584</v>
      </c>
      <c r="E703" s="168" t="s">
        <v>3907</v>
      </c>
      <c r="F703" s="138"/>
      <c r="G703" s="167" t="s">
        <v>2422</v>
      </c>
      <c r="H703" s="88"/>
      <c r="I703" s="88">
        <v>21000</v>
      </c>
      <c r="J703" s="88">
        <v>21000</v>
      </c>
      <c r="K703" s="59"/>
      <c r="L703" s="59">
        <f t="shared" si="890"/>
        <v>10.096153846153847</v>
      </c>
      <c r="M703" s="61">
        <f t="shared" si="891"/>
        <v>807.69230769230774</v>
      </c>
      <c r="N703" s="100">
        <v>0</v>
      </c>
      <c r="O703" s="138"/>
      <c r="P703" s="138"/>
      <c r="Q703" s="61">
        <f>SUM(N703+P703)</f>
        <v>0</v>
      </c>
      <c r="R703" s="63">
        <f t="shared" si="893"/>
        <v>21000</v>
      </c>
      <c r="S703" s="169"/>
      <c r="T703" s="169"/>
      <c r="U703" s="169"/>
      <c r="V703" s="63">
        <f t="shared" si="894"/>
        <v>21000</v>
      </c>
      <c r="W703" s="63">
        <f t="shared" si="895"/>
        <v>1302</v>
      </c>
      <c r="X703" s="63">
        <f t="shared" si="896"/>
        <v>304.5</v>
      </c>
      <c r="Y703" s="63">
        <f t="shared" si="897"/>
        <v>2954.7</v>
      </c>
      <c r="Z703" s="63">
        <f t="shared" si="898"/>
        <v>33.6</v>
      </c>
      <c r="AA703" s="63">
        <f t="shared" si="899"/>
        <v>14.7</v>
      </c>
      <c r="AB703" s="63" t="s">
        <v>2422</v>
      </c>
      <c r="AC703" s="63" t="s">
        <v>2422</v>
      </c>
      <c r="AD703" s="63" t="s">
        <v>2422</v>
      </c>
      <c r="AE703" s="149" t="s">
        <v>3506</v>
      </c>
      <c r="AF703" s="69">
        <f t="shared" si="903"/>
        <v>0</v>
      </c>
      <c r="AG703" s="69">
        <f t="shared" si="904"/>
        <v>4609.5</v>
      </c>
      <c r="AH703" s="67">
        <v>92112.17</v>
      </c>
      <c r="AI703" s="69">
        <f t="shared" si="905"/>
        <v>-87502.67</v>
      </c>
      <c r="AJ703" s="100">
        <f t="shared" si="906"/>
        <v>-87502.67</v>
      </c>
    </row>
    <row r="704" spans="1:36" x14ac:dyDescent="0.25">
      <c r="A704" s="168" t="s">
        <v>3506</v>
      </c>
      <c r="B704" s="138"/>
      <c r="C704" s="168" t="s">
        <v>2495</v>
      </c>
      <c r="D704" s="168" t="s">
        <v>3788</v>
      </c>
      <c r="E704" s="168" t="s">
        <v>3908</v>
      </c>
      <c r="F704" s="138"/>
      <c r="G704" s="167" t="s">
        <v>2422</v>
      </c>
      <c r="H704" s="88"/>
      <c r="I704" s="88">
        <v>2000</v>
      </c>
      <c r="J704" s="218">
        <v>2000</v>
      </c>
      <c r="K704" s="219"/>
      <c r="L704" s="219"/>
      <c r="M704" s="219"/>
      <c r="N704" s="220" t="s">
        <v>27</v>
      </c>
      <c r="O704" s="219"/>
      <c r="P704" s="219"/>
      <c r="Q704" s="220">
        <v>0</v>
      </c>
      <c r="R704" s="172">
        <v>2000</v>
      </c>
      <c r="S704" s="173"/>
      <c r="T704" s="173"/>
      <c r="U704" s="173"/>
      <c r="V704" s="172">
        <f t="shared" si="894"/>
        <v>2000</v>
      </c>
      <c r="W704" s="172">
        <f t="shared" si="895"/>
        <v>124</v>
      </c>
      <c r="X704" s="172">
        <f t="shared" si="896"/>
        <v>29</v>
      </c>
      <c r="Y704" s="172">
        <f t="shared" si="897"/>
        <v>281.39999999999998</v>
      </c>
      <c r="Z704" s="172">
        <f t="shared" si="898"/>
        <v>3.2</v>
      </c>
      <c r="AA704" s="172">
        <f t="shared" si="899"/>
        <v>1.4</v>
      </c>
      <c r="AB704" s="172" t="s">
        <v>2422</v>
      </c>
      <c r="AC704" s="172" t="s">
        <v>2422</v>
      </c>
      <c r="AD704" s="172" t="s">
        <v>2422</v>
      </c>
      <c r="AE704" s="149" t="s">
        <v>3506</v>
      </c>
      <c r="AF704" s="69">
        <f t="shared" si="903"/>
        <v>0</v>
      </c>
      <c r="AG704" s="69">
        <f t="shared" si="904"/>
        <v>438.99999999999994</v>
      </c>
      <c r="AH704" s="65"/>
      <c r="AI704" s="69">
        <f t="shared" si="905"/>
        <v>438.99999999999994</v>
      </c>
      <c r="AJ704" s="100">
        <f t="shared" si="906"/>
        <v>438.99999999999994</v>
      </c>
    </row>
    <row r="705" spans="1:36" x14ac:dyDescent="0.25">
      <c r="A705" s="168"/>
      <c r="B705" s="138"/>
      <c r="C705" s="138"/>
      <c r="D705" s="168" t="s">
        <v>3518</v>
      </c>
      <c r="E705" s="168" t="s">
        <v>3519</v>
      </c>
      <c r="F705" s="58">
        <v>42767</v>
      </c>
      <c r="G705" s="138"/>
      <c r="H705" s="221"/>
      <c r="I705" s="222">
        <f t="shared" ref="I705:J705" si="907">SUM(I700:I704)</f>
        <v>156769</v>
      </c>
      <c r="J705" s="222">
        <f t="shared" si="907"/>
        <v>158500</v>
      </c>
      <c r="K705" s="223"/>
      <c r="L705" s="223">
        <f t="shared" ref="L705:AD705" si="908">SUM(L699:L704)</f>
        <v>75.240384615384613</v>
      </c>
      <c r="M705" s="223">
        <f t="shared" si="908"/>
        <v>6019.2307692307686</v>
      </c>
      <c r="N705" s="223">
        <f t="shared" si="908"/>
        <v>0</v>
      </c>
      <c r="O705" s="223">
        <f t="shared" si="908"/>
        <v>0</v>
      </c>
      <c r="P705" s="223">
        <f t="shared" si="908"/>
        <v>0</v>
      </c>
      <c r="Q705" s="223">
        <f t="shared" si="908"/>
        <v>0</v>
      </c>
      <c r="R705" s="223">
        <f t="shared" si="908"/>
        <v>158500</v>
      </c>
      <c r="S705" s="223">
        <f t="shared" si="908"/>
        <v>9500</v>
      </c>
      <c r="T705" s="223">
        <f t="shared" si="908"/>
        <v>0</v>
      </c>
      <c r="U705" s="223">
        <f t="shared" si="908"/>
        <v>0</v>
      </c>
      <c r="V705" s="223">
        <f t="shared" si="908"/>
        <v>168000</v>
      </c>
      <c r="W705" s="223">
        <f t="shared" si="908"/>
        <v>10416</v>
      </c>
      <c r="X705" s="223">
        <f t="shared" si="908"/>
        <v>2436</v>
      </c>
      <c r="Y705" s="223">
        <f t="shared" si="908"/>
        <v>23637.600000000002</v>
      </c>
      <c r="Z705" s="223">
        <f t="shared" si="908"/>
        <v>268.8</v>
      </c>
      <c r="AA705" s="223">
        <f t="shared" si="908"/>
        <v>117.60000000000001</v>
      </c>
      <c r="AB705" s="223">
        <f t="shared" si="908"/>
        <v>1005</v>
      </c>
      <c r="AC705" s="223">
        <f t="shared" si="908"/>
        <v>31069.08</v>
      </c>
      <c r="AD705" s="223">
        <f t="shared" si="908"/>
        <v>320.74080000000004</v>
      </c>
      <c r="AE705" s="149" t="s">
        <v>3506</v>
      </c>
      <c r="AF705" s="230">
        <f>SUM(AF700:AF704)</f>
        <v>1731</v>
      </c>
      <c r="AG705" s="100">
        <f t="shared" si="904"/>
        <v>69270.820800000016</v>
      </c>
      <c r="AH705" s="62"/>
      <c r="AI705" s="226">
        <f t="shared" si="905"/>
        <v>69270.820800000016</v>
      </c>
      <c r="AJ705" s="226">
        <f t="shared" si="906"/>
        <v>71001.820800000016</v>
      </c>
    </row>
    <row r="706" spans="1:36" hidden="1" x14ac:dyDescent="0.25">
      <c r="A706" s="138"/>
      <c r="B706" s="138"/>
      <c r="C706" s="138"/>
      <c r="D706" s="138"/>
      <c r="E706" s="138"/>
      <c r="F706" s="138"/>
      <c r="G706" s="138"/>
      <c r="H706" s="78"/>
      <c r="I706" s="78">
        <v>134125.07999999999</v>
      </c>
      <c r="J706" s="78">
        <f>(SUM(J700:J702)+356.08)</f>
        <v>135856.07999999999</v>
      </c>
      <c r="K706" s="138"/>
      <c r="L706" s="138"/>
      <c r="M706" s="138"/>
      <c r="N706" s="138"/>
      <c r="O706" s="138"/>
      <c r="P706" s="138"/>
      <c r="Q706" s="138"/>
      <c r="R706" s="169"/>
      <c r="S706" s="169"/>
      <c r="T706" s="169"/>
      <c r="U706" s="169"/>
      <c r="V706" s="169"/>
      <c r="W706" s="63">
        <f>SUM(W705:X705)</f>
        <v>12852</v>
      </c>
      <c r="X706" s="169"/>
      <c r="Y706" s="169">
        <f>SUM(Y705+356.08)</f>
        <v>23993.680000000004</v>
      </c>
      <c r="Z706" s="169"/>
      <c r="AA706" s="169"/>
      <c r="AB706" s="169"/>
      <c r="AC706" s="63">
        <f>SUM(AC705:AD705)</f>
        <v>31389.820800000001</v>
      </c>
      <c r="AD706" s="169"/>
      <c r="AE706" s="149"/>
      <c r="AF706" s="178"/>
      <c r="AG706" s="178"/>
      <c r="AH706" s="65"/>
      <c r="AI706" s="178"/>
      <c r="AJ706" s="178"/>
    </row>
    <row r="707" spans="1:36" x14ac:dyDescent="0.25">
      <c r="A707" s="138"/>
      <c r="B707" s="138"/>
      <c r="C707" s="138"/>
      <c r="D707" s="138"/>
      <c r="E707" s="138"/>
      <c r="F707" s="138"/>
      <c r="G707" s="138"/>
      <c r="H707" s="148"/>
      <c r="I707" s="148"/>
      <c r="J707" s="148"/>
      <c r="K707" s="138"/>
      <c r="L707" s="138"/>
      <c r="M707" s="138"/>
      <c r="N707" s="138"/>
      <c r="O707" s="138"/>
      <c r="P707" s="138"/>
      <c r="Q707" s="138"/>
      <c r="R707" s="169"/>
      <c r="S707" s="169"/>
      <c r="T707" s="169"/>
      <c r="U707" s="169"/>
      <c r="V707" s="169"/>
      <c r="W707" s="169"/>
      <c r="X707" s="169"/>
      <c r="Y707" s="169"/>
      <c r="Z707" s="169"/>
      <c r="AA707" s="169"/>
      <c r="AB707" s="169"/>
      <c r="AC707" s="169"/>
      <c r="AD707" s="169"/>
      <c r="AE707" s="149"/>
      <c r="AF707" s="178"/>
      <c r="AG707" s="178"/>
      <c r="AH707" s="65"/>
      <c r="AI707" s="178"/>
      <c r="AJ707" s="178"/>
    </row>
    <row r="708" spans="1:36" x14ac:dyDescent="0.25">
      <c r="A708" s="138"/>
      <c r="B708" s="138"/>
      <c r="C708" s="138"/>
      <c r="D708" s="138"/>
      <c r="E708" s="138"/>
      <c r="F708" s="138"/>
      <c r="G708" s="138"/>
      <c r="H708" s="148"/>
      <c r="I708" s="148"/>
      <c r="J708" s="274"/>
      <c r="K708" s="219"/>
      <c r="L708" s="219"/>
      <c r="M708" s="219"/>
      <c r="N708" s="219"/>
      <c r="O708" s="219"/>
      <c r="P708" s="219"/>
      <c r="Q708" s="219"/>
      <c r="R708" s="173"/>
      <c r="S708" s="173"/>
      <c r="T708" s="173"/>
      <c r="U708" s="173"/>
      <c r="V708" s="173"/>
      <c r="W708" s="173"/>
      <c r="X708" s="173"/>
      <c r="Y708" s="173"/>
      <c r="Z708" s="173"/>
      <c r="AA708" s="173"/>
      <c r="AB708" s="173"/>
      <c r="AC708" s="173"/>
      <c r="AD708" s="173"/>
      <c r="AE708" s="149"/>
      <c r="AF708" s="178"/>
      <c r="AG708" s="178"/>
      <c r="AH708" s="67">
        <v>27001.63</v>
      </c>
      <c r="AI708" s="178"/>
      <c r="AJ708" s="178"/>
    </row>
    <row r="709" spans="1:36" x14ac:dyDescent="0.25">
      <c r="A709" s="168" t="s">
        <v>3520</v>
      </c>
      <c r="B709" s="138"/>
      <c r="C709" s="168" t="s">
        <v>3521</v>
      </c>
      <c r="D709" s="168" t="s">
        <v>2505</v>
      </c>
      <c r="E709" s="168" t="s">
        <v>3522</v>
      </c>
      <c r="F709" s="138"/>
      <c r="G709" s="167" t="s">
        <v>2422</v>
      </c>
      <c r="H709" s="221"/>
      <c r="I709" s="222">
        <v>25000</v>
      </c>
      <c r="J709" s="222">
        <v>25000</v>
      </c>
      <c r="K709" s="275"/>
      <c r="L709" s="275">
        <f>SUM(J709/$L$7)</f>
        <v>12.01923076923077</v>
      </c>
      <c r="M709" s="223">
        <f>SUM(J709/$M$7)</f>
        <v>961.53846153846155</v>
      </c>
      <c r="N709" s="223">
        <v>0</v>
      </c>
      <c r="O709" s="276"/>
      <c r="P709" s="276"/>
      <c r="Q709" s="223">
        <f>SUM(N709+P709)</f>
        <v>0</v>
      </c>
      <c r="R709" s="175">
        <f>SUM(J709+Q709)</f>
        <v>25000</v>
      </c>
      <c r="S709" s="175">
        <v>0</v>
      </c>
      <c r="T709" s="175">
        <v>0</v>
      </c>
      <c r="U709" s="175">
        <v>0</v>
      </c>
      <c r="V709" s="175">
        <f>SUM(R709:U709)</f>
        <v>25000</v>
      </c>
      <c r="W709" s="175">
        <f>SUM(V709*$W$7)</f>
        <v>1550</v>
      </c>
      <c r="X709" s="175">
        <f>SUM(V709*$X$7)</f>
        <v>362.5</v>
      </c>
      <c r="Y709" s="175">
        <f>SUM(V709*$Y$7)</f>
        <v>3517.5</v>
      </c>
      <c r="Z709" s="175">
        <f>SUM(V709*$Z$7)</f>
        <v>40</v>
      </c>
      <c r="AA709" s="175">
        <f>SUM(V709*$AA$7)</f>
        <v>17.5</v>
      </c>
      <c r="AB709" s="175">
        <v>0</v>
      </c>
      <c r="AC709" s="175">
        <v>0</v>
      </c>
      <c r="AD709" s="175">
        <v>0</v>
      </c>
      <c r="AE709" s="149" t="s">
        <v>3520</v>
      </c>
      <c r="AF709" s="226">
        <f>SUM(J709-I709)</f>
        <v>0</v>
      </c>
      <c r="AG709" s="69">
        <f>SUM(W709:AD709)</f>
        <v>5487.5</v>
      </c>
      <c r="AH709" s="67">
        <v>19804.39</v>
      </c>
      <c r="AI709" s="176">
        <f>AG709-AH709</f>
        <v>-14316.89</v>
      </c>
      <c r="AJ709" s="226">
        <f>AF709+AI709</f>
        <v>-14316.89</v>
      </c>
    </row>
    <row r="710" spans="1:36" x14ac:dyDescent="0.25">
      <c r="A710" s="138"/>
      <c r="B710" s="138"/>
      <c r="C710" s="138"/>
      <c r="D710" s="168" t="s">
        <v>3523</v>
      </c>
      <c r="E710" s="168" t="s">
        <v>3524</v>
      </c>
      <c r="F710" s="138"/>
      <c r="G710" s="138"/>
      <c r="H710" s="148"/>
      <c r="I710" s="148"/>
      <c r="J710" s="148"/>
      <c r="K710" s="138"/>
      <c r="L710" s="138"/>
      <c r="M710" s="138"/>
      <c r="N710" s="138"/>
      <c r="O710" s="138"/>
      <c r="P710" s="138"/>
      <c r="Q710" s="138"/>
      <c r="R710" s="169"/>
      <c r="S710" s="169"/>
      <c r="T710" s="169"/>
      <c r="U710" s="169"/>
      <c r="V710" s="169"/>
      <c r="W710" s="63">
        <f>SUM(W709)</f>
        <v>1550</v>
      </c>
      <c r="X710" s="169"/>
      <c r="Y710" s="169"/>
      <c r="Z710" s="169"/>
      <c r="AA710" s="169"/>
      <c r="AB710" s="169"/>
      <c r="AC710" s="169"/>
      <c r="AD710" s="169"/>
      <c r="AE710" s="149"/>
      <c r="AF710" s="178"/>
      <c r="AG710" s="178"/>
      <c r="AH710" s="67">
        <v>18397.41</v>
      </c>
      <c r="AI710" s="178"/>
      <c r="AJ710" s="178"/>
    </row>
    <row r="711" spans="1:36" x14ac:dyDescent="0.25">
      <c r="A711" s="138"/>
      <c r="B711" s="138"/>
      <c r="C711" s="138"/>
      <c r="D711" s="168" t="s">
        <v>3525</v>
      </c>
      <c r="E711" s="168" t="s">
        <v>3526</v>
      </c>
      <c r="F711" s="138"/>
      <c r="G711" s="138"/>
      <c r="H711" s="148"/>
      <c r="I711" s="148"/>
      <c r="J711" s="148"/>
      <c r="K711" s="138"/>
      <c r="L711" s="138"/>
      <c r="M711" s="138"/>
      <c r="N711" s="138"/>
      <c r="O711" s="138"/>
      <c r="P711" s="138"/>
      <c r="Q711" s="138"/>
      <c r="R711" s="169"/>
      <c r="S711" s="169"/>
      <c r="T711" s="169"/>
      <c r="U711" s="169"/>
      <c r="V711" s="169"/>
      <c r="W711" s="169"/>
      <c r="X711" s="169"/>
      <c r="Y711" s="169"/>
      <c r="Z711" s="169"/>
      <c r="AA711" s="169"/>
      <c r="AB711" s="169"/>
      <c r="AC711" s="169"/>
      <c r="AD711" s="169"/>
      <c r="AE711" s="149"/>
      <c r="AF711" s="178"/>
      <c r="AG711" s="178"/>
      <c r="AH711" s="67">
        <v>4809</v>
      </c>
      <c r="AI711" s="178"/>
      <c r="AJ711" s="178"/>
    </row>
    <row r="712" spans="1:36" x14ac:dyDescent="0.25">
      <c r="A712" s="138"/>
      <c r="B712" s="138"/>
      <c r="C712" s="138"/>
      <c r="D712" s="183" t="s">
        <v>3909</v>
      </c>
      <c r="E712" s="183" t="s">
        <v>2656</v>
      </c>
      <c r="F712" s="138"/>
      <c r="G712" s="138"/>
      <c r="H712" s="148"/>
      <c r="I712" s="148"/>
      <c r="J712" s="148"/>
      <c r="K712" s="138"/>
      <c r="L712" s="138"/>
      <c r="M712" s="138"/>
      <c r="N712" s="138"/>
      <c r="O712" s="138"/>
      <c r="P712" s="138"/>
      <c r="Q712" s="138"/>
      <c r="R712" s="169"/>
      <c r="S712" s="169"/>
      <c r="T712" s="169"/>
      <c r="U712" s="169"/>
      <c r="V712" s="169"/>
      <c r="W712" s="169"/>
      <c r="X712" s="169"/>
      <c r="Y712" s="169"/>
      <c r="Z712" s="169"/>
      <c r="AA712" s="169"/>
      <c r="AB712" s="169"/>
      <c r="AC712" s="169"/>
      <c r="AD712" s="169"/>
      <c r="AE712" s="149"/>
      <c r="AF712" s="178"/>
      <c r="AG712" s="178"/>
      <c r="AH712" s="67">
        <v>458</v>
      </c>
      <c r="AI712" s="178"/>
      <c r="AJ712" s="178"/>
    </row>
    <row r="713" spans="1:36" x14ac:dyDescent="0.25">
      <c r="A713" s="138"/>
      <c r="B713" s="138"/>
      <c r="C713" s="138"/>
      <c r="D713" s="138"/>
      <c r="E713" s="138"/>
      <c r="F713" s="138"/>
      <c r="G713" s="167"/>
      <c r="H713" s="148"/>
      <c r="I713" s="148"/>
      <c r="J713" s="274"/>
      <c r="K713" s="219"/>
      <c r="L713" s="219"/>
      <c r="M713" s="219"/>
      <c r="N713" s="219"/>
      <c r="O713" s="219"/>
      <c r="P713" s="219"/>
      <c r="Q713" s="219"/>
      <c r="R713" s="173"/>
      <c r="S713" s="173"/>
      <c r="T713" s="173"/>
      <c r="U713" s="173"/>
      <c r="V713" s="173"/>
      <c r="W713" s="173"/>
      <c r="X713" s="173"/>
      <c r="Y713" s="173"/>
      <c r="Z713" s="173"/>
      <c r="AA713" s="173"/>
      <c r="AB713" s="173"/>
      <c r="AC713" s="173"/>
      <c r="AD713" s="173"/>
      <c r="AE713" s="149"/>
      <c r="AF713" s="243"/>
      <c r="AG713" s="243"/>
      <c r="AH713" s="67">
        <v>70470.42</v>
      </c>
      <c r="AI713" s="243"/>
      <c r="AJ713" s="243"/>
    </row>
    <row r="714" spans="1:36" x14ac:dyDescent="0.25">
      <c r="A714" s="138"/>
      <c r="B714" s="138"/>
      <c r="C714" s="168" t="s">
        <v>3528</v>
      </c>
      <c r="D714" s="138"/>
      <c r="E714" s="178">
        <f>COUNT(E10+#REF!+E13+E20+E21+E22+E23+E28+E27+E29+E32+E31+E33+E156+E26+E30+E25+E40+#REF!+E44+E41+#REF!+E51+E56+E57+E58+E65+E66+E67+E75+E82+E83+E91+E92+E93+E102+E103+E104+E111+E112+E113+#REF!+E117+E118+E116+E122+E121+E114+#REF!+E129+E131+E132+E138+E139+E140+E146+E148+E154+#REF!+E160+E162+E163+E172+E180+E175+E179+E176+E181+E213+#REF!+E183+E182+E185+E194+E195+E193+E211+E205+E207+#REF!+#REF!+#REF!+E206+#REF!+E214+E184+E215+#REF!+E218+E219+E220+E227+E228+E234+E235+E233+E230+E232+E229+E242+E243+E244+E245+E250+E252+#REF!+E261+E262+E263+E271+E264+E266+E267+#REF!+E265+E268+E270+E272+E273+E274+E282+E281+E284+#REF!+E287+E288+E286+E289+E283+E290+E301+E306+E311+E316+E321+E327+E328+E324+E332+E333+E334+E331+E325+E335+E336+E337+E338+E339+E340+#REF!+E342+E343+E344+E345+E346+E347+E348+E356+E350+E351+E352+#REF!+E354+E402+E221+E357+E358+E359+E360+E404+E362+E363+E364+E365+E366+E367+E368+E369+E370+E371+E372+E373+E329+E375+E376+E494+E378+E374+E380+E381+E382+E383+E384+E385+E386+E387+E388+E389+E390+E391+E392+E393+E394+E355+#REF!+#REF!+E403+E406+E407+E408+E409+E353+E411+E379+E413+E414+E415+E416+#REF!+E418+E419+E420+E421+E422+E423+E424+E425+E426+E427+E428+E429+E430+E431+E432+E433+E417+E435+E436+E437+E438+E439+E440+E441+E505+E443+E444+E445+E446+E447+E448+E449+E450+E451+E452+E453+E454+E455+E456+E457+E458+E459+E460+E461+E462+E463+E464+E465+E466+E467+E468+E469+E470+E412+E472+E410+#REF!+E217+E476+E477+E478+E479+E480+E474+E482+E483+E484+E485+E486+E487+E488+E489+E490+E491+E492+E493+#REF!+E495+E496+#REF!+E510+E513+E512+E515+#REF!+E514+E516+E521+E525+E526+E527+E529+E540+E539+E12+E558+E551+E552+E560+#REF!+E564)</f>
        <v>0</v>
      </c>
      <c r="F714" s="138"/>
      <c r="G714" s="121">
        <f>SUM(G9:G705)</f>
        <v>3411.8493150684926</v>
      </c>
      <c r="H714" s="136"/>
      <c r="I714" s="122">
        <f t="shared" ref="I714:J714" si="909">SUM(I16+I36+I47+I51+I60+I70+I76+I87+I96+I107+I125+I134+I142+I149+I157+I164+I168+I188+I197+I223+I238+I247+I254+I258+I277+I293+I303+I308+I313+I318+I323+I398+I499+I507+I517+I522+I532+I542+I555+I560+I569+I588+I605+I621+I638+I642+I655+I661+I680+I695+I705+I709)</f>
        <v>17511171.109999999</v>
      </c>
      <c r="J714" s="122">
        <f t="shared" si="909"/>
        <v>17452774.109999999</v>
      </c>
      <c r="K714" s="308"/>
      <c r="L714" s="308">
        <f t="shared" ref="L714:T714" si="910">SUM(L16+L36+L47+L51+L60+L70+L76+L87+L96+L107+L125+L134+L142+L149+L157+L164+L168+L188+L197+L223+L238+L247+L254+L277+L293+L297+L303+L308+L313+L318+L323+L398+L499+L507+L517+L522+L532+L542+L547+L555+L560+L569+L588+L605+L621+L638+L642+L655+W661+L667+L680+L684+L705+L709)</f>
        <v>8996.4586730769261</v>
      </c>
      <c r="M714" s="308">
        <f t="shared" si="910"/>
        <v>645828.30307692301</v>
      </c>
      <c r="N714" s="308">
        <f t="shared" si="910"/>
        <v>62222.215068493148</v>
      </c>
      <c r="O714" s="308">
        <f t="shared" si="910"/>
        <v>19629.080000000002</v>
      </c>
      <c r="P714" s="308">
        <f t="shared" si="910"/>
        <v>10.5</v>
      </c>
      <c r="Q714" s="308">
        <f t="shared" si="910"/>
        <v>72910.313698630154</v>
      </c>
      <c r="R714" s="308">
        <f t="shared" si="910"/>
        <v>17412620.42369863</v>
      </c>
      <c r="S714" s="308">
        <f t="shared" si="910"/>
        <v>43820</v>
      </c>
      <c r="T714" s="308">
        <f t="shared" si="910"/>
        <v>87111</v>
      </c>
      <c r="U714" s="308">
        <f>SUM(U16+U36+U47+U51+U60+U70+U76+U87+U96+U107+U125+U134+U142+U149+U157+U164+U168+U188+U197+U223+U238+U247+U254+U277+U293+U297+U303+U308+U313+U318+U323+U398+U499+U507+U517+U522+U532+U542+U547+U555+U560+U569+U588+U605+U621+U638+U642+U655+AK661+U667+U680+U684+U705+U709)</f>
        <v>40000</v>
      </c>
      <c r="V714" s="308">
        <f>SUM(V16+V36+V47+V51+V60+V70+V76+V87+V96+V107+V125+V134+V142+V149+V157+V164+V168+V188+V197+V223+V238+V247+V254+V258+V277+V293+V297+V303+V308+V313+V318+V323+V398+V499+V507+V517+V522+V532+V542+V547+V555+V560+V569+V588+V605+V621+V638+V642+V655+V661+V667+V680+V684+V695+V705+V709)</f>
        <v>17663404.42369863</v>
      </c>
      <c r="W714" s="308">
        <f>SUM(W16+W36+W47+W51+W60+W70+W76+W87+W96+W107+W125+W134+W142+W149+W157+W164+W168+W188+W197+W223+W238+W247+W254+W258+W277+W293+W297+W303+W308+W313+W318+W323+W398+W499+W507+W517+W522+W532+W542+W547+W555+W560+W569+W588+W605+W621+W638+W642+W655+AM661+W667+W680+W684+W695+W705+W709)</f>
        <v>1080108.2742693149</v>
      </c>
      <c r="X714" s="308">
        <f t="shared" ref="X714:AD714" si="911">SUM(X16+X36+X47+X51+X60+X70+X76+X87+X96+X107+X125+X134+X142+X149+X157+X164+X168+X188+X197+X223+X238+X247+X254+X258+X277+X293+X297+X303+X308+X313+X318+X323+X398+X499+X507+X517+X522+X532+X542+X547+X555+X560+X569+X588+X605+X621+X638+X642+X655+X661+X667+X680+X684+X695+X705+X709)</f>
        <v>255997.56414363015</v>
      </c>
      <c r="Y714" s="308">
        <f t="shared" si="911"/>
        <v>2465160.0732943979</v>
      </c>
      <c r="Z714" s="308">
        <f t="shared" si="911"/>
        <v>28033.092517917808</v>
      </c>
      <c r="AA714" s="308">
        <f t="shared" si="911"/>
        <v>11541.161828958906</v>
      </c>
      <c r="AB714" s="308">
        <f t="shared" si="911"/>
        <v>123280</v>
      </c>
      <c r="AC714" s="308">
        <f t="shared" si="911"/>
        <v>3811140.4799999995</v>
      </c>
      <c r="AD714" s="308">
        <f t="shared" si="911"/>
        <v>39344.204799999978</v>
      </c>
      <c r="AE714" s="149"/>
      <c r="AF714" s="308">
        <f>SUM(AF16+AF36+AF47+AF51+AF60+AF70+AF76+AF87+AF96+AF107+AF125+AF134+AF142+AF149+AF157+AF164+AF168+AF188+AF197+AF223+AF238+AF247+AF254+AF258+AF277+AF293+AF303+AF308+AF313+AF318+AF323+AF398+AF499+AF507+AF517+AF522+AF532+AF542+AF547+AF555+AF560+AF569+AF588+AF605+AF621+AF638+AF642+AF655+AF661+AF680+AF684+AF695+AF705+AF709)</f>
        <v>-63707</v>
      </c>
      <c r="AG714" s="100">
        <f>SUM(W714:AD714)</f>
        <v>7814604.8508542199</v>
      </c>
      <c r="AH714" s="62"/>
      <c r="AI714" s="308">
        <f t="shared" ref="AI714:AJ714" si="912">SUM(AI16+AI36+AI47+AI51+AI60+AI70+AI76+AI87+AI96+AI107+AI125+AI134+AI142+AI149+AI157+AI164+AI168+AI188+AI197+AI223+AI238+AI247+AI254+AI258+AI277+AI293+AI297+AI303+AI308+AI313+AI318+AI323+AI398+AI499+AI507+AI517+AI522+AI532+AI542+AI547+AI555+AI560+AI569+AI588+AI605+AI621+AI638+AI642+AI655+AZ661+AI667+AI680+AI684+AI695+AI705+AI709)</f>
        <v>3073762.3608542164</v>
      </c>
      <c r="AJ714" s="308" t="e">
        <f t="shared" si="912"/>
        <v>#REF!</v>
      </c>
    </row>
    <row r="715" spans="1:36" hidden="1" x14ac:dyDescent="0.25">
      <c r="A715" s="138"/>
      <c r="B715" s="138"/>
      <c r="C715" s="138"/>
      <c r="D715" s="138"/>
      <c r="E715" s="138"/>
      <c r="F715" s="138"/>
      <c r="G715" s="167"/>
      <c r="H715" s="179"/>
      <c r="I715" s="179"/>
      <c r="J715" s="179"/>
      <c r="K715" s="138"/>
      <c r="L715" s="138"/>
      <c r="M715" s="138"/>
      <c r="N715" s="138"/>
      <c r="O715" s="138"/>
      <c r="P715" s="138"/>
      <c r="Q715" s="138"/>
      <c r="R715" s="138"/>
      <c r="S715" s="138"/>
      <c r="T715" s="138"/>
      <c r="U715" s="138"/>
      <c r="V715" s="309">
        <v>17744825.57</v>
      </c>
      <c r="W715" s="175">
        <f>SUM(V715*$W$7)</f>
        <v>1100179.1853400001</v>
      </c>
      <c r="X715" s="175">
        <f>SUM(V715*$X$7)</f>
        <v>257299.97076500001</v>
      </c>
      <c r="Y715" s="175">
        <f>SUM(V715*$Y$7)</f>
        <v>2496696.9576989999</v>
      </c>
      <c r="Z715" s="175">
        <f>SUM(V715*$Z$7)</f>
        <v>28391.720912000001</v>
      </c>
      <c r="AA715" s="175">
        <f>SUM(V715*$AA$7)</f>
        <v>12421.377899000001</v>
      </c>
      <c r="AB715" s="175">
        <v>0</v>
      </c>
      <c r="AC715" s="175">
        <v>0</v>
      </c>
      <c r="AD715" s="138"/>
      <c r="AE715" s="149"/>
      <c r="AF715" s="138"/>
      <c r="AG715" s="138"/>
      <c r="AH715" s="247"/>
      <c r="AI715" s="88"/>
      <c r="AJ715" s="88"/>
    </row>
    <row r="716" spans="1:36" hidden="1" x14ac:dyDescent="0.25">
      <c r="A716" s="138"/>
      <c r="B716" s="138"/>
      <c r="C716" s="138"/>
      <c r="D716" s="138"/>
      <c r="E716" s="138"/>
      <c r="F716" s="138"/>
      <c r="G716" s="167"/>
      <c r="H716" s="270"/>
      <c r="I716" s="270"/>
      <c r="J716" s="270">
        <v>17056425.059999999</v>
      </c>
      <c r="K716" s="138"/>
      <c r="L716" s="138"/>
      <c r="M716" s="138"/>
      <c r="N716" s="138"/>
      <c r="O716" s="138"/>
      <c r="P716" s="138"/>
      <c r="Q716" s="138"/>
      <c r="R716" s="138"/>
      <c r="S716" s="138"/>
      <c r="T716" s="138"/>
      <c r="U716" s="138"/>
      <c r="V716" s="138"/>
      <c r="W716" s="61">
        <f t="shared" ref="W716:AA716" si="913">SUM(W714-W715)</f>
        <v>-20070.911070685135</v>
      </c>
      <c r="X716" s="61">
        <f t="shared" si="913"/>
        <v>-1302.4066213698534</v>
      </c>
      <c r="Y716" s="61">
        <f t="shared" si="913"/>
        <v>-31536.884404601995</v>
      </c>
      <c r="Z716" s="61">
        <f t="shared" si="913"/>
        <v>-358.62839408219224</v>
      </c>
      <c r="AA716" s="61">
        <f t="shared" si="913"/>
        <v>-880.21607004109501</v>
      </c>
      <c r="AB716" s="138"/>
      <c r="AC716" s="138"/>
      <c r="AD716" s="100"/>
      <c r="AE716" s="149"/>
      <c r="AF716" s="138"/>
      <c r="AG716" s="138"/>
      <c r="AH716" s="62"/>
      <c r="AI716" s="138"/>
      <c r="AJ716" s="138"/>
    </row>
    <row r="717" spans="1:36" x14ac:dyDescent="0.25">
      <c r="A717" s="138"/>
      <c r="B717" s="138"/>
      <c r="C717" s="138"/>
      <c r="D717" s="138"/>
      <c r="E717" s="138"/>
      <c r="F717" s="138"/>
      <c r="G717" s="138"/>
      <c r="H717" s="148"/>
      <c r="I717" s="148"/>
      <c r="J717" s="148"/>
      <c r="K717" s="251"/>
      <c r="L717" s="251"/>
      <c r="M717" s="138"/>
      <c r="N717" s="138"/>
      <c r="O717" s="138"/>
      <c r="P717" s="138"/>
      <c r="Q717" s="138"/>
      <c r="R717" s="138"/>
      <c r="S717" s="138"/>
      <c r="T717" s="138"/>
      <c r="U717" s="138"/>
      <c r="V717" s="251"/>
      <c r="W717" s="138"/>
      <c r="X717" s="169"/>
      <c r="Y717" s="138"/>
      <c r="Z717" s="138"/>
      <c r="AA717" s="138"/>
      <c r="AB717" s="138"/>
      <c r="AC717" s="138"/>
      <c r="AD717" s="138"/>
      <c r="AE717" s="149"/>
      <c r="AF717" s="138"/>
      <c r="AG717" s="138"/>
      <c r="AH717" s="225">
        <v>5725</v>
      </c>
      <c r="AI717" s="138"/>
      <c r="AJ717" s="138"/>
    </row>
    <row r="718" spans="1:36" x14ac:dyDescent="0.25">
      <c r="A718" s="138"/>
      <c r="B718" s="138"/>
      <c r="C718" s="138"/>
      <c r="D718" s="138"/>
      <c r="E718" s="138"/>
      <c r="F718" s="138"/>
      <c r="G718" s="138"/>
      <c r="H718" s="148"/>
      <c r="I718" s="270">
        <f>SUM(J714-I714)</f>
        <v>-58397</v>
      </c>
      <c r="J718" s="148"/>
      <c r="K718" s="138"/>
      <c r="L718" s="138"/>
      <c r="M718" s="138"/>
      <c r="N718" s="138"/>
      <c r="O718" s="138"/>
      <c r="P718" s="138"/>
      <c r="Q718" s="138"/>
      <c r="R718" s="138"/>
      <c r="S718" s="138"/>
      <c r="T718" s="138"/>
      <c r="U718" s="138"/>
      <c r="V718" s="138"/>
      <c r="W718" s="138"/>
      <c r="X718" s="138"/>
      <c r="Y718" s="138"/>
      <c r="Z718" s="138"/>
      <c r="AA718" s="138"/>
      <c r="AB718" s="138"/>
      <c r="AC718" s="138"/>
      <c r="AD718" s="138"/>
      <c r="AE718" s="149"/>
      <c r="AF718" s="138"/>
      <c r="AG718" s="138"/>
      <c r="AH718" s="247"/>
      <c r="AI718" s="138"/>
      <c r="AJ718" s="138"/>
    </row>
    <row r="719" spans="1:36" hidden="1" x14ac:dyDescent="0.25">
      <c r="A719" s="310"/>
      <c r="B719" s="310"/>
      <c r="C719" s="310"/>
      <c r="D719" s="310"/>
      <c r="E719" s="310"/>
      <c r="F719" s="310"/>
      <c r="G719" s="310"/>
      <c r="H719" s="310"/>
      <c r="I719" s="310"/>
      <c r="J719" s="310"/>
      <c r="K719" s="310"/>
      <c r="L719" s="310"/>
      <c r="M719" s="310"/>
      <c r="N719" s="310"/>
      <c r="O719" s="310"/>
      <c r="P719" s="310"/>
      <c r="Q719" s="310"/>
      <c r="R719" s="310"/>
      <c r="S719" s="310"/>
      <c r="T719" s="310"/>
      <c r="U719" s="310"/>
      <c r="V719" s="310"/>
      <c r="W719" s="310"/>
      <c r="X719" s="310"/>
      <c r="Y719" s="310"/>
      <c r="Z719" s="310"/>
      <c r="AA719" s="310"/>
      <c r="AB719" s="310"/>
      <c r="AC719" s="310"/>
      <c r="AD719" s="310"/>
      <c r="AE719" s="311"/>
      <c r="AF719" s="310"/>
      <c r="AG719" s="310"/>
      <c r="AH719" s="247"/>
      <c r="AI719" s="310"/>
      <c r="AJ719" s="310"/>
    </row>
    <row r="720" spans="1:36" x14ac:dyDescent="0.25">
      <c r="AH720" s="55"/>
    </row>
    <row r="721" spans="34:34" x14ac:dyDescent="0.25">
      <c r="AH721" s="55"/>
    </row>
    <row r="722" spans="34:34" x14ac:dyDescent="0.25">
      <c r="AH722" s="225">
        <v>8142206.29</v>
      </c>
    </row>
  </sheetData>
  <mergeCells count="3">
    <mergeCell ref="A4:J4"/>
    <mergeCell ref="W5:AD5"/>
    <mergeCell ref="A572:C572"/>
  </mergeCells>
  <printOptions gridLines="1"/>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29"/>
  <sheetViews>
    <sheetView workbookViewId="0"/>
  </sheetViews>
  <sheetFormatPr defaultColWidth="14.42578125" defaultRowHeight="15" customHeight="1" x14ac:dyDescent="0.25"/>
  <cols>
    <col min="1" max="1" width="40" customWidth="1"/>
    <col min="2" max="2" width="17.85546875" customWidth="1"/>
    <col min="7" max="7" width="16.5703125" customWidth="1"/>
    <col min="8" max="8" width="14.42578125" customWidth="1"/>
    <col min="9" max="9" width="11.7109375" customWidth="1"/>
    <col min="10" max="10" width="13.5703125" customWidth="1"/>
  </cols>
  <sheetData>
    <row r="1" spans="1:13" x14ac:dyDescent="0.25">
      <c r="A1" s="499" t="s">
        <v>0</v>
      </c>
      <c r="B1" s="499"/>
      <c r="C1" s="247"/>
      <c r="D1" s="247"/>
      <c r="E1" s="247"/>
      <c r="F1" s="247"/>
      <c r="G1" s="247"/>
      <c r="H1" s="247"/>
      <c r="I1" s="247"/>
      <c r="J1" s="247"/>
      <c r="K1" s="247"/>
      <c r="L1" s="247"/>
      <c r="M1" s="247"/>
    </row>
    <row r="2" spans="1:13" x14ac:dyDescent="0.25">
      <c r="A2" s="247"/>
      <c r="B2" s="247"/>
      <c r="C2" s="247"/>
      <c r="D2" s="247"/>
      <c r="E2" s="247"/>
      <c r="F2" s="247"/>
      <c r="G2" s="247"/>
      <c r="H2" s="247"/>
      <c r="I2" s="247"/>
      <c r="J2" s="247"/>
      <c r="K2" s="247"/>
      <c r="L2" s="247"/>
      <c r="M2" s="147" t="s">
        <v>3549</v>
      </c>
    </row>
    <row r="3" spans="1:13" x14ac:dyDescent="0.25">
      <c r="A3" s="151" t="s">
        <v>3550</v>
      </c>
      <c r="B3" s="154">
        <v>100</v>
      </c>
      <c r="C3" s="154">
        <v>150</v>
      </c>
      <c r="D3" s="154">
        <v>200</v>
      </c>
      <c r="E3" s="154">
        <v>230</v>
      </c>
      <c r="F3" s="312">
        <v>240</v>
      </c>
      <c r="G3" s="312">
        <v>243</v>
      </c>
      <c r="H3" s="154">
        <v>250</v>
      </c>
      <c r="I3" s="154">
        <v>290</v>
      </c>
      <c r="J3" s="154">
        <v>800</v>
      </c>
      <c r="K3" s="154">
        <v>810</v>
      </c>
      <c r="L3" s="154">
        <v>820</v>
      </c>
      <c r="M3" s="154" t="s">
        <v>3551</v>
      </c>
    </row>
    <row r="4" spans="1:13" hidden="1" x14ac:dyDescent="0.25">
      <c r="A4" s="168" t="s">
        <v>3552</v>
      </c>
      <c r="B4" s="57"/>
      <c r="C4" s="65"/>
      <c r="D4" s="65"/>
      <c r="E4" s="65"/>
      <c r="F4" s="65"/>
      <c r="G4" s="65"/>
      <c r="H4" s="65"/>
      <c r="I4" s="65"/>
      <c r="J4" s="65"/>
      <c r="K4" s="65"/>
      <c r="L4" s="65"/>
      <c r="M4" s="133">
        <f t="shared" ref="M4:M13" si="0">SUM(B4:L4)</f>
        <v>0</v>
      </c>
    </row>
    <row r="5" spans="1:13" x14ac:dyDescent="0.25">
      <c r="A5" s="168" t="s">
        <v>3553</v>
      </c>
      <c r="B5" s="63">
        <f>SUM(-D5)</f>
        <v>16800</v>
      </c>
      <c r="C5" s="65"/>
      <c r="D5" s="63">
        <v>-16800</v>
      </c>
      <c r="E5" s="65"/>
      <c r="F5" s="65"/>
      <c r="G5" s="65"/>
      <c r="H5" s="65"/>
      <c r="I5" s="65"/>
      <c r="J5" s="65"/>
      <c r="K5" s="65"/>
      <c r="L5" s="65"/>
      <c r="M5" s="133">
        <f t="shared" si="0"/>
        <v>0</v>
      </c>
    </row>
    <row r="6" spans="1:13" x14ac:dyDescent="0.25">
      <c r="A6" s="168" t="s">
        <v>3554</v>
      </c>
      <c r="B6" s="101">
        <f>-H6</f>
        <v>69400</v>
      </c>
      <c r="C6" s="65"/>
      <c r="D6" s="65"/>
      <c r="E6" s="65"/>
      <c r="F6" s="65"/>
      <c r="G6" s="65"/>
      <c r="H6" s="101">
        <v>-69400</v>
      </c>
      <c r="I6" s="63"/>
      <c r="J6" s="65"/>
      <c r="K6" s="65"/>
      <c r="L6" s="65"/>
      <c r="M6" s="133">
        <f t="shared" si="0"/>
        <v>0</v>
      </c>
    </row>
    <row r="7" spans="1:13" hidden="1" x14ac:dyDescent="0.25">
      <c r="A7" s="168" t="s">
        <v>3910</v>
      </c>
      <c r="B7" s="65"/>
      <c r="C7" s="69"/>
      <c r="D7" s="65"/>
      <c r="E7" s="65"/>
      <c r="F7" s="65"/>
      <c r="G7" s="65"/>
      <c r="H7" s="65"/>
      <c r="I7" s="65"/>
      <c r="J7" s="65"/>
      <c r="K7" s="63"/>
      <c r="L7" s="65"/>
      <c r="M7" s="133">
        <f t="shared" si="0"/>
        <v>0</v>
      </c>
    </row>
    <row r="8" spans="1:13" hidden="1" x14ac:dyDescent="0.25">
      <c r="A8" s="168" t="s">
        <v>3911</v>
      </c>
      <c r="B8" s="101">
        <v>0</v>
      </c>
      <c r="C8" s="65"/>
      <c r="D8" s="65"/>
      <c r="E8" s="65"/>
      <c r="F8" s="65"/>
      <c r="G8" s="65"/>
      <c r="H8" s="65"/>
      <c r="I8" s="101">
        <v>0</v>
      </c>
      <c r="J8" s="63"/>
      <c r="K8" s="65"/>
      <c r="L8" s="65"/>
      <c r="M8" s="133">
        <f t="shared" si="0"/>
        <v>0</v>
      </c>
    </row>
    <row r="9" spans="1:13" x14ac:dyDescent="0.25">
      <c r="A9" s="168" t="s">
        <v>3555</v>
      </c>
      <c r="B9" s="63">
        <f>-J9</f>
        <v>75000</v>
      </c>
      <c r="C9" s="65"/>
      <c r="D9" s="65"/>
      <c r="E9" s="65"/>
      <c r="F9" s="65"/>
      <c r="G9" s="65"/>
      <c r="H9" s="65"/>
      <c r="I9" s="65"/>
      <c r="J9" s="63">
        <v>-75000</v>
      </c>
      <c r="K9" s="69"/>
      <c r="L9" s="65"/>
      <c r="M9" s="133">
        <f t="shared" si="0"/>
        <v>0</v>
      </c>
    </row>
    <row r="10" spans="1:13" x14ac:dyDescent="0.25">
      <c r="A10" s="168" t="s">
        <v>3556</v>
      </c>
      <c r="B10" s="65"/>
      <c r="C10" s="65"/>
      <c r="D10" s="65"/>
      <c r="E10" s="65"/>
      <c r="F10" s="65"/>
      <c r="G10" s="65"/>
      <c r="H10" s="65"/>
      <c r="I10" s="65"/>
      <c r="J10" s="63">
        <v>-20000</v>
      </c>
      <c r="K10" s="63">
        <f>-J10</f>
        <v>20000</v>
      </c>
      <c r="L10" s="65"/>
      <c r="M10" s="133">
        <f t="shared" si="0"/>
        <v>0</v>
      </c>
    </row>
    <row r="11" spans="1:13" x14ac:dyDescent="0.25">
      <c r="A11" s="168" t="s">
        <v>3557</v>
      </c>
      <c r="B11" s="65"/>
      <c r="C11" s="65"/>
      <c r="D11" s="65"/>
      <c r="E11" s="65"/>
      <c r="F11" s="313"/>
      <c r="G11" s="313"/>
      <c r="H11" s="65"/>
      <c r="I11" s="65"/>
      <c r="J11" s="63">
        <f>-18000-1637.5</f>
        <v>-19637.5</v>
      </c>
      <c r="K11" s="65"/>
      <c r="L11" s="63">
        <f>-J11</f>
        <v>19637.5</v>
      </c>
      <c r="M11" s="133">
        <f t="shared" si="0"/>
        <v>0</v>
      </c>
    </row>
    <row r="12" spans="1:13" x14ac:dyDescent="0.25">
      <c r="A12" s="168" t="s">
        <v>3558</v>
      </c>
      <c r="B12" s="314" t="e">
        <f>B21</f>
        <v>#REF!</v>
      </c>
      <c r="C12" s="315">
        <v>-55000</v>
      </c>
      <c r="D12" s="200">
        <v>0</v>
      </c>
      <c r="E12" s="171">
        <v>-12000</v>
      </c>
      <c r="F12" s="200">
        <v>-7736</v>
      </c>
      <c r="G12" s="200">
        <v>-4150</v>
      </c>
      <c r="H12" s="314"/>
      <c r="I12" s="314"/>
      <c r="J12" s="314"/>
      <c r="K12" s="198">
        <f>-260000+4471</f>
        <v>-255529</v>
      </c>
      <c r="L12" s="314"/>
      <c r="M12" s="133" t="e">
        <f t="shared" si="0"/>
        <v>#REF!</v>
      </c>
    </row>
    <row r="13" spans="1:13" x14ac:dyDescent="0.25">
      <c r="A13" s="316" t="s">
        <v>3559</v>
      </c>
      <c r="B13" s="317" t="e">
        <f t="shared" ref="B13:L13" si="1">SUM(B4:B12)</f>
        <v>#REF!</v>
      </c>
      <c r="C13" s="317">
        <f t="shared" si="1"/>
        <v>-55000</v>
      </c>
      <c r="D13" s="317">
        <f t="shared" si="1"/>
        <v>-16800</v>
      </c>
      <c r="E13" s="317">
        <f t="shared" si="1"/>
        <v>-12000</v>
      </c>
      <c r="F13" s="317">
        <f t="shared" si="1"/>
        <v>-7736</v>
      </c>
      <c r="G13" s="317">
        <f t="shared" si="1"/>
        <v>-4150</v>
      </c>
      <c r="H13" s="317">
        <f t="shared" si="1"/>
        <v>-69400</v>
      </c>
      <c r="I13" s="317">
        <f t="shared" si="1"/>
        <v>0</v>
      </c>
      <c r="J13" s="317">
        <f t="shared" si="1"/>
        <v>-114637.5</v>
      </c>
      <c r="K13" s="317">
        <f t="shared" si="1"/>
        <v>-235529</v>
      </c>
      <c r="L13" s="317">
        <f t="shared" si="1"/>
        <v>19637.5</v>
      </c>
      <c r="M13" s="318" t="e">
        <f t="shared" si="0"/>
        <v>#REF!</v>
      </c>
    </row>
    <row r="14" spans="1:13" x14ac:dyDescent="0.25">
      <c r="A14" s="247"/>
      <c r="B14" s="65"/>
      <c r="C14" s="65"/>
      <c r="D14" s="65"/>
      <c r="E14" s="65"/>
      <c r="F14" s="65"/>
      <c r="G14" s="65"/>
      <c r="H14" s="65"/>
      <c r="I14" s="65"/>
      <c r="J14" s="65"/>
      <c r="K14" s="65"/>
      <c r="L14" s="65"/>
      <c r="M14" s="133" t="e">
        <f>SUM(M4:M12)</f>
        <v>#REF!</v>
      </c>
    </row>
    <row r="15" spans="1:13" x14ac:dyDescent="0.25">
      <c r="A15" s="247"/>
      <c r="B15" s="9"/>
      <c r="C15" s="247"/>
      <c r="D15" s="247"/>
      <c r="E15" s="247"/>
      <c r="F15" s="247"/>
      <c r="G15" s="247"/>
      <c r="H15" s="247"/>
      <c r="I15" s="247"/>
      <c r="J15" s="247"/>
      <c r="K15" s="247"/>
      <c r="L15" s="247"/>
      <c r="M15" s="247"/>
    </row>
    <row r="16" spans="1:13" x14ac:dyDescent="0.25">
      <c r="A16" s="247"/>
      <c r="B16" s="319"/>
      <c r="C16" s="320"/>
      <c r="D16" s="320"/>
      <c r="E16" s="247"/>
      <c r="F16" s="247"/>
      <c r="G16" s="320"/>
      <c r="H16" s="320"/>
      <c r="I16" s="320"/>
      <c r="J16" s="247"/>
      <c r="K16" s="247"/>
      <c r="L16" s="247"/>
      <c r="M16" s="247"/>
    </row>
    <row r="17" spans="1:13" x14ac:dyDescent="0.25">
      <c r="A17" s="321"/>
      <c r="B17" s="508" t="s">
        <v>3912</v>
      </c>
      <c r="C17" s="499"/>
      <c r="D17" s="504"/>
      <c r="E17" s="322" t="s">
        <v>3913</v>
      </c>
      <c r="F17" s="323"/>
      <c r="G17" s="509" t="s">
        <v>3560</v>
      </c>
      <c r="H17" s="499"/>
      <c r="I17" s="504"/>
      <c r="J17" s="324" t="s">
        <v>3914</v>
      </c>
      <c r="K17" s="247"/>
      <c r="L17" s="247"/>
      <c r="M17" s="247"/>
    </row>
    <row r="18" spans="1:13" x14ac:dyDescent="0.25">
      <c r="A18" s="321"/>
      <c r="B18" s="325" t="e">
        <f>'2022 BUDGET '!#REF!</f>
        <v>#REF!</v>
      </c>
      <c r="C18" s="510" t="s">
        <v>3561</v>
      </c>
      <c r="D18" s="504"/>
      <c r="E18" s="326">
        <v>398800</v>
      </c>
      <c r="F18" s="327"/>
      <c r="G18" s="136">
        <v>-233629</v>
      </c>
      <c r="H18" s="503" t="s">
        <v>3565</v>
      </c>
      <c r="I18" s="504"/>
      <c r="J18" s="328">
        <v>-233629</v>
      </c>
      <c r="K18" s="247"/>
      <c r="L18" s="247"/>
      <c r="M18" s="247"/>
    </row>
    <row r="19" spans="1:13" x14ac:dyDescent="0.25">
      <c r="A19" s="321"/>
      <c r="B19" s="135">
        <f>G29</f>
        <v>-364319</v>
      </c>
      <c r="C19" s="510" t="s">
        <v>3563</v>
      </c>
      <c r="D19" s="504"/>
      <c r="E19" s="326">
        <v>-364319</v>
      </c>
      <c r="F19" s="327"/>
      <c r="G19" s="136">
        <v>0</v>
      </c>
      <c r="H19" s="503" t="s">
        <v>3915</v>
      </c>
      <c r="I19" s="504"/>
      <c r="J19" s="328">
        <v>0</v>
      </c>
      <c r="K19" s="247"/>
      <c r="L19" s="247"/>
      <c r="M19" s="247"/>
    </row>
    <row r="20" spans="1:13" x14ac:dyDescent="0.25">
      <c r="A20" s="321"/>
      <c r="B20" s="137">
        <v>0</v>
      </c>
      <c r="C20" s="510" t="s">
        <v>3916</v>
      </c>
      <c r="D20" s="504"/>
      <c r="E20" s="326">
        <v>6864.46</v>
      </c>
      <c r="F20" s="327"/>
      <c r="G20" s="134">
        <v>0</v>
      </c>
      <c r="H20" s="503" t="s">
        <v>3917</v>
      </c>
      <c r="I20" s="504"/>
      <c r="J20" s="328">
        <v>-18500</v>
      </c>
      <c r="K20" s="247"/>
      <c r="L20" s="247"/>
      <c r="M20" s="247"/>
    </row>
    <row r="21" spans="1:13" x14ac:dyDescent="0.25">
      <c r="A21" s="321"/>
      <c r="B21" s="329" t="e">
        <f>SUM(B18:B20)</f>
        <v>#REF!</v>
      </c>
      <c r="C21" s="507" t="s">
        <v>3918</v>
      </c>
      <c r="D21" s="506"/>
      <c r="E21" s="330">
        <f>SUM(E17:E20)</f>
        <v>41345.46</v>
      </c>
      <c r="F21" s="327"/>
      <c r="G21" s="136">
        <v>-20000</v>
      </c>
      <c r="H21" s="503" t="s">
        <v>3919</v>
      </c>
      <c r="I21" s="504"/>
      <c r="J21" s="328">
        <v>-20000</v>
      </c>
      <c r="K21" s="247"/>
      <c r="L21" s="247"/>
      <c r="M21" s="247"/>
    </row>
    <row r="22" spans="1:13" x14ac:dyDescent="0.25">
      <c r="A22" s="247"/>
      <c r="B22" s="247"/>
      <c r="C22" s="247"/>
      <c r="D22" s="247"/>
      <c r="E22" s="86"/>
      <c r="F22" s="327"/>
      <c r="G22" s="136">
        <v>-30690</v>
      </c>
      <c r="H22" s="503" t="s">
        <v>3564</v>
      </c>
      <c r="I22" s="504"/>
      <c r="J22" s="328">
        <v>-30690</v>
      </c>
      <c r="K22" s="168" t="s">
        <v>0</v>
      </c>
      <c r="L22" s="247"/>
      <c r="M22" s="247"/>
    </row>
    <row r="23" spans="1:13" x14ac:dyDescent="0.25">
      <c r="A23" s="247"/>
      <c r="B23" s="247"/>
      <c r="C23" s="247"/>
      <c r="D23" s="247"/>
      <c r="E23" s="86"/>
      <c r="F23" s="327"/>
      <c r="G23" s="134">
        <v>0</v>
      </c>
      <c r="H23" s="503" t="s">
        <v>3562</v>
      </c>
      <c r="I23" s="504"/>
      <c r="J23" s="328">
        <v>-1500000</v>
      </c>
      <c r="K23" s="247"/>
      <c r="L23" s="247"/>
      <c r="M23" s="247"/>
    </row>
    <row r="24" spans="1:13" x14ac:dyDescent="0.25">
      <c r="A24" s="247"/>
      <c r="B24" s="247"/>
      <c r="C24" s="247"/>
      <c r="D24" s="247"/>
      <c r="E24" s="86"/>
      <c r="F24" s="327"/>
      <c r="G24" s="134">
        <v>0</v>
      </c>
      <c r="H24" s="503" t="s">
        <v>3920</v>
      </c>
      <c r="I24" s="504"/>
      <c r="J24" s="328">
        <v>-120000</v>
      </c>
      <c r="K24" s="247"/>
      <c r="L24" s="247"/>
      <c r="M24" s="247"/>
    </row>
    <row r="25" spans="1:13" x14ac:dyDescent="0.25">
      <c r="A25" s="247"/>
      <c r="B25" s="247"/>
      <c r="C25" s="247"/>
      <c r="D25" s="247"/>
      <c r="E25" s="86"/>
      <c r="F25" s="327"/>
      <c r="G25" s="134">
        <v>0</v>
      </c>
      <c r="H25" s="503" t="s">
        <v>3921</v>
      </c>
      <c r="I25" s="504"/>
      <c r="J25" s="328">
        <v>-30000</v>
      </c>
      <c r="K25" s="247"/>
      <c r="L25" s="247"/>
      <c r="M25" s="247"/>
    </row>
    <row r="26" spans="1:13" x14ac:dyDescent="0.25">
      <c r="A26" s="247"/>
      <c r="B26" s="247"/>
      <c r="C26" s="247"/>
      <c r="D26" s="247"/>
      <c r="E26" s="86"/>
      <c r="F26" s="327"/>
      <c r="G26" s="136">
        <f>(-40000-40000)</f>
        <v>-80000</v>
      </c>
      <c r="H26" s="331" t="s">
        <v>3922</v>
      </c>
      <c r="I26" s="332"/>
      <c r="J26" s="328">
        <v>-80000</v>
      </c>
      <c r="K26" s="247"/>
      <c r="L26" s="247"/>
      <c r="M26" s="247"/>
    </row>
    <row r="27" spans="1:13" x14ac:dyDescent="0.25">
      <c r="A27" s="247"/>
      <c r="B27" s="247"/>
      <c r="C27" s="247"/>
      <c r="D27" s="247"/>
      <c r="E27" s="86"/>
      <c r="F27" s="327"/>
      <c r="G27" s="136">
        <v>0</v>
      </c>
      <c r="H27" s="503" t="s">
        <v>3923</v>
      </c>
      <c r="I27" s="504"/>
      <c r="J27" s="328">
        <v>0</v>
      </c>
      <c r="K27" s="247"/>
      <c r="L27" s="247"/>
      <c r="M27" s="247"/>
    </row>
    <row r="28" spans="1:13" x14ac:dyDescent="0.25">
      <c r="A28" s="247"/>
      <c r="B28" s="247"/>
      <c r="C28" s="247"/>
      <c r="D28" s="247"/>
      <c r="E28" s="86"/>
      <c r="F28" s="327"/>
      <c r="G28" s="308">
        <v>0</v>
      </c>
      <c r="H28" s="503" t="s">
        <v>3924</v>
      </c>
      <c r="I28" s="504"/>
      <c r="J28" s="328">
        <v>0</v>
      </c>
      <c r="K28" s="247"/>
      <c r="L28" s="247"/>
      <c r="M28" s="247"/>
    </row>
    <row r="29" spans="1:13" x14ac:dyDescent="0.25">
      <c r="A29" s="247"/>
      <c r="B29" s="247"/>
      <c r="C29" s="247"/>
      <c r="D29" s="247"/>
      <c r="E29" s="86"/>
      <c r="F29" s="327"/>
      <c r="G29" s="333">
        <f>SUM(G18:G28)</f>
        <v>-364319</v>
      </c>
      <c r="H29" s="505" t="s">
        <v>3566</v>
      </c>
      <c r="I29" s="506"/>
      <c r="J29" s="124">
        <f>SUM(J18:J28)</f>
        <v>-2032819</v>
      </c>
      <c r="K29" s="247"/>
      <c r="L29" s="247"/>
      <c r="M29" s="247"/>
    </row>
  </sheetData>
  <mergeCells count="18">
    <mergeCell ref="C21:D21"/>
    <mergeCell ref="H21:I21"/>
    <mergeCell ref="A1:B1"/>
    <mergeCell ref="B17:D17"/>
    <mergeCell ref="G17:I17"/>
    <mergeCell ref="C18:D18"/>
    <mergeCell ref="H18:I18"/>
    <mergeCell ref="C19:D19"/>
    <mergeCell ref="C20:D20"/>
    <mergeCell ref="H28:I28"/>
    <mergeCell ref="H29:I29"/>
    <mergeCell ref="H19:I19"/>
    <mergeCell ref="H20:I20"/>
    <mergeCell ref="H22:I22"/>
    <mergeCell ref="H23:I23"/>
    <mergeCell ref="H24:I24"/>
    <mergeCell ref="H25:I25"/>
    <mergeCell ref="H27:I27"/>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43"/>
  <sheetViews>
    <sheetView workbookViewId="0">
      <pane ySplit="4" topLeftCell="A5" activePane="bottomLeft" state="frozen"/>
      <selection pane="bottomLeft" activeCell="B6" sqref="B6"/>
    </sheetView>
  </sheetViews>
  <sheetFormatPr defaultColWidth="14.42578125" defaultRowHeight="15" customHeight="1" x14ac:dyDescent="0.25"/>
  <cols>
    <col min="1" max="1" width="3.42578125" customWidth="1"/>
    <col min="2" max="2" width="16.42578125" customWidth="1"/>
    <col min="3" max="3" width="45.42578125" customWidth="1"/>
    <col min="4" max="5" width="15.7109375" customWidth="1"/>
    <col min="6" max="8" width="14.42578125" hidden="1"/>
  </cols>
  <sheetData>
    <row r="1" spans="1:26" x14ac:dyDescent="0.25">
      <c r="A1" s="1"/>
      <c r="B1" s="1"/>
      <c r="C1" s="9"/>
      <c r="D1" s="10">
        <v>2021</v>
      </c>
      <c r="E1" s="5">
        <v>2020</v>
      </c>
      <c r="F1" s="4"/>
      <c r="G1" s="7"/>
      <c r="H1" s="6"/>
      <c r="I1" s="3" t="s">
        <v>3567</v>
      </c>
      <c r="J1" s="3" t="s">
        <v>3</v>
      </c>
      <c r="K1" s="2">
        <v>2019</v>
      </c>
      <c r="L1" s="334">
        <v>2019</v>
      </c>
      <c r="M1" s="2">
        <v>2018</v>
      </c>
      <c r="N1" s="7">
        <v>2017</v>
      </c>
      <c r="O1" s="2"/>
      <c r="P1" s="2"/>
      <c r="Q1" s="2"/>
      <c r="R1" s="2"/>
    </row>
    <row r="2" spans="1:26" x14ac:dyDescent="0.25">
      <c r="A2" s="1"/>
      <c r="B2" s="39" t="s">
        <v>4</v>
      </c>
      <c r="C2" s="39" t="s">
        <v>5</v>
      </c>
      <c r="D2" s="4" t="s">
        <v>3568</v>
      </c>
      <c r="E2" s="5" t="s">
        <v>3568</v>
      </c>
      <c r="F2" s="4"/>
      <c r="G2" s="7"/>
      <c r="H2" s="6"/>
      <c r="I2" s="3" t="s">
        <v>3569</v>
      </c>
      <c r="J2" s="3" t="s">
        <v>10</v>
      </c>
      <c r="K2" s="2" t="s">
        <v>8</v>
      </c>
      <c r="L2" s="334" t="s">
        <v>6</v>
      </c>
      <c r="M2" s="2" t="s">
        <v>1</v>
      </c>
      <c r="N2" s="7" t="s">
        <v>1</v>
      </c>
      <c r="O2" s="2"/>
      <c r="P2" s="2"/>
      <c r="Q2" s="2"/>
      <c r="R2" s="2"/>
    </row>
    <row r="3" spans="1:26" x14ac:dyDescent="0.25">
      <c r="A3" s="1"/>
      <c r="B3" s="1"/>
      <c r="C3" s="1" t="s">
        <v>0</v>
      </c>
      <c r="D3" s="4"/>
      <c r="E3" s="5"/>
      <c r="F3" s="4"/>
      <c r="G3" s="7"/>
      <c r="H3" s="6"/>
      <c r="I3" s="3" t="s">
        <v>1</v>
      </c>
      <c r="J3" s="13" t="s">
        <v>0</v>
      </c>
      <c r="K3" s="2" t="s">
        <v>10</v>
      </c>
      <c r="L3" s="334" t="s">
        <v>10</v>
      </c>
      <c r="M3" s="2" t="s">
        <v>12</v>
      </c>
      <c r="N3" s="7" t="s">
        <v>12</v>
      </c>
      <c r="O3" s="2"/>
      <c r="P3" s="1"/>
      <c r="Q3" s="1"/>
      <c r="R3" s="1"/>
    </row>
    <row r="4" spans="1:26" ht="4.5" customHeight="1" x14ac:dyDescent="0.25">
      <c r="A4" s="335"/>
      <c r="B4" s="336"/>
      <c r="C4" s="336"/>
      <c r="D4" s="23"/>
      <c r="E4" s="24"/>
      <c r="F4" s="337"/>
      <c r="G4" s="337"/>
      <c r="H4" s="337"/>
      <c r="I4" s="25"/>
      <c r="J4" s="25"/>
      <c r="K4" s="337"/>
      <c r="L4" s="338"/>
      <c r="M4" s="337"/>
      <c r="N4" s="26"/>
      <c r="O4" s="339"/>
      <c r="P4" s="337"/>
      <c r="Q4" s="337"/>
      <c r="R4" s="337"/>
      <c r="S4" s="335"/>
      <c r="T4" s="335"/>
      <c r="U4" s="335"/>
      <c r="V4" s="335"/>
      <c r="W4" s="335"/>
      <c r="X4" s="335"/>
      <c r="Y4" s="335"/>
      <c r="Z4" s="335"/>
    </row>
    <row r="5" spans="1:26" ht="18" x14ac:dyDescent="0.25">
      <c r="B5" s="50" t="s">
        <v>3570</v>
      </c>
      <c r="C5" s="50" t="s">
        <v>3532</v>
      </c>
      <c r="D5" s="23"/>
      <c r="E5" s="24"/>
      <c r="F5" s="23"/>
      <c r="G5" s="26"/>
      <c r="H5" s="29"/>
      <c r="I5" s="25"/>
      <c r="J5" s="25"/>
      <c r="K5" s="19"/>
      <c r="L5" s="338"/>
      <c r="M5" s="19"/>
      <c r="N5" s="26"/>
      <c r="O5" s="15"/>
      <c r="P5" s="19"/>
      <c r="Q5" s="19"/>
      <c r="R5" s="19"/>
    </row>
    <row r="6" spans="1:26" ht="18" x14ac:dyDescent="0.25">
      <c r="A6" s="1"/>
      <c r="B6" s="50"/>
      <c r="C6" s="50"/>
      <c r="D6" s="23"/>
      <c r="E6" s="24"/>
      <c r="F6" s="23"/>
      <c r="G6" s="26"/>
      <c r="H6" s="29"/>
      <c r="I6" s="25"/>
      <c r="J6" s="25"/>
      <c r="K6" s="19"/>
      <c r="L6" s="338"/>
      <c r="M6" s="19"/>
      <c r="N6" s="26"/>
      <c r="O6" s="15"/>
      <c r="P6" s="19"/>
      <c r="Q6" s="19"/>
      <c r="R6" s="19"/>
    </row>
    <row r="7" spans="1:26" ht="15.75" x14ac:dyDescent="0.25">
      <c r="A7" s="14" t="s">
        <v>13</v>
      </c>
      <c r="B7" s="1"/>
      <c r="C7" s="1"/>
      <c r="D7" s="20"/>
      <c r="E7" s="16"/>
      <c r="F7" s="20"/>
      <c r="G7" s="18"/>
      <c r="H7" s="29"/>
      <c r="I7" s="25"/>
      <c r="J7" s="17"/>
      <c r="K7" s="15"/>
      <c r="L7" s="340"/>
      <c r="M7" s="15"/>
      <c r="N7" s="18"/>
      <c r="O7" s="15"/>
      <c r="P7" s="19"/>
      <c r="Q7" s="19"/>
      <c r="R7" s="19"/>
    </row>
    <row r="8" spans="1:26" x14ac:dyDescent="0.25">
      <c r="B8" s="1" t="s">
        <v>3571</v>
      </c>
      <c r="C8" s="1" t="s">
        <v>3572</v>
      </c>
      <c r="D8" s="20">
        <v>-383101</v>
      </c>
      <c r="E8" s="16">
        <v>-383101</v>
      </c>
      <c r="F8" s="20"/>
      <c r="G8" s="18"/>
      <c r="H8" s="29"/>
      <c r="I8" s="25">
        <v>-224894</v>
      </c>
      <c r="J8" s="17">
        <f t="shared" ref="J8:J9" si="0">I8/K8</f>
        <v>0.57969094353726591</v>
      </c>
      <c r="K8" s="15">
        <v>-387955</v>
      </c>
      <c r="L8" s="340">
        <v>-382955</v>
      </c>
      <c r="M8" s="15">
        <v>-194193.13</v>
      </c>
      <c r="N8" s="18">
        <v>-195533.94</v>
      </c>
      <c r="O8" s="15"/>
      <c r="P8" s="19"/>
      <c r="Q8" s="19"/>
      <c r="R8" s="19"/>
    </row>
    <row r="9" spans="1:26" x14ac:dyDescent="0.25">
      <c r="A9" s="1"/>
      <c r="B9" s="1" t="s">
        <v>3573</v>
      </c>
      <c r="C9" s="1" t="s">
        <v>3574</v>
      </c>
      <c r="D9" s="20">
        <v>-11532.5</v>
      </c>
      <c r="E9" s="16">
        <v>-11532.5</v>
      </c>
      <c r="F9" s="20"/>
      <c r="G9" s="18"/>
      <c r="H9" s="29"/>
      <c r="I9" s="25">
        <v>-12110</v>
      </c>
      <c r="J9" s="17">
        <f t="shared" si="0"/>
        <v>1</v>
      </c>
      <c r="K9" s="15">
        <v>-12110</v>
      </c>
      <c r="L9" s="340">
        <v>-8390</v>
      </c>
      <c r="M9" s="15">
        <v>-48696</v>
      </c>
      <c r="N9" s="18">
        <v>-6002.96</v>
      </c>
      <c r="O9" s="15"/>
      <c r="P9" s="19"/>
      <c r="Q9" s="19"/>
      <c r="R9" s="19"/>
    </row>
    <row r="10" spans="1:26" x14ac:dyDescent="0.25">
      <c r="A10" s="1"/>
      <c r="B10" s="1" t="s">
        <v>3575</v>
      </c>
      <c r="C10" s="1" t="s">
        <v>3576</v>
      </c>
      <c r="D10" s="20">
        <v>0</v>
      </c>
      <c r="E10" s="16">
        <v>0</v>
      </c>
      <c r="F10" s="341"/>
      <c r="G10" s="18"/>
      <c r="H10" s="29"/>
      <c r="I10" s="25">
        <v>-1626</v>
      </c>
      <c r="J10" s="17">
        <v>0</v>
      </c>
      <c r="K10" s="15">
        <v>0</v>
      </c>
      <c r="L10" s="340">
        <v>0</v>
      </c>
      <c r="M10" s="15">
        <v>-2235</v>
      </c>
      <c r="N10" s="18">
        <v>790</v>
      </c>
      <c r="O10" s="15"/>
      <c r="P10" s="19"/>
      <c r="Q10" s="19"/>
      <c r="R10" s="19"/>
    </row>
    <row r="11" spans="1:26" x14ac:dyDescent="0.25">
      <c r="A11" s="1"/>
      <c r="B11" s="1"/>
      <c r="C11" s="39" t="s">
        <v>3577</v>
      </c>
      <c r="D11" s="44">
        <f t="shared" ref="D11:E11" si="1">SUM(D8:D10)</f>
        <v>-394633.5</v>
      </c>
      <c r="E11" s="42">
        <f t="shared" si="1"/>
        <v>-394633.5</v>
      </c>
      <c r="F11" s="44"/>
      <c r="G11" s="43"/>
      <c r="H11" s="43"/>
      <c r="I11" s="41">
        <f>SUM(I8:I10)</f>
        <v>-238630</v>
      </c>
      <c r="J11" s="41"/>
      <c r="K11" s="40">
        <f t="shared" ref="K11:N11" si="2">SUM(K8:K10)</f>
        <v>-400065</v>
      </c>
      <c r="L11" s="342">
        <f t="shared" si="2"/>
        <v>-391345</v>
      </c>
      <c r="M11" s="40">
        <f t="shared" si="2"/>
        <v>-245124.13</v>
      </c>
      <c r="N11" s="43">
        <f t="shared" si="2"/>
        <v>-200746.9</v>
      </c>
      <c r="O11" s="40"/>
      <c r="P11" s="40"/>
      <c r="Q11" s="40"/>
      <c r="R11" s="40"/>
    </row>
    <row r="12" spans="1:26" x14ac:dyDescent="0.25">
      <c r="A12" s="39" t="s">
        <v>1773</v>
      </c>
      <c r="B12" s="1"/>
      <c r="C12" s="1"/>
      <c r="D12" s="20"/>
      <c r="E12" s="16"/>
      <c r="F12" s="20"/>
      <c r="G12" s="18"/>
      <c r="H12" s="29"/>
      <c r="I12" s="25"/>
      <c r="J12" s="21"/>
      <c r="K12" s="15"/>
      <c r="L12" s="340"/>
      <c r="M12" s="15"/>
      <c r="N12" s="18"/>
      <c r="O12" s="15"/>
      <c r="P12" s="19"/>
      <c r="Q12" s="19"/>
      <c r="R12" s="19"/>
    </row>
    <row r="13" spans="1:26" x14ac:dyDescent="0.25">
      <c r="B13" s="1" t="s">
        <v>3578</v>
      </c>
      <c r="C13" s="1" t="s">
        <v>439</v>
      </c>
      <c r="D13" s="20">
        <v>177406</v>
      </c>
      <c r="E13" s="16">
        <v>177406</v>
      </c>
      <c r="F13" s="20"/>
      <c r="G13" s="18"/>
      <c r="H13" s="29"/>
      <c r="I13" s="25">
        <v>0</v>
      </c>
      <c r="J13" s="17">
        <f t="shared" ref="J13:J14" si="3">I13/K13</f>
        <v>0</v>
      </c>
      <c r="K13" s="15">
        <v>3000</v>
      </c>
      <c r="L13" s="340">
        <v>3000</v>
      </c>
      <c r="M13" s="19">
        <v>0</v>
      </c>
      <c r="N13" s="26">
        <v>0</v>
      </c>
      <c r="O13" s="19"/>
      <c r="P13" s="19"/>
      <c r="Q13" s="19"/>
      <c r="R13" s="19"/>
    </row>
    <row r="14" spans="1:26" x14ac:dyDescent="0.25">
      <c r="A14" s="1"/>
      <c r="B14" s="1" t="s">
        <v>3579</v>
      </c>
      <c r="C14" s="1" t="s">
        <v>257</v>
      </c>
      <c r="D14" s="20">
        <v>13572</v>
      </c>
      <c r="E14" s="16">
        <v>13572</v>
      </c>
      <c r="F14" s="20"/>
      <c r="G14" s="18"/>
      <c r="H14" s="29"/>
      <c r="I14" s="25">
        <v>0</v>
      </c>
      <c r="J14" s="17">
        <f t="shared" si="3"/>
        <v>0</v>
      </c>
      <c r="K14" s="15">
        <v>230</v>
      </c>
      <c r="L14" s="340">
        <v>230</v>
      </c>
      <c r="M14" s="19">
        <v>0</v>
      </c>
      <c r="N14" s="26">
        <v>0</v>
      </c>
      <c r="O14" s="19"/>
      <c r="P14" s="19"/>
      <c r="Q14" s="19"/>
      <c r="R14" s="19"/>
    </row>
    <row r="15" spans="1:26" x14ac:dyDescent="0.25">
      <c r="A15" s="1"/>
      <c r="B15" s="1" t="s">
        <v>3580</v>
      </c>
      <c r="C15" s="1" t="s">
        <v>259</v>
      </c>
      <c r="D15" s="20">
        <v>4538</v>
      </c>
      <c r="E15" s="16">
        <v>4538</v>
      </c>
      <c r="F15" s="20"/>
      <c r="G15" s="18"/>
      <c r="H15" s="29"/>
      <c r="I15" s="25"/>
      <c r="J15" s="17"/>
      <c r="K15" s="15"/>
      <c r="L15" s="340"/>
      <c r="M15" s="19"/>
      <c r="N15" s="26"/>
      <c r="O15" s="19"/>
      <c r="P15" s="19"/>
      <c r="Q15" s="19"/>
      <c r="R15" s="19"/>
    </row>
    <row r="16" spans="1:26" x14ac:dyDescent="0.25">
      <c r="A16" s="1"/>
      <c r="B16" s="1" t="s">
        <v>3581</v>
      </c>
      <c r="C16" s="1" t="s">
        <v>261</v>
      </c>
      <c r="D16" s="20">
        <v>12454</v>
      </c>
      <c r="E16" s="16">
        <v>12454</v>
      </c>
      <c r="F16" s="20"/>
      <c r="G16" s="18"/>
      <c r="H16" s="29"/>
      <c r="I16" s="25">
        <v>0</v>
      </c>
      <c r="J16" s="17">
        <f t="shared" ref="J16:J18" si="4">I16/K16</f>
        <v>0</v>
      </c>
      <c r="K16" s="15">
        <v>436</v>
      </c>
      <c r="L16" s="340">
        <v>436</v>
      </c>
      <c r="M16" s="19">
        <v>0</v>
      </c>
      <c r="N16" s="26">
        <v>0</v>
      </c>
      <c r="O16" s="19"/>
      <c r="P16" s="19"/>
      <c r="Q16" s="19"/>
      <c r="R16" s="19"/>
    </row>
    <row r="17" spans="1:18" x14ac:dyDescent="0.25">
      <c r="A17" s="1"/>
      <c r="B17" s="1" t="s">
        <v>3582</v>
      </c>
      <c r="C17" s="1" t="s">
        <v>263</v>
      </c>
      <c r="D17" s="20">
        <v>0</v>
      </c>
      <c r="E17" s="16">
        <v>0</v>
      </c>
      <c r="F17" s="20"/>
      <c r="G17" s="18"/>
      <c r="H17" s="29"/>
      <c r="I17" s="25">
        <v>0</v>
      </c>
      <c r="J17" s="17">
        <f t="shared" si="4"/>
        <v>0</v>
      </c>
      <c r="K17" s="15">
        <v>5</v>
      </c>
      <c r="L17" s="340">
        <v>5</v>
      </c>
      <c r="M17" s="19">
        <v>0</v>
      </c>
      <c r="N17" s="26">
        <v>0</v>
      </c>
      <c r="O17" s="19"/>
      <c r="P17" s="19"/>
      <c r="Q17" s="19"/>
      <c r="R17" s="19"/>
    </row>
    <row r="18" spans="1:18" x14ac:dyDescent="0.25">
      <c r="A18" s="1"/>
      <c r="B18" s="1" t="s">
        <v>3583</v>
      </c>
      <c r="C18" s="1" t="s">
        <v>295</v>
      </c>
      <c r="D18" s="20">
        <v>0</v>
      </c>
      <c r="E18" s="16">
        <v>0</v>
      </c>
      <c r="F18" s="20"/>
      <c r="G18" s="18"/>
      <c r="H18" s="29"/>
      <c r="I18" s="25">
        <v>0</v>
      </c>
      <c r="J18" s="17">
        <f t="shared" si="4"/>
        <v>0</v>
      </c>
      <c r="K18" s="15">
        <v>4</v>
      </c>
      <c r="L18" s="340">
        <v>4</v>
      </c>
      <c r="M18" s="19">
        <v>0</v>
      </c>
      <c r="N18" s="26">
        <v>0</v>
      </c>
      <c r="O18" s="19"/>
      <c r="P18" s="19"/>
      <c r="Q18" s="19"/>
      <c r="R18" s="19"/>
    </row>
    <row r="19" spans="1:18" x14ac:dyDescent="0.25">
      <c r="A19" s="1"/>
      <c r="B19" s="1" t="s">
        <v>3584</v>
      </c>
      <c r="C19" s="1" t="s">
        <v>267</v>
      </c>
      <c r="D19" s="23">
        <v>0</v>
      </c>
      <c r="E19" s="24">
        <v>0</v>
      </c>
      <c r="F19" s="23"/>
      <c r="G19" s="26"/>
      <c r="H19" s="29"/>
      <c r="I19" s="25">
        <v>0</v>
      </c>
      <c r="J19" s="17">
        <v>0</v>
      </c>
      <c r="K19" s="19">
        <v>0</v>
      </c>
      <c r="L19" s="338">
        <v>0</v>
      </c>
      <c r="M19" s="15">
        <v>520.22</v>
      </c>
      <c r="N19" s="18">
        <v>560.42999999999995</v>
      </c>
      <c r="O19" s="19"/>
      <c r="P19" s="19"/>
      <c r="Q19" s="19"/>
      <c r="R19" s="19"/>
    </row>
    <row r="20" spans="1:18" x14ac:dyDescent="0.25">
      <c r="A20" s="1"/>
      <c r="B20" s="1" t="s">
        <v>3585</v>
      </c>
      <c r="C20" s="1" t="s">
        <v>1085</v>
      </c>
      <c r="D20" s="23">
        <v>0</v>
      </c>
      <c r="E20" s="24">
        <v>0</v>
      </c>
      <c r="F20" s="23"/>
      <c r="G20" s="26"/>
      <c r="H20" s="29"/>
      <c r="I20" s="25">
        <v>0</v>
      </c>
      <c r="J20" s="17">
        <v>0</v>
      </c>
      <c r="K20" s="19">
        <v>0</v>
      </c>
      <c r="L20" s="338">
        <v>0</v>
      </c>
      <c r="M20" s="15">
        <v>6468.67</v>
      </c>
      <c r="N20" s="26">
        <v>0</v>
      </c>
      <c r="O20" s="19"/>
      <c r="P20" s="19"/>
      <c r="Q20" s="19"/>
      <c r="R20" s="19"/>
    </row>
    <row r="21" spans="1:18" x14ac:dyDescent="0.25">
      <c r="A21" s="1"/>
      <c r="B21" s="1" t="s">
        <v>3586</v>
      </c>
      <c r="C21" s="1" t="s">
        <v>561</v>
      </c>
      <c r="D21" s="20">
        <v>0</v>
      </c>
      <c r="E21" s="16">
        <v>0</v>
      </c>
      <c r="F21" s="20"/>
      <c r="G21" s="18"/>
      <c r="H21" s="29"/>
      <c r="I21" s="25">
        <v>0</v>
      </c>
      <c r="J21" s="17">
        <f>I21/K21</f>
        <v>0</v>
      </c>
      <c r="K21" s="15">
        <v>2000</v>
      </c>
      <c r="L21" s="340">
        <v>2000</v>
      </c>
      <c r="M21" s="19">
        <v>0</v>
      </c>
      <c r="N21" s="18">
        <v>1680.81</v>
      </c>
      <c r="O21" s="19"/>
      <c r="P21" s="19"/>
      <c r="Q21" s="19"/>
      <c r="R21" s="19"/>
    </row>
    <row r="22" spans="1:18" x14ac:dyDescent="0.25">
      <c r="A22" s="1"/>
      <c r="B22" s="1" t="s">
        <v>3587</v>
      </c>
      <c r="C22" s="1" t="s">
        <v>1564</v>
      </c>
      <c r="D22" s="23">
        <v>2100</v>
      </c>
      <c r="E22" s="24">
        <v>2100</v>
      </c>
      <c r="F22" s="23"/>
      <c r="G22" s="26"/>
      <c r="H22" s="29"/>
      <c r="I22" s="21"/>
      <c r="J22" s="17"/>
      <c r="K22" s="19"/>
      <c r="L22" s="338"/>
      <c r="M22" s="15"/>
      <c r="N22" s="26"/>
      <c r="O22" s="19"/>
      <c r="P22" s="19"/>
      <c r="Q22" s="19"/>
      <c r="R22" s="19"/>
    </row>
    <row r="23" spans="1:18" x14ac:dyDescent="0.25">
      <c r="A23" s="1"/>
      <c r="B23" s="1" t="s">
        <v>3588</v>
      </c>
      <c r="C23" s="1" t="s">
        <v>279</v>
      </c>
      <c r="D23" s="23">
        <v>1600</v>
      </c>
      <c r="E23" s="24">
        <v>1600</v>
      </c>
      <c r="F23" s="23"/>
      <c r="G23" s="26"/>
      <c r="H23" s="29"/>
      <c r="I23" s="21">
        <v>3331</v>
      </c>
      <c r="J23" s="17">
        <v>0</v>
      </c>
      <c r="K23" s="19">
        <v>0</v>
      </c>
      <c r="L23" s="338">
        <v>0</v>
      </c>
      <c r="M23" s="15">
        <v>1500</v>
      </c>
      <c r="N23" s="26">
        <v>0</v>
      </c>
      <c r="O23" s="19"/>
      <c r="P23" s="19"/>
      <c r="Q23" s="19"/>
      <c r="R23" s="19"/>
    </row>
    <row r="24" spans="1:18" x14ac:dyDescent="0.25">
      <c r="A24" s="1"/>
      <c r="B24" s="1" t="s">
        <v>3589</v>
      </c>
      <c r="C24" s="1" t="s">
        <v>283</v>
      </c>
      <c r="D24" s="20">
        <v>3000</v>
      </c>
      <c r="E24" s="16">
        <v>3000</v>
      </c>
      <c r="F24" s="20"/>
      <c r="G24" s="18"/>
      <c r="H24" s="29"/>
      <c r="I24" s="25">
        <v>0</v>
      </c>
      <c r="J24" s="17">
        <f>I24/K24</f>
        <v>0</v>
      </c>
      <c r="K24" s="15">
        <v>500</v>
      </c>
      <c r="L24" s="340">
        <v>500</v>
      </c>
      <c r="M24" s="19">
        <v>0</v>
      </c>
      <c r="N24" s="26">
        <v>0</v>
      </c>
      <c r="O24" s="19"/>
      <c r="P24" s="19"/>
      <c r="Q24" s="19"/>
      <c r="R24" s="19"/>
    </row>
    <row r="25" spans="1:18" x14ac:dyDescent="0.25">
      <c r="A25" s="1"/>
      <c r="B25" s="1" t="s">
        <v>3590</v>
      </c>
      <c r="C25" s="1" t="s">
        <v>1577</v>
      </c>
      <c r="D25" s="20">
        <v>27931</v>
      </c>
      <c r="E25" s="16">
        <v>27931</v>
      </c>
      <c r="F25" s="20"/>
      <c r="G25" s="18"/>
      <c r="H25" s="29"/>
      <c r="I25" s="25">
        <v>0</v>
      </c>
      <c r="J25" s="17">
        <v>0</v>
      </c>
      <c r="K25" s="19">
        <v>0</v>
      </c>
      <c r="L25" s="338">
        <v>0</v>
      </c>
      <c r="M25" s="15">
        <v>1380.37</v>
      </c>
      <c r="N25" s="26">
        <v>0</v>
      </c>
      <c r="O25" s="19"/>
      <c r="P25" s="19"/>
      <c r="Q25" s="19"/>
      <c r="R25" s="19"/>
    </row>
    <row r="26" spans="1:18" x14ac:dyDescent="0.25">
      <c r="A26" s="1"/>
      <c r="B26" s="1" t="s">
        <v>3591</v>
      </c>
      <c r="C26" s="1" t="s">
        <v>3592</v>
      </c>
      <c r="D26" s="23">
        <v>500</v>
      </c>
      <c r="E26" s="24">
        <v>500</v>
      </c>
      <c r="F26" s="23"/>
      <c r="G26" s="26"/>
      <c r="H26" s="29"/>
      <c r="I26" s="25">
        <v>0</v>
      </c>
      <c r="J26" s="17">
        <v>0</v>
      </c>
      <c r="K26" s="19">
        <v>0</v>
      </c>
      <c r="L26" s="338">
        <v>0</v>
      </c>
      <c r="M26" s="19">
        <v>0</v>
      </c>
      <c r="N26" s="26">
        <v>0</v>
      </c>
      <c r="O26" s="15"/>
      <c r="P26" s="19"/>
      <c r="Q26" s="19"/>
      <c r="R26" s="19"/>
    </row>
    <row r="27" spans="1:18" x14ac:dyDescent="0.25">
      <c r="A27" s="1"/>
      <c r="B27" s="1" t="s">
        <v>3593</v>
      </c>
      <c r="C27" s="1" t="s">
        <v>3594</v>
      </c>
      <c r="D27" s="20">
        <f t="shared" ref="D27:E27" si="5">119500+19500</f>
        <v>139000</v>
      </c>
      <c r="E27" s="16">
        <f t="shared" si="5"/>
        <v>139000</v>
      </c>
      <c r="F27" s="20"/>
      <c r="G27" s="18"/>
      <c r="H27" s="29"/>
      <c r="I27" s="21">
        <v>545.15</v>
      </c>
      <c r="J27" s="17">
        <f>I27/K27</f>
        <v>0.21806</v>
      </c>
      <c r="K27" s="15">
        <v>2500</v>
      </c>
      <c r="L27" s="340">
        <v>2500</v>
      </c>
      <c r="M27" s="15">
        <v>775</v>
      </c>
      <c r="N27" s="18">
        <v>542.5</v>
      </c>
      <c r="O27" s="15"/>
      <c r="P27" s="19"/>
      <c r="Q27" s="19"/>
      <c r="R27" s="19"/>
    </row>
    <row r="28" spans="1:18" x14ac:dyDescent="0.25">
      <c r="A28" s="1"/>
      <c r="B28" s="1" t="s">
        <v>3595</v>
      </c>
      <c r="C28" s="1" t="s">
        <v>3596</v>
      </c>
      <c r="D28" s="23">
        <v>0</v>
      </c>
      <c r="E28" s="24">
        <v>0</v>
      </c>
      <c r="F28" s="23"/>
      <c r="G28" s="26"/>
      <c r="H28" s="29"/>
      <c r="I28" s="21">
        <v>3400</v>
      </c>
      <c r="J28" s="17">
        <v>0</v>
      </c>
      <c r="K28" s="19">
        <v>0</v>
      </c>
      <c r="L28" s="338">
        <v>0</v>
      </c>
      <c r="M28" s="15">
        <v>3400</v>
      </c>
      <c r="N28" s="26">
        <v>0</v>
      </c>
      <c r="O28" s="19"/>
      <c r="P28" s="19"/>
      <c r="Q28" s="19"/>
      <c r="R28" s="19"/>
    </row>
    <row r="29" spans="1:18" x14ac:dyDescent="0.25">
      <c r="A29" s="1"/>
      <c r="B29" s="1" t="s">
        <v>3597</v>
      </c>
      <c r="C29" s="1" t="s">
        <v>3598</v>
      </c>
      <c r="D29" s="20">
        <v>1000</v>
      </c>
      <c r="E29" s="16">
        <v>1000</v>
      </c>
      <c r="F29" s="20"/>
      <c r="G29" s="18"/>
      <c r="H29" s="29"/>
      <c r="I29" s="25">
        <v>0</v>
      </c>
      <c r="J29" s="17">
        <f>I29/K29</f>
        <v>0</v>
      </c>
      <c r="K29" s="15">
        <v>300</v>
      </c>
      <c r="L29" s="340">
        <v>300</v>
      </c>
      <c r="M29" s="19">
        <v>0</v>
      </c>
      <c r="N29" s="26">
        <v>0</v>
      </c>
      <c r="O29" s="19"/>
      <c r="P29" s="19"/>
      <c r="Q29" s="19"/>
      <c r="R29" s="19"/>
    </row>
    <row r="30" spans="1:18" x14ac:dyDescent="0.25">
      <c r="A30" s="1"/>
      <c r="B30" s="28"/>
      <c r="C30" s="30" t="s">
        <v>3599</v>
      </c>
      <c r="D30" s="44">
        <f t="shared" ref="D30:E30" si="6">SUM(D13:D29)</f>
        <v>383101</v>
      </c>
      <c r="E30" s="42">
        <f t="shared" si="6"/>
        <v>383101</v>
      </c>
      <c r="F30" s="44"/>
      <c r="G30" s="43"/>
      <c r="H30" s="43"/>
      <c r="I30" s="41">
        <f>SUM(I13:I29)</f>
        <v>7276.15</v>
      </c>
      <c r="J30" s="41"/>
      <c r="K30" s="51">
        <f t="shared" ref="K30:N30" si="7">SUM(K13:K29)</f>
        <v>8975</v>
      </c>
      <c r="L30" s="342">
        <f t="shared" si="7"/>
        <v>8975</v>
      </c>
      <c r="M30" s="51">
        <f t="shared" si="7"/>
        <v>14044.259999999998</v>
      </c>
      <c r="N30" s="43">
        <f t="shared" si="7"/>
        <v>2783.74</v>
      </c>
      <c r="O30" s="51"/>
      <c r="P30" s="51"/>
      <c r="Q30" s="51"/>
      <c r="R30" s="51"/>
    </row>
    <row r="31" spans="1:18" x14ac:dyDescent="0.25">
      <c r="A31" s="1"/>
      <c r="D31" s="343"/>
      <c r="E31" s="344"/>
      <c r="I31" s="32"/>
      <c r="J31" s="32"/>
      <c r="L31" s="345"/>
      <c r="N31" s="8"/>
    </row>
    <row r="32" spans="1:18" x14ac:dyDescent="0.25">
      <c r="B32" s="346" t="s">
        <v>3600</v>
      </c>
      <c r="C32" s="346" t="s">
        <v>283</v>
      </c>
      <c r="D32" s="347">
        <v>0</v>
      </c>
      <c r="E32" s="348">
        <v>0</v>
      </c>
      <c r="F32" s="349"/>
      <c r="G32" s="349"/>
      <c r="H32" s="349"/>
      <c r="I32" s="350">
        <v>0</v>
      </c>
      <c r="J32" s="17">
        <v>0</v>
      </c>
      <c r="K32" s="349">
        <v>0</v>
      </c>
      <c r="L32" s="351">
        <v>0</v>
      </c>
      <c r="M32" s="349">
        <v>1885.71</v>
      </c>
      <c r="N32" s="352">
        <v>0</v>
      </c>
      <c r="O32" s="346"/>
    </row>
    <row r="33" spans="1:15" x14ac:dyDescent="0.25">
      <c r="B33" s="346" t="s">
        <v>3601</v>
      </c>
      <c r="C33" s="346" t="s">
        <v>431</v>
      </c>
      <c r="D33" s="347">
        <v>0</v>
      </c>
      <c r="E33" s="348">
        <v>0</v>
      </c>
      <c r="F33" s="349"/>
      <c r="G33" s="349"/>
      <c r="H33" s="349"/>
      <c r="I33" s="350">
        <v>3720</v>
      </c>
      <c r="J33" s="17">
        <f t="shared" ref="J33:J34" si="8">I33/K33</f>
        <v>1</v>
      </c>
      <c r="K33" s="349">
        <v>3720</v>
      </c>
      <c r="L33" s="351">
        <v>0</v>
      </c>
      <c r="M33" s="349">
        <v>3720</v>
      </c>
      <c r="N33" s="352">
        <v>0</v>
      </c>
      <c r="O33" s="346"/>
    </row>
    <row r="34" spans="1:15" x14ac:dyDescent="0.25">
      <c r="B34" s="346" t="s">
        <v>3602</v>
      </c>
      <c r="C34" s="346" t="s">
        <v>1577</v>
      </c>
      <c r="D34" s="347">
        <v>11532.5</v>
      </c>
      <c r="E34" s="348">
        <v>11532.5</v>
      </c>
      <c r="F34" s="349"/>
      <c r="G34" s="349"/>
      <c r="H34" s="349"/>
      <c r="I34" s="350">
        <v>6285.4</v>
      </c>
      <c r="J34" s="17">
        <f t="shared" si="8"/>
        <v>0.74915375446960664</v>
      </c>
      <c r="K34" s="349">
        <v>8390</v>
      </c>
      <c r="L34" s="351">
        <v>8390</v>
      </c>
      <c r="M34" s="349">
        <v>3320.26</v>
      </c>
      <c r="N34" s="352">
        <v>8327.4599999999991</v>
      </c>
      <c r="O34" s="346"/>
    </row>
    <row r="35" spans="1:15" x14ac:dyDescent="0.25">
      <c r="B35" s="346"/>
      <c r="C35" s="353" t="s">
        <v>3603</v>
      </c>
      <c r="D35" s="354">
        <f t="shared" ref="D35:I35" si="9">SUM(D32:D34)</f>
        <v>11532.5</v>
      </c>
      <c r="E35" s="355">
        <f t="shared" si="9"/>
        <v>11532.5</v>
      </c>
      <c r="F35" s="356">
        <f t="shared" si="9"/>
        <v>0</v>
      </c>
      <c r="G35" s="356">
        <f t="shared" si="9"/>
        <v>0</v>
      </c>
      <c r="H35" s="356">
        <f t="shared" si="9"/>
        <v>0</v>
      </c>
      <c r="I35" s="357">
        <f t="shared" si="9"/>
        <v>10005.4</v>
      </c>
      <c r="J35" s="357"/>
      <c r="K35" s="356">
        <f t="shared" ref="K35:N35" si="10">SUM(K32:K34)</f>
        <v>12110</v>
      </c>
      <c r="L35" s="358">
        <f t="shared" si="10"/>
        <v>8390</v>
      </c>
      <c r="M35" s="356">
        <f t="shared" si="10"/>
        <v>8925.9700000000012</v>
      </c>
      <c r="N35" s="359">
        <f t="shared" si="10"/>
        <v>8327.4599999999991</v>
      </c>
      <c r="O35" s="346"/>
    </row>
    <row r="36" spans="1:15" x14ac:dyDescent="0.25">
      <c r="B36" s="346"/>
      <c r="C36" s="353" t="s">
        <v>3604</v>
      </c>
      <c r="D36" s="360">
        <f t="shared" ref="D36:E36" si="11">SUM(D30+D35)</f>
        <v>394633.5</v>
      </c>
      <c r="E36" s="361">
        <f t="shared" si="11"/>
        <v>394633.5</v>
      </c>
      <c r="F36" s="349"/>
      <c r="G36" s="349"/>
      <c r="H36" s="349"/>
      <c r="I36" s="350"/>
      <c r="J36" s="350"/>
      <c r="K36" s="349"/>
      <c r="L36" s="351"/>
      <c r="M36" s="349"/>
      <c r="N36" s="352"/>
      <c r="O36" s="346"/>
    </row>
    <row r="37" spans="1:15" x14ac:dyDescent="0.25">
      <c r="B37" s="346"/>
      <c r="C37" s="346"/>
      <c r="D37" s="347"/>
      <c r="E37" s="348"/>
      <c r="F37" s="349"/>
      <c r="G37" s="349"/>
      <c r="H37" s="349"/>
      <c r="I37" s="350"/>
      <c r="J37" s="350"/>
      <c r="K37" s="349"/>
      <c r="L37" s="351"/>
      <c r="M37" s="349"/>
      <c r="N37" s="352"/>
      <c r="O37" s="346"/>
    </row>
    <row r="38" spans="1:15" x14ac:dyDescent="0.25">
      <c r="D38" s="362"/>
      <c r="E38" s="34"/>
      <c r="F38" s="128"/>
      <c r="G38" s="128"/>
      <c r="H38" s="128"/>
      <c r="I38" s="363"/>
      <c r="J38" s="363"/>
      <c r="K38" s="128"/>
      <c r="L38" s="364"/>
      <c r="M38" s="128"/>
      <c r="N38" s="365"/>
    </row>
    <row r="39" spans="1:15" ht="18" x14ac:dyDescent="0.25">
      <c r="B39" s="50" t="s">
        <v>3605</v>
      </c>
      <c r="C39" s="50" t="s">
        <v>3606</v>
      </c>
      <c r="D39" s="23"/>
      <c r="E39" s="24"/>
      <c r="F39" s="23"/>
      <c r="G39" s="26"/>
      <c r="H39" s="29"/>
      <c r="I39" s="25"/>
      <c r="J39" s="25"/>
      <c r="K39" s="19"/>
      <c r="L39" s="338"/>
      <c r="M39" s="19"/>
      <c r="N39" s="365"/>
    </row>
    <row r="40" spans="1:15" ht="15.75" x14ac:dyDescent="0.25">
      <c r="A40" s="14" t="s">
        <v>13</v>
      </c>
      <c r="B40" s="1"/>
      <c r="C40" s="1"/>
      <c r="D40" s="23"/>
      <c r="E40" s="24"/>
      <c r="F40" s="23"/>
      <c r="G40" s="26"/>
      <c r="H40" s="29"/>
      <c r="I40" s="25"/>
      <c r="J40" s="25"/>
      <c r="K40" s="19"/>
      <c r="L40" s="338"/>
      <c r="M40" s="19"/>
      <c r="N40" s="8"/>
    </row>
    <row r="41" spans="1:15" x14ac:dyDescent="0.25">
      <c r="B41" s="1" t="s">
        <v>3607</v>
      </c>
      <c r="C41" s="1" t="s">
        <v>3608</v>
      </c>
      <c r="D41" s="20">
        <v>-290212</v>
      </c>
      <c r="E41" s="16">
        <v>-290212</v>
      </c>
      <c r="F41" s="20"/>
      <c r="G41" s="18"/>
      <c r="H41" s="29"/>
      <c r="I41" s="25">
        <v>-224894</v>
      </c>
      <c r="J41" s="17">
        <f>I41/K41</f>
        <v>0.57969094353726591</v>
      </c>
      <c r="K41" s="15">
        <v>-387955</v>
      </c>
      <c r="L41" s="340">
        <v>-382955</v>
      </c>
      <c r="M41" s="15">
        <v>-194193.13</v>
      </c>
      <c r="N41" s="18">
        <v>-195533.94</v>
      </c>
    </row>
    <row r="42" spans="1:15" x14ac:dyDescent="0.25">
      <c r="A42" s="1"/>
      <c r="B42" s="1" t="s">
        <v>3609</v>
      </c>
      <c r="C42" s="1" t="s">
        <v>3610</v>
      </c>
      <c r="D42" s="20">
        <v>-153603</v>
      </c>
      <c r="E42" s="16">
        <v>-153603</v>
      </c>
      <c r="F42" s="20"/>
      <c r="G42" s="18"/>
      <c r="H42" s="29"/>
      <c r="I42" s="25"/>
      <c r="J42" s="17"/>
      <c r="K42" s="15"/>
      <c r="L42" s="340"/>
      <c r="M42" s="15"/>
      <c r="N42" s="18"/>
    </row>
    <row r="43" spans="1:15" x14ac:dyDescent="0.25">
      <c r="A43" s="1"/>
      <c r="B43" s="1" t="s">
        <v>3611</v>
      </c>
      <c r="C43" s="1" t="s">
        <v>3576</v>
      </c>
      <c r="D43" s="20">
        <v>-315000</v>
      </c>
      <c r="E43" s="16">
        <v>-315000</v>
      </c>
      <c r="F43" s="341"/>
      <c r="G43" s="18"/>
      <c r="H43" s="29"/>
      <c r="I43" s="25"/>
      <c r="J43" s="17"/>
      <c r="K43" s="15"/>
      <c r="L43" s="340">
        <v>-329000</v>
      </c>
      <c r="M43" s="15"/>
      <c r="N43" s="18"/>
    </row>
    <row r="44" spans="1:15" x14ac:dyDescent="0.25">
      <c r="A44" s="1"/>
      <c r="B44" s="1" t="s">
        <v>3612</v>
      </c>
      <c r="C44" s="1" t="s">
        <v>3613</v>
      </c>
      <c r="D44" s="20">
        <v>-8000</v>
      </c>
      <c r="E44" s="16">
        <v>-8000</v>
      </c>
      <c r="F44" s="341"/>
      <c r="G44" s="18"/>
      <c r="H44" s="29"/>
      <c r="I44" s="25"/>
      <c r="J44" s="17"/>
      <c r="K44" s="15"/>
      <c r="L44" s="340">
        <v>-9200</v>
      </c>
      <c r="M44" s="15"/>
      <c r="N44" s="18"/>
    </row>
    <row r="45" spans="1:15" x14ac:dyDescent="0.25">
      <c r="A45" s="1"/>
      <c r="B45" s="1" t="s">
        <v>3614</v>
      </c>
      <c r="C45" s="1" t="s">
        <v>3615</v>
      </c>
      <c r="D45" s="20">
        <v>-3600</v>
      </c>
      <c r="E45" s="16">
        <v>-3600</v>
      </c>
      <c r="F45" s="341"/>
      <c r="G45" s="18"/>
      <c r="H45" s="29"/>
      <c r="I45" s="25"/>
      <c r="J45" s="17"/>
      <c r="K45" s="15"/>
      <c r="L45" s="340">
        <v>-4300</v>
      </c>
      <c r="M45" s="15"/>
      <c r="N45" s="18"/>
    </row>
    <row r="46" spans="1:15" x14ac:dyDescent="0.25">
      <c r="A46" s="1"/>
      <c r="B46" s="1" t="s">
        <v>3616</v>
      </c>
      <c r="C46" s="1" t="s">
        <v>3617</v>
      </c>
      <c r="D46" s="20">
        <v>-8000</v>
      </c>
      <c r="E46" s="16">
        <v>-8000</v>
      </c>
      <c r="F46" s="341"/>
      <c r="G46" s="18"/>
      <c r="H46" s="29"/>
      <c r="I46" s="25"/>
      <c r="J46" s="17"/>
      <c r="K46" s="15"/>
      <c r="L46" s="340">
        <v>-8200</v>
      </c>
      <c r="M46" s="15"/>
      <c r="N46" s="18"/>
    </row>
    <row r="47" spans="1:15" x14ac:dyDescent="0.25">
      <c r="A47" s="1"/>
      <c r="B47" s="1" t="s">
        <v>3618</v>
      </c>
      <c r="C47" s="1" t="s">
        <v>3619</v>
      </c>
      <c r="D47" s="20">
        <v>0</v>
      </c>
      <c r="E47" s="16">
        <v>0</v>
      </c>
      <c r="F47" s="341"/>
      <c r="G47" s="18"/>
      <c r="H47" s="29"/>
      <c r="I47" s="25"/>
      <c r="J47" s="17"/>
      <c r="K47" s="15"/>
      <c r="L47" s="340">
        <v>-1700</v>
      </c>
      <c r="M47" s="15"/>
      <c r="N47" s="18"/>
    </row>
    <row r="48" spans="1:15" x14ac:dyDescent="0.25">
      <c r="A48" s="1"/>
      <c r="B48" s="1" t="s">
        <v>3620</v>
      </c>
      <c r="C48" s="1" t="s">
        <v>3621</v>
      </c>
      <c r="D48" s="20">
        <v>-45000</v>
      </c>
      <c r="E48" s="16">
        <v>-45000</v>
      </c>
      <c r="F48" s="341"/>
      <c r="G48" s="18"/>
      <c r="H48" s="29"/>
      <c r="I48" s="25"/>
      <c r="J48" s="17"/>
      <c r="K48" s="15"/>
      <c r="L48" s="340">
        <v>-45000</v>
      </c>
      <c r="M48" s="15"/>
      <c r="N48" s="18"/>
    </row>
    <row r="49" spans="1:14" x14ac:dyDescent="0.25">
      <c r="A49" s="1"/>
      <c r="B49" s="1" t="s">
        <v>3622</v>
      </c>
      <c r="C49" s="1" t="s">
        <v>3623</v>
      </c>
      <c r="D49" s="20">
        <v>0</v>
      </c>
      <c r="E49" s="16">
        <v>0</v>
      </c>
      <c r="F49" s="341"/>
      <c r="G49" s="18"/>
      <c r="H49" s="29"/>
      <c r="I49" s="25"/>
      <c r="J49" s="17"/>
      <c r="K49" s="15"/>
      <c r="L49" s="340">
        <v>0</v>
      </c>
      <c r="M49" s="15"/>
      <c r="N49" s="18"/>
    </row>
    <row r="50" spans="1:14" x14ac:dyDescent="0.25">
      <c r="A50" s="1"/>
      <c r="B50" s="1" t="s">
        <v>3624</v>
      </c>
      <c r="C50" s="1" t="s">
        <v>3625</v>
      </c>
      <c r="D50" s="20">
        <v>-4000</v>
      </c>
      <c r="E50" s="16">
        <v>-4000</v>
      </c>
      <c r="F50" s="341"/>
      <c r="G50" s="18"/>
      <c r="H50" s="29"/>
      <c r="I50" s="25"/>
      <c r="J50" s="17"/>
      <c r="K50" s="15"/>
      <c r="L50" s="340">
        <v>-5000</v>
      </c>
      <c r="M50" s="15"/>
      <c r="N50" s="18"/>
    </row>
    <row r="51" spans="1:14" x14ac:dyDescent="0.25">
      <c r="A51" s="1"/>
      <c r="B51" s="1" t="s">
        <v>3626</v>
      </c>
      <c r="C51" s="366" t="s">
        <v>3627</v>
      </c>
      <c r="D51" s="20">
        <v>0</v>
      </c>
      <c r="E51" s="16">
        <v>0</v>
      </c>
      <c r="F51" s="341"/>
      <c r="G51" s="18"/>
      <c r="H51" s="29"/>
      <c r="I51" s="25"/>
      <c r="J51" s="17"/>
      <c r="K51" s="15"/>
      <c r="L51" s="340"/>
      <c r="M51" s="15"/>
      <c r="N51" s="18"/>
    </row>
    <row r="52" spans="1:14" x14ac:dyDescent="0.25">
      <c r="A52" s="1"/>
      <c r="B52" s="1" t="s">
        <v>3628</v>
      </c>
      <c r="C52" s="366" t="s">
        <v>3629</v>
      </c>
      <c r="D52" s="20">
        <v>-10000</v>
      </c>
      <c r="E52" s="16">
        <v>-10000</v>
      </c>
      <c r="F52" s="341"/>
      <c r="G52" s="18"/>
      <c r="H52" s="29"/>
      <c r="I52" s="25"/>
      <c r="J52" s="17"/>
      <c r="K52" s="15"/>
      <c r="L52" s="340"/>
      <c r="M52" s="15"/>
      <c r="N52" s="18"/>
    </row>
    <row r="53" spans="1:14" x14ac:dyDescent="0.25">
      <c r="A53" s="1"/>
      <c r="B53" s="1" t="s">
        <v>3630</v>
      </c>
      <c r="C53" s="1" t="s">
        <v>3631</v>
      </c>
      <c r="D53" s="20">
        <v>-1500</v>
      </c>
      <c r="E53" s="16">
        <v>-1500</v>
      </c>
      <c r="F53" s="341"/>
      <c r="G53" s="18"/>
      <c r="H53" s="29"/>
      <c r="I53" s="25"/>
      <c r="J53" s="17"/>
      <c r="K53" s="15"/>
      <c r="L53" s="340"/>
      <c r="M53" s="15"/>
      <c r="N53" s="18"/>
    </row>
    <row r="54" spans="1:14" x14ac:dyDescent="0.25">
      <c r="A54" s="1"/>
      <c r="B54" s="1" t="s">
        <v>3632</v>
      </c>
      <c r="C54" s="1" t="s">
        <v>3633</v>
      </c>
      <c r="D54" s="20">
        <v>-3500</v>
      </c>
      <c r="E54" s="16">
        <v>-3500</v>
      </c>
      <c r="F54" s="341"/>
      <c r="G54" s="18"/>
      <c r="H54" s="29"/>
      <c r="I54" s="25"/>
      <c r="J54" s="17"/>
      <c r="K54" s="15"/>
      <c r="L54" s="340"/>
      <c r="M54" s="15"/>
      <c r="N54" s="18"/>
    </row>
    <row r="55" spans="1:14" x14ac:dyDescent="0.25">
      <c r="A55" s="1"/>
      <c r="B55" s="1" t="s">
        <v>3634</v>
      </c>
      <c r="C55" s="1" t="s">
        <v>3635</v>
      </c>
      <c r="D55" s="20">
        <v>-4500</v>
      </c>
      <c r="E55" s="16">
        <v>-4500</v>
      </c>
      <c r="F55" s="341"/>
      <c r="G55" s="18"/>
      <c r="H55" s="29"/>
      <c r="I55" s="25"/>
      <c r="J55" s="17"/>
      <c r="K55" s="15"/>
      <c r="L55" s="340"/>
      <c r="M55" s="15"/>
      <c r="N55" s="18"/>
    </row>
    <row r="56" spans="1:14" x14ac:dyDescent="0.25">
      <c r="A56" s="1"/>
      <c r="B56" s="1" t="s">
        <v>3636</v>
      </c>
      <c r="C56" s="1" t="s">
        <v>3637</v>
      </c>
      <c r="D56" s="20">
        <v>-1500</v>
      </c>
      <c r="E56" s="16">
        <v>-1500</v>
      </c>
      <c r="F56" s="341"/>
      <c r="G56" s="18"/>
      <c r="H56" s="29"/>
      <c r="I56" s="25"/>
      <c r="J56" s="17"/>
      <c r="K56" s="15"/>
      <c r="L56" s="340"/>
      <c r="M56" s="15"/>
      <c r="N56" s="18"/>
    </row>
    <row r="57" spans="1:14" x14ac:dyDescent="0.25">
      <c r="A57" s="1"/>
      <c r="B57" s="1" t="s">
        <v>3638</v>
      </c>
      <c r="C57" s="346" t="s">
        <v>3639</v>
      </c>
      <c r="D57" s="20">
        <v>-200</v>
      </c>
      <c r="E57" s="16">
        <v>-200</v>
      </c>
      <c r="F57" s="341"/>
      <c r="G57" s="18"/>
      <c r="H57" s="29"/>
      <c r="I57" s="25"/>
      <c r="J57" s="17"/>
      <c r="K57" s="15"/>
      <c r="L57" s="340"/>
      <c r="M57" s="15"/>
      <c r="N57" s="18"/>
    </row>
    <row r="58" spans="1:14" x14ac:dyDescent="0.25">
      <c r="A58" s="1"/>
      <c r="B58" s="1" t="s">
        <v>3640</v>
      </c>
      <c r="C58" s="1" t="s">
        <v>3641</v>
      </c>
      <c r="D58" s="20">
        <v>-1200</v>
      </c>
      <c r="E58" s="16">
        <v>-1200</v>
      </c>
      <c r="F58" s="341"/>
      <c r="G58" s="18"/>
      <c r="H58" s="29"/>
      <c r="I58" s="25"/>
      <c r="J58" s="17"/>
      <c r="K58" s="15"/>
      <c r="L58" s="340"/>
      <c r="M58" s="15"/>
      <c r="N58" s="18"/>
    </row>
    <row r="59" spans="1:14" x14ac:dyDescent="0.25">
      <c r="A59" s="1"/>
      <c r="B59" s="1" t="s">
        <v>3642</v>
      </c>
      <c r="C59" s="1" t="s">
        <v>197</v>
      </c>
      <c r="D59" s="20">
        <v>-5000</v>
      </c>
      <c r="E59" s="16">
        <v>-5000</v>
      </c>
      <c r="F59" s="341"/>
      <c r="G59" s="18"/>
      <c r="H59" s="29"/>
      <c r="I59" s="25"/>
      <c r="J59" s="17"/>
      <c r="K59" s="15"/>
      <c r="L59" s="340"/>
      <c r="M59" s="15"/>
      <c r="N59" s="18"/>
    </row>
    <row r="60" spans="1:14" x14ac:dyDescent="0.25">
      <c r="A60" s="1"/>
      <c r="B60" s="1" t="s">
        <v>3643</v>
      </c>
      <c r="C60" s="1" t="s">
        <v>225</v>
      </c>
      <c r="D60" s="20">
        <v>0</v>
      </c>
      <c r="E60" s="16">
        <v>0</v>
      </c>
      <c r="F60" s="341"/>
      <c r="G60" s="18"/>
      <c r="H60" s="29"/>
      <c r="I60" s="25"/>
      <c r="J60" s="17"/>
      <c r="K60" s="15"/>
      <c r="L60" s="340"/>
      <c r="M60" s="15"/>
      <c r="N60" s="18"/>
    </row>
    <row r="61" spans="1:14" x14ac:dyDescent="0.25">
      <c r="A61" s="1"/>
      <c r="B61" s="1" t="s">
        <v>3644</v>
      </c>
      <c r="C61" s="1" t="s">
        <v>1838</v>
      </c>
      <c r="D61" s="20">
        <f t="shared" ref="D61:E61" si="12">-214437+39602</f>
        <v>-174835</v>
      </c>
      <c r="E61" s="16">
        <f t="shared" si="12"/>
        <v>-174835</v>
      </c>
      <c r="F61" s="341"/>
      <c r="G61" s="18"/>
      <c r="H61" s="29"/>
      <c r="I61" s="25"/>
      <c r="J61" s="17"/>
      <c r="K61" s="15"/>
      <c r="L61" s="340"/>
      <c r="M61" s="15"/>
      <c r="N61" s="18"/>
    </row>
    <row r="62" spans="1:14" x14ac:dyDescent="0.25">
      <c r="A62" s="1"/>
      <c r="B62" s="1"/>
      <c r="C62" s="39" t="s">
        <v>3645</v>
      </c>
      <c r="D62" s="44">
        <f t="shared" ref="D62:E62" si="13">SUM(D41:D61)</f>
        <v>-1029650</v>
      </c>
      <c r="E62" s="42">
        <f t="shared" si="13"/>
        <v>-1029650</v>
      </c>
      <c r="F62" s="44"/>
      <c r="G62" s="43"/>
      <c r="H62" s="43"/>
      <c r="I62" s="41">
        <f>SUM(I41:I61)</f>
        <v>-224894</v>
      </c>
      <c r="J62" s="41"/>
      <c r="K62" s="40">
        <f t="shared" ref="K62:N62" si="14">SUM(K41:K61)</f>
        <v>-387955</v>
      </c>
      <c r="L62" s="342">
        <f t="shared" si="14"/>
        <v>-785355</v>
      </c>
      <c r="M62" s="40">
        <f t="shared" si="14"/>
        <v>-194193.13</v>
      </c>
      <c r="N62" s="43">
        <f t="shared" si="14"/>
        <v>-195533.94</v>
      </c>
    </row>
    <row r="63" spans="1:14" x14ac:dyDescent="0.25">
      <c r="A63" s="39" t="s">
        <v>1773</v>
      </c>
      <c r="B63" s="1"/>
      <c r="C63" s="1"/>
      <c r="D63" s="20"/>
      <c r="E63" s="16"/>
      <c r="F63" s="20"/>
      <c r="G63" s="18"/>
      <c r="H63" s="29"/>
      <c r="I63" s="25"/>
      <c r="J63" s="21"/>
      <c r="K63" s="15"/>
      <c r="L63" s="340"/>
      <c r="M63" s="15"/>
      <c r="N63" s="18"/>
    </row>
    <row r="64" spans="1:14" x14ac:dyDescent="0.25">
      <c r="B64" s="1" t="s">
        <v>3646</v>
      </c>
      <c r="C64" s="1" t="s">
        <v>439</v>
      </c>
      <c r="D64" s="20">
        <v>479342</v>
      </c>
      <c r="E64" s="16">
        <v>479342</v>
      </c>
      <c r="F64" s="20"/>
      <c r="G64" s="18"/>
      <c r="H64" s="29"/>
      <c r="I64" s="25"/>
      <c r="J64" s="17"/>
      <c r="K64" s="15"/>
      <c r="L64" s="340"/>
      <c r="M64" s="19"/>
      <c r="N64" s="26"/>
    </row>
    <row r="65" spans="1:14" x14ac:dyDescent="0.25">
      <c r="A65" s="1"/>
      <c r="B65" s="1" t="s">
        <v>3647</v>
      </c>
      <c r="C65" s="1" t="s">
        <v>443</v>
      </c>
      <c r="D65" s="20">
        <v>24640</v>
      </c>
      <c r="E65" s="16">
        <v>24640</v>
      </c>
      <c r="F65" s="20"/>
      <c r="G65" s="18"/>
      <c r="H65" s="29"/>
      <c r="I65" s="25"/>
      <c r="J65" s="17"/>
      <c r="K65" s="15"/>
      <c r="L65" s="340"/>
      <c r="M65" s="19"/>
      <c r="N65" s="26"/>
    </row>
    <row r="66" spans="1:14" x14ac:dyDescent="0.25">
      <c r="A66" s="1"/>
      <c r="B66" s="1" t="s">
        <v>3648</v>
      </c>
      <c r="C66" s="1" t="s">
        <v>3649</v>
      </c>
      <c r="D66" s="20">
        <v>10800</v>
      </c>
      <c r="E66" s="16">
        <v>10800</v>
      </c>
      <c r="F66" s="20"/>
      <c r="G66" s="18"/>
      <c r="H66" s="29"/>
      <c r="I66" s="25"/>
      <c r="J66" s="17"/>
      <c r="K66" s="15"/>
      <c r="L66" s="340"/>
      <c r="M66" s="19"/>
      <c r="N66" s="26"/>
    </row>
    <row r="67" spans="1:14" x14ac:dyDescent="0.25">
      <c r="A67" s="1"/>
      <c r="B67" s="1" t="s">
        <v>3650</v>
      </c>
      <c r="C67" s="1" t="s">
        <v>257</v>
      </c>
      <c r="D67" s="20">
        <v>39381</v>
      </c>
      <c r="E67" s="16">
        <v>39381</v>
      </c>
      <c r="F67" s="20"/>
      <c r="G67" s="18"/>
      <c r="H67" s="29"/>
      <c r="I67" s="25"/>
      <c r="J67" s="17"/>
      <c r="K67" s="15"/>
      <c r="L67" s="340"/>
      <c r="M67" s="19"/>
      <c r="N67" s="26"/>
    </row>
    <row r="68" spans="1:14" x14ac:dyDescent="0.25">
      <c r="A68" s="1"/>
      <c r="B68" s="1" t="s">
        <v>3651</v>
      </c>
      <c r="C68" s="1" t="s">
        <v>261</v>
      </c>
      <c r="D68" s="20">
        <v>74746</v>
      </c>
      <c r="E68" s="16">
        <v>74746</v>
      </c>
      <c r="F68" s="20"/>
      <c r="G68" s="18"/>
      <c r="H68" s="29"/>
      <c r="I68" s="25"/>
      <c r="J68" s="17"/>
      <c r="K68" s="15"/>
      <c r="L68" s="340"/>
      <c r="M68" s="19"/>
      <c r="N68" s="26"/>
    </row>
    <row r="69" spans="1:14" x14ac:dyDescent="0.25">
      <c r="A69" s="1"/>
      <c r="B69" s="1" t="s">
        <v>3652</v>
      </c>
      <c r="C69" s="1" t="s">
        <v>263</v>
      </c>
      <c r="D69" s="20">
        <v>824</v>
      </c>
      <c r="E69" s="16">
        <v>824</v>
      </c>
      <c r="F69" s="20"/>
      <c r="G69" s="18"/>
      <c r="H69" s="29"/>
      <c r="I69" s="25"/>
      <c r="J69" s="17"/>
      <c r="K69" s="15"/>
      <c r="L69" s="340"/>
      <c r="M69" s="19"/>
      <c r="N69" s="26"/>
    </row>
    <row r="70" spans="1:14" x14ac:dyDescent="0.25">
      <c r="A70" s="1"/>
      <c r="B70" s="1" t="s">
        <v>3653</v>
      </c>
      <c r="C70" s="1" t="s">
        <v>295</v>
      </c>
      <c r="D70" s="20">
        <v>463</v>
      </c>
      <c r="E70" s="16">
        <v>463</v>
      </c>
      <c r="F70" s="20"/>
      <c r="G70" s="18"/>
      <c r="H70" s="29"/>
      <c r="I70" s="25"/>
      <c r="J70" s="17"/>
      <c r="K70" s="15"/>
      <c r="L70" s="340"/>
      <c r="M70" s="19"/>
      <c r="N70" s="26"/>
    </row>
    <row r="71" spans="1:14" x14ac:dyDescent="0.25">
      <c r="A71" s="1"/>
      <c r="B71" s="1" t="s">
        <v>3654</v>
      </c>
      <c r="C71" s="1" t="s">
        <v>3655</v>
      </c>
      <c r="D71" s="23">
        <v>0</v>
      </c>
      <c r="E71" s="24">
        <v>0</v>
      </c>
      <c r="F71" s="23"/>
      <c r="G71" s="26"/>
      <c r="H71" s="29"/>
      <c r="I71" s="25"/>
      <c r="J71" s="17"/>
      <c r="K71" s="19"/>
      <c r="L71" s="338"/>
      <c r="M71" s="15"/>
      <c r="N71" s="18"/>
    </row>
    <row r="72" spans="1:14" x14ac:dyDescent="0.25">
      <c r="A72" s="1"/>
      <c r="B72" s="1" t="s">
        <v>3656</v>
      </c>
      <c r="C72" s="1" t="s">
        <v>267</v>
      </c>
      <c r="D72" s="23">
        <v>10000</v>
      </c>
      <c r="E72" s="24">
        <v>10000</v>
      </c>
      <c r="F72" s="23"/>
      <c r="G72" s="26"/>
      <c r="H72" s="29"/>
      <c r="I72" s="25"/>
      <c r="J72" s="17"/>
      <c r="K72" s="19"/>
      <c r="L72" s="338"/>
      <c r="M72" s="15"/>
      <c r="N72" s="26"/>
    </row>
    <row r="73" spans="1:14" x14ac:dyDescent="0.25">
      <c r="A73" s="1"/>
      <c r="B73" s="1" t="s">
        <v>3657</v>
      </c>
      <c r="C73" s="1" t="s">
        <v>996</v>
      </c>
      <c r="D73" s="20">
        <v>2500</v>
      </c>
      <c r="E73" s="16">
        <v>2500</v>
      </c>
      <c r="F73" s="20"/>
      <c r="G73" s="18"/>
      <c r="H73" s="29"/>
      <c r="I73" s="25"/>
      <c r="J73" s="17"/>
      <c r="K73" s="15"/>
      <c r="L73" s="340"/>
      <c r="M73" s="19"/>
      <c r="N73" s="18"/>
    </row>
    <row r="74" spans="1:14" x14ac:dyDescent="0.25">
      <c r="A74" s="1"/>
      <c r="B74" s="1" t="s">
        <v>3658</v>
      </c>
      <c r="C74" s="1" t="s">
        <v>3659</v>
      </c>
      <c r="D74" s="23">
        <v>3000</v>
      </c>
      <c r="E74" s="24">
        <v>3000</v>
      </c>
      <c r="F74" s="23"/>
      <c r="G74" s="26"/>
      <c r="H74" s="29"/>
      <c r="I74" s="21"/>
      <c r="J74" s="17"/>
      <c r="K74" s="19"/>
      <c r="L74" s="338"/>
      <c r="M74" s="15"/>
      <c r="N74" s="26"/>
    </row>
    <row r="75" spans="1:14" x14ac:dyDescent="0.25">
      <c r="A75" s="1"/>
      <c r="B75" s="1" t="s">
        <v>3660</v>
      </c>
      <c r="C75" s="1" t="s">
        <v>3661</v>
      </c>
      <c r="D75" s="23">
        <v>9000</v>
      </c>
      <c r="E75" s="24">
        <v>9000</v>
      </c>
      <c r="F75" s="23"/>
      <c r="G75" s="26"/>
      <c r="H75" s="29"/>
      <c r="I75" s="21"/>
      <c r="J75" s="17"/>
      <c r="K75" s="19"/>
      <c r="L75" s="338"/>
      <c r="M75" s="15"/>
      <c r="N75" s="26"/>
    </row>
    <row r="76" spans="1:14" x14ac:dyDescent="0.25">
      <c r="A76" s="1"/>
      <c r="B76" s="1" t="s">
        <v>3662</v>
      </c>
      <c r="C76" s="1" t="s">
        <v>488</v>
      </c>
      <c r="D76" s="20">
        <v>500</v>
      </c>
      <c r="E76" s="16">
        <v>500</v>
      </c>
      <c r="F76" s="20"/>
      <c r="G76" s="18"/>
      <c r="H76" s="29"/>
      <c r="I76" s="25"/>
      <c r="J76" s="17"/>
      <c r="K76" s="15"/>
      <c r="L76" s="340"/>
      <c r="M76" s="19"/>
      <c r="N76" s="26"/>
    </row>
    <row r="77" spans="1:14" x14ac:dyDescent="0.25">
      <c r="A77" s="1"/>
      <c r="B77" s="1" t="s">
        <v>3663</v>
      </c>
      <c r="C77" s="1" t="s">
        <v>490</v>
      </c>
      <c r="D77" s="20">
        <v>500</v>
      </c>
      <c r="E77" s="16">
        <v>500</v>
      </c>
      <c r="F77" s="20"/>
      <c r="G77" s="18"/>
      <c r="H77" s="29"/>
      <c r="I77" s="25"/>
      <c r="J77" s="17"/>
      <c r="K77" s="19"/>
      <c r="L77" s="338"/>
      <c r="M77" s="15"/>
      <c r="N77" s="26"/>
    </row>
    <row r="78" spans="1:14" x14ac:dyDescent="0.25">
      <c r="A78" s="1"/>
      <c r="B78" s="1" t="s">
        <v>3664</v>
      </c>
      <c r="C78" s="1" t="s">
        <v>309</v>
      </c>
      <c r="D78" s="23">
        <v>2177</v>
      </c>
      <c r="E78" s="24">
        <v>2177</v>
      </c>
      <c r="F78" s="23"/>
      <c r="G78" s="26"/>
      <c r="H78" s="29"/>
      <c r="I78" s="25"/>
      <c r="J78" s="17"/>
      <c r="K78" s="19"/>
      <c r="L78" s="338"/>
      <c r="M78" s="19"/>
      <c r="N78" s="26"/>
    </row>
    <row r="79" spans="1:14" x14ac:dyDescent="0.25">
      <c r="A79" s="1"/>
      <c r="B79" s="1" t="s">
        <v>3665</v>
      </c>
      <c r="C79" s="1" t="s">
        <v>3666</v>
      </c>
      <c r="D79" s="20">
        <v>100</v>
      </c>
      <c r="E79" s="16">
        <v>100</v>
      </c>
      <c r="F79" s="20"/>
      <c r="G79" s="18"/>
      <c r="H79" s="29"/>
      <c r="I79" s="21"/>
      <c r="J79" s="17"/>
      <c r="K79" s="15"/>
      <c r="L79" s="340"/>
      <c r="M79" s="15"/>
      <c r="N79" s="18"/>
    </row>
    <row r="80" spans="1:14" x14ac:dyDescent="0.25">
      <c r="A80" s="1"/>
      <c r="B80" s="1" t="s">
        <v>3667</v>
      </c>
      <c r="C80" s="1" t="s">
        <v>497</v>
      </c>
      <c r="D80" s="23">
        <v>2500</v>
      </c>
      <c r="E80" s="24">
        <v>2500</v>
      </c>
      <c r="F80" s="23"/>
      <c r="G80" s="26"/>
      <c r="H80" s="29"/>
      <c r="I80" s="21"/>
      <c r="J80" s="17"/>
      <c r="K80" s="19"/>
      <c r="L80" s="338"/>
      <c r="M80" s="15"/>
      <c r="N80" s="26"/>
    </row>
    <row r="81" spans="1:14" x14ac:dyDescent="0.25">
      <c r="A81" s="1"/>
      <c r="B81" s="1" t="s">
        <v>3668</v>
      </c>
      <c r="C81" s="1" t="s">
        <v>279</v>
      </c>
      <c r="D81" s="20">
        <v>37156</v>
      </c>
      <c r="E81" s="16">
        <v>37156</v>
      </c>
      <c r="F81" s="20"/>
      <c r="G81" s="18"/>
      <c r="H81" s="29"/>
      <c r="I81" s="25"/>
      <c r="J81" s="17"/>
      <c r="K81" s="15"/>
      <c r="L81" s="340"/>
      <c r="M81" s="19"/>
      <c r="N81" s="26"/>
    </row>
    <row r="82" spans="1:14" x14ac:dyDescent="0.25">
      <c r="A82" s="1"/>
      <c r="B82" s="1" t="s">
        <v>3669</v>
      </c>
      <c r="C82" s="1" t="s">
        <v>329</v>
      </c>
      <c r="D82" s="20">
        <v>2700</v>
      </c>
      <c r="E82" s="16">
        <v>2700</v>
      </c>
      <c r="F82" s="20"/>
      <c r="G82" s="18"/>
      <c r="H82" s="29"/>
      <c r="I82" s="25"/>
      <c r="J82" s="17"/>
      <c r="K82" s="15"/>
      <c r="L82" s="340"/>
      <c r="M82" s="19"/>
      <c r="N82" s="26"/>
    </row>
    <row r="83" spans="1:14" x14ac:dyDescent="0.25">
      <c r="A83" s="1"/>
      <c r="B83" s="1" t="s">
        <v>3670</v>
      </c>
      <c r="C83" s="1" t="s">
        <v>3671</v>
      </c>
      <c r="D83" s="20">
        <v>3500</v>
      </c>
      <c r="E83" s="16">
        <v>3500</v>
      </c>
      <c r="F83" s="20"/>
      <c r="G83" s="18"/>
      <c r="H83" s="29"/>
      <c r="I83" s="25"/>
      <c r="J83" s="17"/>
      <c r="K83" s="15"/>
      <c r="L83" s="340"/>
      <c r="M83" s="19"/>
      <c r="N83" s="26"/>
    </row>
    <row r="84" spans="1:14" x14ac:dyDescent="0.25">
      <c r="A84" s="1"/>
      <c r="B84" s="1" t="s">
        <v>3672</v>
      </c>
      <c r="C84" s="1" t="s">
        <v>3673</v>
      </c>
      <c r="D84" s="20">
        <v>2320</v>
      </c>
      <c r="E84" s="16">
        <v>2320</v>
      </c>
      <c r="F84" s="20"/>
      <c r="G84" s="18"/>
      <c r="H84" s="29"/>
      <c r="I84" s="25"/>
      <c r="J84" s="17"/>
      <c r="K84" s="15"/>
      <c r="L84" s="340"/>
      <c r="M84" s="19"/>
      <c r="N84" s="26"/>
    </row>
    <row r="85" spans="1:14" x14ac:dyDescent="0.25">
      <c r="A85" s="1"/>
      <c r="B85" s="1" t="s">
        <v>3674</v>
      </c>
      <c r="C85" s="1" t="s">
        <v>283</v>
      </c>
      <c r="D85" s="20">
        <v>2300</v>
      </c>
      <c r="E85" s="16">
        <v>2300</v>
      </c>
      <c r="F85" s="20"/>
      <c r="G85" s="18"/>
      <c r="H85" s="29"/>
      <c r="I85" s="25"/>
      <c r="J85" s="17"/>
      <c r="K85" s="15"/>
      <c r="L85" s="340"/>
      <c r="M85" s="19"/>
      <c r="N85" s="26"/>
    </row>
    <row r="86" spans="1:14" x14ac:dyDescent="0.25">
      <c r="A86" s="1"/>
      <c r="B86" s="1" t="s">
        <v>3675</v>
      </c>
      <c r="C86" s="1" t="s">
        <v>502</v>
      </c>
      <c r="D86" s="20">
        <v>500</v>
      </c>
      <c r="E86" s="16">
        <v>500</v>
      </c>
      <c r="F86" s="20"/>
      <c r="G86" s="18"/>
      <c r="H86" s="29"/>
      <c r="I86" s="25"/>
      <c r="J86" s="17"/>
      <c r="K86" s="15"/>
      <c r="L86" s="340"/>
      <c r="M86" s="19"/>
      <c r="N86" s="26"/>
    </row>
    <row r="87" spans="1:14" x14ac:dyDescent="0.25">
      <c r="A87" s="1"/>
      <c r="B87" s="1" t="s">
        <v>3676</v>
      </c>
      <c r="C87" s="1" t="s">
        <v>509</v>
      </c>
      <c r="D87" s="20">
        <v>1000</v>
      </c>
      <c r="E87" s="16">
        <v>1000</v>
      </c>
      <c r="F87" s="20"/>
      <c r="G87" s="18"/>
      <c r="H87" s="29"/>
      <c r="I87" s="25"/>
      <c r="J87" s="17"/>
      <c r="K87" s="15"/>
      <c r="L87" s="340"/>
      <c r="M87" s="19"/>
      <c r="N87" s="26"/>
    </row>
    <row r="88" spans="1:14" x14ac:dyDescent="0.25">
      <c r="A88" s="1"/>
      <c r="B88" s="1" t="s">
        <v>3677</v>
      </c>
      <c r="C88" s="1" t="s">
        <v>3678</v>
      </c>
      <c r="D88" s="20">
        <v>1500</v>
      </c>
      <c r="E88" s="16">
        <v>1500</v>
      </c>
      <c r="F88" s="20"/>
      <c r="G88" s="18"/>
      <c r="H88" s="29"/>
      <c r="I88" s="25"/>
      <c r="J88" s="17"/>
      <c r="K88" s="15"/>
      <c r="L88" s="340"/>
      <c r="M88" s="19"/>
      <c r="N88" s="26"/>
    </row>
    <row r="89" spans="1:14" x14ac:dyDescent="0.25">
      <c r="A89" s="1"/>
      <c r="B89" s="1" t="s">
        <v>3679</v>
      </c>
      <c r="C89" s="1" t="s">
        <v>3680</v>
      </c>
      <c r="D89" s="20">
        <v>3300</v>
      </c>
      <c r="E89" s="16">
        <v>3300</v>
      </c>
      <c r="F89" s="20"/>
      <c r="G89" s="18"/>
      <c r="H89" s="29"/>
      <c r="I89" s="25"/>
      <c r="J89" s="17"/>
      <c r="K89" s="15"/>
      <c r="L89" s="340"/>
      <c r="M89" s="19"/>
      <c r="N89" s="26"/>
    </row>
    <row r="90" spans="1:14" x14ac:dyDescent="0.25">
      <c r="A90" s="1"/>
      <c r="B90" s="1" t="s">
        <v>3681</v>
      </c>
      <c r="C90" s="1" t="s">
        <v>3682</v>
      </c>
      <c r="D90" s="20">
        <v>4025</v>
      </c>
      <c r="E90" s="16">
        <v>4025</v>
      </c>
      <c r="F90" s="20"/>
      <c r="G90" s="18"/>
      <c r="H90" s="29"/>
      <c r="I90" s="25"/>
      <c r="J90" s="17"/>
      <c r="K90" s="15"/>
      <c r="L90" s="340"/>
      <c r="M90" s="19"/>
      <c r="N90" s="26"/>
    </row>
    <row r="91" spans="1:14" x14ac:dyDescent="0.25">
      <c r="A91" s="1"/>
      <c r="B91" s="1" t="s">
        <v>3683</v>
      </c>
      <c r="C91" s="1" t="s">
        <v>289</v>
      </c>
      <c r="D91" s="20">
        <v>2580</v>
      </c>
      <c r="E91" s="16">
        <v>2580</v>
      </c>
      <c r="F91" s="20"/>
      <c r="G91" s="18"/>
      <c r="H91" s="29"/>
      <c r="I91" s="25"/>
      <c r="J91" s="17"/>
      <c r="K91" s="15"/>
      <c r="L91" s="340"/>
      <c r="M91" s="19"/>
      <c r="N91" s="26"/>
    </row>
    <row r="92" spans="1:14" x14ac:dyDescent="0.25">
      <c r="A92" s="1"/>
      <c r="B92" s="1" t="s">
        <v>3684</v>
      </c>
      <c r="C92" s="1" t="s">
        <v>352</v>
      </c>
      <c r="D92" s="20">
        <v>2340</v>
      </c>
      <c r="E92" s="16">
        <v>2340</v>
      </c>
      <c r="F92" s="20"/>
      <c r="G92" s="18"/>
      <c r="H92" s="29"/>
      <c r="I92" s="25"/>
      <c r="J92" s="17"/>
      <c r="K92" s="15"/>
      <c r="L92" s="340"/>
      <c r="M92" s="19"/>
      <c r="N92" s="26"/>
    </row>
    <row r="93" spans="1:14" x14ac:dyDescent="0.25">
      <c r="A93" s="1"/>
      <c r="B93" s="1" t="s">
        <v>3685</v>
      </c>
      <c r="C93" s="346" t="s">
        <v>3686</v>
      </c>
      <c r="D93" s="20">
        <v>58771</v>
      </c>
      <c r="E93" s="16">
        <v>58771</v>
      </c>
      <c r="F93" s="20"/>
      <c r="G93" s="18"/>
      <c r="H93" s="29"/>
      <c r="I93" s="25"/>
      <c r="J93" s="17"/>
      <c r="K93" s="15"/>
      <c r="L93" s="340"/>
      <c r="M93" s="19"/>
      <c r="N93" s="26"/>
    </row>
    <row r="94" spans="1:14" x14ac:dyDescent="0.25">
      <c r="A94" s="1"/>
      <c r="B94" s="28"/>
      <c r="C94" s="30" t="s">
        <v>3687</v>
      </c>
      <c r="D94" s="44">
        <f t="shared" ref="D94:E94" si="15">SUM(D64:D93)</f>
        <v>782465</v>
      </c>
      <c r="E94" s="42">
        <f t="shared" si="15"/>
        <v>782465</v>
      </c>
      <c r="F94" s="44"/>
      <c r="G94" s="43"/>
      <c r="H94" s="43"/>
      <c r="I94" s="41">
        <f>SUM(I64:I93)</f>
        <v>0</v>
      </c>
      <c r="J94" s="41"/>
      <c r="K94" s="51">
        <f t="shared" ref="K94:N94" si="16">SUM(K64:K93)</f>
        <v>0</v>
      </c>
      <c r="L94" s="342">
        <f t="shared" si="16"/>
        <v>0</v>
      </c>
      <c r="M94" s="51">
        <f t="shared" si="16"/>
        <v>0</v>
      </c>
      <c r="N94" s="43">
        <f t="shared" si="16"/>
        <v>0</v>
      </c>
    </row>
    <row r="95" spans="1:14" x14ac:dyDescent="0.25">
      <c r="D95" s="362"/>
      <c r="E95" s="34"/>
      <c r="F95" s="128"/>
      <c r="G95" s="128"/>
      <c r="H95" s="128"/>
      <c r="I95" s="363"/>
      <c r="J95" s="363"/>
      <c r="K95" s="128"/>
      <c r="L95" s="364"/>
      <c r="M95" s="128"/>
      <c r="N95" s="365"/>
    </row>
    <row r="96" spans="1:14" x14ac:dyDescent="0.25">
      <c r="B96" s="346" t="s">
        <v>3688</v>
      </c>
      <c r="C96" s="346" t="s">
        <v>1497</v>
      </c>
      <c r="D96" s="347">
        <v>144378</v>
      </c>
      <c r="E96" s="348">
        <v>144378</v>
      </c>
      <c r="F96" s="349"/>
      <c r="G96" s="349"/>
      <c r="H96" s="349"/>
      <c r="I96" s="350"/>
      <c r="J96" s="17"/>
      <c r="K96" s="349"/>
      <c r="L96" s="351"/>
      <c r="M96" s="349"/>
      <c r="N96" s="352"/>
    </row>
    <row r="97" spans="2:14" x14ac:dyDescent="0.25">
      <c r="B97" s="346" t="s">
        <v>3689</v>
      </c>
      <c r="C97" s="346" t="s">
        <v>443</v>
      </c>
      <c r="D97" s="347">
        <v>9660</v>
      </c>
      <c r="E97" s="348">
        <v>9660</v>
      </c>
      <c r="F97" s="349"/>
      <c r="G97" s="349"/>
      <c r="H97" s="349"/>
      <c r="I97" s="350"/>
      <c r="J97" s="17"/>
      <c r="K97" s="349"/>
      <c r="L97" s="351"/>
      <c r="M97" s="349"/>
      <c r="N97" s="352"/>
    </row>
    <row r="98" spans="2:14" x14ac:dyDescent="0.25">
      <c r="B98" s="346" t="s">
        <v>3690</v>
      </c>
      <c r="C98" s="346" t="s">
        <v>257</v>
      </c>
      <c r="D98" s="347">
        <v>11784</v>
      </c>
      <c r="E98" s="348">
        <v>11784</v>
      </c>
      <c r="F98" s="349"/>
      <c r="G98" s="349"/>
      <c r="H98" s="349"/>
      <c r="I98" s="350"/>
      <c r="J98" s="17"/>
      <c r="K98" s="349"/>
      <c r="L98" s="351"/>
      <c r="M98" s="349"/>
      <c r="N98" s="352"/>
    </row>
    <row r="99" spans="2:14" x14ac:dyDescent="0.25">
      <c r="B99" s="346" t="s">
        <v>3691</v>
      </c>
      <c r="C99" s="346" t="s">
        <v>261</v>
      </c>
      <c r="D99" s="347">
        <v>22366</v>
      </c>
      <c r="E99" s="348">
        <v>22366</v>
      </c>
      <c r="F99" s="349"/>
      <c r="G99" s="349"/>
      <c r="H99" s="349"/>
      <c r="I99" s="350"/>
      <c r="J99" s="17"/>
      <c r="K99" s="349"/>
      <c r="L99" s="351"/>
      <c r="M99" s="349"/>
      <c r="N99" s="352"/>
    </row>
    <row r="100" spans="2:14" x14ac:dyDescent="0.25">
      <c r="B100" s="346" t="s">
        <v>3692</v>
      </c>
      <c r="C100" s="346" t="s">
        <v>263</v>
      </c>
      <c r="D100" s="347">
        <v>246</v>
      </c>
      <c r="E100" s="348">
        <v>246</v>
      </c>
      <c r="F100" s="349"/>
      <c r="G100" s="349"/>
      <c r="H100" s="349"/>
      <c r="I100" s="350"/>
      <c r="J100" s="17"/>
      <c r="K100" s="349"/>
      <c r="L100" s="351"/>
      <c r="M100" s="349"/>
      <c r="N100" s="352"/>
    </row>
    <row r="101" spans="2:14" x14ac:dyDescent="0.25">
      <c r="B101" s="346" t="s">
        <v>3693</v>
      </c>
      <c r="C101" s="346" t="s">
        <v>295</v>
      </c>
      <c r="D101" s="347">
        <v>139</v>
      </c>
      <c r="E101" s="348">
        <v>139</v>
      </c>
      <c r="F101" s="349"/>
      <c r="G101" s="349"/>
      <c r="H101" s="349"/>
      <c r="I101" s="350"/>
      <c r="J101" s="17"/>
      <c r="K101" s="349"/>
      <c r="L101" s="351"/>
      <c r="M101" s="349"/>
      <c r="N101" s="352"/>
    </row>
    <row r="102" spans="2:14" x14ac:dyDescent="0.25">
      <c r="B102" s="346" t="s">
        <v>3694</v>
      </c>
      <c r="C102" s="346" t="s">
        <v>267</v>
      </c>
      <c r="D102" s="347">
        <v>200</v>
      </c>
      <c r="E102" s="348">
        <v>200</v>
      </c>
      <c r="F102" s="349"/>
      <c r="G102" s="349"/>
      <c r="H102" s="349"/>
      <c r="I102" s="350"/>
      <c r="J102" s="17"/>
      <c r="K102" s="349"/>
      <c r="L102" s="351"/>
      <c r="M102" s="349"/>
      <c r="N102" s="352"/>
    </row>
    <row r="103" spans="2:14" x14ac:dyDescent="0.25">
      <c r="B103" s="346" t="s">
        <v>3695</v>
      </c>
      <c r="C103" s="346" t="s">
        <v>3659</v>
      </c>
      <c r="D103" s="347">
        <v>1000</v>
      </c>
      <c r="E103" s="348">
        <v>1000</v>
      </c>
      <c r="F103" s="349"/>
      <c r="G103" s="349"/>
      <c r="H103" s="349"/>
      <c r="I103" s="350"/>
      <c r="J103" s="17"/>
      <c r="K103" s="349"/>
      <c r="L103" s="351"/>
      <c r="M103" s="349"/>
      <c r="N103" s="352"/>
    </row>
    <row r="104" spans="2:14" x14ac:dyDescent="0.25">
      <c r="B104" s="346" t="s">
        <v>3696</v>
      </c>
      <c r="C104" s="346" t="s">
        <v>309</v>
      </c>
      <c r="D104" s="347">
        <v>1152</v>
      </c>
      <c r="E104" s="348">
        <v>1152</v>
      </c>
      <c r="F104" s="349"/>
      <c r="G104" s="349"/>
      <c r="H104" s="349"/>
      <c r="I104" s="350"/>
      <c r="J104" s="17"/>
      <c r="K104" s="349"/>
      <c r="L104" s="351"/>
      <c r="M104" s="349"/>
      <c r="N104" s="352"/>
    </row>
    <row r="105" spans="2:14" x14ac:dyDescent="0.25">
      <c r="B105" s="346" t="s">
        <v>3697</v>
      </c>
      <c r="C105" s="346" t="s">
        <v>497</v>
      </c>
      <c r="D105" s="347">
        <v>500</v>
      </c>
      <c r="E105" s="348">
        <v>500</v>
      </c>
      <c r="F105" s="349"/>
      <c r="G105" s="349"/>
      <c r="H105" s="349"/>
      <c r="I105" s="350"/>
      <c r="J105" s="17"/>
      <c r="K105" s="349"/>
      <c r="L105" s="351"/>
      <c r="M105" s="349"/>
      <c r="N105" s="352"/>
    </row>
    <row r="106" spans="2:14" x14ac:dyDescent="0.25">
      <c r="B106" s="346" t="s">
        <v>3698</v>
      </c>
      <c r="C106" s="346" t="s">
        <v>329</v>
      </c>
      <c r="D106" s="347">
        <v>780</v>
      </c>
      <c r="E106" s="348">
        <v>780</v>
      </c>
      <c r="F106" s="349"/>
      <c r="G106" s="349"/>
      <c r="H106" s="349"/>
      <c r="I106" s="350"/>
      <c r="J106" s="17"/>
      <c r="K106" s="349"/>
      <c r="L106" s="351"/>
      <c r="M106" s="349"/>
      <c r="N106" s="352"/>
    </row>
    <row r="107" spans="2:14" x14ac:dyDescent="0.25">
      <c r="B107" s="346" t="s">
        <v>3699</v>
      </c>
      <c r="C107" s="346" t="s">
        <v>3700</v>
      </c>
      <c r="D107" s="347">
        <v>500</v>
      </c>
      <c r="E107" s="348">
        <v>500</v>
      </c>
      <c r="F107" s="349"/>
      <c r="G107" s="349"/>
      <c r="H107" s="349"/>
      <c r="I107" s="350"/>
      <c r="J107" s="17"/>
      <c r="K107" s="349"/>
      <c r="L107" s="351"/>
      <c r="M107" s="349"/>
      <c r="N107" s="352"/>
    </row>
    <row r="108" spans="2:14" x14ac:dyDescent="0.25">
      <c r="B108" s="346" t="s">
        <v>3701</v>
      </c>
      <c r="C108" s="346" t="s">
        <v>3673</v>
      </c>
      <c r="D108" s="347">
        <v>250</v>
      </c>
      <c r="E108" s="348">
        <v>250</v>
      </c>
      <c r="F108" s="349"/>
      <c r="G108" s="349"/>
      <c r="H108" s="349"/>
      <c r="I108" s="350"/>
      <c r="J108" s="17"/>
      <c r="K108" s="349"/>
      <c r="L108" s="351"/>
      <c r="M108" s="349"/>
      <c r="N108" s="352"/>
    </row>
    <row r="109" spans="2:14" x14ac:dyDescent="0.25">
      <c r="B109" s="346" t="s">
        <v>3702</v>
      </c>
      <c r="C109" s="346" t="s">
        <v>283</v>
      </c>
      <c r="D109" s="347">
        <v>250</v>
      </c>
      <c r="E109" s="348">
        <v>250</v>
      </c>
      <c r="F109" s="349"/>
      <c r="G109" s="349"/>
      <c r="H109" s="349"/>
      <c r="I109" s="350"/>
      <c r="J109" s="17"/>
      <c r="K109" s="349"/>
      <c r="L109" s="351"/>
      <c r="M109" s="349"/>
      <c r="N109" s="352"/>
    </row>
    <row r="110" spans="2:14" x14ac:dyDescent="0.25">
      <c r="B110" s="346"/>
      <c r="C110" s="353" t="s">
        <v>3703</v>
      </c>
      <c r="D110" s="354">
        <f t="shared" ref="D110:I110" si="17">SUM(D95:D109)</f>
        <v>193205</v>
      </c>
      <c r="E110" s="355">
        <f t="shared" si="17"/>
        <v>193205</v>
      </c>
      <c r="F110" s="356">
        <f t="shared" si="17"/>
        <v>0</v>
      </c>
      <c r="G110" s="356">
        <f t="shared" si="17"/>
        <v>0</v>
      </c>
      <c r="H110" s="356">
        <f t="shared" si="17"/>
        <v>0</v>
      </c>
      <c r="I110" s="357">
        <f t="shared" si="17"/>
        <v>0</v>
      </c>
      <c r="J110" s="357"/>
      <c r="K110" s="356">
        <f t="shared" ref="K110:N110" si="18">SUM(K95:K109)</f>
        <v>0</v>
      </c>
      <c r="L110" s="358">
        <f t="shared" si="18"/>
        <v>0</v>
      </c>
      <c r="M110" s="356">
        <f t="shared" si="18"/>
        <v>0</v>
      </c>
      <c r="N110" s="359">
        <f t="shared" si="18"/>
        <v>0</v>
      </c>
    </row>
    <row r="111" spans="2:14" x14ac:dyDescent="0.25">
      <c r="D111" s="343"/>
      <c r="E111" s="344"/>
      <c r="I111" s="32"/>
      <c r="J111" s="32"/>
      <c r="L111" s="345"/>
      <c r="N111" s="8"/>
    </row>
    <row r="112" spans="2:14" x14ac:dyDescent="0.25">
      <c r="B112" s="346" t="s">
        <v>3704</v>
      </c>
      <c r="C112" s="346" t="s">
        <v>267</v>
      </c>
      <c r="D112" s="347">
        <v>500</v>
      </c>
      <c r="E112" s="348">
        <v>500</v>
      </c>
      <c r="F112" s="349"/>
      <c r="G112" s="349"/>
      <c r="H112" s="349"/>
      <c r="I112" s="350"/>
      <c r="J112" s="350"/>
      <c r="K112" s="349"/>
      <c r="L112" s="351"/>
      <c r="M112" s="349"/>
      <c r="N112" s="352"/>
    </row>
    <row r="113" spans="1:14" x14ac:dyDescent="0.25">
      <c r="B113" s="346" t="s">
        <v>3705</v>
      </c>
      <c r="C113" s="346" t="s">
        <v>3659</v>
      </c>
      <c r="D113" s="347">
        <v>2500</v>
      </c>
      <c r="E113" s="348">
        <v>2500</v>
      </c>
      <c r="F113" s="349"/>
      <c r="G113" s="349"/>
      <c r="H113" s="349"/>
      <c r="I113" s="350"/>
      <c r="J113" s="350"/>
      <c r="K113" s="349"/>
      <c r="L113" s="351"/>
      <c r="M113" s="349"/>
      <c r="N113" s="352"/>
    </row>
    <row r="114" spans="1:14" x14ac:dyDescent="0.25">
      <c r="B114" s="346" t="s">
        <v>3706</v>
      </c>
      <c r="C114" s="346" t="s">
        <v>3707</v>
      </c>
      <c r="D114" s="347">
        <v>1000</v>
      </c>
      <c r="E114" s="348">
        <v>1000</v>
      </c>
      <c r="F114" s="349"/>
      <c r="G114" s="349"/>
      <c r="H114" s="349"/>
      <c r="I114" s="350"/>
      <c r="J114" s="350"/>
      <c r="K114" s="349"/>
      <c r="L114" s="351"/>
      <c r="M114" s="349"/>
      <c r="N114" s="352"/>
    </row>
    <row r="115" spans="1:14" x14ac:dyDescent="0.25">
      <c r="B115" s="346" t="s">
        <v>3708</v>
      </c>
      <c r="C115" s="346" t="s">
        <v>3686</v>
      </c>
      <c r="D115" s="347">
        <v>49980</v>
      </c>
      <c r="E115" s="348">
        <v>49980</v>
      </c>
      <c r="F115" s="349"/>
      <c r="G115" s="349"/>
      <c r="H115" s="349"/>
      <c r="I115" s="350"/>
      <c r="J115" s="350"/>
      <c r="K115" s="349"/>
      <c r="L115" s="351"/>
      <c r="M115" s="349"/>
      <c r="N115" s="352"/>
    </row>
    <row r="116" spans="1:14" x14ac:dyDescent="0.25">
      <c r="B116" s="346"/>
      <c r="C116" s="353" t="s">
        <v>3709</v>
      </c>
      <c r="D116" s="354">
        <f t="shared" ref="D116:E116" si="19">SUM(D112:D115)</f>
        <v>53980</v>
      </c>
      <c r="E116" s="355">
        <f t="shared" si="19"/>
        <v>53980</v>
      </c>
      <c r="F116" s="349"/>
      <c r="G116" s="349"/>
      <c r="H116" s="349"/>
      <c r="I116" s="357">
        <f>SUM(I112:I115)</f>
        <v>0</v>
      </c>
      <c r="J116" s="357"/>
      <c r="K116" s="356">
        <f t="shared" ref="K116:N116" si="20">SUM(K102:K115)</f>
        <v>0</v>
      </c>
      <c r="L116" s="358">
        <f t="shared" si="20"/>
        <v>0</v>
      </c>
      <c r="M116" s="356">
        <f t="shared" si="20"/>
        <v>0</v>
      </c>
      <c r="N116" s="359">
        <f t="shared" si="20"/>
        <v>0</v>
      </c>
    </row>
    <row r="117" spans="1:14" x14ac:dyDescent="0.25">
      <c r="B117" s="346"/>
      <c r="C117" s="353"/>
      <c r="D117" s="347"/>
      <c r="E117" s="348"/>
      <c r="F117" s="349"/>
      <c r="G117" s="349"/>
      <c r="H117" s="349"/>
      <c r="I117" s="350"/>
      <c r="J117" s="350"/>
      <c r="K117" s="349"/>
      <c r="L117" s="351"/>
      <c r="M117" s="349"/>
      <c r="N117" s="352"/>
    </row>
    <row r="118" spans="1:14" ht="15.75" x14ac:dyDescent="0.25">
      <c r="B118" s="346"/>
      <c r="C118" s="367" t="s">
        <v>3687</v>
      </c>
      <c r="D118" s="368">
        <f t="shared" ref="D118:E118" si="21">SUM(D94+D110+D116)</f>
        <v>1029650</v>
      </c>
      <c r="E118" s="369">
        <f t="shared" si="21"/>
        <v>1029650</v>
      </c>
      <c r="F118" s="349"/>
      <c r="G118" s="349"/>
      <c r="H118" s="349"/>
      <c r="I118" s="350"/>
      <c r="J118" s="350"/>
      <c r="K118" s="349"/>
      <c r="L118" s="351"/>
      <c r="M118" s="349"/>
      <c r="N118" s="352"/>
    </row>
    <row r="119" spans="1:14" x14ac:dyDescent="0.25">
      <c r="B119" s="346"/>
      <c r="C119" s="346"/>
      <c r="D119" s="347"/>
      <c r="E119" s="348"/>
      <c r="F119" s="349"/>
      <c r="G119" s="349"/>
      <c r="H119" s="349"/>
      <c r="I119" s="350"/>
      <c r="J119" s="350"/>
      <c r="K119" s="349"/>
      <c r="L119" s="351"/>
      <c r="M119" s="349"/>
      <c r="N119" s="352"/>
    </row>
    <row r="120" spans="1:14" x14ac:dyDescent="0.25">
      <c r="D120" s="343"/>
      <c r="E120" s="344"/>
      <c r="I120" s="32"/>
      <c r="J120" s="32"/>
      <c r="L120" s="345"/>
      <c r="N120" s="8"/>
    </row>
    <row r="121" spans="1:14" x14ac:dyDescent="0.25">
      <c r="D121" s="343"/>
      <c r="E121" s="344"/>
      <c r="I121" s="32"/>
      <c r="J121" s="32"/>
      <c r="L121" s="345"/>
      <c r="N121" s="8"/>
    </row>
    <row r="122" spans="1:14" ht="18" x14ac:dyDescent="0.25">
      <c r="B122" s="50" t="s">
        <v>3710</v>
      </c>
      <c r="C122" s="50" t="s">
        <v>3711</v>
      </c>
      <c r="D122" s="23"/>
      <c r="E122" s="24"/>
      <c r="F122" s="23"/>
      <c r="G122" s="26"/>
      <c r="H122" s="29"/>
      <c r="I122" s="25"/>
      <c r="J122" s="25"/>
      <c r="K122" s="19"/>
      <c r="L122" s="338"/>
      <c r="M122" s="19"/>
      <c r="N122" s="365"/>
    </row>
    <row r="123" spans="1:14" ht="18" x14ac:dyDescent="0.25">
      <c r="A123" s="14" t="s">
        <v>13</v>
      </c>
      <c r="B123" s="50"/>
      <c r="C123" s="50"/>
      <c r="D123" s="23"/>
      <c r="E123" s="24"/>
      <c r="F123" s="23"/>
      <c r="G123" s="26"/>
      <c r="H123" s="29"/>
      <c r="I123" s="25"/>
      <c r="J123" s="25"/>
      <c r="K123" s="19"/>
      <c r="L123" s="338"/>
      <c r="M123" s="19"/>
      <c r="N123" s="365"/>
    </row>
    <row r="124" spans="1:14" x14ac:dyDescent="0.25">
      <c r="B124" s="1" t="s">
        <v>3712</v>
      </c>
      <c r="C124" s="1" t="s">
        <v>3623</v>
      </c>
      <c r="D124" s="20">
        <v>-72000</v>
      </c>
      <c r="E124" s="16">
        <v>-72000</v>
      </c>
      <c r="F124" s="20"/>
      <c r="G124" s="18"/>
      <c r="H124" s="29"/>
      <c r="I124" s="25"/>
      <c r="J124" s="17"/>
      <c r="K124" s="15"/>
      <c r="L124" s="340"/>
      <c r="M124" s="15"/>
      <c r="N124" s="18"/>
    </row>
    <row r="125" spans="1:14" x14ac:dyDescent="0.25">
      <c r="A125" s="1"/>
      <c r="B125" s="1" t="s">
        <v>3713</v>
      </c>
      <c r="C125" s="1" t="s">
        <v>197</v>
      </c>
      <c r="D125" s="20">
        <v>-8000</v>
      </c>
      <c r="E125" s="16">
        <v>-8000</v>
      </c>
      <c r="F125" s="20"/>
      <c r="G125" s="18"/>
      <c r="H125" s="29"/>
      <c r="I125" s="25"/>
      <c r="J125" s="17"/>
      <c r="K125" s="15"/>
      <c r="L125" s="340"/>
      <c r="M125" s="15"/>
      <c r="N125" s="18"/>
    </row>
    <row r="126" spans="1:14" x14ac:dyDescent="0.25">
      <c r="A126" s="1"/>
      <c r="B126" s="1" t="s">
        <v>3714</v>
      </c>
      <c r="C126" s="1" t="s">
        <v>1838</v>
      </c>
      <c r="D126" s="20">
        <v>-584544</v>
      </c>
      <c r="E126" s="16">
        <v>-584544</v>
      </c>
      <c r="F126" s="20"/>
      <c r="G126" s="18"/>
      <c r="H126" s="29"/>
      <c r="I126" s="25"/>
      <c r="J126" s="17"/>
      <c r="K126" s="15"/>
      <c r="L126" s="340"/>
      <c r="M126" s="15"/>
      <c r="N126" s="18"/>
    </row>
    <row r="127" spans="1:14" x14ac:dyDescent="0.25">
      <c r="A127" s="1"/>
      <c r="B127" s="1"/>
      <c r="C127" s="39" t="s">
        <v>3715</v>
      </c>
      <c r="D127" s="44">
        <f t="shared" ref="D127:E127" si="22">SUM(D124:D126)</f>
        <v>-664544</v>
      </c>
      <c r="E127" s="42">
        <f t="shared" si="22"/>
        <v>-664544</v>
      </c>
      <c r="F127" s="44"/>
      <c r="G127" s="43"/>
      <c r="H127" s="43"/>
      <c r="I127" s="41">
        <f>SUM(I98:I126)</f>
        <v>0</v>
      </c>
      <c r="J127" s="41"/>
      <c r="K127" s="40">
        <f t="shared" ref="K127:N127" si="23">SUM(K98:K126)</f>
        <v>0</v>
      </c>
      <c r="L127" s="342">
        <f t="shared" si="23"/>
        <v>0</v>
      </c>
      <c r="M127" s="40">
        <f t="shared" si="23"/>
        <v>0</v>
      </c>
      <c r="N127" s="43">
        <f t="shared" si="23"/>
        <v>0</v>
      </c>
    </row>
    <row r="128" spans="1:14" x14ac:dyDescent="0.25">
      <c r="A128" s="39" t="s">
        <v>1773</v>
      </c>
      <c r="B128" s="1"/>
      <c r="C128" s="1"/>
      <c r="D128" s="20"/>
      <c r="E128" s="16"/>
      <c r="F128" s="341"/>
      <c r="G128" s="18"/>
      <c r="H128" s="29"/>
      <c r="I128" s="25"/>
      <c r="J128" s="17"/>
      <c r="K128" s="15"/>
      <c r="L128" s="340"/>
      <c r="M128" s="15"/>
      <c r="N128" s="18"/>
    </row>
    <row r="129" spans="1:14" x14ac:dyDescent="0.25">
      <c r="B129" s="1" t="s">
        <v>3716</v>
      </c>
      <c r="C129" s="1" t="s">
        <v>439</v>
      </c>
      <c r="D129" s="20">
        <v>43399</v>
      </c>
      <c r="E129" s="16">
        <v>43399</v>
      </c>
      <c r="F129" s="20"/>
      <c r="G129" s="18"/>
      <c r="H129" s="29"/>
      <c r="I129" s="25"/>
      <c r="J129" s="17"/>
      <c r="K129" s="15"/>
      <c r="L129" s="340"/>
      <c r="M129" s="19"/>
      <c r="N129" s="26"/>
    </row>
    <row r="130" spans="1:14" x14ac:dyDescent="0.25">
      <c r="A130" s="1"/>
      <c r="B130" s="1" t="s">
        <v>3717</v>
      </c>
      <c r="C130" s="1" t="s">
        <v>443</v>
      </c>
      <c r="D130" s="20">
        <v>3200</v>
      </c>
      <c r="E130" s="16">
        <v>3200</v>
      </c>
      <c r="F130" s="20"/>
      <c r="G130" s="18"/>
      <c r="H130" s="29"/>
      <c r="I130" s="25"/>
      <c r="J130" s="17"/>
      <c r="K130" s="15"/>
      <c r="L130" s="340"/>
      <c r="M130" s="19"/>
      <c r="N130" s="26"/>
    </row>
    <row r="131" spans="1:14" x14ac:dyDescent="0.25">
      <c r="A131" s="1"/>
      <c r="B131" s="1" t="s">
        <v>3718</v>
      </c>
      <c r="C131" s="1" t="s">
        <v>257</v>
      </c>
      <c r="D131" s="20">
        <v>3565</v>
      </c>
      <c r="E131" s="16">
        <v>3565</v>
      </c>
      <c r="F131" s="20"/>
      <c r="G131" s="18"/>
      <c r="H131" s="29"/>
      <c r="I131" s="25"/>
      <c r="J131" s="17"/>
      <c r="K131" s="15"/>
      <c r="L131" s="340"/>
      <c r="M131" s="19"/>
      <c r="N131" s="26"/>
    </row>
    <row r="132" spans="1:14" x14ac:dyDescent="0.25">
      <c r="A132" s="1"/>
      <c r="B132" s="1" t="s">
        <v>3719</v>
      </c>
      <c r="C132" s="1" t="s">
        <v>259</v>
      </c>
      <c r="D132" s="20">
        <v>7471</v>
      </c>
      <c r="E132" s="16">
        <v>7471</v>
      </c>
      <c r="F132" s="20"/>
      <c r="G132" s="18"/>
      <c r="H132" s="29"/>
      <c r="I132" s="25"/>
      <c r="J132" s="17"/>
      <c r="K132" s="15"/>
      <c r="L132" s="340"/>
      <c r="M132" s="19"/>
      <c r="N132" s="26"/>
    </row>
    <row r="133" spans="1:14" x14ac:dyDescent="0.25">
      <c r="A133" s="1"/>
      <c r="B133" s="1" t="s">
        <v>3720</v>
      </c>
      <c r="C133" s="1" t="s">
        <v>261</v>
      </c>
      <c r="D133" s="20">
        <v>6766</v>
      </c>
      <c r="E133" s="16">
        <v>6766</v>
      </c>
      <c r="F133" s="20"/>
      <c r="G133" s="18"/>
      <c r="H133" s="29"/>
      <c r="I133" s="25"/>
      <c r="J133" s="17"/>
      <c r="K133" s="15"/>
      <c r="L133" s="340"/>
      <c r="M133" s="19"/>
      <c r="N133" s="26"/>
    </row>
    <row r="134" spans="1:14" x14ac:dyDescent="0.25">
      <c r="A134" s="1"/>
      <c r="B134" s="1" t="s">
        <v>3721</v>
      </c>
      <c r="C134" s="1" t="s">
        <v>263</v>
      </c>
      <c r="D134" s="20">
        <v>75</v>
      </c>
      <c r="E134" s="16">
        <v>75</v>
      </c>
      <c r="F134" s="20"/>
      <c r="G134" s="18"/>
      <c r="H134" s="29"/>
      <c r="I134" s="25"/>
      <c r="J134" s="21"/>
      <c r="K134" s="15"/>
      <c r="L134" s="340"/>
      <c r="M134" s="19"/>
      <c r="N134" s="26"/>
    </row>
    <row r="135" spans="1:14" x14ac:dyDescent="0.25">
      <c r="A135" s="1"/>
      <c r="B135" s="1" t="s">
        <v>3722</v>
      </c>
      <c r="C135" s="1" t="s">
        <v>295</v>
      </c>
      <c r="D135" s="20">
        <v>42</v>
      </c>
      <c r="E135" s="16">
        <v>42</v>
      </c>
      <c r="F135" s="20"/>
      <c r="G135" s="18"/>
      <c r="H135" s="29"/>
      <c r="I135" s="25"/>
      <c r="J135" s="21"/>
      <c r="K135" s="15"/>
      <c r="L135" s="340"/>
      <c r="M135" s="19"/>
      <c r="N135" s="26"/>
    </row>
    <row r="136" spans="1:14" x14ac:dyDescent="0.25">
      <c r="A136" s="1"/>
      <c r="B136" s="1" t="s">
        <v>3723</v>
      </c>
      <c r="C136" s="1" t="s">
        <v>3724</v>
      </c>
      <c r="D136" s="23">
        <v>27</v>
      </c>
      <c r="E136" s="24">
        <v>27</v>
      </c>
      <c r="F136" s="23"/>
      <c r="G136" s="26"/>
      <c r="H136" s="29"/>
      <c r="I136" s="25"/>
      <c r="J136" s="21"/>
      <c r="K136" s="19"/>
      <c r="L136" s="338"/>
      <c r="M136" s="15"/>
      <c r="N136" s="18"/>
    </row>
    <row r="137" spans="1:14" x14ac:dyDescent="0.25">
      <c r="A137" s="346"/>
      <c r="B137" s="346" t="s">
        <v>3725</v>
      </c>
      <c r="C137" s="346" t="s">
        <v>267</v>
      </c>
      <c r="D137" s="347">
        <v>3000</v>
      </c>
      <c r="E137" s="348">
        <v>3000</v>
      </c>
      <c r="F137" s="349"/>
      <c r="G137" s="349"/>
      <c r="H137" s="349"/>
      <c r="I137" s="350"/>
      <c r="J137" s="350"/>
      <c r="K137" s="349"/>
      <c r="L137" s="351"/>
      <c r="M137" s="349"/>
      <c r="N137" s="352"/>
    </row>
    <row r="138" spans="1:14" x14ac:dyDescent="0.25">
      <c r="A138" s="346"/>
      <c r="B138" s="346" t="s">
        <v>3726</v>
      </c>
      <c r="C138" s="346" t="s">
        <v>3727</v>
      </c>
      <c r="D138" s="347">
        <v>500</v>
      </c>
      <c r="E138" s="348">
        <v>500</v>
      </c>
      <c r="F138" s="349"/>
      <c r="G138" s="349"/>
      <c r="H138" s="349"/>
      <c r="I138" s="350"/>
      <c r="J138" s="350"/>
      <c r="K138" s="349"/>
      <c r="L138" s="351"/>
      <c r="M138" s="349"/>
      <c r="N138" s="352"/>
    </row>
    <row r="139" spans="1:14" x14ac:dyDescent="0.25">
      <c r="A139" s="346"/>
      <c r="B139" s="346" t="s">
        <v>3728</v>
      </c>
      <c r="C139" s="346" t="s">
        <v>488</v>
      </c>
      <c r="D139" s="347">
        <v>500</v>
      </c>
      <c r="E139" s="348">
        <v>500</v>
      </c>
      <c r="F139" s="349"/>
      <c r="G139" s="349"/>
      <c r="H139" s="349"/>
      <c r="I139" s="350"/>
      <c r="J139" s="350"/>
      <c r="K139" s="349"/>
      <c r="L139" s="351"/>
      <c r="M139" s="349"/>
      <c r="N139" s="352"/>
    </row>
    <row r="140" spans="1:14" x14ac:dyDescent="0.25">
      <c r="A140" s="346"/>
      <c r="B140" s="346" t="s">
        <v>3729</v>
      </c>
      <c r="C140" s="346" t="s">
        <v>497</v>
      </c>
      <c r="D140" s="347">
        <v>6000</v>
      </c>
      <c r="E140" s="348">
        <v>6000</v>
      </c>
      <c r="F140" s="349"/>
      <c r="G140" s="349"/>
      <c r="H140" s="349"/>
      <c r="I140" s="350"/>
      <c r="J140" s="350"/>
      <c r="K140" s="349"/>
      <c r="L140" s="351"/>
      <c r="M140" s="349"/>
      <c r="N140" s="352"/>
    </row>
    <row r="141" spans="1:14" x14ac:dyDescent="0.25">
      <c r="A141" s="346"/>
      <c r="B141" s="346" t="s">
        <v>3730</v>
      </c>
      <c r="C141" s="346" t="s">
        <v>1129</v>
      </c>
      <c r="D141" s="347">
        <v>1100</v>
      </c>
      <c r="E141" s="348">
        <v>1100</v>
      </c>
      <c r="F141" s="349"/>
      <c r="G141" s="349"/>
      <c r="H141" s="349"/>
      <c r="I141" s="350"/>
      <c r="J141" s="350"/>
      <c r="K141" s="349"/>
      <c r="L141" s="351"/>
      <c r="M141" s="349"/>
      <c r="N141" s="352"/>
    </row>
    <row r="142" spans="1:14" x14ac:dyDescent="0.25">
      <c r="A142" s="346"/>
      <c r="B142" s="346" t="s">
        <v>3731</v>
      </c>
      <c r="C142" s="346" t="s">
        <v>329</v>
      </c>
      <c r="D142" s="347">
        <v>500</v>
      </c>
      <c r="E142" s="348">
        <v>500</v>
      </c>
      <c r="F142" s="349"/>
      <c r="G142" s="349"/>
      <c r="H142" s="349"/>
      <c r="I142" s="350"/>
      <c r="J142" s="350"/>
      <c r="K142" s="349"/>
      <c r="L142" s="351"/>
      <c r="M142" s="349"/>
      <c r="N142" s="352"/>
    </row>
    <row r="143" spans="1:14" x14ac:dyDescent="0.25">
      <c r="A143" s="346"/>
      <c r="B143" s="346" t="s">
        <v>3732</v>
      </c>
      <c r="C143" s="346" t="s">
        <v>3733</v>
      </c>
      <c r="D143" s="347">
        <v>500</v>
      </c>
      <c r="E143" s="348">
        <v>500</v>
      </c>
      <c r="F143" s="349"/>
      <c r="G143" s="349"/>
      <c r="H143" s="349"/>
      <c r="I143" s="350"/>
      <c r="J143" s="350"/>
      <c r="K143" s="349"/>
      <c r="L143" s="351"/>
      <c r="M143" s="349"/>
      <c r="N143" s="352"/>
    </row>
    <row r="144" spans="1:14" x14ac:dyDescent="0.25">
      <c r="A144" s="346"/>
      <c r="B144" s="346" t="s">
        <v>3734</v>
      </c>
      <c r="C144" s="346" t="s">
        <v>3735</v>
      </c>
      <c r="D144" s="347">
        <v>1225</v>
      </c>
      <c r="E144" s="348">
        <v>1225</v>
      </c>
      <c r="F144" s="349"/>
      <c r="G144" s="349"/>
      <c r="H144" s="349"/>
      <c r="I144" s="350"/>
      <c r="J144" s="350"/>
      <c r="K144" s="349"/>
      <c r="L144" s="351"/>
      <c r="M144" s="349"/>
      <c r="N144" s="352"/>
    </row>
    <row r="145" spans="1:14" x14ac:dyDescent="0.25">
      <c r="A145" s="346"/>
      <c r="B145" s="346" t="s">
        <v>3736</v>
      </c>
      <c r="C145" s="346" t="s">
        <v>3686</v>
      </c>
      <c r="D145" s="347">
        <v>586674</v>
      </c>
      <c r="E145" s="348">
        <v>586674</v>
      </c>
      <c r="F145" s="349"/>
      <c r="G145" s="349"/>
      <c r="H145" s="349"/>
      <c r="I145" s="350"/>
      <c r="J145" s="350"/>
      <c r="K145" s="349"/>
      <c r="L145" s="351"/>
      <c r="M145" s="349"/>
      <c r="N145" s="352"/>
    </row>
    <row r="146" spans="1:14" x14ac:dyDescent="0.25">
      <c r="A146" s="346"/>
      <c r="B146" s="346"/>
      <c r="C146" s="353" t="s">
        <v>3737</v>
      </c>
      <c r="D146" s="354">
        <f t="shared" ref="D146:E146" si="24">SUM(D129:D145)</f>
        <v>664544</v>
      </c>
      <c r="E146" s="355">
        <f t="shared" si="24"/>
        <v>664544</v>
      </c>
      <c r="F146" s="356">
        <f t="shared" ref="F146:I146" si="25">SUM(F131:F145)</f>
        <v>0</v>
      </c>
      <c r="G146" s="356">
        <f t="shared" si="25"/>
        <v>0</v>
      </c>
      <c r="H146" s="356">
        <f t="shared" si="25"/>
        <v>0</v>
      </c>
      <c r="I146" s="357">
        <f t="shared" si="25"/>
        <v>0</v>
      </c>
      <c r="J146" s="357"/>
      <c r="K146" s="356">
        <f t="shared" ref="K146:N146" si="26">SUM(K131:K145)</f>
        <v>0</v>
      </c>
      <c r="L146" s="358">
        <f t="shared" si="26"/>
        <v>0</v>
      </c>
      <c r="M146" s="356">
        <f t="shared" si="26"/>
        <v>0</v>
      </c>
      <c r="N146" s="359">
        <f t="shared" si="26"/>
        <v>0</v>
      </c>
    </row>
    <row r="147" spans="1:14" x14ac:dyDescent="0.25">
      <c r="A147" s="346"/>
      <c r="B147" s="346"/>
      <c r="C147" s="346"/>
      <c r="D147" s="347"/>
      <c r="E147" s="348"/>
      <c r="F147" s="349"/>
      <c r="G147" s="349"/>
      <c r="H147" s="349"/>
      <c r="I147" s="350"/>
      <c r="J147" s="350"/>
      <c r="K147" s="349"/>
      <c r="L147" s="351"/>
      <c r="M147" s="349"/>
      <c r="N147" s="352"/>
    </row>
    <row r="148" spans="1:14" x14ac:dyDescent="0.25">
      <c r="A148" s="346"/>
      <c r="B148" s="346"/>
      <c r="C148" s="346"/>
      <c r="D148" s="347"/>
      <c r="E148" s="348"/>
      <c r="F148" s="349"/>
      <c r="G148" s="349"/>
      <c r="H148" s="349"/>
      <c r="I148" s="350"/>
      <c r="J148" s="350"/>
      <c r="K148" s="349"/>
      <c r="L148" s="351"/>
      <c r="M148" s="349"/>
      <c r="N148" s="352"/>
    </row>
    <row r="149" spans="1:14" x14ac:dyDescent="0.25">
      <c r="A149" s="346"/>
      <c r="B149" s="346"/>
      <c r="C149" s="346"/>
      <c r="D149" s="347"/>
      <c r="E149" s="348"/>
      <c r="F149" s="349"/>
      <c r="G149" s="349"/>
      <c r="H149" s="349"/>
      <c r="I149" s="350"/>
      <c r="J149" s="350"/>
      <c r="K149" s="349"/>
      <c r="L149" s="351"/>
      <c r="M149" s="349"/>
      <c r="N149" s="352"/>
    </row>
    <row r="150" spans="1:14" x14ac:dyDescent="0.25">
      <c r="A150" s="346"/>
      <c r="B150" s="346"/>
      <c r="C150" s="346"/>
      <c r="D150" s="347"/>
      <c r="E150" s="348"/>
      <c r="F150" s="349"/>
      <c r="G150" s="349"/>
      <c r="H150" s="349"/>
      <c r="I150" s="350"/>
      <c r="J150" s="350"/>
      <c r="K150" s="349"/>
      <c r="L150" s="351"/>
      <c r="M150" s="349"/>
      <c r="N150" s="352"/>
    </row>
    <row r="151" spans="1:14" x14ac:dyDescent="0.25">
      <c r="A151" s="346"/>
      <c r="B151" s="346"/>
      <c r="C151" s="346"/>
      <c r="D151" s="347"/>
      <c r="E151" s="348"/>
      <c r="F151" s="349"/>
      <c r="G151" s="349"/>
      <c r="H151" s="349"/>
      <c r="I151" s="350"/>
      <c r="J151" s="350"/>
      <c r="K151" s="349"/>
      <c r="L151" s="351"/>
      <c r="M151" s="349"/>
      <c r="N151" s="352"/>
    </row>
    <row r="152" spans="1:14" x14ac:dyDescent="0.25">
      <c r="A152" s="346"/>
      <c r="B152" s="346"/>
      <c r="C152" s="346"/>
      <c r="D152" s="347"/>
      <c r="E152" s="348"/>
      <c r="F152" s="349"/>
      <c r="G152" s="349"/>
      <c r="H152" s="349"/>
      <c r="I152" s="350"/>
      <c r="J152" s="350"/>
      <c r="K152" s="349"/>
      <c r="L152" s="351"/>
      <c r="M152" s="349"/>
      <c r="N152" s="352"/>
    </row>
    <row r="153" spans="1:14" x14ac:dyDescent="0.25">
      <c r="A153" s="346"/>
      <c r="B153" s="346"/>
      <c r="C153" s="346"/>
      <c r="D153" s="347"/>
      <c r="E153" s="348"/>
      <c r="F153" s="349"/>
      <c r="G153" s="349"/>
      <c r="H153" s="349"/>
      <c r="I153" s="350"/>
      <c r="J153" s="350"/>
      <c r="K153" s="349"/>
      <c r="L153" s="351"/>
      <c r="M153" s="349"/>
      <c r="N153" s="352"/>
    </row>
    <row r="154" spans="1:14" x14ac:dyDescent="0.25">
      <c r="D154" s="362"/>
      <c r="E154" s="34"/>
      <c r="F154" s="128"/>
      <c r="G154" s="128"/>
      <c r="H154" s="128"/>
      <c r="I154" s="363"/>
      <c r="J154" s="363"/>
      <c r="K154" s="128"/>
      <c r="L154" s="364"/>
      <c r="M154" s="128"/>
      <c r="N154" s="365"/>
    </row>
    <row r="155" spans="1:14" x14ac:dyDescent="0.25">
      <c r="D155" s="362"/>
      <c r="E155" s="34"/>
      <c r="F155" s="128"/>
      <c r="G155" s="128"/>
      <c r="H155" s="128"/>
      <c r="I155" s="363"/>
      <c r="J155" s="363"/>
      <c r="K155" s="128"/>
      <c r="L155" s="364"/>
      <c r="M155" s="128"/>
      <c r="N155" s="365"/>
    </row>
    <row r="156" spans="1:14" x14ac:dyDescent="0.25">
      <c r="D156" s="362"/>
      <c r="E156" s="34"/>
      <c r="F156" s="128"/>
      <c r="G156" s="128"/>
      <c r="H156" s="128"/>
      <c r="I156" s="363"/>
      <c r="J156" s="363"/>
      <c r="K156" s="128"/>
      <c r="L156" s="364"/>
      <c r="M156" s="128"/>
      <c r="N156" s="365"/>
    </row>
    <row r="157" spans="1:14" x14ac:dyDescent="0.25">
      <c r="D157" s="362"/>
      <c r="E157" s="34"/>
      <c r="F157" s="128"/>
      <c r="G157" s="128"/>
      <c r="H157" s="128"/>
      <c r="I157" s="363"/>
      <c r="J157" s="363"/>
      <c r="K157" s="128"/>
      <c r="L157" s="364"/>
      <c r="M157" s="128"/>
      <c r="N157" s="365"/>
    </row>
    <row r="158" spans="1:14" x14ac:dyDescent="0.25">
      <c r="D158" s="343"/>
      <c r="E158" s="344"/>
      <c r="I158" s="32"/>
      <c r="J158" s="32"/>
      <c r="L158" s="345"/>
      <c r="N158" s="8"/>
    </row>
    <row r="159" spans="1:14" x14ac:dyDescent="0.25">
      <c r="D159" s="343"/>
      <c r="E159" s="344"/>
      <c r="I159" s="32"/>
      <c r="J159" s="32"/>
      <c r="L159" s="345"/>
      <c r="N159" s="8"/>
    </row>
    <row r="160" spans="1:14" x14ac:dyDescent="0.25">
      <c r="D160" s="343"/>
      <c r="E160" s="344"/>
      <c r="I160" s="32"/>
      <c r="J160" s="32"/>
      <c r="L160" s="345"/>
      <c r="N160" s="8"/>
    </row>
    <row r="161" spans="4:14" x14ac:dyDescent="0.25">
      <c r="D161" s="343"/>
      <c r="E161" s="344"/>
      <c r="I161" s="32"/>
      <c r="J161" s="32"/>
      <c r="L161" s="345"/>
      <c r="N161" s="8"/>
    </row>
    <row r="162" spans="4:14" x14ac:dyDescent="0.25">
      <c r="D162" s="343"/>
      <c r="E162" s="344"/>
      <c r="I162" s="32"/>
      <c r="J162" s="32"/>
      <c r="L162" s="345"/>
      <c r="N162" s="8"/>
    </row>
    <row r="163" spans="4:14" x14ac:dyDescent="0.25">
      <c r="D163" s="343"/>
      <c r="E163" s="344"/>
      <c r="I163" s="32"/>
      <c r="J163" s="32"/>
      <c r="L163" s="345"/>
      <c r="N163" s="8"/>
    </row>
    <row r="164" spans="4:14" x14ac:dyDescent="0.25">
      <c r="D164" s="343"/>
      <c r="E164" s="344"/>
      <c r="I164" s="32"/>
      <c r="J164" s="32"/>
      <c r="L164" s="345"/>
      <c r="N164" s="8"/>
    </row>
    <row r="165" spans="4:14" x14ac:dyDescent="0.25">
      <c r="D165" s="343"/>
      <c r="E165" s="344"/>
      <c r="I165" s="32"/>
      <c r="J165" s="32"/>
      <c r="L165" s="345"/>
      <c r="N165" s="8"/>
    </row>
    <row r="166" spans="4:14" x14ac:dyDescent="0.25">
      <c r="D166" s="343"/>
      <c r="E166" s="344"/>
      <c r="I166" s="32"/>
      <c r="J166" s="32"/>
      <c r="L166" s="345"/>
      <c r="N166" s="8"/>
    </row>
    <row r="167" spans="4:14" x14ac:dyDescent="0.25">
      <c r="D167" s="343"/>
      <c r="E167" s="344"/>
      <c r="I167" s="32"/>
      <c r="J167" s="32"/>
      <c r="L167" s="345"/>
      <c r="N167" s="8"/>
    </row>
    <row r="168" spans="4:14" x14ac:dyDescent="0.25">
      <c r="D168" s="343"/>
      <c r="E168" s="344"/>
      <c r="I168" s="32"/>
      <c r="J168" s="32"/>
      <c r="L168" s="345"/>
      <c r="N168" s="8"/>
    </row>
    <row r="169" spans="4:14" x14ac:dyDescent="0.25">
      <c r="D169" s="343"/>
      <c r="E169" s="344"/>
      <c r="I169" s="32"/>
      <c r="J169" s="32"/>
      <c r="L169" s="345"/>
      <c r="N169" s="8"/>
    </row>
    <row r="170" spans="4:14" x14ac:dyDescent="0.25">
      <c r="D170" s="343"/>
      <c r="E170" s="344"/>
      <c r="I170" s="32"/>
      <c r="J170" s="32"/>
      <c r="L170" s="345"/>
      <c r="N170" s="8"/>
    </row>
    <row r="171" spans="4:14" x14ac:dyDescent="0.25">
      <c r="D171" s="343"/>
      <c r="E171" s="344"/>
      <c r="I171" s="32"/>
      <c r="J171" s="32"/>
      <c r="L171" s="345"/>
      <c r="N171" s="8"/>
    </row>
    <row r="172" spans="4:14" x14ac:dyDescent="0.25">
      <c r="D172" s="343"/>
      <c r="E172" s="344"/>
      <c r="I172" s="32"/>
      <c r="J172" s="32"/>
      <c r="L172" s="345"/>
      <c r="N172" s="8"/>
    </row>
    <row r="173" spans="4:14" x14ac:dyDescent="0.25">
      <c r="D173" s="343"/>
      <c r="E173" s="344"/>
      <c r="I173" s="32"/>
      <c r="J173" s="32"/>
      <c r="L173" s="345"/>
      <c r="N173" s="8"/>
    </row>
    <row r="174" spans="4:14" x14ac:dyDescent="0.25">
      <c r="D174" s="343"/>
      <c r="E174" s="344"/>
      <c r="I174" s="32"/>
      <c r="J174" s="32"/>
      <c r="L174" s="345"/>
      <c r="N174" s="8"/>
    </row>
    <row r="175" spans="4:14" x14ac:dyDescent="0.25">
      <c r="D175" s="343"/>
      <c r="E175" s="344"/>
      <c r="I175" s="32"/>
      <c r="J175" s="32"/>
      <c r="L175" s="345"/>
      <c r="N175" s="8"/>
    </row>
    <row r="176" spans="4:14" x14ac:dyDescent="0.25">
      <c r="D176" s="343"/>
      <c r="E176" s="344"/>
      <c r="I176" s="32"/>
      <c r="J176" s="32"/>
      <c r="L176" s="345"/>
      <c r="N176" s="8"/>
    </row>
    <row r="177" spans="4:14" x14ac:dyDescent="0.25">
      <c r="D177" s="343"/>
      <c r="E177" s="344"/>
      <c r="I177" s="32"/>
      <c r="J177" s="32"/>
      <c r="L177" s="345"/>
      <c r="N177" s="8"/>
    </row>
    <row r="178" spans="4:14" x14ac:dyDescent="0.25">
      <c r="D178" s="343"/>
      <c r="E178" s="344"/>
      <c r="I178" s="32"/>
      <c r="J178" s="32"/>
      <c r="L178" s="345"/>
      <c r="N178" s="8"/>
    </row>
    <row r="179" spans="4:14" x14ac:dyDescent="0.25">
      <c r="D179" s="343"/>
      <c r="E179" s="344"/>
      <c r="I179" s="32"/>
      <c r="J179" s="32"/>
      <c r="L179" s="345"/>
      <c r="N179" s="8"/>
    </row>
    <row r="180" spans="4:14" x14ac:dyDescent="0.25">
      <c r="D180" s="343"/>
      <c r="E180" s="344"/>
      <c r="I180" s="32"/>
      <c r="J180" s="32"/>
      <c r="L180" s="345"/>
      <c r="N180" s="8"/>
    </row>
    <row r="181" spans="4:14" x14ac:dyDescent="0.25">
      <c r="D181" s="343"/>
      <c r="E181" s="344"/>
      <c r="I181" s="32"/>
      <c r="J181" s="32"/>
      <c r="L181" s="345"/>
      <c r="N181" s="8"/>
    </row>
    <row r="182" spans="4:14" x14ac:dyDescent="0.25">
      <c r="D182" s="343"/>
      <c r="E182" s="344"/>
      <c r="I182" s="32"/>
      <c r="J182" s="32"/>
      <c r="L182" s="345"/>
      <c r="N182" s="8"/>
    </row>
    <row r="183" spans="4:14" x14ac:dyDescent="0.25">
      <c r="D183" s="343"/>
      <c r="E183" s="344"/>
      <c r="I183" s="32"/>
      <c r="J183" s="32"/>
      <c r="L183" s="345"/>
      <c r="N183" s="8"/>
    </row>
    <row r="184" spans="4:14" x14ac:dyDescent="0.25">
      <c r="D184" s="343"/>
      <c r="E184" s="344"/>
      <c r="I184" s="32"/>
      <c r="J184" s="32"/>
      <c r="L184" s="345"/>
      <c r="N184" s="8"/>
    </row>
    <row r="185" spans="4:14" x14ac:dyDescent="0.25">
      <c r="D185" s="343"/>
      <c r="E185" s="344"/>
      <c r="I185" s="32"/>
      <c r="J185" s="32"/>
      <c r="L185" s="345"/>
      <c r="N185" s="8"/>
    </row>
    <row r="186" spans="4:14" x14ac:dyDescent="0.25">
      <c r="D186" s="343"/>
      <c r="E186" s="344"/>
      <c r="I186" s="32"/>
      <c r="J186" s="32"/>
      <c r="L186" s="345"/>
      <c r="N186" s="8"/>
    </row>
    <row r="187" spans="4:14" x14ac:dyDescent="0.25">
      <c r="D187" s="343"/>
      <c r="E187" s="344"/>
      <c r="I187" s="32"/>
      <c r="J187" s="32"/>
      <c r="L187" s="345"/>
      <c r="N187" s="8"/>
    </row>
    <row r="188" spans="4:14" x14ac:dyDescent="0.25">
      <c r="D188" s="343"/>
      <c r="E188" s="344"/>
      <c r="I188" s="32"/>
      <c r="J188" s="32"/>
      <c r="L188" s="345"/>
      <c r="N188" s="8"/>
    </row>
    <row r="189" spans="4:14" x14ac:dyDescent="0.25">
      <c r="D189" s="343"/>
      <c r="E189" s="344"/>
      <c r="I189" s="32"/>
      <c r="J189" s="32"/>
      <c r="L189" s="345"/>
      <c r="N189" s="8"/>
    </row>
    <row r="190" spans="4:14" x14ac:dyDescent="0.25">
      <c r="D190" s="343"/>
      <c r="E190" s="344"/>
      <c r="I190" s="32"/>
      <c r="J190" s="32"/>
      <c r="L190" s="345"/>
      <c r="N190" s="8"/>
    </row>
    <row r="191" spans="4:14" x14ac:dyDescent="0.25">
      <c r="D191" s="343"/>
      <c r="E191" s="344"/>
      <c r="I191" s="32"/>
      <c r="J191" s="32"/>
      <c r="L191" s="345"/>
      <c r="N191" s="8"/>
    </row>
    <row r="192" spans="4:14" x14ac:dyDescent="0.25">
      <c r="D192" s="343"/>
      <c r="E192" s="344"/>
      <c r="I192" s="32"/>
      <c r="J192" s="32"/>
      <c r="L192" s="345"/>
      <c r="N192" s="8"/>
    </row>
    <row r="193" spans="4:14" x14ac:dyDescent="0.25">
      <c r="D193" s="343"/>
      <c r="E193" s="344"/>
      <c r="I193" s="32"/>
      <c r="J193" s="32"/>
      <c r="L193" s="345"/>
      <c r="N193" s="8"/>
    </row>
    <row r="194" spans="4:14" x14ac:dyDescent="0.25">
      <c r="D194" s="343"/>
      <c r="E194" s="344"/>
      <c r="I194" s="32"/>
      <c r="J194" s="32"/>
      <c r="L194" s="345"/>
      <c r="N194" s="8"/>
    </row>
    <row r="195" spans="4:14" x14ac:dyDescent="0.25">
      <c r="D195" s="343"/>
      <c r="E195" s="344"/>
      <c r="I195" s="32"/>
      <c r="J195" s="32"/>
      <c r="L195" s="345"/>
      <c r="N195" s="8"/>
    </row>
    <row r="196" spans="4:14" x14ac:dyDescent="0.25">
      <c r="D196" s="343"/>
      <c r="E196" s="344"/>
      <c r="I196" s="32"/>
      <c r="J196" s="32"/>
      <c r="L196" s="345"/>
      <c r="N196" s="8"/>
    </row>
    <row r="197" spans="4:14" x14ac:dyDescent="0.25">
      <c r="D197" s="343"/>
      <c r="E197" s="344"/>
      <c r="I197" s="32"/>
      <c r="J197" s="32"/>
      <c r="L197" s="345"/>
      <c r="N197" s="8"/>
    </row>
    <row r="198" spans="4:14" x14ac:dyDescent="0.25">
      <c r="D198" s="343"/>
      <c r="E198" s="344"/>
      <c r="I198" s="32"/>
      <c r="J198" s="32"/>
      <c r="L198" s="345"/>
      <c r="N198" s="8"/>
    </row>
    <row r="199" spans="4:14" x14ac:dyDescent="0.25">
      <c r="D199" s="343"/>
      <c r="E199" s="344"/>
      <c r="I199" s="32"/>
      <c r="J199" s="32"/>
      <c r="L199" s="345"/>
      <c r="N199" s="8"/>
    </row>
    <row r="200" spans="4:14" x14ac:dyDescent="0.25">
      <c r="D200" s="343"/>
      <c r="E200" s="344"/>
      <c r="I200" s="32"/>
      <c r="J200" s="32"/>
      <c r="L200" s="345"/>
      <c r="N200" s="8"/>
    </row>
    <row r="201" spans="4:14" x14ac:dyDescent="0.25">
      <c r="D201" s="343"/>
      <c r="E201" s="344"/>
      <c r="I201" s="32"/>
      <c r="J201" s="32"/>
      <c r="L201" s="345"/>
      <c r="N201" s="8"/>
    </row>
    <row r="202" spans="4:14" x14ac:dyDescent="0.25">
      <c r="D202" s="343"/>
      <c r="E202" s="344"/>
      <c r="I202" s="32"/>
      <c r="J202" s="32"/>
      <c r="L202" s="345"/>
      <c r="N202" s="8"/>
    </row>
    <row r="203" spans="4:14" x14ac:dyDescent="0.25">
      <c r="D203" s="343"/>
      <c r="E203" s="344"/>
      <c r="I203" s="32"/>
      <c r="J203" s="32"/>
      <c r="L203" s="345"/>
      <c r="N203" s="8"/>
    </row>
    <row r="204" spans="4:14" x14ac:dyDescent="0.25">
      <c r="D204" s="343"/>
      <c r="E204" s="344"/>
      <c r="I204" s="32"/>
      <c r="J204" s="32"/>
      <c r="L204" s="345"/>
      <c r="N204" s="8"/>
    </row>
    <row r="205" spans="4:14" x14ac:dyDescent="0.25">
      <c r="D205" s="343"/>
      <c r="E205" s="344"/>
      <c r="I205" s="32"/>
      <c r="J205" s="32"/>
      <c r="L205" s="345"/>
      <c r="N205" s="8"/>
    </row>
    <row r="206" spans="4:14" x14ac:dyDescent="0.25">
      <c r="D206" s="343"/>
      <c r="E206" s="344"/>
      <c r="I206" s="32"/>
      <c r="J206" s="32"/>
      <c r="L206" s="345"/>
      <c r="N206" s="8"/>
    </row>
    <row r="207" spans="4:14" x14ac:dyDescent="0.25">
      <c r="D207" s="343"/>
      <c r="E207" s="344"/>
      <c r="I207" s="32"/>
      <c r="J207" s="32"/>
      <c r="L207" s="345"/>
      <c r="N207" s="8"/>
    </row>
    <row r="208" spans="4:14" x14ac:dyDescent="0.25">
      <c r="D208" s="343"/>
      <c r="E208" s="344"/>
      <c r="I208" s="32"/>
      <c r="J208" s="32"/>
      <c r="L208" s="345"/>
      <c r="N208" s="8"/>
    </row>
    <row r="209" spans="4:14" x14ac:dyDescent="0.25">
      <c r="D209" s="343"/>
      <c r="E209" s="344"/>
      <c r="I209" s="32"/>
      <c r="J209" s="32"/>
      <c r="L209" s="345"/>
      <c r="N209" s="8"/>
    </row>
    <row r="210" spans="4:14" x14ac:dyDescent="0.25">
      <c r="D210" s="343"/>
      <c r="E210" s="344"/>
      <c r="I210" s="32"/>
      <c r="J210" s="32"/>
      <c r="L210" s="345"/>
      <c r="N210" s="8"/>
    </row>
    <row r="211" spans="4:14" x14ac:dyDescent="0.25">
      <c r="D211" s="343"/>
      <c r="E211" s="344"/>
      <c r="I211" s="32"/>
      <c r="J211" s="32"/>
      <c r="L211" s="345"/>
      <c r="N211" s="8"/>
    </row>
    <row r="212" spans="4:14" x14ac:dyDescent="0.25">
      <c r="D212" s="343"/>
      <c r="E212" s="344"/>
      <c r="I212" s="32"/>
      <c r="J212" s="32"/>
      <c r="L212" s="345"/>
      <c r="N212" s="8"/>
    </row>
    <row r="213" spans="4:14" x14ac:dyDescent="0.25">
      <c r="D213" s="343"/>
      <c r="E213" s="344"/>
      <c r="I213" s="32"/>
      <c r="J213" s="32"/>
      <c r="L213" s="345"/>
      <c r="N213" s="8"/>
    </row>
    <row r="214" spans="4:14" x14ac:dyDescent="0.25">
      <c r="D214" s="343"/>
      <c r="E214" s="344"/>
      <c r="I214" s="32"/>
      <c r="J214" s="32"/>
      <c r="L214" s="345"/>
      <c r="N214" s="8"/>
    </row>
    <row r="215" spans="4:14" x14ac:dyDescent="0.25">
      <c r="D215" s="343"/>
      <c r="E215" s="344"/>
      <c r="I215" s="32"/>
      <c r="J215" s="32"/>
      <c r="L215" s="345"/>
      <c r="N215" s="8"/>
    </row>
    <row r="216" spans="4:14" x14ac:dyDescent="0.25">
      <c r="D216" s="343"/>
      <c r="E216" s="344"/>
      <c r="I216" s="32"/>
      <c r="J216" s="32"/>
      <c r="L216" s="345"/>
      <c r="N216" s="8"/>
    </row>
    <row r="217" spans="4:14" x14ac:dyDescent="0.25">
      <c r="D217" s="343"/>
      <c r="E217" s="344"/>
      <c r="I217" s="32"/>
      <c r="J217" s="32"/>
      <c r="L217" s="345"/>
      <c r="N217" s="8"/>
    </row>
    <row r="218" spans="4:14" x14ac:dyDescent="0.25">
      <c r="D218" s="343"/>
      <c r="E218" s="344"/>
      <c r="I218" s="32"/>
      <c r="J218" s="32"/>
      <c r="L218" s="345"/>
      <c r="N218" s="8"/>
    </row>
    <row r="219" spans="4:14" x14ac:dyDescent="0.25">
      <c r="D219" s="343"/>
      <c r="E219" s="344"/>
      <c r="I219" s="32"/>
      <c r="J219" s="32"/>
      <c r="L219" s="345"/>
      <c r="N219" s="8"/>
    </row>
    <row r="220" spans="4:14" x14ac:dyDescent="0.25">
      <c r="D220" s="343"/>
      <c r="E220" s="344"/>
      <c r="I220" s="32"/>
      <c r="J220" s="32"/>
      <c r="L220" s="345"/>
      <c r="N220" s="8"/>
    </row>
    <row r="221" spans="4:14" x14ac:dyDescent="0.25">
      <c r="D221" s="343"/>
      <c r="E221" s="344"/>
      <c r="I221" s="32"/>
      <c r="J221" s="32"/>
      <c r="L221" s="345"/>
      <c r="N221" s="8"/>
    </row>
    <row r="222" spans="4:14" x14ac:dyDescent="0.25">
      <c r="D222" s="343"/>
      <c r="E222" s="344"/>
      <c r="I222" s="32"/>
      <c r="J222" s="32"/>
      <c r="L222" s="345"/>
      <c r="N222" s="8"/>
    </row>
    <row r="223" spans="4:14" x14ac:dyDescent="0.25">
      <c r="D223" s="343"/>
      <c r="E223" s="344"/>
      <c r="I223" s="32"/>
      <c r="J223" s="32"/>
      <c r="L223" s="345"/>
      <c r="N223" s="8"/>
    </row>
    <row r="224" spans="4:14" x14ac:dyDescent="0.25">
      <c r="D224" s="343"/>
      <c r="E224" s="344"/>
      <c r="I224" s="32"/>
      <c r="J224" s="32"/>
      <c r="L224" s="345"/>
      <c r="N224" s="8"/>
    </row>
    <row r="225" spans="4:14" x14ac:dyDescent="0.25">
      <c r="D225" s="343"/>
      <c r="E225" s="344"/>
      <c r="I225" s="32"/>
      <c r="J225" s="32"/>
      <c r="L225" s="345"/>
      <c r="N225" s="8"/>
    </row>
    <row r="226" spans="4:14" x14ac:dyDescent="0.25">
      <c r="D226" s="343"/>
      <c r="E226" s="344"/>
      <c r="I226" s="32"/>
      <c r="J226" s="32"/>
      <c r="L226" s="345"/>
      <c r="N226" s="8"/>
    </row>
    <row r="227" spans="4:14" x14ac:dyDescent="0.25">
      <c r="D227" s="343"/>
      <c r="E227" s="344"/>
      <c r="I227" s="32"/>
      <c r="J227" s="32"/>
      <c r="L227" s="345"/>
      <c r="N227" s="8"/>
    </row>
    <row r="228" spans="4:14" x14ac:dyDescent="0.25">
      <c r="D228" s="343"/>
      <c r="E228" s="344"/>
      <c r="I228" s="32"/>
      <c r="J228" s="32"/>
      <c r="L228" s="345"/>
      <c r="N228" s="8"/>
    </row>
    <row r="229" spans="4:14" x14ac:dyDescent="0.25">
      <c r="D229" s="343"/>
      <c r="E229" s="344"/>
      <c r="I229" s="32"/>
      <c r="J229" s="32"/>
      <c r="L229" s="345"/>
      <c r="N229" s="8"/>
    </row>
    <row r="230" spans="4:14" x14ac:dyDescent="0.25">
      <c r="D230" s="343"/>
      <c r="E230" s="344"/>
      <c r="I230" s="32"/>
      <c r="J230" s="32"/>
      <c r="L230" s="345"/>
      <c r="N230" s="8"/>
    </row>
    <row r="231" spans="4:14" x14ac:dyDescent="0.25">
      <c r="D231" s="343"/>
      <c r="E231" s="344"/>
      <c r="I231" s="32"/>
      <c r="J231" s="32"/>
      <c r="L231" s="345"/>
      <c r="N231" s="8"/>
    </row>
    <row r="232" spans="4:14" x14ac:dyDescent="0.25">
      <c r="D232" s="343"/>
      <c r="E232" s="344"/>
      <c r="I232" s="32"/>
      <c r="J232" s="32"/>
      <c r="L232" s="345"/>
      <c r="N232" s="8"/>
    </row>
    <row r="233" spans="4:14" x14ac:dyDescent="0.25">
      <c r="D233" s="343"/>
      <c r="E233" s="344"/>
      <c r="I233" s="32"/>
      <c r="J233" s="32"/>
      <c r="L233" s="345"/>
      <c r="N233" s="8"/>
    </row>
    <row r="234" spans="4:14" x14ac:dyDescent="0.25">
      <c r="D234" s="343"/>
      <c r="E234" s="344"/>
      <c r="I234" s="32"/>
      <c r="J234" s="32"/>
      <c r="L234" s="345"/>
      <c r="N234" s="8"/>
    </row>
    <row r="235" spans="4:14" x14ac:dyDescent="0.25">
      <c r="D235" s="343"/>
      <c r="E235" s="344"/>
      <c r="I235" s="32"/>
      <c r="J235" s="32"/>
      <c r="L235" s="345"/>
      <c r="N235" s="8"/>
    </row>
    <row r="236" spans="4:14" x14ac:dyDescent="0.25">
      <c r="D236" s="343"/>
      <c r="E236" s="344"/>
      <c r="I236" s="32"/>
      <c r="J236" s="32"/>
      <c r="L236" s="345"/>
      <c r="N236" s="8"/>
    </row>
    <row r="237" spans="4:14" x14ac:dyDescent="0.25">
      <c r="D237" s="343"/>
      <c r="E237" s="344"/>
      <c r="I237" s="32"/>
      <c r="J237" s="32"/>
      <c r="L237" s="345"/>
      <c r="N237" s="8"/>
    </row>
    <row r="238" spans="4:14" x14ac:dyDescent="0.25">
      <c r="D238" s="343"/>
      <c r="E238" s="344"/>
      <c r="I238" s="32"/>
      <c r="J238" s="32"/>
      <c r="L238" s="345"/>
      <c r="N238" s="8"/>
    </row>
    <row r="239" spans="4:14" x14ac:dyDescent="0.25">
      <c r="D239" s="343"/>
      <c r="E239" s="344"/>
      <c r="I239" s="32"/>
      <c r="J239" s="32"/>
      <c r="L239" s="345"/>
      <c r="N239" s="8"/>
    </row>
    <row r="240" spans="4:14" x14ac:dyDescent="0.25">
      <c r="D240" s="343"/>
      <c r="E240" s="344"/>
      <c r="I240" s="32"/>
      <c r="J240" s="32"/>
      <c r="L240" s="345"/>
      <c r="N240" s="8"/>
    </row>
    <row r="241" spans="4:14" x14ac:dyDescent="0.25">
      <c r="D241" s="343"/>
      <c r="E241" s="344"/>
      <c r="I241" s="32"/>
      <c r="J241" s="32"/>
      <c r="L241" s="345"/>
      <c r="N241" s="8"/>
    </row>
    <row r="242" spans="4:14" x14ac:dyDescent="0.25">
      <c r="D242" s="343"/>
      <c r="E242" s="344"/>
      <c r="I242" s="32"/>
      <c r="J242" s="32"/>
      <c r="L242" s="345"/>
      <c r="N242" s="8"/>
    </row>
    <row r="243" spans="4:14" x14ac:dyDescent="0.25">
      <c r="D243" s="343"/>
      <c r="E243" s="344"/>
      <c r="I243" s="32"/>
      <c r="J243" s="32"/>
      <c r="L243" s="345"/>
      <c r="N243" s="8"/>
    </row>
    <row r="244" spans="4:14" x14ac:dyDescent="0.25">
      <c r="D244" s="343"/>
      <c r="E244" s="344"/>
      <c r="I244" s="32"/>
      <c r="J244" s="32"/>
      <c r="L244" s="345"/>
      <c r="N244" s="8"/>
    </row>
    <row r="245" spans="4:14" x14ac:dyDescent="0.25">
      <c r="D245" s="343"/>
      <c r="E245" s="344"/>
      <c r="I245" s="32"/>
      <c r="J245" s="32"/>
      <c r="L245" s="345"/>
      <c r="N245" s="8"/>
    </row>
    <row r="246" spans="4:14" x14ac:dyDescent="0.25">
      <c r="D246" s="343"/>
      <c r="E246" s="344"/>
      <c r="I246" s="32"/>
      <c r="J246" s="32"/>
      <c r="L246" s="345"/>
      <c r="N246" s="8"/>
    </row>
    <row r="247" spans="4:14" x14ac:dyDescent="0.25">
      <c r="D247" s="343"/>
      <c r="E247" s="344"/>
      <c r="I247" s="32"/>
      <c r="J247" s="32"/>
      <c r="L247" s="345"/>
      <c r="N247" s="8"/>
    </row>
    <row r="248" spans="4:14" x14ac:dyDescent="0.25">
      <c r="D248" s="343"/>
      <c r="E248" s="344"/>
      <c r="I248" s="32"/>
      <c r="J248" s="32"/>
      <c r="L248" s="345"/>
      <c r="N248" s="8"/>
    </row>
    <row r="249" spans="4:14" x14ac:dyDescent="0.25">
      <c r="D249" s="343"/>
      <c r="E249" s="344"/>
      <c r="I249" s="32"/>
      <c r="J249" s="32"/>
      <c r="L249" s="345"/>
      <c r="N249" s="8"/>
    </row>
    <row r="250" spans="4:14" x14ac:dyDescent="0.25">
      <c r="D250" s="343"/>
      <c r="E250" s="344"/>
      <c r="I250" s="32"/>
      <c r="J250" s="32"/>
      <c r="L250" s="345"/>
      <c r="N250" s="8"/>
    </row>
    <row r="251" spans="4:14" x14ac:dyDescent="0.25">
      <c r="D251" s="343"/>
      <c r="E251" s="344"/>
      <c r="I251" s="32"/>
      <c r="J251" s="32"/>
      <c r="L251" s="345"/>
      <c r="N251" s="8"/>
    </row>
    <row r="252" spans="4:14" x14ac:dyDescent="0.25">
      <c r="D252" s="343"/>
      <c r="E252" s="344"/>
      <c r="I252" s="32"/>
      <c r="J252" s="32"/>
      <c r="L252" s="345"/>
      <c r="N252" s="8"/>
    </row>
    <row r="253" spans="4:14" x14ac:dyDescent="0.25">
      <c r="D253" s="343"/>
      <c r="E253" s="344"/>
      <c r="I253" s="32"/>
      <c r="J253" s="32"/>
      <c r="L253" s="345"/>
      <c r="N253" s="8"/>
    </row>
    <row r="254" spans="4:14" x14ac:dyDescent="0.25">
      <c r="D254" s="343"/>
      <c r="E254" s="344"/>
      <c r="I254" s="32"/>
      <c r="J254" s="32"/>
      <c r="L254" s="345"/>
      <c r="N254" s="8"/>
    </row>
    <row r="255" spans="4:14" x14ac:dyDescent="0.25">
      <c r="D255" s="343"/>
      <c r="E255" s="344"/>
      <c r="I255" s="32"/>
      <c r="J255" s="32"/>
      <c r="L255" s="345"/>
      <c r="N255" s="8"/>
    </row>
    <row r="256" spans="4:14" x14ac:dyDescent="0.25">
      <c r="D256" s="343"/>
      <c r="E256" s="344"/>
      <c r="I256" s="32"/>
      <c r="J256" s="32"/>
      <c r="L256" s="345"/>
      <c r="N256" s="8"/>
    </row>
    <row r="257" spans="4:14" x14ac:dyDescent="0.25">
      <c r="D257" s="343"/>
      <c r="E257" s="344"/>
      <c r="I257" s="32"/>
      <c r="J257" s="32"/>
      <c r="L257" s="345"/>
      <c r="N257" s="8"/>
    </row>
    <row r="258" spans="4:14" x14ac:dyDescent="0.25">
      <c r="D258" s="343"/>
      <c r="E258" s="344"/>
      <c r="I258" s="32"/>
      <c r="J258" s="32"/>
      <c r="L258" s="345"/>
      <c r="N258" s="8"/>
    </row>
    <row r="259" spans="4:14" x14ac:dyDescent="0.25">
      <c r="D259" s="343"/>
      <c r="E259" s="344"/>
      <c r="I259" s="32"/>
      <c r="J259" s="32"/>
      <c r="L259" s="345"/>
      <c r="N259" s="8"/>
    </row>
    <row r="260" spans="4:14" x14ac:dyDescent="0.25">
      <c r="D260" s="343"/>
      <c r="E260" s="344"/>
      <c r="I260" s="32"/>
      <c r="J260" s="32"/>
      <c r="L260" s="345"/>
      <c r="N260" s="8"/>
    </row>
    <row r="261" spans="4:14" x14ac:dyDescent="0.25">
      <c r="D261" s="343"/>
      <c r="E261" s="344"/>
      <c r="I261" s="32"/>
      <c r="J261" s="32"/>
      <c r="L261" s="345"/>
      <c r="N261" s="8"/>
    </row>
    <row r="262" spans="4:14" x14ac:dyDescent="0.25">
      <c r="D262" s="343"/>
      <c r="E262" s="344"/>
      <c r="I262" s="32"/>
      <c r="J262" s="32"/>
      <c r="L262" s="345"/>
      <c r="N262" s="8"/>
    </row>
    <row r="263" spans="4:14" x14ac:dyDescent="0.25">
      <c r="D263" s="343"/>
      <c r="E263" s="344"/>
      <c r="I263" s="32"/>
      <c r="J263" s="32"/>
      <c r="L263" s="345"/>
      <c r="N263" s="8"/>
    </row>
    <row r="264" spans="4:14" x14ac:dyDescent="0.25">
      <c r="D264" s="343"/>
      <c r="E264" s="344"/>
      <c r="I264" s="32"/>
      <c r="J264" s="32"/>
      <c r="L264" s="345"/>
      <c r="N264" s="8"/>
    </row>
    <row r="265" spans="4:14" x14ac:dyDescent="0.25">
      <c r="D265" s="343"/>
      <c r="E265" s="344"/>
      <c r="I265" s="32"/>
      <c r="J265" s="32"/>
      <c r="L265" s="345"/>
      <c r="N265" s="8"/>
    </row>
    <row r="266" spans="4:14" x14ac:dyDescent="0.25">
      <c r="D266" s="343"/>
      <c r="E266" s="344"/>
      <c r="I266" s="32"/>
      <c r="J266" s="32"/>
      <c r="L266" s="345"/>
      <c r="N266" s="8"/>
    </row>
    <row r="267" spans="4:14" x14ac:dyDescent="0.25">
      <c r="D267" s="343"/>
      <c r="E267" s="344"/>
      <c r="I267" s="32"/>
      <c r="J267" s="32"/>
      <c r="L267" s="345"/>
      <c r="N267" s="8"/>
    </row>
    <row r="268" spans="4:14" x14ac:dyDescent="0.25">
      <c r="D268" s="343"/>
      <c r="E268" s="344"/>
      <c r="I268" s="32"/>
      <c r="J268" s="32"/>
      <c r="L268" s="345"/>
      <c r="N268" s="8"/>
    </row>
    <row r="269" spans="4:14" x14ac:dyDescent="0.25">
      <c r="D269" s="343"/>
      <c r="E269" s="344"/>
      <c r="I269" s="32"/>
      <c r="J269" s="32"/>
      <c r="L269" s="345"/>
      <c r="N269" s="8"/>
    </row>
    <row r="270" spans="4:14" x14ac:dyDescent="0.25">
      <c r="D270" s="343"/>
      <c r="E270" s="344"/>
      <c r="I270" s="32"/>
      <c r="J270" s="32"/>
      <c r="L270" s="345"/>
      <c r="N270" s="8"/>
    </row>
    <row r="271" spans="4:14" x14ac:dyDescent="0.25">
      <c r="D271" s="343"/>
      <c r="E271" s="344"/>
      <c r="I271" s="32"/>
      <c r="J271" s="32"/>
      <c r="L271" s="345"/>
      <c r="N271" s="8"/>
    </row>
    <row r="272" spans="4:14" x14ac:dyDescent="0.25">
      <c r="D272" s="343"/>
      <c r="E272" s="344"/>
      <c r="I272" s="32"/>
      <c r="J272" s="32"/>
      <c r="L272" s="345"/>
      <c r="N272" s="8"/>
    </row>
    <row r="273" spans="4:14" x14ac:dyDescent="0.25">
      <c r="D273" s="343"/>
      <c r="E273" s="344"/>
      <c r="I273" s="32"/>
      <c r="J273" s="32"/>
      <c r="L273" s="345"/>
      <c r="N273" s="8"/>
    </row>
    <row r="274" spans="4:14" x14ac:dyDescent="0.25">
      <c r="D274" s="343"/>
      <c r="E274" s="344"/>
      <c r="I274" s="32"/>
      <c r="J274" s="32"/>
      <c r="L274" s="345"/>
      <c r="N274" s="8"/>
    </row>
    <row r="275" spans="4:14" x14ac:dyDescent="0.25">
      <c r="D275" s="343"/>
      <c r="E275" s="344"/>
      <c r="I275" s="32"/>
      <c r="J275" s="32"/>
      <c r="L275" s="345"/>
      <c r="N275" s="8"/>
    </row>
    <row r="276" spans="4:14" x14ac:dyDescent="0.25">
      <c r="D276" s="343"/>
      <c r="E276" s="344"/>
      <c r="I276" s="32"/>
      <c r="J276" s="32"/>
      <c r="L276" s="345"/>
      <c r="N276" s="8"/>
    </row>
    <row r="277" spans="4:14" x14ac:dyDescent="0.25">
      <c r="D277" s="343"/>
      <c r="E277" s="344"/>
      <c r="I277" s="32"/>
      <c r="J277" s="32"/>
      <c r="L277" s="345"/>
      <c r="N277" s="8"/>
    </row>
    <row r="278" spans="4:14" x14ac:dyDescent="0.25">
      <c r="D278" s="343"/>
      <c r="E278" s="344"/>
      <c r="I278" s="32"/>
      <c r="J278" s="32"/>
      <c r="L278" s="345"/>
      <c r="N278" s="8"/>
    </row>
    <row r="279" spans="4:14" x14ac:dyDescent="0.25">
      <c r="D279" s="343"/>
      <c r="E279" s="344"/>
      <c r="I279" s="32"/>
      <c r="J279" s="32"/>
      <c r="L279" s="345"/>
      <c r="N279" s="8"/>
    </row>
    <row r="280" spans="4:14" x14ac:dyDescent="0.25">
      <c r="D280" s="343"/>
      <c r="E280" s="344"/>
      <c r="I280" s="32"/>
      <c r="J280" s="32"/>
      <c r="L280" s="345"/>
      <c r="N280" s="8"/>
    </row>
    <row r="281" spans="4:14" x14ac:dyDescent="0.25">
      <c r="D281" s="343"/>
      <c r="E281" s="344"/>
      <c r="I281" s="32"/>
      <c r="J281" s="32"/>
      <c r="L281" s="345"/>
      <c r="N281" s="8"/>
    </row>
    <row r="282" spans="4:14" x14ac:dyDescent="0.25">
      <c r="D282" s="343"/>
      <c r="E282" s="344"/>
      <c r="I282" s="32"/>
      <c r="J282" s="32"/>
      <c r="L282" s="345"/>
      <c r="N282" s="8"/>
    </row>
    <row r="283" spans="4:14" x14ac:dyDescent="0.25">
      <c r="D283" s="343"/>
      <c r="E283" s="344"/>
      <c r="I283" s="32"/>
      <c r="J283" s="32"/>
      <c r="L283" s="345"/>
      <c r="N283" s="8"/>
    </row>
    <row r="284" spans="4:14" x14ac:dyDescent="0.25">
      <c r="D284" s="343"/>
      <c r="E284" s="344"/>
      <c r="I284" s="32"/>
      <c r="J284" s="32"/>
      <c r="L284" s="345"/>
      <c r="N284" s="8"/>
    </row>
    <row r="285" spans="4:14" x14ac:dyDescent="0.25">
      <c r="D285" s="343"/>
      <c r="E285" s="344"/>
      <c r="I285" s="32"/>
      <c r="J285" s="32"/>
      <c r="L285" s="345"/>
      <c r="N285" s="8"/>
    </row>
    <row r="286" spans="4:14" x14ac:dyDescent="0.25">
      <c r="D286" s="343"/>
      <c r="E286" s="344"/>
      <c r="I286" s="32"/>
      <c r="J286" s="32"/>
      <c r="L286" s="345"/>
      <c r="N286" s="8"/>
    </row>
    <row r="287" spans="4:14" x14ac:dyDescent="0.25">
      <c r="D287" s="343"/>
      <c r="E287" s="344"/>
      <c r="I287" s="32"/>
      <c r="J287" s="32"/>
      <c r="L287" s="345"/>
      <c r="N287" s="8"/>
    </row>
    <row r="288" spans="4:14" x14ac:dyDescent="0.25">
      <c r="D288" s="343"/>
      <c r="E288" s="344"/>
      <c r="I288" s="32"/>
      <c r="J288" s="32"/>
      <c r="L288" s="345"/>
      <c r="N288" s="8"/>
    </row>
    <row r="289" spans="4:14" x14ac:dyDescent="0.25">
      <c r="D289" s="343"/>
      <c r="E289" s="344"/>
      <c r="I289" s="32"/>
      <c r="J289" s="32"/>
      <c r="L289" s="345"/>
      <c r="N289" s="8"/>
    </row>
    <row r="290" spans="4:14" x14ac:dyDescent="0.25">
      <c r="D290" s="343"/>
      <c r="E290" s="344"/>
      <c r="I290" s="32"/>
      <c r="J290" s="32"/>
      <c r="L290" s="345"/>
      <c r="N290" s="8"/>
    </row>
    <row r="291" spans="4:14" x14ac:dyDescent="0.25">
      <c r="D291" s="343"/>
      <c r="E291" s="344"/>
      <c r="I291" s="32"/>
      <c r="J291" s="32"/>
      <c r="L291" s="345"/>
      <c r="N291" s="8"/>
    </row>
    <row r="292" spans="4:14" x14ac:dyDescent="0.25">
      <c r="D292" s="343"/>
      <c r="E292" s="344"/>
      <c r="I292" s="32"/>
      <c r="J292" s="32"/>
      <c r="L292" s="345"/>
      <c r="N292" s="8"/>
    </row>
    <row r="293" spans="4:14" x14ac:dyDescent="0.25">
      <c r="D293" s="343"/>
      <c r="E293" s="344"/>
      <c r="I293" s="32"/>
      <c r="J293" s="32"/>
      <c r="L293" s="345"/>
      <c r="N293" s="8"/>
    </row>
    <row r="294" spans="4:14" x14ac:dyDescent="0.25">
      <c r="D294" s="343"/>
      <c r="E294" s="344"/>
      <c r="I294" s="32"/>
      <c r="J294" s="32"/>
      <c r="L294" s="345"/>
      <c r="N294" s="8"/>
    </row>
    <row r="295" spans="4:14" x14ac:dyDescent="0.25">
      <c r="D295" s="343"/>
      <c r="E295" s="344"/>
      <c r="I295" s="32"/>
      <c r="J295" s="32"/>
      <c r="L295" s="345"/>
      <c r="N295" s="8"/>
    </row>
    <row r="296" spans="4:14" x14ac:dyDescent="0.25">
      <c r="D296" s="343"/>
      <c r="E296" s="344"/>
      <c r="I296" s="32"/>
      <c r="J296" s="32"/>
      <c r="L296" s="345"/>
      <c r="N296" s="8"/>
    </row>
    <row r="297" spans="4:14" x14ac:dyDescent="0.25">
      <c r="D297" s="343"/>
      <c r="E297" s="344"/>
      <c r="I297" s="32"/>
      <c r="J297" s="32"/>
      <c r="L297" s="345"/>
      <c r="N297" s="8"/>
    </row>
    <row r="298" spans="4:14" x14ac:dyDescent="0.25">
      <c r="D298" s="343"/>
      <c r="E298" s="344"/>
      <c r="I298" s="32"/>
      <c r="J298" s="32"/>
      <c r="L298" s="345"/>
      <c r="N298" s="8"/>
    </row>
    <row r="299" spans="4:14" x14ac:dyDescent="0.25">
      <c r="D299" s="343"/>
      <c r="E299" s="344"/>
      <c r="I299" s="32"/>
      <c r="J299" s="32"/>
      <c r="L299" s="345"/>
      <c r="N299" s="8"/>
    </row>
    <row r="300" spans="4:14" x14ac:dyDescent="0.25">
      <c r="D300" s="343"/>
      <c r="E300" s="344"/>
      <c r="I300" s="32"/>
      <c r="J300" s="32"/>
      <c r="L300" s="345"/>
      <c r="N300" s="8"/>
    </row>
    <row r="301" spans="4:14" x14ac:dyDescent="0.25">
      <c r="D301" s="343"/>
      <c r="E301" s="344"/>
      <c r="I301" s="32"/>
      <c r="J301" s="32"/>
      <c r="L301" s="345"/>
      <c r="N301" s="8"/>
    </row>
    <row r="302" spans="4:14" x14ac:dyDescent="0.25">
      <c r="D302" s="343"/>
      <c r="E302" s="344"/>
      <c r="I302" s="32"/>
      <c r="J302" s="32"/>
      <c r="L302" s="345"/>
      <c r="N302" s="8"/>
    </row>
    <row r="303" spans="4:14" x14ac:dyDescent="0.25">
      <c r="D303" s="343"/>
      <c r="E303" s="344"/>
      <c r="I303" s="32"/>
      <c r="J303" s="32"/>
      <c r="L303" s="345"/>
      <c r="N303" s="8"/>
    </row>
    <row r="304" spans="4:14" x14ac:dyDescent="0.25">
      <c r="D304" s="343"/>
      <c r="E304" s="344"/>
      <c r="I304" s="32"/>
      <c r="J304" s="32"/>
      <c r="L304" s="345"/>
      <c r="N304" s="8"/>
    </row>
    <row r="305" spans="4:14" x14ac:dyDescent="0.25">
      <c r="D305" s="343"/>
      <c r="E305" s="344"/>
      <c r="I305" s="32"/>
      <c r="J305" s="32"/>
      <c r="L305" s="345"/>
      <c r="N305" s="8"/>
    </row>
    <row r="306" spans="4:14" x14ac:dyDescent="0.25">
      <c r="D306" s="343"/>
      <c r="E306" s="344"/>
      <c r="I306" s="32"/>
      <c r="J306" s="32"/>
      <c r="L306" s="345"/>
      <c r="N306" s="8"/>
    </row>
    <row r="307" spans="4:14" x14ac:dyDescent="0.25">
      <c r="D307" s="343"/>
      <c r="E307" s="344"/>
      <c r="I307" s="32"/>
      <c r="J307" s="32"/>
      <c r="L307" s="345"/>
      <c r="N307" s="8"/>
    </row>
    <row r="308" spans="4:14" x14ac:dyDescent="0.25">
      <c r="D308" s="343"/>
      <c r="E308" s="344"/>
      <c r="I308" s="32"/>
      <c r="J308" s="32"/>
      <c r="L308" s="345"/>
      <c r="N308" s="8"/>
    </row>
    <row r="309" spans="4:14" x14ac:dyDescent="0.25">
      <c r="D309" s="343"/>
      <c r="E309" s="344"/>
      <c r="I309" s="32"/>
      <c r="J309" s="32"/>
      <c r="L309" s="345"/>
      <c r="N309" s="8"/>
    </row>
    <row r="310" spans="4:14" x14ac:dyDescent="0.25">
      <c r="D310" s="343"/>
      <c r="E310" s="344"/>
      <c r="I310" s="32"/>
      <c r="J310" s="32"/>
      <c r="L310" s="345"/>
      <c r="N310" s="8"/>
    </row>
    <row r="311" spans="4:14" x14ac:dyDescent="0.25">
      <c r="D311" s="343"/>
      <c r="E311" s="344"/>
      <c r="I311" s="32"/>
      <c r="J311" s="32"/>
      <c r="L311" s="345"/>
      <c r="N311" s="8"/>
    </row>
    <row r="312" spans="4:14" x14ac:dyDescent="0.25">
      <c r="D312" s="343"/>
      <c r="E312" s="344"/>
      <c r="I312" s="32"/>
      <c r="J312" s="32"/>
      <c r="L312" s="345"/>
      <c r="N312" s="8"/>
    </row>
    <row r="313" spans="4:14" x14ac:dyDescent="0.25">
      <c r="D313" s="343"/>
      <c r="E313" s="344"/>
      <c r="I313" s="32"/>
      <c r="J313" s="32"/>
      <c r="L313" s="345"/>
      <c r="N313" s="8"/>
    </row>
    <row r="314" spans="4:14" x14ac:dyDescent="0.25">
      <c r="D314" s="343"/>
      <c r="E314" s="344"/>
      <c r="I314" s="32"/>
      <c r="J314" s="32"/>
      <c r="L314" s="345"/>
      <c r="N314" s="8"/>
    </row>
    <row r="315" spans="4:14" x14ac:dyDescent="0.25">
      <c r="D315" s="343"/>
      <c r="E315" s="344"/>
      <c r="I315" s="32"/>
      <c r="J315" s="32"/>
      <c r="L315" s="345"/>
      <c r="N315" s="8"/>
    </row>
    <row r="316" spans="4:14" x14ac:dyDescent="0.25">
      <c r="D316" s="343"/>
      <c r="E316" s="344"/>
      <c r="I316" s="32"/>
      <c r="J316" s="32"/>
      <c r="L316" s="345"/>
      <c r="N316" s="8"/>
    </row>
    <row r="317" spans="4:14" x14ac:dyDescent="0.25">
      <c r="D317" s="343"/>
      <c r="E317" s="344"/>
      <c r="I317" s="32"/>
      <c r="J317" s="32"/>
      <c r="L317" s="345"/>
      <c r="N317" s="8"/>
    </row>
    <row r="318" spans="4:14" x14ac:dyDescent="0.25">
      <c r="D318" s="343"/>
      <c r="E318" s="344"/>
      <c r="I318" s="32"/>
      <c r="J318" s="32"/>
      <c r="L318" s="345"/>
      <c r="N318" s="8"/>
    </row>
    <row r="319" spans="4:14" x14ac:dyDescent="0.25">
      <c r="D319" s="343"/>
      <c r="E319" s="344"/>
      <c r="I319" s="32"/>
      <c r="J319" s="32"/>
      <c r="L319" s="345"/>
      <c r="N319" s="8"/>
    </row>
    <row r="320" spans="4:14" x14ac:dyDescent="0.25">
      <c r="D320" s="343"/>
      <c r="E320" s="344"/>
      <c r="I320" s="32"/>
      <c r="J320" s="32"/>
      <c r="L320" s="345"/>
      <c r="N320" s="8"/>
    </row>
    <row r="321" spans="4:14" x14ac:dyDescent="0.25">
      <c r="D321" s="343"/>
      <c r="E321" s="344"/>
      <c r="I321" s="32"/>
      <c r="J321" s="32"/>
      <c r="L321" s="345"/>
      <c r="N321" s="8"/>
    </row>
    <row r="322" spans="4:14" x14ac:dyDescent="0.25">
      <c r="D322" s="343"/>
      <c r="E322" s="344"/>
      <c r="I322" s="32"/>
      <c r="J322" s="32"/>
      <c r="L322" s="345"/>
      <c r="N322" s="8"/>
    </row>
    <row r="323" spans="4:14" x14ac:dyDescent="0.25">
      <c r="D323" s="343"/>
      <c r="E323" s="344"/>
      <c r="I323" s="32"/>
      <c r="J323" s="32"/>
      <c r="L323" s="345"/>
      <c r="N323" s="8"/>
    </row>
    <row r="324" spans="4:14" x14ac:dyDescent="0.25">
      <c r="D324" s="343"/>
      <c r="E324" s="344"/>
      <c r="I324" s="32"/>
      <c r="J324" s="32"/>
      <c r="L324" s="345"/>
      <c r="N324" s="8"/>
    </row>
    <row r="325" spans="4:14" x14ac:dyDescent="0.25">
      <c r="D325" s="343"/>
      <c r="E325" s="344"/>
      <c r="I325" s="32"/>
      <c r="J325" s="32"/>
      <c r="L325" s="345"/>
      <c r="N325" s="8"/>
    </row>
    <row r="326" spans="4:14" x14ac:dyDescent="0.25">
      <c r="D326" s="343"/>
      <c r="E326" s="344"/>
      <c r="I326" s="32"/>
      <c r="J326" s="32"/>
      <c r="L326" s="345"/>
      <c r="N326" s="8"/>
    </row>
    <row r="327" spans="4:14" x14ac:dyDescent="0.25">
      <c r="D327" s="343"/>
      <c r="E327" s="344"/>
      <c r="I327" s="32"/>
      <c r="J327" s="32"/>
      <c r="L327" s="345"/>
      <c r="N327" s="8"/>
    </row>
    <row r="328" spans="4:14" x14ac:dyDescent="0.25">
      <c r="D328" s="343"/>
      <c r="E328" s="344"/>
      <c r="I328" s="32"/>
      <c r="J328" s="32"/>
      <c r="L328" s="345"/>
      <c r="N328" s="8"/>
    </row>
    <row r="329" spans="4:14" x14ac:dyDescent="0.25">
      <c r="D329" s="343"/>
      <c r="E329" s="344"/>
      <c r="I329" s="32"/>
      <c r="J329" s="32"/>
      <c r="L329" s="345"/>
      <c r="N329" s="8"/>
    </row>
    <row r="330" spans="4:14" x14ac:dyDescent="0.25">
      <c r="D330" s="343"/>
      <c r="E330" s="344"/>
      <c r="I330" s="32"/>
      <c r="J330" s="32"/>
      <c r="L330" s="345"/>
      <c r="N330" s="8"/>
    </row>
    <row r="331" spans="4:14" x14ac:dyDescent="0.25">
      <c r="D331" s="343"/>
      <c r="E331" s="344"/>
      <c r="I331" s="32"/>
      <c r="J331" s="32"/>
      <c r="L331" s="345"/>
      <c r="N331" s="8"/>
    </row>
    <row r="332" spans="4:14" x14ac:dyDescent="0.25">
      <c r="D332" s="343"/>
      <c r="E332" s="344"/>
      <c r="I332" s="32"/>
      <c r="J332" s="32"/>
      <c r="L332" s="345"/>
      <c r="N332" s="8"/>
    </row>
    <row r="333" spans="4:14" x14ac:dyDescent="0.25">
      <c r="D333" s="343"/>
      <c r="E333" s="344"/>
      <c r="I333" s="32"/>
      <c r="J333" s="32"/>
      <c r="L333" s="345"/>
      <c r="N333" s="8"/>
    </row>
    <row r="334" spans="4:14" x14ac:dyDescent="0.25">
      <c r="D334" s="343"/>
      <c r="E334" s="344"/>
      <c r="I334" s="32"/>
      <c r="J334" s="32"/>
      <c r="L334" s="345"/>
      <c r="N334" s="8"/>
    </row>
    <row r="335" spans="4:14" x14ac:dyDescent="0.25">
      <c r="D335" s="343"/>
      <c r="E335" s="344"/>
      <c r="I335" s="32"/>
      <c r="J335" s="32"/>
      <c r="L335" s="345"/>
      <c r="N335" s="8"/>
    </row>
    <row r="336" spans="4:14" x14ac:dyDescent="0.25">
      <c r="D336" s="343"/>
      <c r="E336" s="344"/>
      <c r="I336" s="32"/>
      <c r="J336" s="32"/>
      <c r="L336" s="345"/>
      <c r="N336" s="8"/>
    </row>
    <row r="337" spans="4:14" x14ac:dyDescent="0.25">
      <c r="D337" s="343"/>
      <c r="E337" s="344"/>
      <c r="I337" s="32"/>
      <c r="J337" s="32"/>
      <c r="L337" s="345"/>
      <c r="N337" s="8"/>
    </row>
    <row r="338" spans="4:14" x14ac:dyDescent="0.25">
      <c r="D338" s="343"/>
      <c r="E338" s="344"/>
      <c r="I338" s="32"/>
      <c r="J338" s="32"/>
      <c r="L338" s="345"/>
      <c r="N338" s="8"/>
    </row>
    <row r="339" spans="4:14" x14ac:dyDescent="0.25">
      <c r="D339" s="343"/>
      <c r="E339" s="344"/>
      <c r="I339" s="32"/>
      <c r="J339" s="32"/>
      <c r="L339" s="345"/>
      <c r="N339" s="8"/>
    </row>
    <row r="340" spans="4:14" x14ac:dyDescent="0.25">
      <c r="D340" s="343"/>
      <c r="E340" s="344"/>
      <c r="I340" s="32"/>
      <c r="J340" s="32"/>
      <c r="L340" s="345"/>
      <c r="N340" s="8"/>
    </row>
    <row r="341" spans="4:14" x14ac:dyDescent="0.25">
      <c r="D341" s="343"/>
      <c r="E341" s="344"/>
      <c r="I341" s="32"/>
      <c r="J341" s="32"/>
      <c r="L341" s="345"/>
      <c r="N341" s="8"/>
    </row>
    <row r="342" spans="4:14" x14ac:dyDescent="0.25">
      <c r="D342" s="343"/>
      <c r="E342" s="344"/>
      <c r="I342" s="32"/>
      <c r="J342" s="32"/>
      <c r="L342" s="345"/>
      <c r="N342" s="8"/>
    </row>
    <row r="343" spans="4:14" x14ac:dyDescent="0.25">
      <c r="D343" s="343"/>
      <c r="E343" s="344"/>
      <c r="I343" s="32"/>
      <c r="J343" s="32"/>
      <c r="L343" s="345"/>
      <c r="N343" s="8"/>
    </row>
    <row r="344" spans="4:14" x14ac:dyDescent="0.25">
      <c r="D344" s="343"/>
      <c r="E344" s="344"/>
      <c r="I344" s="32"/>
      <c r="J344" s="32"/>
      <c r="L344" s="345"/>
      <c r="N344" s="8"/>
    </row>
    <row r="345" spans="4:14" x14ac:dyDescent="0.25">
      <c r="D345" s="343"/>
      <c r="E345" s="344"/>
      <c r="I345" s="32"/>
      <c r="J345" s="32"/>
      <c r="L345" s="345"/>
      <c r="N345" s="8"/>
    </row>
    <row r="346" spans="4:14" x14ac:dyDescent="0.25">
      <c r="D346" s="343"/>
      <c r="E346" s="344"/>
      <c r="I346" s="32"/>
      <c r="J346" s="32"/>
      <c r="L346" s="345"/>
      <c r="N346" s="8"/>
    </row>
    <row r="347" spans="4:14" x14ac:dyDescent="0.25">
      <c r="D347" s="343"/>
      <c r="E347" s="344"/>
      <c r="I347" s="32"/>
      <c r="J347" s="32"/>
      <c r="L347" s="345"/>
      <c r="N347" s="8"/>
    </row>
    <row r="348" spans="4:14" x14ac:dyDescent="0.25">
      <c r="D348" s="343"/>
      <c r="E348" s="344"/>
      <c r="I348" s="32"/>
      <c r="J348" s="32"/>
      <c r="L348" s="345"/>
      <c r="N348" s="8"/>
    </row>
    <row r="349" spans="4:14" x14ac:dyDescent="0.25">
      <c r="D349" s="343"/>
      <c r="E349" s="344"/>
      <c r="I349" s="32"/>
      <c r="J349" s="32"/>
      <c r="L349" s="345"/>
      <c r="N349" s="8"/>
    </row>
    <row r="350" spans="4:14" x14ac:dyDescent="0.25">
      <c r="D350" s="343"/>
      <c r="E350" s="344"/>
      <c r="I350" s="32"/>
      <c r="J350" s="32"/>
      <c r="L350" s="345"/>
      <c r="N350" s="8"/>
    </row>
    <row r="351" spans="4:14" x14ac:dyDescent="0.25">
      <c r="D351" s="343"/>
      <c r="E351" s="344"/>
      <c r="I351" s="32"/>
      <c r="J351" s="32"/>
      <c r="L351" s="345"/>
      <c r="N351" s="8"/>
    </row>
    <row r="352" spans="4:14" x14ac:dyDescent="0.25">
      <c r="D352" s="343"/>
      <c r="E352" s="344"/>
      <c r="I352" s="32"/>
      <c r="J352" s="32"/>
      <c r="L352" s="345"/>
      <c r="N352" s="8"/>
    </row>
    <row r="353" spans="4:14" x14ac:dyDescent="0.25">
      <c r="D353" s="343"/>
      <c r="E353" s="344"/>
      <c r="I353" s="32"/>
      <c r="J353" s="32"/>
      <c r="L353" s="345"/>
      <c r="N353" s="8"/>
    </row>
    <row r="354" spans="4:14" x14ac:dyDescent="0.25">
      <c r="D354" s="343"/>
      <c r="E354" s="344"/>
      <c r="I354" s="32"/>
      <c r="J354" s="32"/>
      <c r="L354" s="345"/>
      <c r="N354" s="8"/>
    </row>
    <row r="355" spans="4:14" x14ac:dyDescent="0.25">
      <c r="D355" s="343"/>
      <c r="E355" s="344"/>
      <c r="I355" s="32"/>
      <c r="J355" s="32"/>
      <c r="L355" s="345"/>
      <c r="N355" s="8"/>
    </row>
    <row r="356" spans="4:14" x14ac:dyDescent="0.25">
      <c r="D356" s="343"/>
      <c r="E356" s="344"/>
      <c r="I356" s="32"/>
      <c r="J356" s="32"/>
      <c r="L356" s="345"/>
      <c r="N356" s="8"/>
    </row>
    <row r="357" spans="4:14" x14ac:dyDescent="0.25">
      <c r="D357" s="343"/>
      <c r="E357" s="344"/>
      <c r="I357" s="32"/>
      <c r="J357" s="32"/>
      <c r="L357" s="345"/>
      <c r="N357" s="8"/>
    </row>
    <row r="358" spans="4:14" x14ac:dyDescent="0.25">
      <c r="D358" s="343"/>
      <c r="E358" s="344"/>
      <c r="I358" s="32"/>
      <c r="J358" s="32"/>
      <c r="L358" s="345"/>
      <c r="N358" s="8"/>
    </row>
    <row r="359" spans="4:14" x14ac:dyDescent="0.25">
      <c r="D359" s="343"/>
      <c r="E359" s="344"/>
      <c r="I359" s="32"/>
      <c r="J359" s="32"/>
      <c r="L359" s="345"/>
      <c r="N359" s="8"/>
    </row>
    <row r="360" spans="4:14" x14ac:dyDescent="0.25">
      <c r="D360" s="343"/>
      <c r="E360" s="344"/>
      <c r="I360" s="32"/>
      <c r="J360" s="32"/>
      <c r="L360" s="345"/>
      <c r="N360" s="8"/>
    </row>
    <row r="361" spans="4:14" x14ac:dyDescent="0.25">
      <c r="D361" s="343"/>
      <c r="E361" s="344"/>
      <c r="I361" s="32"/>
      <c r="J361" s="32"/>
      <c r="L361" s="345"/>
      <c r="N361" s="8"/>
    </row>
    <row r="362" spans="4:14" x14ac:dyDescent="0.25">
      <c r="D362" s="343"/>
      <c r="E362" s="344"/>
      <c r="I362" s="32"/>
      <c r="J362" s="32"/>
      <c r="L362" s="345"/>
      <c r="N362" s="8"/>
    </row>
    <row r="363" spans="4:14" x14ac:dyDescent="0.25">
      <c r="D363" s="343"/>
      <c r="E363" s="344"/>
      <c r="I363" s="32"/>
      <c r="J363" s="32"/>
      <c r="L363" s="345"/>
      <c r="N363" s="8"/>
    </row>
    <row r="364" spans="4:14" x14ac:dyDescent="0.25">
      <c r="D364" s="343"/>
      <c r="E364" s="344"/>
      <c r="I364" s="32"/>
      <c r="J364" s="32"/>
      <c r="L364" s="345"/>
      <c r="N364" s="8"/>
    </row>
    <row r="365" spans="4:14" x14ac:dyDescent="0.25">
      <c r="D365" s="343"/>
      <c r="E365" s="344"/>
      <c r="I365" s="32"/>
      <c r="J365" s="32"/>
      <c r="L365" s="345"/>
      <c r="N365" s="8"/>
    </row>
    <row r="366" spans="4:14" x14ac:dyDescent="0.25">
      <c r="D366" s="343"/>
      <c r="E366" s="344"/>
      <c r="I366" s="32"/>
      <c r="J366" s="32"/>
      <c r="L366" s="345"/>
      <c r="N366" s="8"/>
    </row>
    <row r="367" spans="4:14" x14ac:dyDescent="0.25">
      <c r="D367" s="343"/>
      <c r="E367" s="344"/>
      <c r="I367" s="32"/>
      <c r="J367" s="32"/>
      <c r="L367" s="345"/>
      <c r="N367" s="8"/>
    </row>
    <row r="368" spans="4:14" x14ac:dyDescent="0.25">
      <c r="D368" s="343"/>
      <c r="E368" s="344"/>
      <c r="I368" s="32"/>
      <c r="J368" s="32"/>
      <c r="L368" s="345"/>
      <c r="N368" s="8"/>
    </row>
    <row r="369" spans="4:14" x14ac:dyDescent="0.25">
      <c r="D369" s="343"/>
      <c r="E369" s="344"/>
      <c r="I369" s="32"/>
      <c r="J369" s="32"/>
      <c r="L369" s="345"/>
      <c r="N369" s="8"/>
    </row>
    <row r="370" spans="4:14" x14ac:dyDescent="0.25">
      <c r="D370" s="343"/>
      <c r="E370" s="344"/>
      <c r="I370" s="32"/>
      <c r="J370" s="32"/>
      <c r="L370" s="345"/>
      <c r="N370" s="8"/>
    </row>
    <row r="371" spans="4:14" x14ac:dyDescent="0.25">
      <c r="D371" s="343"/>
      <c r="E371" s="344"/>
      <c r="I371" s="32"/>
      <c r="J371" s="32"/>
      <c r="L371" s="345"/>
      <c r="N371" s="8"/>
    </row>
    <row r="372" spans="4:14" x14ac:dyDescent="0.25">
      <c r="D372" s="343"/>
      <c r="E372" s="344"/>
      <c r="I372" s="32"/>
      <c r="J372" s="32"/>
      <c r="L372" s="345"/>
      <c r="N372" s="8"/>
    </row>
    <row r="373" spans="4:14" x14ac:dyDescent="0.25">
      <c r="D373" s="343"/>
      <c r="E373" s="344"/>
      <c r="I373" s="32"/>
      <c r="J373" s="32"/>
      <c r="L373" s="345"/>
      <c r="N373" s="8"/>
    </row>
    <row r="374" spans="4:14" x14ac:dyDescent="0.25">
      <c r="D374" s="343"/>
      <c r="E374" s="344"/>
      <c r="I374" s="32"/>
      <c r="J374" s="32"/>
      <c r="L374" s="345"/>
      <c r="N374" s="8"/>
    </row>
    <row r="375" spans="4:14" x14ac:dyDescent="0.25">
      <c r="D375" s="343"/>
      <c r="E375" s="344"/>
      <c r="I375" s="32"/>
      <c r="J375" s="32"/>
      <c r="L375" s="345"/>
      <c r="N375" s="8"/>
    </row>
    <row r="376" spans="4:14" x14ac:dyDescent="0.25">
      <c r="D376" s="343"/>
      <c r="E376" s="344"/>
      <c r="I376" s="32"/>
      <c r="J376" s="32"/>
      <c r="L376" s="345"/>
      <c r="N376" s="8"/>
    </row>
    <row r="377" spans="4:14" x14ac:dyDescent="0.25">
      <c r="D377" s="343"/>
      <c r="E377" s="344"/>
      <c r="I377" s="32"/>
      <c r="J377" s="32"/>
      <c r="L377" s="345"/>
      <c r="N377" s="8"/>
    </row>
    <row r="378" spans="4:14" x14ac:dyDescent="0.25">
      <c r="D378" s="343"/>
      <c r="E378" s="344"/>
      <c r="I378" s="32"/>
      <c r="J378" s="32"/>
      <c r="L378" s="345"/>
      <c r="N378" s="8"/>
    </row>
    <row r="379" spans="4:14" x14ac:dyDescent="0.25">
      <c r="D379" s="343"/>
      <c r="E379" s="344"/>
      <c r="I379" s="32"/>
      <c r="J379" s="32"/>
      <c r="L379" s="345"/>
      <c r="N379" s="8"/>
    </row>
    <row r="380" spans="4:14" x14ac:dyDescent="0.25">
      <c r="D380" s="343"/>
      <c r="E380" s="344"/>
      <c r="I380" s="32"/>
      <c r="J380" s="32"/>
      <c r="L380" s="345"/>
      <c r="N380" s="8"/>
    </row>
    <row r="381" spans="4:14" x14ac:dyDescent="0.25">
      <c r="D381" s="343"/>
      <c r="E381" s="344"/>
      <c r="I381" s="32"/>
      <c r="J381" s="32"/>
      <c r="L381" s="345"/>
      <c r="N381" s="8"/>
    </row>
    <row r="382" spans="4:14" x14ac:dyDescent="0.25">
      <c r="D382" s="343"/>
      <c r="E382" s="344"/>
      <c r="I382" s="32"/>
      <c r="J382" s="32"/>
      <c r="L382" s="345"/>
      <c r="N382" s="8"/>
    </row>
    <row r="383" spans="4:14" x14ac:dyDescent="0.25">
      <c r="D383" s="343"/>
      <c r="E383" s="344"/>
      <c r="I383" s="32"/>
      <c r="J383" s="32"/>
      <c r="L383" s="345"/>
      <c r="N383" s="8"/>
    </row>
    <row r="384" spans="4:14" x14ac:dyDescent="0.25">
      <c r="D384" s="343"/>
      <c r="E384" s="344"/>
      <c r="I384" s="32"/>
      <c r="J384" s="32"/>
      <c r="L384" s="345"/>
      <c r="N384" s="8"/>
    </row>
    <row r="385" spans="4:14" x14ac:dyDescent="0.25">
      <c r="D385" s="343"/>
      <c r="E385" s="344"/>
      <c r="I385" s="32"/>
      <c r="J385" s="32"/>
      <c r="L385" s="345"/>
      <c r="N385" s="8"/>
    </row>
    <row r="386" spans="4:14" x14ac:dyDescent="0.25">
      <c r="D386" s="343"/>
      <c r="E386" s="344"/>
      <c r="I386" s="32"/>
      <c r="J386" s="32"/>
      <c r="L386" s="345"/>
      <c r="N386" s="8"/>
    </row>
    <row r="387" spans="4:14" x14ac:dyDescent="0.25">
      <c r="D387" s="343"/>
      <c r="E387" s="344"/>
      <c r="I387" s="32"/>
      <c r="J387" s="32"/>
      <c r="L387" s="345"/>
      <c r="N387" s="8"/>
    </row>
    <row r="388" spans="4:14" x14ac:dyDescent="0.25">
      <c r="D388" s="343"/>
      <c r="E388" s="344"/>
      <c r="I388" s="32"/>
      <c r="J388" s="32"/>
      <c r="L388" s="345"/>
      <c r="N388" s="8"/>
    </row>
    <row r="389" spans="4:14" x14ac:dyDescent="0.25">
      <c r="D389" s="343"/>
      <c r="E389" s="344"/>
      <c r="I389" s="32"/>
      <c r="J389" s="32"/>
      <c r="L389" s="345"/>
      <c r="N389" s="8"/>
    </row>
    <row r="390" spans="4:14" x14ac:dyDescent="0.25">
      <c r="D390" s="343"/>
      <c r="E390" s="344"/>
      <c r="I390" s="32"/>
      <c r="J390" s="32"/>
      <c r="L390" s="345"/>
      <c r="N390" s="8"/>
    </row>
    <row r="391" spans="4:14" x14ac:dyDescent="0.25">
      <c r="D391" s="343"/>
      <c r="E391" s="344"/>
      <c r="I391" s="32"/>
      <c r="J391" s="32"/>
      <c r="L391" s="345"/>
      <c r="N391" s="8"/>
    </row>
    <row r="392" spans="4:14" x14ac:dyDescent="0.25">
      <c r="D392" s="343"/>
      <c r="E392" s="344"/>
      <c r="I392" s="32"/>
      <c r="J392" s="32"/>
      <c r="L392" s="345"/>
      <c r="N392" s="8"/>
    </row>
    <row r="393" spans="4:14" x14ac:dyDescent="0.25">
      <c r="D393" s="343"/>
      <c r="E393" s="344"/>
      <c r="I393" s="32"/>
      <c r="J393" s="32"/>
      <c r="L393" s="345"/>
      <c r="N393" s="8"/>
    </row>
    <row r="394" spans="4:14" x14ac:dyDescent="0.25">
      <c r="D394" s="343"/>
      <c r="E394" s="344"/>
      <c r="I394" s="32"/>
      <c r="J394" s="32"/>
      <c r="L394" s="345"/>
      <c r="N394" s="8"/>
    </row>
    <row r="395" spans="4:14" x14ac:dyDescent="0.25">
      <c r="D395" s="343"/>
      <c r="E395" s="344"/>
      <c r="I395" s="32"/>
      <c r="J395" s="32"/>
      <c r="L395" s="345"/>
      <c r="N395" s="8"/>
    </row>
    <row r="396" spans="4:14" x14ac:dyDescent="0.25">
      <c r="D396" s="343"/>
      <c r="E396" s="344"/>
      <c r="I396" s="32"/>
      <c r="J396" s="32"/>
      <c r="L396" s="345"/>
      <c r="N396" s="8"/>
    </row>
    <row r="397" spans="4:14" x14ac:dyDescent="0.25">
      <c r="D397" s="343"/>
      <c r="E397" s="344"/>
      <c r="I397" s="32"/>
      <c r="J397" s="32"/>
      <c r="L397" s="345"/>
      <c r="N397" s="8"/>
    </row>
    <row r="398" spans="4:14" x14ac:dyDescent="0.25">
      <c r="D398" s="343"/>
      <c r="E398" s="344"/>
      <c r="I398" s="32"/>
      <c r="J398" s="32"/>
      <c r="L398" s="345"/>
      <c r="N398" s="8"/>
    </row>
    <row r="399" spans="4:14" x14ac:dyDescent="0.25">
      <c r="D399" s="343"/>
      <c r="E399" s="344"/>
      <c r="I399" s="32"/>
      <c r="J399" s="32"/>
      <c r="L399" s="345"/>
      <c r="N399" s="8"/>
    </row>
    <row r="400" spans="4:14" x14ac:dyDescent="0.25">
      <c r="D400" s="343"/>
      <c r="E400" s="344"/>
      <c r="I400" s="32"/>
      <c r="J400" s="32"/>
      <c r="L400" s="345"/>
      <c r="N400" s="8"/>
    </row>
    <row r="401" spans="4:14" x14ac:dyDescent="0.25">
      <c r="D401" s="343"/>
      <c r="E401" s="344"/>
      <c r="I401" s="32"/>
      <c r="J401" s="32"/>
      <c r="L401" s="345"/>
      <c r="N401" s="8"/>
    </row>
    <row r="402" spans="4:14" x14ac:dyDescent="0.25">
      <c r="D402" s="343"/>
      <c r="E402" s="344"/>
      <c r="I402" s="32"/>
      <c r="J402" s="32"/>
      <c r="L402" s="345"/>
      <c r="N402" s="8"/>
    </row>
    <row r="403" spans="4:14" x14ac:dyDescent="0.25">
      <c r="D403" s="343"/>
      <c r="E403" s="344"/>
      <c r="I403" s="32"/>
      <c r="J403" s="32"/>
      <c r="L403" s="345"/>
      <c r="N403" s="8"/>
    </row>
    <row r="404" spans="4:14" x14ac:dyDescent="0.25">
      <c r="D404" s="343"/>
      <c r="E404" s="344"/>
      <c r="I404" s="32"/>
      <c r="J404" s="32"/>
      <c r="L404" s="345"/>
      <c r="N404" s="8"/>
    </row>
    <row r="405" spans="4:14" x14ac:dyDescent="0.25">
      <c r="D405" s="343"/>
      <c r="E405" s="344"/>
      <c r="I405" s="32"/>
      <c r="J405" s="32"/>
      <c r="L405" s="345"/>
      <c r="N405" s="8"/>
    </row>
    <row r="406" spans="4:14" x14ac:dyDescent="0.25">
      <c r="D406" s="343"/>
      <c r="E406" s="344"/>
      <c r="I406" s="32"/>
      <c r="J406" s="32"/>
      <c r="L406" s="345"/>
      <c r="N406" s="8"/>
    </row>
    <row r="407" spans="4:14" x14ac:dyDescent="0.25">
      <c r="D407" s="343"/>
      <c r="E407" s="344"/>
      <c r="I407" s="32"/>
      <c r="J407" s="32"/>
      <c r="L407" s="345"/>
      <c r="N407" s="8"/>
    </row>
    <row r="408" spans="4:14" x14ac:dyDescent="0.25">
      <c r="D408" s="343"/>
      <c r="E408" s="344"/>
      <c r="I408" s="32"/>
      <c r="J408" s="32"/>
      <c r="L408" s="345"/>
      <c r="N408" s="8"/>
    </row>
    <row r="409" spans="4:14" x14ac:dyDescent="0.25">
      <c r="D409" s="343"/>
      <c r="E409" s="344"/>
      <c r="I409" s="32"/>
      <c r="J409" s="32"/>
      <c r="L409" s="345"/>
      <c r="N409" s="8"/>
    </row>
    <row r="410" spans="4:14" x14ac:dyDescent="0.25">
      <c r="D410" s="343"/>
      <c r="E410" s="344"/>
      <c r="I410" s="32"/>
      <c r="J410" s="32"/>
      <c r="L410" s="345"/>
      <c r="N410" s="8"/>
    </row>
    <row r="411" spans="4:14" x14ac:dyDescent="0.25">
      <c r="D411" s="343"/>
      <c r="E411" s="344"/>
      <c r="I411" s="32"/>
      <c r="J411" s="32"/>
      <c r="L411" s="345"/>
      <c r="N411" s="8"/>
    </row>
    <row r="412" spans="4:14" x14ac:dyDescent="0.25">
      <c r="D412" s="343"/>
      <c r="E412" s="344"/>
      <c r="I412" s="32"/>
      <c r="J412" s="32"/>
      <c r="L412" s="345"/>
      <c r="N412" s="8"/>
    </row>
    <row r="413" spans="4:14" x14ac:dyDescent="0.25">
      <c r="D413" s="343"/>
      <c r="E413" s="344"/>
      <c r="I413" s="32"/>
      <c r="J413" s="32"/>
      <c r="L413" s="345"/>
      <c r="N413" s="8"/>
    </row>
    <row r="414" spans="4:14" x14ac:dyDescent="0.25">
      <c r="D414" s="343"/>
      <c r="E414" s="344"/>
      <c r="I414" s="32"/>
      <c r="J414" s="32"/>
      <c r="L414" s="345"/>
      <c r="N414" s="8"/>
    </row>
    <row r="415" spans="4:14" x14ac:dyDescent="0.25">
      <c r="D415" s="343"/>
      <c r="E415" s="344"/>
      <c r="I415" s="32"/>
      <c r="J415" s="32"/>
      <c r="L415" s="345"/>
      <c r="N415" s="8"/>
    </row>
    <row r="416" spans="4:14" x14ac:dyDescent="0.25">
      <c r="D416" s="343"/>
      <c r="E416" s="344"/>
      <c r="I416" s="32"/>
      <c r="J416" s="32"/>
      <c r="L416" s="345"/>
      <c r="N416" s="8"/>
    </row>
    <row r="417" spans="4:14" x14ac:dyDescent="0.25">
      <c r="D417" s="343"/>
      <c r="E417" s="344"/>
      <c r="I417" s="32"/>
      <c r="J417" s="32"/>
      <c r="L417" s="345"/>
      <c r="N417" s="8"/>
    </row>
    <row r="418" spans="4:14" x14ac:dyDescent="0.25">
      <c r="D418" s="343"/>
      <c r="E418" s="344"/>
      <c r="I418" s="32"/>
      <c r="J418" s="32"/>
      <c r="L418" s="345"/>
      <c r="N418" s="8"/>
    </row>
    <row r="419" spans="4:14" x14ac:dyDescent="0.25">
      <c r="D419" s="343"/>
      <c r="E419" s="344"/>
      <c r="I419" s="32"/>
      <c r="J419" s="32"/>
      <c r="L419" s="345"/>
      <c r="N419" s="8"/>
    </row>
    <row r="420" spans="4:14" x14ac:dyDescent="0.25">
      <c r="D420" s="343"/>
      <c r="E420" s="344"/>
      <c r="I420" s="32"/>
      <c r="J420" s="32"/>
      <c r="L420" s="345"/>
      <c r="N420" s="8"/>
    </row>
    <row r="421" spans="4:14" x14ac:dyDescent="0.25">
      <c r="D421" s="343"/>
      <c r="E421" s="344"/>
      <c r="I421" s="32"/>
      <c r="J421" s="32"/>
      <c r="L421" s="345"/>
      <c r="N421" s="8"/>
    </row>
    <row r="422" spans="4:14" x14ac:dyDescent="0.25">
      <c r="D422" s="343"/>
      <c r="E422" s="344"/>
      <c r="I422" s="32"/>
      <c r="J422" s="32"/>
      <c r="L422" s="345"/>
      <c r="N422" s="8"/>
    </row>
    <row r="423" spans="4:14" x14ac:dyDescent="0.25">
      <c r="D423" s="343"/>
      <c r="E423" s="344"/>
      <c r="I423" s="32"/>
      <c r="J423" s="32"/>
      <c r="L423" s="345"/>
      <c r="N423" s="8"/>
    </row>
    <row r="424" spans="4:14" x14ac:dyDescent="0.25">
      <c r="D424" s="343"/>
      <c r="E424" s="344"/>
      <c r="I424" s="32"/>
      <c r="J424" s="32"/>
      <c r="L424" s="345"/>
      <c r="N424" s="8"/>
    </row>
    <row r="425" spans="4:14" x14ac:dyDescent="0.25">
      <c r="D425" s="343"/>
      <c r="E425" s="344"/>
      <c r="I425" s="32"/>
      <c r="J425" s="32"/>
      <c r="L425" s="345"/>
      <c r="N425" s="8"/>
    </row>
    <row r="426" spans="4:14" x14ac:dyDescent="0.25">
      <c r="D426" s="343"/>
      <c r="E426" s="344"/>
      <c r="I426" s="32"/>
      <c r="J426" s="32"/>
      <c r="L426" s="345"/>
      <c r="N426" s="8"/>
    </row>
    <row r="427" spans="4:14" x14ac:dyDescent="0.25">
      <c r="D427" s="343"/>
      <c r="E427" s="344"/>
      <c r="I427" s="32"/>
      <c r="J427" s="32"/>
      <c r="L427" s="345"/>
      <c r="N427" s="8"/>
    </row>
    <row r="428" spans="4:14" x14ac:dyDescent="0.25">
      <c r="D428" s="343"/>
      <c r="E428" s="344"/>
      <c r="I428" s="32"/>
      <c r="J428" s="32"/>
      <c r="L428" s="345"/>
      <c r="N428" s="8"/>
    </row>
    <row r="429" spans="4:14" x14ac:dyDescent="0.25">
      <c r="D429" s="343"/>
      <c r="E429" s="344"/>
      <c r="I429" s="32"/>
      <c r="J429" s="32"/>
      <c r="L429" s="345"/>
      <c r="N429" s="8"/>
    </row>
    <row r="430" spans="4:14" x14ac:dyDescent="0.25">
      <c r="D430" s="343"/>
      <c r="E430" s="344"/>
      <c r="I430" s="32"/>
      <c r="J430" s="32"/>
      <c r="L430" s="345"/>
      <c r="N430" s="8"/>
    </row>
    <row r="431" spans="4:14" x14ac:dyDescent="0.25">
      <c r="D431" s="343"/>
      <c r="E431" s="344"/>
      <c r="I431" s="32"/>
      <c r="J431" s="32"/>
      <c r="L431" s="345"/>
      <c r="N431" s="8"/>
    </row>
    <row r="432" spans="4:14" x14ac:dyDescent="0.25">
      <c r="D432" s="343"/>
      <c r="E432" s="344"/>
      <c r="I432" s="32"/>
      <c r="J432" s="32"/>
      <c r="L432" s="345"/>
      <c r="N432" s="8"/>
    </row>
    <row r="433" spans="4:14" x14ac:dyDescent="0.25">
      <c r="D433" s="343"/>
      <c r="E433" s="344"/>
      <c r="I433" s="32"/>
      <c r="J433" s="32"/>
      <c r="L433" s="345"/>
      <c r="N433" s="8"/>
    </row>
    <row r="434" spans="4:14" x14ac:dyDescent="0.25">
      <c r="D434" s="343"/>
      <c r="E434" s="344"/>
      <c r="I434" s="32"/>
      <c r="J434" s="32"/>
      <c r="L434" s="345"/>
      <c r="N434" s="8"/>
    </row>
    <row r="435" spans="4:14" x14ac:dyDescent="0.25">
      <c r="D435" s="343"/>
      <c r="E435" s="344"/>
      <c r="I435" s="32"/>
      <c r="J435" s="32"/>
      <c r="L435" s="345"/>
      <c r="N435" s="8"/>
    </row>
    <row r="436" spans="4:14" x14ac:dyDescent="0.25">
      <c r="D436" s="343"/>
      <c r="E436" s="344"/>
      <c r="I436" s="32"/>
      <c r="J436" s="32"/>
      <c r="L436" s="345"/>
      <c r="N436" s="8"/>
    </row>
    <row r="437" spans="4:14" x14ac:dyDescent="0.25">
      <c r="D437" s="343"/>
      <c r="E437" s="344"/>
      <c r="I437" s="32"/>
      <c r="J437" s="32"/>
      <c r="L437" s="345"/>
      <c r="N437" s="8"/>
    </row>
    <row r="438" spans="4:14" x14ac:dyDescent="0.25">
      <c r="D438" s="343"/>
      <c r="E438" s="344"/>
      <c r="I438" s="32"/>
      <c r="J438" s="32"/>
      <c r="L438" s="345"/>
      <c r="N438" s="8"/>
    </row>
    <row r="439" spans="4:14" x14ac:dyDescent="0.25">
      <c r="D439" s="343"/>
      <c r="E439" s="344"/>
      <c r="I439" s="32"/>
      <c r="J439" s="32"/>
      <c r="L439" s="345"/>
      <c r="N439" s="8"/>
    </row>
    <row r="440" spans="4:14" x14ac:dyDescent="0.25">
      <c r="D440" s="343"/>
      <c r="E440" s="344"/>
      <c r="I440" s="32"/>
      <c r="J440" s="32"/>
      <c r="L440" s="345"/>
      <c r="N440" s="8"/>
    </row>
    <row r="441" spans="4:14" x14ac:dyDescent="0.25">
      <c r="D441" s="343"/>
      <c r="E441" s="344"/>
      <c r="I441" s="32"/>
      <c r="J441" s="32"/>
      <c r="L441" s="345"/>
      <c r="N441" s="8"/>
    </row>
    <row r="442" spans="4:14" x14ac:dyDescent="0.25">
      <c r="D442" s="343"/>
      <c r="E442" s="344"/>
      <c r="I442" s="32"/>
      <c r="J442" s="32"/>
      <c r="L442" s="345"/>
      <c r="N442" s="8"/>
    </row>
    <row r="443" spans="4:14" x14ac:dyDescent="0.25">
      <c r="D443" s="343"/>
      <c r="E443" s="344"/>
      <c r="I443" s="32"/>
      <c r="J443" s="32"/>
      <c r="L443" s="345"/>
      <c r="N443" s="8"/>
    </row>
    <row r="444" spans="4:14" x14ac:dyDescent="0.25">
      <c r="D444" s="343"/>
      <c r="E444" s="344"/>
      <c r="I444" s="32"/>
      <c r="J444" s="32"/>
      <c r="L444" s="345"/>
      <c r="N444" s="8"/>
    </row>
    <row r="445" spans="4:14" x14ac:dyDescent="0.25">
      <c r="D445" s="343"/>
      <c r="E445" s="344"/>
      <c r="I445" s="32"/>
      <c r="J445" s="32"/>
      <c r="L445" s="345"/>
      <c r="N445" s="8"/>
    </row>
    <row r="446" spans="4:14" x14ac:dyDescent="0.25">
      <c r="D446" s="343"/>
      <c r="E446" s="344"/>
      <c r="I446" s="32"/>
      <c r="J446" s="32"/>
      <c r="L446" s="345"/>
      <c r="N446" s="8"/>
    </row>
    <row r="447" spans="4:14" x14ac:dyDescent="0.25">
      <c r="D447" s="343"/>
      <c r="E447" s="344"/>
      <c r="I447" s="32"/>
      <c r="J447" s="32"/>
      <c r="L447" s="345"/>
      <c r="N447" s="8"/>
    </row>
    <row r="448" spans="4:14" x14ac:dyDescent="0.25">
      <c r="D448" s="343"/>
      <c r="E448" s="344"/>
      <c r="I448" s="32"/>
      <c r="J448" s="32"/>
      <c r="L448" s="345"/>
      <c r="N448" s="8"/>
    </row>
    <row r="449" spans="4:14" x14ac:dyDescent="0.25">
      <c r="D449" s="343"/>
      <c r="E449" s="344"/>
      <c r="I449" s="32"/>
      <c r="J449" s="32"/>
      <c r="L449" s="345"/>
      <c r="N449" s="8"/>
    </row>
    <row r="450" spans="4:14" x14ac:dyDescent="0.25">
      <c r="D450" s="343"/>
      <c r="E450" s="344"/>
      <c r="I450" s="32"/>
      <c r="J450" s="32"/>
      <c r="L450" s="345"/>
      <c r="N450" s="8"/>
    </row>
    <row r="451" spans="4:14" x14ac:dyDescent="0.25">
      <c r="D451" s="343"/>
      <c r="E451" s="344"/>
      <c r="I451" s="32"/>
      <c r="J451" s="32"/>
      <c r="L451" s="345"/>
      <c r="N451" s="8"/>
    </row>
    <row r="452" spans="4:14" x14ac:dyDescent="0.25">
      <c r="D452" s="343"/>
      <c r="E452" s="344"/>
      <c r="I452" s="32"/>
      <c r="J452" s="32"/>
      <c r="L452" s="345"/>
      <c r="N452" s="8"/>
    </row>
    <row r="453" spans="4:14" x14ac:dyDescent="0.25">
      <c r="D453" s="343"/>
      <c r="E453" s="344"/>
      <c r="I453" s="32"/>
      <c r="J453" s="32"/>
      <c r="L453" s="345"/>
      <c r="N453" s="8"/>
    </row>
    <row r="454" spans="4:14" x14ac:dyDescent="0.25">
      <c r="D454" s="343"/>
      <c r="E454" s="344"/>
      <c r="I454" s="32"/>
      <c r="J454" s="32"/>
      <c r="L454" s="345"/>
      <c r="N454" s="8"/>
    </row>
    <row r="455" spans="4:14" x14ac:dyDescent="0.25">
      <c r="D455" s="343"/>
      <c r="E455" s="344"/>
      <c r="I455" s="32"/>
      <c r="J455" s="32"/>
      <c r="L455" s="345"/>
      <c r="N455" s="8"/>
    </row>
    <row r="456" spans="4:14" x14ac:dyDescent="0.25">
      <c r="D456" s="343"/>
      <c r="E456" s="344"/>
      <c r="I456" s="32"/>
      <c r="J456" s="32"/>
      <c r="L456" s="345"/>
      <c r="N456" s="8"/>
    </row>
    <row r="457" spans="4:14" x14ac:dyDescent="0.25">
      <c r="D457" s="343"/>
      <c r="E457" s="344"/>
      <c r="I457" s="32"/>
      <c r="J457" s="32"/>
      <c r="L457" s="345"/>
      <c r="N457" s="8"/>
    </row>
    <row r="458" spans="4:14" x14ac:dyDescent="0.25">
      <c r="D458" s="343"/>
      <c r="E458" s="344"/>
      <c r="I458" s="32"/>
      <c r="J458" s="32"/>
      <c r="L458" s="345"/>
      <c r="N458" s="8"/>
    </row>
    <row r="459" spans="4:14" x14ac:dyDescent="0.25">
      <c r="D459" s="343"/>
      <c r="E459" s="344"/>
      <c r="I459" s="32"/>
      <c r="J459" s="32"/>
      <c r="L459" s="345"/>
      <c r="N459" s="8"/>
    </row>
    <row r="460" spans="4:14" x14ac:dyDescent="0.25">
      <c r="D460" s="343"/>
      <c r="E460" s="344"/>
      <c r="I460" s="32"/>
      <c r="J460" s="32"/>
      <c r="L460" s="345"/>
      <c r="N460" s="8"/>
    </row>
    <row r="461" spans="4:14" x14ac:dyDescent="0.25">
      <c r="D461" s="343"/>
      <c r="E461" s="344"/>
      <c r="I461" s="32"/>
      <c r="J461" s="32"/>
      <c r="L461" s="345"/>
      <c r="N461" s="8"/>
    </row>
    <row r="462" spans="4:14" x14ac:dyDescent="0.25">
      <c r="D462" s="343"/>
      <c r="E462" s="344"/>
      <c r="I462" s="32"/>
      <c r="J462" s="32"/>
      <c r="L462" s="345"/>
      <c r="N462" s="8"/>
    </row>
    <row r="463" spans="4:14" x14ac:dyDescent="0.25">
      <c r="D463" s="343"/>
      <c r="E463" s="344"/>
      <c r="I463" s="32"/>
      <c r="J463" s="32"/>
      <c r="L463" s="345"/>
      <c r="N463" s="8"/>
    </row>
    <row r="464" spans="4:14" x14ac:dyDescent="0.25">
      <c r="D464" s="343"/>
      <c r="E464" s="344"/>
      <c r="I464" s="32"/>
      <c r="J464" s="32"/>
      <c r="L464" s="345"/>
      <c r="N464" s="8"/>
    </row>
    <row r="465" spans="4:14" x14ac:dyDescent="0.25">
      <c r="D465" s="343"/>
      <c r="E465" s="344"/>
      <c r="I465" s="32"/>
      <c r="J465" s="32"/>
      <c r="L465" s="345"/>
      <c r="N465" s="8"/>
    </row>
    <row r="466" spans="4:14" x14ac:dyDescent="0.25">
      <c r="D466" s="343"/>
      <c r="E466" s="344"/>
      <c r="I466" s="32"/>
      <c r="J466" s="32"/>
      <c r="L466" s="345"/>
      <c r="N466" s="8"/>
    </row>
    <row r="467" spans="4:14" x14ac:dyDescent="0.25">
      <c r="D467" s="343"/>
      <c r="E467" s="344"/>
      <c r="I467" s="32"/>
      <c r="J467" s="32"/>
      <c r="L467" s="345"/>
      <c r="N467" s="8"/>
    </row>
    <row r="468" spans="4:14" x14ac:dyDescent="0.25">
      <c r="D468" s="343"/>
      <c r="E468" s="344"/>
      <c r="I468" s="32"/>
      <c r="J468" s="32"/>
      <c r="L468" s="345"/>
      <c r="N468" s="8"/>
    </row>
    <row r="469" spans="4:14" x14ac:dyDescent="0.25">
      <c r="D469" s="343"/>
      <c r="E469" s="344"/>
      <c r="I469" s="32"/>
      <c r="J469" s="32"/>
      <c r="L469" s="345"/>
      <c r="N469" s="8"/>
    </row>
    <row r="470" spans="4:14" x14ac:dyDescent="0.25">
      <c r="D470" s="343"/>
      <c r="E470" s="344"/>
      <c r="I470" s="32"/>
      <c r="J470" s="32"/>
      <c r="L470" s="345"/>
      <c r="N470" s="8"/>
    </row>
    <row r="471" spans="4:14" x14ac:dyDescent="0.25">
      <c r="D471" s="343"/>
      <c r="E471" s="344"/>
      <c r="I471" s="32"/>
      <c r="J471" s="32"/>
      <c r="L471" s="345"/>
      <c r="N471" s="8"/>
    </row>
    <row r="472" spans="4:14" x14ac:dyDescent="0.25">
      <c r="D472" s="343"/>
      <c r="E472" s="344"/>
      <c r="I472" s="32"/>
      <c r="J472" s="32"/>
      <c r="L472" s="345"/>
      <c r="N472" s="8"/>
    </row>
    <row r="473" spans="4:14" x14ac:dyDescent="0.25">
      <c r="D473" s="343"/>
      <c r="E473" s="344"/>
      <c r="I473" s="32"/>
      <c r="J473" s="32"/>
      <c r="L473" s="345"/>
      <c r="N473" s="8"/>
    </row>
    <row r="474" spans="4:14" x14ac:dyDescent="0.25">
      <c r="D474" s="343"/>
      <c r="E474" s="344"/>
      <c r="I474" s="32"/>
      <c r="J474" s="32"/>
      <c r="L474" s="345"/>
      <c r="N474" s="8"/>
    </row>
    <row r="475" spans="4:14" x14ac:dyDescent="0.25">
      <c r="D475" s="343"/>
      <c r="E475" s="344"/>
      <c r="I475" s="32"/>
      <c r="J475" s="32"/>
      <c r="L475" s="345"/>
      <c r="N475" s="8"/>
    </row>
    <row r="476" spans="4:14" x14ac:dyDescent="0.25">
      <c r="D476" s="343"/>
      <c r="E476" s="344"/>
      <c r="I476" s="32"/>
      <c r="J476" s="32"/>
      <c r="L476" s="345"/>
      <c r="N476" s="8"/>
    </row>
    <row r="477" spans="4:14" x14ac:dyDescent="0.25">
      <c r="D477" s="343"/>
      <c r="E477" s="344"/>
      <c r="I477" s="32"/>
      <c r="J477" s="32"/>
      <c r="L477" s="345"/>
      <c r="N477" s="8"/>
    </row>
    <row r="478" spans="4:14" x14ac:dyDescent="0.25">
      <c r="D478" s="343"/>
      <c r="E478" s="344"/>
      <c r="I478" s="32"/>
      <c r="J478" s="32"/>
      <c r="L478" s="345"/>
      <c r="N478" s="8"/>
    </row>
    <row r="479" spans="4:14" x14ac:dyDescent="0.25">
      <c r="D479" s="343"/>
      <c r="E479" s="344"/>
      <c r="I479" s="32"/>
      <c r="J479" s="32"/>
      <c r="L479" s="345"/>
      <c r="N479" s="8"/>
    </row>
    <row r="480" spans="4:14" x14ac:dyDescent="0.25">
      <c r="D480" s="343"/>
      <c r="E480" s="344"/>
      <c r="I480" s="32"/>
      <c r="J480" s="32"/>
      <c r="L480" s="345"/>
      <c r="N480" s="8"/>
    </row>
    <row r="481" spans="4:14" x14ac:dyDescent="0.25">
      <c r="D481" s="343"/>
      <c r="E481" s="344"/>
      <c r="I481" s="32"/>
      <c r="J481" s="32"/>
      <c r="L481" s="345"/>
      <c r="N481" s="8"/>
    </row>
    <row r="482" spans="4:14" x14ac:dyDescent="0.25">
      <c r="D482" s="343"/>
      <c r="E482" s="344"/>
      <c r="I482" s="32"/>
      <c r="J482" s="32"/>
      <c r="L482" s="345"/>
      <c r="N482" s="8"/>
    </row>
    <row r="483" spans="4:14" x14ac:dyDescent="0.25">
      <c r="D483" s="343"/>
      <c r="E483" s="344"/>
      <c r="I483" s="32"/>
      <c r="J483" s="32"/>
      <c r="L483" s="345"/>
      <c r="N483" s="8"/>
    </row>
    <row r="484" spans="4:14" x14ac:dyDescent="0.25">
      <c r="D484" s="343"/>
      <c r="E484" s="344"/>
      <c r="I484" s="32"/>
      <c r="J484" s="32"/>
      <c r="L484" s="345"/>
      <c r="N484" s="8"/>
    </row>
    <row r="485" spans="4:14" x14ac:dyDescent="0.25">
      <c r="D485" s="343"/>
      <c r="E485" s="344"/>
      <c r="I485" s="32"/>
      <c r="J485" s="32"/>
      <c r="L485" s="345"/>
      <c r="N485" s="8"/>
    </row>
    <row r="486" spans="4:14" x14ac:dyDescent="0.25">
      <c r="D486" s="343"/>
      <c r="E486" s="344"/>
      <c r="I486" s="32"/>
      <c r="J486" s="32"/>
      <c r="L486" s="345"/>
      <c r="N486" s="8"/>
    </row>
    <row r="487" spans="4:14" x14ac:dyDescent="0.25">
      <c r="D487" s="343"/>
      <c r="E487" s="344"/>
      <c r="I487" s="32"/>
      <c r="J487" s="32"/>
      <c r="L487" s="345"/>
      <c r="N487" s="8"/>
    </row>
    <row r="488" spans="4:14" x14ac:dyDescent="0.25">
      <c r="D488" s="343"/>
      <c r="E488" s="344"/>
      <c r="I488" s="32"/>
      <c r="J488" s="32"/>
      <c r="L488" s="345"/>
      <c r="N488" s="8"/>
    </row>
    <row r="489" spans="4:14" x14ac:dyDescent="0.25">
      <c r="D489" s="343"/>
      <c r="E489" s="344"/>
      <c r="I489" s="32"/>
      <c r="J489" s="32"/>
      <c r="L489" s="345"/>
      <c r="N489" s="8"/>
    </row>
    <row r="490" spans="4:14" x14ac:dyDescent="0.25">
      <c r="D490" s="343"/>
      <c r="E490" s="344"/>
      <c r="I490" s="32"/>
      <c r="J490" s="32"/>
      <c r="L490" s="345"/>
      <c r="N490" s="8"/>
    </row>
    <row r="491" spans="4:14" x14ac:dyDescent="0.25">
      <c r="D491" s="343"/>
      <c r="E491" s="344"/>
      <c r="I491" s="32"/>
      <c r="J491" s="32"/>
      <c r="L491" s="345"/>
      <c r="N491" s="8"/>
    </row>
    <row r="492" spans="4:14" x14ac:dyDescent="0.25">
      <c r="D492" s="343"/>
      <c r="E492" s="344"/>
      <c r="I492" s="32"/>
      <c r="J492" s="32"/>
      <c r="L492" s="345"/>
      <c r="N492" s="8"/>
    </row>
    <row r="493" spans="4:14" x14ac:dyDescent="0.25">
      <c r="D493" s="343"/>
      <c r="E493" s="344"/>
      <c r="I493" s="32"/>
      <c r="J493" s="32"/>
      <c r="L493" s="345"/>
      <c r="N493" s="8"/>
    </row>
    <row r="494" spans="4:14" x14ac:dyDescent="0.25">
      <c r="D494" s="343"/>
      <c r="E494" s="344"/>
      <c r="I494" s="32"/>
      <c r="J494" s="32"/>
      <c r="L494" s="345"/>
      <c r="N494" s="8"/>
    </row>
    <row r="495" spans="4:14" x14ac:dyDescent="0.25">
      <c r="D495" s="343"/>
      <c r="E495" s="344"/>
      <c r="I495" s="32"/>
      <c r="J495" s="32"/>
      <c r="L495" s="345"/>
      <c r="N495" s="8"/>
    </row>
    <row r="496" spans="4:14" x14ac:dyDescent="0.25">
      <c r="D496" s="343"/>
      <c r="E496" s="344"/>
      <c r="I496" s="32"/>
      <c r="J496" s="32"/>
      <c r="L496" s="345"/>
      <c r="N496" s="8"/>
    </row>
    <row r="497" spans="4:14" x14ac:dyDescent="0.25">
      <c r="D497" s="343"/>
      <c r="E497" s="344"/>
      <c r="I497" s="32"/>
      <c r="J497" s="32"/>
      <c r="L497" s="345"/>
      <c r="N497" s="8"/>
    </row>
    <row r="498" spans="4:14" x14ac:dyDescent="0.25">
      <c r="D498" s="343"/>
      <c r="E498" s="344"/>
      <c r="I498" s="32"/>
      <c r="J498" s="32"/>
      <c r="L498" s="345"/>
      <c r="N498" s="8"/>
    </row>
    <row r="499" spans="4:14" x14ac:dyDescent="0.25">
      <c r="D499" s="343"/>
      <c r="E499" s="344"/>
      <c r="I499" s="32"/>
      <c r="J499" s="32"/>
      <c r="L499" s="345"/>
      <c r="N499" s="8"/>
    </row>
    <row r="500" spans="4:14" x14ac:dyDescent="0.25">
      <c r="D500" s="343"/>
      <c r="E500" s="344"/>
      <c r="I500" s="32"/>
      <c r="J500" s="32"/>
      <c r="L500" s="345"/>
      <c r="N500" s="8"/>
    </row>
    <row r="501" spans="4:14" x14ac:dyDescent="0.25">
      <c r="D501" s="343"/>
      <c r="E501" s="344"/>
      <c r="I501" s="32"/>
      <c r="J501" s="32"/>
      <c r="L501" s="345"/>
      <c r="N501" s="8"/>
    </row>
    <row r="502" spans="4:14" x14ac:dyDescent="0.25">
      <c r="D502" s="343"/>
      <c r="E502" s="344"/>
      <c r="I502" s="32"/>
      <c r="J502" s="32"/>
      <c r="L502" s="345"/>
      <c r="N502" s="8"/>
    </row>
    <row r="503" spans="4:14" x14ac:dyDescent="0.25">
      <c r="D503" s="343"/>
      <c r="E503" s="344"/>
      <c r="I503" s="32"/>
      <c r="J503" s="32"/>
      <c r="L503" s="345"/>
      <c r="N503" s="8"/>
    </row>
    <row r="504" spans="4:14" x14ac:dyDescent="0.25">
      <c r="D504" s="343"/>
      <c r="E504" s="344"/>
      <c r="I504" s="32"/>
      <c r="J504" s="32"/>
      <c r="L504" s="345"/>
      <c r="N504" s="8"/>
    </row>
    <row r="505" spans="4:14" x14ac:dyDescent="0.25">
      <c r="D505" s="343"/>
      <c r="E505" s="344"/>
      <c r="I505" s="32"/>
      <c r="J505" s="32"/>
      <c r="L505" s="345"/>
      <c r="N505" s="8"/>
    </row>
    <row r="506" spans="4:14" x14ac:dyDescent="0.25">
      <c r="D506" s="343"/>
      <c r="E506" s="344"/>
      <c r="I506" s="32"/>
      <c r="J506" s="32"/>
      <c r="L506" s="345"/>
      <c r="N506" s="8"/>
    </row>
    <row r="507" spans="4:14" x14ac:dyDescent="0.25">
      <c r="D507" s="343"/>
      <c r="E507" s="344"/>
      <c r="I507" s="32"/>
      <c r="J507" s="32"/>
      <c r="L507" s="345"/>
      <c r="N507" s="8"/>
    </row>
    <row r="508" spans="4:14" x14ac:dyDescent="0.25">
      <c r="D508" s="343"/>
      <c r="E508" s="344"/>
      <c r="I508" s="32"/>
      <c r="J508" s="32"/>
      <c r="L508" s="345"/>
      <c r="N508" s="8"/>
    </row>
    <row r="509" spans="4:14" x14ac:dyDescent="0.25">
      <c r="D509" s="343"/>
      <c r="E509" s="344"/>
      <c r="I509" s="32"/>
      <c r="J509" s="32"/>
      <c r="L509" s="345"/>
      <c r="N509" s="8"/>
    </row>
    <row r="510" spans="4:14" x14ac:dyDescent="0.25">
      <c r="D510" s="343"/>
      <c r="E510" s="344"/>
      <c r="I510" s="32"/>
      <c r="J510" s="32"/>
      <c r="L510" s="345"/>
      <c r="N510" s="8"/>
    </row>
    <row r="511" spans="4:14" x14ac:dyDescent="0.25">
      <c r="D511" s="343"/>
      <c r="E511" s="344"/>
      <c r="I511" s="32"/>
      <c r="J511" s="32"/>
      <c r="L511" s="345"/>
      <c r="N511" s="8"/>
    </row>
    <row r="512" spans="4:14" x14ac:dyDescent="0.25">
      <c r="D512" s="343"/>
      <c r="E512" s="344"/>
      <c r="I512" s="32"/>
      <c r="J512" s="32"/>
      <c r="L512" s="345"/>
      <c r="N512" s="8"/>
    </row>
    <row r="513" spans="4:14" x14ac:dyDescent="0.25">
      <c r="D513" s="343"/>
      <c r="E513" s="344"/>
      <c r="I513" s="32"/>
      <c r="J513" s="32"/>
      <c r="L513" s="345"/>
      <c r="N513" s="8"/>
    </row>
    <row r="514" spans="4:14" x14ac:dyDescent="0.25">
      <c r="D514" s="343"/>
      <c r="E514" s="344"/>
      <c r="I514" s="32"/>
      <c r="J514" s="32"/>
      <c r="L514" s="345"/>
      <c r="N514" s="8"/>
    </row>
    <row r="515" spans="4:14" x14ac:dyDescent="0.25">
      <c r="D515" s="343"/>
      <c r="E515" s="344"/>
      <c r="I515" s="32"/>
      <c r="J515" s="32"/>
      <c r="L515" s="345"/>
      <c r="N515" s="8"/>
    </row>
    <row r="516" spans="4:14" x14ac:dyDescent="0.25">
      <c r="D516" s="343"/>
      <c r="E516" s="344"/>
      <c r="I516" s="32"/>
      <c r="J516" s="32"/>
      <c r="L516" s="345"/>
      <c r="N516" s="8"/>
    </row>
    <row r="517" spans="4:14" x14ac:dyDescent="0.25">
      <c r="D517" s="343"/>
      <c r="E517" s="344"/>
      <c r="I517" s="32"/>
      <c r="J517" s="32"/>
      <c r="L517" s="345"/>
      <c r="N517" s="8"/>
    </row>
    <row r="518" spans="4:14" x14ac:dyDescent="0.25">
      <c r="D518" s="343"/>
      <c r="E518" s="344"/>
      <c r="I518" s="32"/>
      <c r="J518" s="32"/>
      <c r="L518" s="345"/>
      <c r="N518" s="8"/>
    </row>
    <row r="519" spans="4:14" x14ac:dyDescent="0.25">
      <c r="D519" s="343"/>
      <c r="E519" s="344"/>
      <c r="I519" s="32"/>
      <c r="J519" s="32"/>
      <c r="L519" s="345"/>
      <c r="N519" s="8"/>
    </row>
    <row r="520" spans="4:14" x14ac:dyDescent="0.25">
      <c r="D520" s="343"/>
      <c r="E520" s="344"/>
      <c r="I520" s="32"/>
      <c r="J520" s="32"/>
      <c r="L520" s="345"/>
      <c r="N520" s="8"/>
    </row>
    <row r="521" spans="4:14" x14ac:dyDescent="0.25">
      <c r="D521" s="343"/>
      <c r="E521" s="344"/>
      <c r="I521" s="32"/>
      <c r="J521" s="32"/>
      <c r="L521" s="345"/>
      <c r="N521" s="8"/>
    </row>
    <row r="522" spans="4:14" x14ac:dyDescent="0.25">
      <c r="D522" s="343"/>
      <c r="E522" s="344"/>
      <c r="I522" s="32"/>
      <c r="J522" s="32"/>
      <c r="L522" s="345"/>
      <c r="N522" s="8"/>
    </row>
    <row r="523" spans="4:14" x14ac:dyDescent="0.25">
      <c r="D523" s="343"/>
      <c r="E523" s="344"/>
      <c r="I523" s="32"/>
      <c r="J523" s="32"/>
      <c r="L523" s="345"/>
      <c r="N523" s="8"/>
    </row>
    <row r="524" spans="4:14" x14ac:dyDescent="0.25">
      <c r="D524" s="343"/>
      <c r="E524" s="344"/>
      <c r="I524" s="32"/>
      <c r="J524" s="32"/>
      <c r="L524" s="345"/>
      <c r="N524" s="8"/>
    </row>
    <row r="525" spans="4:14" x14ac:dyDescent="0.25">
      <c r="D525" s="343"/>
      <c r="E525" s="344"/>
      <c r="I525" s="32"/>
      <c r="J525" s="32"/>
      <c r="L525" s="345"/>
      <c r="N525" s="8"/>
    </row>
    <row r="526" spans="4:14" x14ac:dyDescent="0.25">
      <c r="D526" s="343"/>
      <c r="E526" s="344"/>
      <c r="I526" s="32"/>
      <c r="J526" s="32"/>
      <c r="L526" s="345"/>
      <c r="N526" s="8"/>
    </row>
    <row r="527" spans="4:14" x14ac:dyDescent="0.25">
      <c r="D527" s="343"/>
      <c r="E527" s="344"/>
      <c r="I527" s="32"/>
      <c r="J527" s="32"/>
      <c r="L527" s="345"/>
      <c r="N527" s="8"/>
    </row>
    <row r="528" spans="4:14" x14ac:dyDescent="0.25">
      <c r="D528" s="343"/>
      <c r="E528" s="344"/>
      <c r="I528" s="32"/>
      <c r="J528" s="32"/>
      <c r="L528" s="345"/>
      <c r="N528" s="8"/>
    </row>
    <row r="529" spans="4:14" x14ac:dyDescent="0.25">
      <c r="D529" s="343"/>
      <c r="E529" s="344"/>
      <c r="I529" s="32"/>
      <c r="J529" s="32"/>
      <c r="L529" s="345"/>
      <c r="N529" s="8"/>
    </row>
    <row r="530" spans="4:14" x14ac:dyDescent="0.25">
      <c r="D530" s="343"/>
      <c r="E530" s="344"/>
      <c r="I530" s="32"/>
      <c r="J530" s="32"/>
      <c r="L530" s="345"/>
      <c r="N530" s="8"/>
    </row>
    <row r="531" spans="4:14" x14ac:dyDescent="0.25">
      <c r="D531" s="343"/>
      <c r="E531" s="344"/>
      <c r="I531" s="32"/>
      <c r="J531" s="32"/>
      <c r="L531" s="345"/>
      <c r="N531" s="8"/>
    </row>
    <row r="532" spans="4:14" x14ac:dyDescent="0.25">
      <c r="D532" s="343"/>
      <c r="E532" s="344"/>
      <c r="I532" s="32"/>
      <c r="J532" s="32"/>
      <c r="L532" s="345"/>
      <c r="N532" s="8"/>
    </row>
    <row r="533" spans="4:14" x14ac:dyDescent="0.25">
      <c r="D533" s="343"/>
      <c r="E533" s="344"/>
      <c r="I533" s="32"/>
      <c r="J533" s="32"/>
      <c r="L533" s="345"/>
      <c r="N533" s="8"/>
    </row>
    <row r="534" spans="4:14" x14ac:dyDescent="0.25">
      <c r="D534" s="343"/>
      <c r="E534" s="344"/>
      <c r="I534" s="32"/>
      <c r="J534" s="32"/>
      <c r="L534" s="345"/>
      <c r="N534" s="8"/>
    </row>
    <row r="535" spans="4:14" x14ac:dyDescent="0.25">
      <c r="D535" s="343"/>
      <c r="E535" s="344"/>
      <c r="I535" s="32"/>
      <c r="J535" s="32"/>
      <c r="L535" s="345"/>
      <c r="N535" s="8"/>
    </row>
    <row r="536" spans="4:14" x14ac:dyDescent="0.25">
      <c r="D536" s="343"/>
      <c r="E536" s="344"/>
      <c r="I536" s="32"/>
      <c r="J536" s="32"/>
      <c r="L536" s="345"/>
      <c r="N536" s="8"/>
    </row>
    <row r="537" spans="4:14" x14ac:dyDescent="0.25">
      <c r="D537" s="343"/>
      <c r="E537" s="344"/>
      <c r="I537" s="32"/>
      <c r="J537" s="32"/>
      <c r="L537" s="345"/>
      <c r="N537" s="8"/>
    </row>
    <row r="538" spans="4:14" x14ac:dyDescent="0.25">
      <c r="D538" s="343"/>
      <c r="E538" s="344"/>
      <c r="I538" s="32"/>
      <c r="J538" s="32"/>
      <c r="L538" s="345"/>
      <c r="N538" s="8"/>
    </row>
    <row r="539" spans="4:14" x14ac:dyDescent="0.25">
      <c r="D539" s="343"/>
      <c r="E539" s="344"/>
      <c r="I539" s="32"/>
      <c r="J539" s="32"/>
      <c r="L539" s="345"/>
      <c r="N539" s="8"/>
    </row>
    <row r="540" spans="4:14" x14ac:dyDescent="0.25">
      <c r="D540" s="343"/>
      <c r="E540" s="344"/>
      <c r="I540" s="32"/>
      <c r="J540" s="32"/>
      <c r="L540" s="345"/>
      <c r="N540" s="8"/>
    </row>
    <row r="541" spans="4:14" x14ac:dyDescent="0.25">
      <c r="D541" s="343"/>
      <c r="E541" s="344"/>
      <c r="I541" s="32"/>
      <c r="J541" s="32"/>
      <c r="L541" s="345"/>
      <c r="N541" s="8"/>
    </row>
    <row r="542" spans="4:14" x14ac:dyDescent="0.25">
      <c r="D542" s="343"/>
      <c r="E542" s="344"/>
      <c r="I542" s="32"/>
      <c r="J542" s="32"/>
      <c r="L542" s="345"/>
      <c r="N542" s="8"/>
    </row>
    <row r="543" spans="4:14" x14ac:dyDescent="0.25">
      <c r="D543" s="343"/>
      <c r="E543" s="344"/>
      <c r="I543" s="32"/>
      <c r="J543" s="32"/>
      <c r="L543" s="345"/>
      <c r="N543" s="8"/>
    </row>
    <row r="544" spans="4:14" x14ac:dyDescent="0.25">
      <c r="D544" s="343"/>
      <c r="E544" s="344"/>
      <c r="I544" s="32"/>
      <c r="J544" s="32"/>
      <c r="L544" s="345"/>
      <c r="N544" s="8"/>
    </row>
    <row r="545" spans="4:14" x14ac:dyDescent="0.25">
      <c r="D545" s="343"/>
      <c r="E545" s="344"/>
      <c r="I545" s="32"/>
      <c r="J545" s="32"/>
      <c r="L545" s="345"/>
      <c r="N545" s="8"/>
    </row>
    <row r="546" spans="4:14" x14ac:dyDescent="0.25">
      <c r="D546" s="343"/>
      <c r="E546" s="344"/>
      <c r="I546" s="32"/>
      <c r="J546" s="32"/>
      <c r="L546" s="345"/>
      <c r="N546" s="8"/>
    </row>
    <row r="547" spans="4:14" x14ac:dyDescent="0.25">
      <c r="D547" s="343"/>
      <c r="E547" s="344"/>
      <c r="I547" s="32"/>
      <c r="J547" s="32"/>
      <c r="L547" s="345"/>
      <c r="N547" s="8"/>
    </row>
    <row r="548" spans="4:14" x14ac:dyDescent="0.25">
      <c r="D548" s="343"/>
      <c r="E548" s="344"/>
      <c r="I548" s="32"/>
      <c r="J548" s="32"/>
      <c r="L548" s="345"/>
      <c r="N548" s="8"/>
    </row>
    <row r="549" spans="4:14" x14ac:dyDescent="0.25">
      <c r="D549" s="343"/>
      <c r="E549" s="344"/>
      <c r="I549" s="32"/>
      <c r="J549" s="32"/>
      <c r="L549" s="345"/>
      <c r="N549" s="8"/>
    </row>
    <row r="550" spans="4:14" x14ac:dyDescent="0.25">
      <c r="D550" s="343"/>
      <c r="E550" s="344"/>
      <c r="I550" s="32"/>
      <c r="J550" s="32"/>
      <c r="L550" s="345"/>
      <c r="N550" s="8"/>
    </row>
    <row r="551" spans="4:14" x14ac:dyDescent="0.25">
      <c r="D551" s="343"/>
      <c r="E551" s="344"/>
      <c r="I551" s="32"/>
      <c r="J551" s="32"/>
      <c r="L551" s="345"/>
      <c r="N551" s="8"/>
    </row>
    <row r="552" spans="4:14" x14ac:dyDescent="0.25">
      <c r="D552" s="343"/>
      <c r="E552" s="344"/>
      <c r="I552" s="32"/>
      <c r="J552" s="32"/>
      <c r="L552" s="345"/>
      <c r="N552" s="8"/>
    </row>
    <row r="553" spans="4:14" x14ac:dyDescent="0.25">
      <c r="D553" s="343"/>
      <c r="E553" s="344"/>
      <c r="I553" s="32"/>
      <c r="J553" s="32"/>
      <c r="L553" s="345"/>
      <c r="N553" s="8"/>
    </row>
    <row r="554" spans="4:14" x14ac:dyDescent="0.25">
      <c r="D554" s="343"/>
      <c r="E554" s="344"/>
      <c r="I554" s="32"/>
      <c r="J554" s="32"/>
      <c r="L554" s="345"/>
      <c r="N554" s="8"/>
    </row>
    <row r="555" spans="4:14" x14ac:dyDescent="0.25">
      <c r="D555" s="343"/>
      <c r="E555" s="344"/>
      <c r="I555" s="32"/>
      <c r="J555" s="32"/>
      <c r="L555" s="345"/>
      <c r="N555" s="8"/>
    </row>
    <row r="556" spans="4:14" x14ac:dyDescent="0.25">
      <c r="D556" s="343"/>
      <c r="E556" s="344"/>
      <c r="I556" s="32"/>
      <c r="J556" s="32"/>
      <c r="L556" s="345"/>
      <c r="N556" s="8"/>
    </row>
    <row r="557" spans="4:14" x14ac:dyDescent="0.25">
      <c r="D557" s="343"/>
      <c r="E557" s="344"/>
      <c r="I557" s="32"/>
      <c r="J557" s="32"/>
      <c r="L557" s="345"/>
      <c r="N557" s="8"/>
    </row>
    <row r="558" spans="4:14" x14ac:dyDescent="0.25">
      <c r="D558" s="343"/>
      <c r="E558" s="344"/>
      <c r="I558" s="32"/>
      <c r="J558" s="32"/>
      <c r="L558" s="345"/>
      <c r="N558" s="8"/>
    </row>
    <row r="559" spans="4:14" x14ac:dyDescent="0.25">
      <c r="D559" s="343"/>
      <c r="E559" s="344"/>
      <c r="I559" s="32"/>
      <c r="J559" s="32"/>
      <c r="L559" s="345"/>
      <c r="N559" s="8"/>
    </row>
    <row r="560" spans="4:14" x14ac:dyDescent="0.25">
      <c r="D560" s="343"/>
      <c r="E560" s="344"/>
      <c r="I560" s="32"/>
      <c r="J560" s="32"/>
      <c r="L560" s="345"/>
      <c r="N560" s="8"/>
    </row>
    <row r="561" spans="4:14" x14ac:dyDescent="0.25">
      <c r="D561" s="343"/>
      <c r="E561" s="344"/>
      <c r="I561" s="32"/>
      <c r="J561" s="32"/>
      <c r="L561" s="345"/>
      <c r="N561" s="8"/>
    </row>
    <row r="562" spans="4:14" x14ac:dyDescent="0.25">
      <c r="D562" s="343"/>
      <c r="E562" s="344"/>
      <c r="I562" s="32"/>
      <c r="J562" s="32"/>
      <c r="L562" s="345"/>
      <c r="N562" s="8"/>
    </row>
    <row r="563" spans="4:14" x14ac:dyDescent="0.25">
      <c r="D563" s="343"/>
      <c r="E563" s="344"/>
      <c r="I563" s="32"/>
      <c r="J563" s="32"/>
      <c r="L563" s="345"/>
      <c r="N563" s="8"/>
    </row>
    <row r="564" spans="4:14" x14ac:dyDescent="0.25">
      <c r="D564" s="343"/>
      <c r="E564" s="344"/>
      <c r="I564" s="32"/>
      <c r="J564" s="32"/>
      <c r="L564" s="345"/>
      <c r="N564" s="8"/>
    </row>
    <row r="565" spans="4:14" x14ac:dyDescent="0.25">
      <c r="D565" s="343"/>
      <c r="E565" s="344"/>
      <c r="I565" s="32"/>
      <c r="J565" s="32"/>
      <c r="L565" s="345"/>
      <c r="N565" s="8"/>
    </row>
    <row r="566" spans="4:14" x14ac:dyDescent="0.25">
      <c r="D566" s="343"/>
      <c r="E566" s="344"/>
      <c r="I566" s="32"/>
      <c r="J566" s="32"/>
      <c r="L566" s="345"/>
      <c r="N566" s="8"/>
    </row>
    <row r="567" spans="4:14" x14ac:dyDescent="0.25">
      <c r="D567" s="343"/>
      <c r="E567" s="344"/>
      <c r="I567" s="32"/>
      <c r="J567" s="32"/>
      <c r="L567" s="345"/>
      <c r="N567" s="8"/>
    </row>
    <row r="568" spans="4:14" x14ac:dyDescent="0.25">
      <c r="D568" s="343"/>
      <c r="E568" s="344"/>
      <c r="I568" s="32"/>
      <c r="J568" s="32"/>
      <c r="L568" s="345"/>
      <c r="N568" s="8"/>
    </row>
    <row r="569" spans="4:14" x14ac:dyDescent="0.25">
      <c r="D569" s="343"/>
      <c r="E569" s="344"/>
      <c r="I569" s="32"/>
      <c r="J569" s="32"/>
      <c r="L569" s="345"/>
      <c r="N569" s="8"/>
    </row>
    <row r="570" spans="4:14" x14ac:dyDescent="0.25">
      <c r="D570" s="343"/>
      <c r="E570" s="344"/>
      <c r="I570" s="32"/>
      <c r="J570" s="32"/>
      <c r="L570" s="345"/>
      <c r="N570" s="8"/>
    </row>
    <row r="571" spans="4:14" x14ac:dyDescent="0.25">
      <c r="D571" s="343"/>
      <c r="E571" s="344"/>
      <c r="I571" s="32"/>
      <c r="J571" s="32"/>
      <c r="L571" s="345"/>
      <c r="N571" s="8"/>
    </row>
    <row r="572" spans="4:14" x14ac:dyDescent="0.25">
      <c r="D572" s="343"/>
      <c r="E572" s="344"/>
      <c r="I572" s="32"/>
      <c r="J572" s="32"/>
      <c r="L572" s="345"/>
      <c r="N572" s="8"/>
    </row>
    <row r="573" spans="4:14" x14ac:dyDescent="0.25">
      <c r="D573" s="343"/>
      <c r="E573" s="344"/>
      <c r="I573" s="32"/>
      <c r="J573" s="32"/>
      <c r="L573" s="345"/>
      <c r="N573" s="8"/>
    </row>
    <row r="574" spans="4:14" x14ac:dyDescent="0.25">
      <c r="D574" s="343"/>
      <c r="E574" s="344"/>
      <c r="I574" s="32"/>
      <c r="J574" s="32"/>
      <c r="L574" s="345"/>
      <c r="N574" s="8"/>
    </row>
    <row r="575" spans="4:14" x14ac:dyDescent="0.25">
      <c r="D575" s="343"/>
      <c r="E575" s="344"/>
      <c r="I575" s="32"/>
      <c r="J575" s="32"/>
      <c r="L575" s="345"/>
      <c r="N575" s="8"/>
    </row>
    <row r="576" spans="4:14" x14ac:dyDescent="0.25">
      <c r="D576" s="343"/>
      <c r="E576" s="344"/>
      <c r="I576" s="32"/>
      <c r="J576" s="32"/>
      <c r="L576" s="345"/>
      <c r="N576" s="8"/>
    </row>
    <row r="577" spans="4:14" x14ac:dyDescent="0.25">
      <c r="D577" s="343"/>
      <c r="E577" s="344"/>
      <c r="I577" s="32"/>
      <c r="J577" s="32"/>
      <c r="L577" s="345"/>
      <c r="N577" s="8"/>
    </row>
    <row r="578" spans="4:14" x14ac:dyDescent="0.25">
      <c r="D578" s="343"/>
      <c r="E578" s="344"/>
      <c r="I578" s="32"/>
      <c r="J578" s="32"/>
      <c r="L578" s="345"/>
      <c r="N578" s="8"/>
    </row>
    <row r="579" spans="4:14" x14ac:dyDescent="0.25">
      <c r="D579" s="343"/>
      <c r="E579" s="344"/>
      <c r="I579" s="32"/>
      <c r="J579" s="32"/>
      <c r="L579" s="345"/>
      <c r="N579" s="8"/>
    </row>
    <row r="580" spans="4:14" x14ac:dyDescent="0.25">
      <c r="D580" s="343"/>
      <c r="E580" s="344"/>
      <c r="I580" s="32"/>
      <c r="J580" s="32"/>
      <c r="L580" s="345"/>
      <c r="N580" s="8"/>
    </row>
    <row r="581" spans="4:14" x14ac:dyDescent="0.25">
      <c r="D581" s="343"/>
      <c r="E581" s="344"/>
      <c r="I581" s="32"/>
      <c r="J581" s="32"/>
      <c r="L581" s="345"/>
      <c r="N581" s="8"/>
    </row>
    <row r="582" spans="4:14" x14ac:dyDescent="0.25">
      <c r="D582" s="343"/>
      <c r="E582" s="344"/>
      <c r="I582" s="32"/>
      <c r="J582" s="32"/>
      <c r="L582" s="345"/>
      <c r="N582" s="8"/>
    </row>
    <row r="583" spans="4:14" x14ac:dyDescent="0.25">
      <c r="D583" s="343"/>
      <c r="E583" s="344"/>
      <c r="I583" s="32"/>
      <c r="J583" s="32"/>
      <c r="L583" s="345"/>
      <c r="N583" s="8"/>
    </row>
    <row r="584" spans="4:14" x14ac:dyDescent="0.25">
      <c r="D584" s="343"/>
      <c r="E584" s="344"/>
      <c r="I584" s="32"/>
      <c r="J584" s="32"/>
      <c r="L584" s="345"/>
      <c r="N584" s="8"/>
    </row>
    <row r="585" spans="4:14" x14ac:dyDescent="0.25">
      <c r="D585" s="343"/>
      <c r="E585" s="344"/>
      <c r="I585" s="32"/>
      <c r="J585" s="32"/>
      <c r="L585" s="345"/>
      <c r="N585" s="8"/>
    </row>
    <row r="586" spans="4:14" x14ac:dyDescent="0.25">
      <c r="D586" s="343"/>
      <c r="E586" s="344"/>
      <c r="I586" s="32"/>
      <c r="J586" s="32"/>
      <c r="L586" s="345"/>
      <c r="N586" s="8"/>
    </row>
    <row r="587" spans="4:14" x14ac:dyDescent="0.25">
      <c r="D587" s="343"/>
      <c r="E587" s="344"/>
      <c r="I587" s="32"/>
      <c r="J587" s="32"/>
      <c r="L587" s="345"/>
      <c r="N587" s="8"/>
    </row>
    <row r="588" spans="4:14" x14ac:dyDescent="0.25">
      <c r="D588" s="343"/>
      <c r="E588" s="344"/>
      <c r="I588" s="32"/>
      <c r="J588" s="32"/>
      <c r="L588" s="345"/>
      <c r="N588" s="8"/>
    </row>
    <row r="589" spans="4:14" x14ac:dyDescent="0.25">
      <c r="D589" s="343"/>
      <c r="E589" s="344"/>
      <c r="I589" s="32"/>
      <c r="J589" s="32"/>
      <c r="L589" s="345"/>
      <c r="N589" s="8"/>
    </row>
    <row r="590" spans="4:14" x14ac:dyDescent="0.25">
      <c r="D590" s="343"/>
      <c r="E590" s="344"/>
      <c r="I590" s="32"/>
      <c r="J590" s="32"/>
      <c r="L590" s="345"/>
      <c r="N590" s="8"/>
    </row>
    <row r="591" spans="4:14" x14ac:dyDescent="0.25">
      <c r="D591" s="343"/>
      <c r="E591" s="344"/>
      <c r="I591" s="32"/>
      <c r="J591" s="32"/>
      <c r="L591" s="345"/>
      <c r="N591" s="8"/>
    </row>
    <row r="592" spans="4:14" x14ac:dyDescent="0.25">
      <c r="D592" s="343"/>
      <c r="E592" s="344"/>
      <c r="I592" s="32"/>
      <c r="J592" s="32"/>
      <c r="L592" s="345"/>
      <c r="N592" s="8"/>
    </row>
    <row r="593" spans="4:14" x14ac:dyDescent="0.25">
      <c r="D593" s="343"/>
      <c r="E593" s="344"/>
      <c r="I593" s="32"/>
      <c r="J593" s="32"/>
      <c r="L593" s="345"/>
      <c r="N593" s="8"/>
    </row>
    <row r="594" spans="4:14" x14ac:dyDescent="0.25">
      <c r="D594" s="343"/>
      <c r="E594" s="344"/>
      <c r="I594" s="32"/>
      <c r="J594" s="32"/>
      <c r="L594" s="345"/>
      <c r="N594" s="8"/>
    </row>
    <row r="595" spans="4:14" x14ac:dyDescent="0.25">
      <c r="D595" s="343"/>
      <c r="E595" s="344"/>
      <c r="I595" s="32"/>
      <c r="J595" s="32"/>
      <c r="L595" s="345"/>
      <c r="N595" s="8"/>
    </row>
    <row r="596" spans="4:14" x14ac:dyDescent="0.25">
      <c r="D596" s="343"/>
      <c r="E596" s="344"/>
      <c r="I596" s="32"/>
      <c r="J596" s="32"/>
      <c r="L596" s="345"/>
      <c r="N596" s="8"/>
    </row>
    <row r="597" spans="4:14" x14ac:dyDescent="0.25">
      <c r="D597" s="343"/>
      <c r="E597" s="344"/>
      <c r="I597" s="32"/>
      <c r="J597" s="32"/>
      <c r="L597" s="345"/>
      <c r="N597" s="8"/>
    </row>
    <row r="598" spans="4:14" x14ac:dyDescent="0.25">
      <c r="D598" s="343"/>
      <c r="E598" s="344"/>
      <c r="I598" s="32"/>
      <c r="J598" s="32"/>
      <c r="L598" s="345"/>
      <c r="N598" s="8"/>
    </row>
    <row r="599" spans="4:14" x14ac:dyDescent="0.25">
      <c r="D599" s="343"/>
      <c r="E599" s="344"/>
      <c r="I599" s="32"/>
      <c r="J599" s="32"/>
      <c r="L599" s="345"/>
      <c r="N599" s="8"/>
    </row>
    <row r="600" spans="4:14" x14ac:dyDescent="0.25">
      <c r="D600" s="343"/>
      <c r="E600" s="344"/>
      <c r="I600" s="32"/>
      <c r="J600" s="32"/>
      <c r="L600" s="345"/>
      <c r="N600" s="8"/>
    </row>
    <row r="601" spans="4:14" x14ac:dyDescent="0.25">
      <c r="D601" s="343"/>
      <c r="E601" s="344"/>
      <c r="I601" s="32"/>
      <c r="J601" s="32"/>
      <c r="L601" s="345"/>
      <c r="N601" s="8"/>
    </row>
    <row r="602" spans="4:14" x14ac:dyDescent="0.25">
      <c r="D602" s="343"/>
      <c r="E602" s="344"/>
      <c r="I602" s="32"/>
      <c r="J602" s="32"/>
      <c r="L602" s="345"/>
      <c r="N602" s="8"/>
    </row>
    <row r="603" spans="4:14" x14ac:dyDescent="0.25">
      <c r="D603" s="343"/>
      <c r="E603" s="344"/>
      <c r="I603" s="32"/>
      <c r="J603" s="32"/>
      <c r="L603" s="345"/>
      <c r="N603" s="8"/>
    </row>
    <row r="604" spans="4:14" x14ac:dyDescent="0.25">
      <c r="D604" s="343"/>
      <c r="E604" s="344"/>
      <c r="I604" s="32"/>
      <c r="J604" s="32"/>
      <c r="L604" s="345"/>
      <c r="N604" s="8"/>
    </row>
    <row r="605" spans="4:14" x14ac:dyDescent="0.25">
      <c r="D605" s="343"/>
      <c r="E605" s="344"/>
      <c r="I605" s="32"/>
      <c r="J605" s="32"/>
      <c r="L605" s="345"/>
      <c r="N605" s="8"/>
    </row>
    <row r="606" spans="4:14" x14ac:dyDescent="0.25">
      <c r="D606" s="343"/>
      <c r="E606" s="344"/>
      <c r="I606" s="32"/>
      <c r="J606" s="32"/>
      <c r="L606" s="345"/>
      <c r="N606" s="8"/>
    </row>
    <row r="607" spans="4:14" x14ac:dyDescent="0.25">
      <c r="D607" s="343"/>
      <c r="E607" s="344"/>
      <c r="I607" s="32"/>
      <c r="J607" s="32"/>
      <c r="L607" s="345"/>
      <c r="N607" s="8"/>
    </row>
    <row r="608" spans="4:14" x14ac:dyDescent="0.25">
      <c r="D608" s="343"/>
      <c r="E608" s="344"/>
      <c r="I608" s="32"/>
      <c r="J608" s="32"/>
      <c r="L608" s="345"/>
      <c r="N608" s="8"/>
    </row>
    <row r="609" spans="4:14" x14ac:dyDescent="0.25">
      <c r="D609" s="343"/>
      <c r="E609" s="344"/>
      <c r="I609" s="32"/>
      <c r="J609" s="32"/>
      <c r="L609" s="345"/>
      <c r="N609" s="8"/>
    </row>
    <row r="610" spans="4:14" x14ac:dyDescent="0.25">
      <c r="D610" s="343"/>
      <c r="E610" s="344"/>
      <c r="I610" s="32"/>
      <c r="J610" s="32"/>
      <c r="L610" s="345"/>
      <c r="N610" s="8"/>
    </row>
    <row r="611" spans="4:14" x14ac:dyDescent="0.25">
      <c r="D611" s="343"/>
      <c r="E611" s="344"/>
      <c r="I611" s="32"/>
      <c r="J611" s="32"/>
      <c r="L611" s="345"/>
      <c r="N611" s="8"/>
    </row>
    <row r="612" spans="4:14" x14ac:dyDescent="0.25">
      <c r="D612" s="343"/>
      <c r="E612" s="344"/>
      <c r="I612" s="32"/>
      <c r="J612" s="32"/>
      <c r="L612" s="345"/>
      <c r="N612" s="8"/>
    </row>
    <row r="613" spans="4:14" x14ac:dyDescent="0.25">
      <c r="D613" s="343"/>
      <c r="E613" s="344"/>
      <c r="I613" s="32"/>
      <c r="J613" s="32"/>
      <c r="L613" s="345"/>
      <c r="N613" s="8"/>
    </row>
    <row r="614" spans="4:14" x14ac:dyDescent="0.25">
      <c r="D614" s="343"/>
      <c r="E614" s="344"/>
      <c r="I614" s="32"/>
      <c r="J614" s="32"/>
      <c r="L614" s="345"/>
      <c r="N614" s="8"/>
    </row>
    <row r="615" spans="4:14" x14ac:dyDescent="0.25">
      <c r="D615" s="343"/>
      <c r="E615" s="344"/>
      <c r="I615" s="32"/>
      <c r="J615" s="32"/>
      <c r="L615" s="345"/>
      <c r="N615" s="8"/>
    </row>
    <row r="616" spans="4:14" x14ac:dyDescent="0.25">
      <c r="D616" s="343"/>
      <c r="E616" s="344"/>
      <c r="I616" s="32"/>
      <c r="J616" s="32"/>
      <c r="L616" s="345"/>
      <c r="N616" s="8"/>
    </row>
    <row r="617" spans="4:14" x14ac:dyDescent="0.25">
      <c r="D617" s="343"/>
      <c r="E617" s="344"/>
      <c r="I617" s="32"/>
      <c r="J617" s="32"/>
      <c r="L617" s="345"/>
      <c r="N617" s="8"/>
    </row>
    <row r="618" spans="4:14" x14ac:dyDescent="0.25">
      <c r="D618" s="343"/>
      <c r="E618" s="344"/>
      <c r="I618" s="32"/>
      <c r="J618" s="32"/>
      <c r="L618" s="345"/>
      <c r="N618" s="8"/>
    </row>
    <row r="619" spans="4:14" x14ac:dyDescent="0.25">
      <c r="D619" s="343"/>
      <c r="E619" s="344"/>
      <c r="I619" s="32"/>
      <c r="J619" s="32"/>
      <c r="L619" s="345"/>
      <c r="N619" s="8"/>
    </row>
    <row r="620" spans="4:14" x14ac:dyDescent="0.25">
      <c r="D620" s="343"/>
      <c r="E620" s="344"/>
      <c r="I620" s="32"/>
      <c r="J620" s="32"/>
      <c r="L620" s="345"/>
      <c r="N620" s="8"/>
    </row>
    <row r="621" spans="4:14" x14ac:dyDescent="0.25">
      <c r="D621" s="343"/>
      <c r="E621" s="344"/>
      <c r="I621" s="32"/>
      <c r="J621" s="32"/>
      <c r="L621" s="345"/>
      <c r="N621" s="8"/>
    </row>
    <row r="622" spans="4:14" x14ac:dyDescent="0.25">
      <c r="D622" s="343"/>
      <c r="E622" s="344"/>
      <c r="I622" s="32"/>
      <c r="J622" s="32"/>
      <c r="L622" s="345"/>
      <c r="N622" s="8"/>
    </row>
    <row r="623" spans="4:14" x14ac:dyDescent="0.25">
      <c r="D623" s="343"/>
      <c r="E623" s="344"/>
      <c r="I623" s="32"/>
      <c r="J623" s="32"/>
      <c r="L623" s="345"/>
      <c r="N623" s="8"/>
    </row>
    <row r="624" spans="4:14" x14ac:dyDescent="0.25">
      <c r="D624" s="343"/>
      <c r="E624" s="344"/>
      <c r="I624" s="32"/>
      <c r="J624" s="32"/>
      <c r="L624" s="345"/>
      <c r="N624" s="8"/>
    </row>
    <row r="625" spans="4:14" x14ac:dyDescent="0.25">
      <c r="D625" s="343"/>
      <c r="E625" s="344"/>
      <c r="I625" s="32"/>
      <c r="J625" s="32"/>
      <c r="L625" s="345"/>
      <c r="N625" s="8"/>
    </row>
    <row r="626" spans="4:14" x14ac:dyDescent="0.25">
      <c r="D626" s="343"/>
      <c r="E626" s="344"/>
      <c r="I626" s="32"/>
      <c r="J626" s="32"/>
      <c r="L626" s="345"/>
      <c r="N626" s="8"/>
    </row>
    <row r="627" spans="4:14" x14ac:dyDescent="0.25">
      <c r="D627" s="343"/>
      <c r="E627" s="344"/>
      <c r="I627" s="32"/>
      <c r="J627" s="32"/>
      <c r="L627" s="345"/>
      <c r="N627" s="8"/>
    </row>
    <row r="628" spans="4:14" x14ac:dyDescent="0.25">
      <c r="D628" s="343"/>
      <c r="E628" s="344"/>
      <c r="I628" s="32"/>
      <c r="J628" s="32"/>
      <c r="L628" s="345"/>
      <c r="N628" s="8"/>
    </row>
    <row r="629" spans="4:14" x14ac:dyDescent="0.25">
      <c r="D629" s="343"/>
      <c r="E629" s="344"/>
      <c r="I629" s="32"/>
      <c r="J629" s="32"/>
      <c r="L629" s="345"/>
      <c r="N629" s="8"/>
    </row>
    <row r="630" spans="4:14" x14ac:dyDescent="0.25">
      <c r="D630" s="343"/>
      <c r="E630" s="344"/>
      <c r="I630" s="32"/>
      <c r="J630" s="32"/>
      <c r="L630" s="345"/>
      <c r="N630" s="8"/>
    </row>
    <row r="631" spans="4:14" x14ac:dyDescent="0.25">
      <c r="D631" s="343"/>
      <c r="E631" s="344"/>
      <c r="I631" s="32"/>
      <c r="J631" s="32"/>
      <c r="L631" s="345"/>
      <c r="N631" s="8"/>
    </row>
    <row r="632" spans="4:14" x14ac:dyDescent="0.25">
      <c r="D632" s="343"/>
      <c r="E632" s="344"/>
      <c r="I632" s="32"/>
      <c r="J632" s="32"/>
      <c r="L632" s="345"/>
      <c r="N632" s="8"/>
    </row>
    <row r="633" spans="4:14" x14ac:dyDescent="0.25">
      <c r="D633" s="343"/>
      <c r="E633" s="344"/>
      <c r="I633" s="32"/>
      <c r="J633" s="32"/>
      <c r="L633" s="345"/>
      <c r="N633" s="8"/>
    </row>
    <row r="634" spans="4:14" x14ac:dyDescent="0.25">
      <c r="D634" s="343"/>
      <c r="E634" s="344"/>
      <c r="I634" s="32"/>
      <c r="J634" s="32"/>
      <c r="L634" s="345"/>
      <c r="N634" s="8"/>
    </row>
    <row r="635" spans="4:14" x14ac:dyDescent="0.25">
      <c r="D635" s="343"/>
      <c r="E635" s="344"/>
      <c r="I635" s="32"/>
      <c r="J635" s="32"/>
      <c r="L635" s="345"/>
      <c r="N635" s="8"/>
    </row>
    <row r="636" spans="4:14" x14ac:dyDescent="0.25">
      <c r="D636" s="343"/>
      <c r="E636" s="344"/>
      <c r="I636" s="32"/>
      <c r="J636" s="32"/>
      <c r="L636" s="345"/>
      <c r="N636" s="8"/>
    </row>
    <row r="637" spans="4:14" x14ac:dyDescent="0.25">
      <c r="D637" s="343"/>
      <c r="E637" s="344"/>
      <c r="I637" s="32"/>
      <c r="J637" s="32"/>
      <c r="L637" s="345"/>
      <c r="N637" s="8"/>
    </row>
    <row r="638" spans="4:14" x14ac:dyDescent="0.25">
      <c r="D638" s="343"/>
      <c r="E638" s="344"/>
      <c r="I638" s="32"/>
      <c r="J638" s="32"/>
      <c r="L638" s="345"/>
      <c r="N638" s="8"/>
    </row>
    <row r="639" spans="4:14" x14ac:dyDescent="0.25">
      <c r="D639" s="343"/>
      <c r="E639" s="344"/>
      <c r="I639" s="32"/>
      <c r="J639" s="32"/>
      <c r="L639" s="345"/>
      <c r="N639" s="8"/>
    </row>
    <row r="640" spans="4:14" x14ac:dyDescent="0.25">
      <c r="D640" s="343"/>
      <c r="E640" s="344"/>
      <c r="I640" s="32"/>
      <c r="J640" s="32"/>
      <c r="L640" s="345"/>
      <c r="N640" s="8"/>
    </row>
    <row r="641" spans="4:14" x14ac:dyDescent="0.25">
      <c r="D641" s="343"/>
      <c r="E641" s="344"/>
      <c r="I641" s="32"/>
      <c r="J641" s="32"/>
      <c r="L641" s="345"/>
      <c r="N641" s="8"/>
    </row>
    <row r="642" spans="4:14" x14ac:dyDescent="0.25">
      <c r="D642" s="343"/>
      <c r="E642" s="344"/>
      <c r="I642" s="32"/>
      <c r="J642" s="32"/>
      <c r="L642" s="345"/>
      <c r="N642" s="8"/>
    </row>
    <row r="643" spans="4:14" x14ac:dyDescent="0.25">
      <c r="D643" s="343"/>
      <c r="E643" s="344"/>
      <c r="I643" s="32"/>
      <c r="J643" s="32"/>
      <c r="L643" s="345"/>
      <c r="N643" s="8"/>
    </row>
    <row r="644" spans="4:14" x14ac:dyDescent="0.25">
      <c r="D644" s="343"/>
      <c r="E644" s="344"/>
      <c r="I644" s="32"/>
      <c r="J644" s="32"/>
      <c r="L644" s="345"/>
      <c r="N644" s="8"/>
    </row>
    <row r="645" spans="4:14" x14ac:dyDescent="0.25">
      <c r="D645" s="343"/>
      <c r="E645" s="344"/>
      <c r="I645" s="32"/>
      <c r="J645" s="32"/>
      <c r="L645" s="345"/>
      <c r="N645" s="8"/>
    </row>
    <row r="646" spans="4:14" x14ac:dyDescent="0.25">
      <c r="D646" s="343"/>
      <c r="E646" s="344"/>
      <c r="I646" s="32"/>
      <c r="J646" s="32"/>
      <c r="L646" s="345"/>
      <c r="N646" s="8"/>
    </row>
    <row r="647" spans="4:14" x14ac:dyDescent="0.25">
      <c r="D647" s="343"/>
      <c r="E647" s="344"/>
      <c r="I647" s="32"/>
      <c r="J647" s="32"/>
      <c r="L647" s="345"/>
      <c r="N647" s="8"/>
    </row>
    <row r="648" spans="4:14" x14ac:dyDescent="0.25">
      <c r="D648" s="343"/>
      <c r="E648" s="344"/>
      <c r="I648" s="32"/>
      <c r="J648" s="32"/>
      <c r="L648" s="345"/>
      <c r="N648" s="8"/>
    </row>
    <row r="649" spans="4:14" x14ac:dyDescent="0.25">
      <c r="D649" s="343"/>
      <c r="E649" s="344"/>
      <c r="I649" s="32"/>
      <c r="J649" s="32"/>
      <c r="L649" s="345"/>
      <c r="N649" s="8"/>
    </row>
    <row r="650" spans="4:14" x14ac:dyDescent="0.25">
      <c r="D650" s="343"/>
      <c r="E650" s="344"/>
      <c r="I650" s="32"/>
      <c r="J650" s="32"/>
      <c r="L650" s="345"/>
      <c r="N650" s="8"/>
    </row>
    <row r="651" spans="4:14" x14ac:dyDescent="0.25">
      <c r="D651" s="343"/>
      <c r="E651" s="344"/>
      <c r="I651" s="32"/>
      <c r="J651" s="32"/>
      <c r="L651" s="345"/>
      <c r="N651" s="8"/>
    </row>
    <row r="652" spans="4:14" x14ac:dyDescent="0.25">
      <c r="D652" s="343"/>
      <c r="E652" s="344"/>
      <c r="I652" s="32"/>
      <c r="J652" s="32"/>
      <c r="L652" s="345"/>
      <c r="N652" s="8"/>
    </row>
    <row r="653" spans="4:14" x14ac:dyDescent="0.25">
      <c r="D653" s="343"/>
      <c r="E653" s="344"/>
      <c r="I653" s="32"/>
      <c r="J653" s="32"/>
      <c r="L653" s="345"/>
      <c r="N653" s="8"/>
    </row>
    <row r="654" spans="4:14" x14ac:dyDescent="0.25">
      <c r="D654" s="343"/>
      <c r="E654" s="344"/>
      <c r="I654" s="32"/>
      <c r="J654" s="32"/>
      <c r="L654" s="345"/>
      <c r="N654" s="8"/>
    </row>
    <row r="655" spans="4:14" x14ac:dyDescent="0.25">
      <c r="D655" s="343"/>
      <c r="E655" s="344"/>
      <c r="I655" s="32"/>
      <c r="J655" s="32"/>
      <c r="L655" s="345"/>
      <c r="N655" s="8"/>
    </row>
    <row r="656" spans="4:14" x14ac:dyDescent="0.25">
      <c r="D656" s="343"/>
      <c r="E656" s="344"/>
      <c r="I656" s="32"/>
      <c r="J656" s="32"/>
      <c r="L656" s="345"/>
      <c r="N656" s="8"/>
    </row>
    <row r="657" spans="4:14" x14ac:dyDescent="0.25">
      <c r="D657" s="343"/>
      <c r="E657" s="344"/>
      <c r="I657" s="32"/>
      <c r="J657" s="32"/>
      <c r="L657" s="345"/>
      <c r="N657" s="8"/>
    </row>
    <row r="658" spans="4:14" x14ac:dyDescent="0.25">
      <c r="D658" s="343"/>
      <c r="E658" s="344"/>
      <c r="I658" s="32"/>
      <c r="J658" s="32"/>
      <c r="L658" s="345"/>
      <c r="N658" s="8"/>
    </row>
    <row r="659" spans="4:14" x14ac:dyDescent="0.25">
      <c r="D659" s="343"/>
      <c r="E659" s="344"/>
      <c r="I659" s="32"/>
      <c r="J659" s="32"/>
      <c r="L659" s="345"/>
      <c r="N659" s="8"/>
    </row>
    <row r="660" spans="4:14" x14ac:dyDescent="0.25">
      <c r="D660" s="343"/>
      <c r="E660" s="344"/>
      <c r="I660" s="32"/>
      <c r="J660" s="32"/>
      <c r="L660" s="345"/>
      <c r="N660" s="8"/>
    </row>
    <row r="661" spans="4:14" x14ac:dyDescent="0.25">
      <c r="D661" s="343"/>
      <c r="E661" s="344"/>
      <c r="I661" s="32"/>
      <c r="J661" s="32"/>
      <c r="L661" s="345"/>
      <c r="N661" s="8"/>
    </row>
    <row r="662" spans="4:14" x14ac:dyDescent="0.25">
      <c r="D662" s="343"/>
      <c r="E662" s="344"/>
      <c r="I662" s="32"/>
      <c r="J662" s="32"/>
      <c r="L662" s="345"/>
      <c r="N662" s="8"/>
    </row>
    <row r="663" spans="4:14" x14ac:dyDescent="0.25">
      <c r="D663" s="343"/>
      <c r="E663" s="344"/>
      <c r="I663" s="32"/>
      <c r="J663" s="32"/>
      <c r="L663" s="345"/>
      <c r="N663" s="8"/>
    </row>
    <row r="664" spans="4:14" x14ac:dyDescent="0.25">
      <c r="D664" s="343"/>
      <c r="E664" s="344"/>
      <c r="I664" s="32"/>
      <c r="J664" s="32"/>
      <c r="L664" s="345"/>
      <c r="N664" s="8"/>
    </row>
    <row r="665" spans="4:14" x14ac:dyDescent="0.25">
      <c r="D665" s="343"/>
      <c r="E665" s="344"/>
      <c r="I665" s="32"/>
      <c r="J665" s="32"/>
      <c r="L665" s="345"/>
      <c r="N665" s="8"/>
    </row>
    <row r="666" spans="4:14" x14ac:dyDescent="0.25">
      <c r="D666" s="343"/>
      <c r="E666" s="344"/>
      <c r="I666" s="32"/>
      <c r="J666" s="32"/>
      <c r="L666" s="345"/>
      <c r="N666" s="8"/>
    </row>
    <row r="667" spans="4:14" x14ac:dyDescent="0.25">
      <c r="D667" s="343"/>
      <c r="E667" s="344"/>
      <c r="I667" s="32"/>
      <c r="J667" s="32"/>
      <c r="L667" s="345"/>
      <c r="N667" s="8"/>
    </row>
    <row r="668" spans="4:14" x14ac:dyDescent="0.25">
      <c r="D668" s="343"/>
      <c r="E668" s="344"/>
      <c r="I668" s="32"/>
      <c r="J668" s="32"/>
      <c r="L668" s="345"/>
      <c r="N668" s="8"/>
    </row>
    <row r="669" spans="4:14" x14ac:dyDescent="0.25">
      <c r="D669" s="343"/>
      <c r="E669" s="344"/>
      <c r="I669" s="32"/>
      <c r="J669" s="32"/>
      <c r="L669" s="345"/>
      <c r="N669" s="8"/>
    </row>
    <row r="670" spans="4:14" x14ac:dyDescent="0.25">
      <c r="D670" s="343"/>
      <c r="E670" s="344"/>
      <c r="I670" s="32"/>
      <c r="J670" s="32"/>
      <c r="L670" s="345"/>
      <c r="N670" s="8"/>
    </row>
    <row r="671" spans="4:14" x14ac:dyDescent="0.25">
      <c r="D671" s="343"/>
      <c r="E671" s="344"/>
      <c r="I671" s="32"/>
      <c r="J671" s="32"/>
      <c r="L671" s="345"/>
      <c r="N671" s="8"/>
    </row>
    <row r="672" spans="4:14" x14ac:dyDescent="0.25">
      <c r="D672" s="343"/>
      <c r="E672" s="344"/>
      <c r="I672" s="32"/>
      <c r="J672" s="32"/>
      <c r="L672" s="345"/>
      <c r="N672" s="8"/>
    </row>
    <row r="673" spans="4:14" x14ac:dyDescent="0.25">
      <c r="D673" s="343"/>
      <c r="E673" s="344"/>
      <c r="I673" s="32"/>
      <c r="J673" s="32"/>
      <c r="L673" s="345"/>
      <c r="N673" s="8"/>
    </row>
    <row r="674" spans="4:14" x14ac:dyDescent="0.25">
      <c r="D674" s="343"/>
      <c r="E674" s="344"/>
      <c r="I674" s="32"/>
      <c r="J674" s="32"/>
      <c r="L674" s="345"/>
      <c r="N674" s="8"/>
    </row>
    <row r="675" spans="4:14" x14ac:dyDescent="0.25">
      <c r="D675" s="343"/>
      <c r="E675" s="344"/>
      <c r="I675" s="32"/>
      <c r="J675" s="32"/>
      <c r="L675" s="345"/>
      <c r="N675" s="8"/>
    </row>
    <row r="676" spans="4:14" x14ac:dyDescent="0.25">
      <c r="D676" s="343"/>
      <c r="E676" s="344"/>
      <c r="I676" s="32"/>
      <c r="J676" s="32"/>
      <c r="L676" s="345"/>
      <c r="N676" s="8"/>
    </row>
    <row r="677" spans="4:14" x14ac:dyDescent="0.25">
      <c r="D677" s="343"/>
      <c r="E677" s="344"/>
      <c r="I677" s="32"/>
      <c r="J677" s="32"/>
      <c r="L677" s="345"/>
      <c r="N677" s="8"/>
    </row>
    <row r="678" spans="4:14" x14ac:dyDescent="0.25">
      <c r="D678" s="343"/>
      <c r="E678" s="344"/>
      <c r="I678" s="32"/>
      <c r="J678" s="32"/>
      <c r="L678" s="345"/>
      <c r="N678" s="8"/>
    </row>
    <row r="679" spans="4:14" x14ac:dyDescent="0.25">
      <c r="D679" s="343"/>
      <c r="E679" s="344"/>
      <c r="I679" s="32"/>
      <c r="J679" s="32"/>
      <c r="L679" s="345"/>
      <c r="N679" s="8"/>
    </row>
    <row r="680" spans="4:14" x14ac:dyDescent="0.25">
      <c r="D680" s="343"/>
      <c r="E680" s="344"/>
      <c r="I680" s="32"/>
      <c r="J680" s="32"/>
      <c r="L680" s="345"/>
      <c r="N680" s="8"/>
    </row>
    <row r="681" spans="4:14" x14ac:dyDescent="0.25">
      <c r="D681" s="343"/>
      <c r="E681" s="344"/>
      <c r="I681" s="32"/>
      <c r="J681" s="32"/>
      <c r="L681" s="345"/>
      <c r="N681" s="8"/>
    </row>
    <row r="682" spans="4:14" x14ac:dyDescent="0.25">
      <c r="D682" s="343"/>
      <c r="E682" s="344"/>
      <c r="I682" s="32"/>
      <c r="J682" s="32"/>
      <c r="L682" s="345"/>
      <c r="N682" s="8"/>
    </row>
    <row r="683" spans="4:14" x14ac:dyDescent="0.25">
      <c r="D683" s="343"/>
      <c r="E683" s="344"/>
      <c r="I683" s="32"/>
      <c r="J683" s="32"/>
      <c r="L683" s="345"/>
      <c r="N683" s="8"/>
    </row>
    <row r="684" spans="4:14" x14ac:dyDescent="0.25">
      <c r="D684" s="343"/>
      <c r="E684" s="344"/>
      <c r="I684" s="32"/>
      <c r="J684" s="32"/>
      <c r="L684" s="345"/>
      <c r="N684" s="8"/>
    </row>
    <row r="685" spans="4:14" x14ac:dyDescent="0.25">
      <c r="D685" s="343"/>
      <c r="E685" s="344"/>
      <c r="I685" s="32"/>
      <c r="J685" s="32"/>
      <c r="L685" s="345"/>
      <c r="N685" s="8"/>
    </row>
    <row r="686" spans="4:14" x14ac:dyDescent="0.25">
      <c r="D686" s="343"/>
      <c r="E686" s="344"/>
      <c r="I686" s="32"/>
      <c r="J686" s="32"/>
      <c r="L686" s="345"/>
      <c r="N686" s="8"/>
    </row>
    <row r="687" spans="4:14" x14ac:dyDescent="0.25">
      <c r="D687" s="343"/>
      <c r="E687" s="344"/>
      <c r="I687" s="32"/>
      <c r="J687" s="32"/>
      <c r="L687" s="345"/>
      <c r="N687" s="8"/>
    </row>
    <row r="688" spans="4:14" x14ac:dyDescent="0.25">
      <c r="D688" s="343"/>
      <c r="E688" s="344"/>
      <c r="I688" s="32"/>
      <c r="J688" s="32"/>
      <c r="L688" s="345"/>
      <c r="N688" s="8"/>
    </row>
    <row r="689" spans="4:14" x14ac:dyDescent="0.25">
      <c r="D689" s="343"/>
      <c r="E689" s="344"/>
      <c r="I689" s="32"/>
      <c r="J689" s="32"/>
      <c r="L689" s="345"/>
      <c r="N689" s="8"/>
    </row>
    <row r="690" spans="4:14" x14ac:dyDescent="0.25">
      <c r="D690" s="343"/>
      <c r="E690" s="344"/>
      <c r="I690" s="32"/>
      <c r="J690" s="32"/>
      <c r="L690" s="345"/>
      <c r="N690" s="8"/>
    </row>
    <row r="691" spans="4:14" x14ac:dyDescent="0.25">
      <c r="D691" s="343"/>
      <c r="E691" s="344"/>
      <c r="I691" s="32"/>
      <c r="J691" s="32"/>
      <c r="L691" s="345"/>
      <c r="N691" s="8"/>
    </row>
    <row r="692" spans="4:14" x14ac:dyDescent="0.25">
      <c r="D692" s="343"/>
      <c r="E692" s="344"/>
      <c r="I692" s="32"/>
      <c r="J692" s="32"/>
      <c r="L692" s="345"/>
      <c r="N692" s="8"/>
    </row>
    <row r="693" spans="4:14" x14ac:dyDescent="0.25">
      <c r="D693" s="343"/>
      <c r="E693" s="344"/>
      <c r="I693" s="32"/>
      <c r="J693" s="32"/>
      <c r="L693" s="345"/>
      <c r="N693" s="8"/>
    </row>
    <row r="694" spans="4:14" x14ac:dyDescent="0.25">
      <c r="D694" s="343"/>
      <c r="E694" s="344"/>
      <c r="I694" s="32"/>
      <c r="J694" s="32"/>
      <c r="L694" s="345"/>
      <c r="N694" s="8"/>
    </row>
    <row r="695" spans="4:14" x14ac:dyDescent="0.25">
      <c r="D695" s="343"/>
      <c r="E695" s="344"/>
      <c r="I695" s="32"/>
      <c r="J695" s="32"/>
      <c r="L695" s="345"/>
      <c r="N695" s="8"/>
    </row>
    <row r="696" spans="4:14" x14ac:dyDescent="0.25">
      <c r="D696" s="343"/>
      <c r="E696" s="344"/>
      <c r="I696" s="32"/>
      <c r="J696" s="32"/>
      <c r="L696" s="345"/>
      <c r="N696" s="8"/>
    </row>
    <row r="697" spans="4:14" x14ac:dyDescent="0.25">
      <c r="D697" s="343"/>
      <c r="E697" s="344"/>
      <c r="I697" s="32"/>
      <c r="J697" s="32"/>
      <c r="L697" s="345"/>
      <c r="N697" s="8"/>
    </row>
    <row r="698" spans="4:14" x14ac:dyDescent="0.25">
      <c r="D698" s="343"/>
      <c r="E698" s="344"/>
      <c r="I698" s="32"/>
      <c r="J698" s="32"/>
      <c r="L698" s="345"/>
      <c r="N698" s="8"/>
    </row>
    <row r="699" spans="4:14" x14ac:dyDescent="0.25">
      <c r="D699" s="343"/>
      <c r="E699" s="344"/>
      <c r="I699" s="32"/>
      <c r="J699" s="32"/>
      <c r="L699" s="345"/>
      <c r="N699" s="8"/>
    </row>
    <row r="700" spans="4:14" x14ac:dyDescent="0.25">
      <c r="D700" s="343"/>
      <c r="E700" s="344"/>
      <c r="I700" s="32"/>
      <c r="J700" s="32"/>
      <c r="L700" s="345"/>
      <c r="N700" s="8"/>
    </row>
    <row r="701" spans="4:14" x14ac:dyDescent="0.25">
      <c r="D701" s="343"/>
      <c r="E701" s="344"/>
      <c r="I701" s="32"/>
      <c r="J701" s="32"/>
      <c r="L701" s="345"/>
      <c r="N701" s="8"/>
    </row>
    <row r="702" spans="4:14" x14ac:dyDescent="0.25">
      <c r="D702" s="343"/>
      <c r="E702" s="344"/>
      <c r="I702" s="32"/>
      <c r="J702" s="32"/>
      <c r="L702" s="345"/>
      <c r="N702" s="8"/>
    </row>
    <row r="703" spans="4:14" x14ac:dyDescent="0.25">
      <c r="D703" s="343"/>
      <c r="E703" s="344"/>
      <c r="I703" s="32"/>
      <c r="J703" s="32"/>
      <c r="L703" s="345"/>
      <c r="N703" s="8"/>
    </row>
    <row r="704" spans="4:14" x14ac:dyDescent="0.25">
      <c r="D704" s="343"/>
      <c r="E704" s="344"/>
      <c r="I704" s="32"/>
      <c r="J704" s="32"/>
      <c r="L704" s="345"/>
      <c r="N704" s="8"/>
    </row>
    <row r="705" spans="4:14" x14ac:dyDescent="0.25">
      <c r="D705" s="343"/>
      <c r="E705" s="344"/>
      <c r="I705" s="32"/>
      <c r="J705" s="32"/>
      <c r="L705" s="345"/>
      <c r="N705" s="8"/>
    </row>
    <row r="706" spans="4:14" x14ac:dyDescent="0.25">
      <c r="D706" s="343"/>
      <c r="E706" s="344"/>
      <c r="I706" s="32"/>
      <c r="J706" s="32"/>
      <c r="L706" s="345"/>
      <c r="N706" s="8"/>
    </row>
    <row r="707" spans="4:14" x14ac:dyDescent="0.25">
      <c r="D707" s="343"/>
      <c r="E707" s="344"/>
      <c r="I707" s="32"/>
      <c r="J707" s="32"/>
      <c r="L707" s="345"/>
      <c r="N707" s="8"/>
    </row>
    <row r="708" spans="4:14" x14ac:dyDescent="0.25">
      <c r="D708" s="343"/>
      <c r="E708" s="344"/>
      <c r="I708" s="32"/>
      <c r="J708" s="32"/>
      <c r="L708" s="345"/>
      <c r="N708" s="8"/>
    </row>
    <row r="709" spans="4:14" x14ac:dyDescent="0.25">
      <c r="D709" s="343"/>
      <c r="E709" s="344"/>
      <c r="I709" s="32"/>
      <c r="J709" s="32"/>
      <c r="L709" s="345"/>
      <c r="N709" s="8"/>
    </row>
    <row r="710" spans="4:14" x14ac:dyDescent="0.25">
      <c r="D710" s="343"/>
      <c r="E710" s="344"/>
      <c r="I710" s="32"/>
      <c r="J710" s="32"/>
      <c r="L710" s="345"/>
      <c r="N710" s="8"/>
    </row>
    <row r="711" spans="4:14" x14ac:dyDescent="0.25">
      <c r="D711" s="343"/>
      <c r="E711" s="344"/>
      <c r="I711" s="32"/>
      <c r="J711" s="32"/>
      <c r="L711" s="345"/>
      <c r="N711" s="8"/>
    </row>
    <row r="712" spans="4:14" x14ac:dyDescent="0.25">
      <c r="D712" s="343"/>
      <c r="E712" s="344"/>
      <c r="I712" s="32"/>
      <c r="J712" s="32"/>
      <c r="L712" s="345"/>
      <c r="N712" s="8"/>
    </row>
    <row r="713" spans="4:14" x14ac:dyDescent="0.25">
      <c r="D713" s="343"/>
      <c r="E713" s="344"/>
      <c r="I713" s="32"/>
      <c r="J713" s="32"/>
      <c r="L713" s="345"/>
      <c r="N713" s="8"/>
    </row>
    <row r="714" spans="4:14" x14ac:dyDescent="0.25">
      <c r="D714" s="343"/>
      <c r="E714" s="344"/>
      <c r="I714" s="32"/>
      <c r="J714" s="32"/>
      <c r="L714" s="345"/>
      <c r="N714" s="8"/>
    </row>
    <row r="715" spans="4:14" x14ac:dyDescent="0.25">
      <c r="D715" s="343"/>
      <c r="E715" s="344"/>
      <c r="I715" s="32"/>
      <c r="J715" s="32"/>
      <c r="L715" s="345"/>
      <c r="N715" s="8"/>
    </row>
    <row r="716" spans="4:14" x14ac:dyDescent="0.25">
      <c r="D716" s="343"/>
      <c r="E716" s="344"/>
      <c r="I716" s="32"/>
      <c r="J716" s="32"/>
      <c r="L716" s="345"/>
      <c r="N716" s="8"/>
    </row>
    <row r="717" spans="4:14" x14ac:dyDescent="0.25">
      <c r="D717" s="343"/>
      <c r="E717" s="344"/>
      <c r="I717" s="32"/>
      <c r="J717" s="32"/>
      <c r="L717" s="345"/>
      <c r="N717" s="8"/>
    </row>
    <row r="718" spans="4:14" x14ac:dyDescent="0.25">
      <c r="D718" s="343"/>
      <c r="E718" s="344"/>
      <c r="I718" s="32"/>
      <c r="J718" s="32"/>
      <c r="L718" s="345"/>
      <c r="N718" s="8"/>
    </row>
    <row r="719" spans="4:14" x14ac:dyDescent="0.25">
      <c r="D719" s="343"/>
      <c r="E719" s="344"/>
      <c r="I719" s="32"/>
      <c r="J719" s="32"/>
      <c r="L719" s="345"/>
      <c r="N719" s="8"/>
    </row>
    <row r="720" spans="4:14" x14ac:dyDescent="0.25">
      <c r="D720" s="343"/>
      <c r="E720" s="344"/>
      <c r="I720" s="32"/>
      <c r="J720" s="32"/>
      <c r="L720" s="345"/>
      <c r="N720" s="8"/>
    </row>
    <row r="721" spans="4:14" x14ac:dyDescent="0.25">
      <c r="D721" s="343"/>
      <c r="E721" s="344"/>
      <c r="I721" s="32"/>
      <c r="J721" s="32"/>
      <c r="L721" s="345"/>
      <c r="N721" s="8"/>
    </row>
    <row r="722" spans="4:14" x14ac:dyDescent="0.25">
      <c r="D722" s="343"/>
      <c r="E722" s="344"/>
      <c r="I722" s="32"/>
      <c r="J722" s="32"/>
      <c r="L722" s="345"/>
      <c r="N722" s="8"/>
    </row>
    <row r="723" spans="4:14" x14ac:dyDescent="0.25">
      <c r="D723" s="343"/>
      <c r="E723" s="344"/>
      <c r="I723" s="32"/>
      <c r="J723" s="32"/>
      <c r="L723" s="345"/>
      <c r="N723" s="8"/>
    </row>
    <row r="724" spans="4:14" x14ac:dyDescent="0.25">
      <c r="D724" s="343"/>
      <c r="E724" s="344"/>
      <c r="I724" s="32"/>
      <c r="J724" s="32"/>
      <c r="L724" s="345"/>
      <c r="N724" s="8"/>
    </row>
    <row r="725" spans="4:14" x14ac:dyDescent="0.25">
      <c r="D725" s="343"/>
      <c r="E725" s="344"/>
      <c r="I725" s="32"/>
      <c r="J725" s="32"/>
      <c r="L725" s="345"/>
      <c r="N725" s="8"/>
    </row>
    <row r="726" spans="4:14" x14ac:dyDescent="0.25">
      <c r="D726" s="343"/>
      <c r="E726" s="344"/>
      <c r="I726" s="32"/>
      <c r="J726" s="32"/>
      <c r="L726" s="345"/>
      <c r="N726" s="8"/>
    </row>
    <row r="727" spans="4:14" x14ac:dyDescent="0.25">
      <c r="D727" s="343"/>
      <c r="E727" s="344"/>
      <c r="I727" s="32"/>
      <c r="J727" s="32"/>
      <c r="L727" s="345"/>
      <c r="N727" s="8"/>
    </row>
    <row r="728" spans="4:14" x14ac:dyDescent="0.25">
      <c r="D728" s="343"/>
      <c r="E728" s="344"/>
      <c r="I728" s="32"/>
      <c r="J728" s="32"/>
      <c r="L728" s="345"/>
      <c r="N728" s="8"/>
    </row>
    <row r="729" spans="4:14" x14ac:dyDescent="0.25">
      <c r="D729" s="343"/>
      <c r="E729" s="344"/>
      <c r="I729" s="32"/>
      <c r="J729" s="32"/>
      <c r="L729" s="345"/>
      <c r="N729" s="8"/>
    </row>
    <row r="730" spans="4:14" x14ac:dyDescent="0.25">
      <c r="D730" s="343"/>
      <c r="E730" s="344"/>
      <c r="I730" s="32"/>
      <c r="J730" s="32"/>
      <c r="L730" s="345"/>
      <c r="N730" s="8"/>
    </row>
    <row r="731" spans="4:14" x14ac:dyDescent="0.25">
      <c r="D731" s="343"/>
      <c r="E731" s="344"/>
      <c r="I731" s="32"/>
      <c r="J731" s="32"/>
      <c r="L731" s="345"/>
      <c r="N731" s="8"/>
    </row>
    <row r="732" spans="4:14" x14ac:dyDescent="0.25">
      <c r="D732" s="343"/>
      <c r="E732" s="344"/>
      <c r="I732" s="32"/>
      <c r="J732" s="32"/>
      <c r="L732" s="345"/>
      <c r="N732" s="8"/>
    </row>
    <row r="733" spans="4:14" x14ac:dyDescent="0.25">
      <c r="D733" s="343"/>
      <c r="E733" s="344"/>
      <c r="I733" s="32"/>
      <c r="J733" s="32"/>
      <c r="L733" s="345"/>
      <c r="N733" s="8"/>
    </row>
    <row r="734" spans="4:14" x14ac:dyDescent="0.25">
      <c r="D734" s="343"/>
      <c r="E734" s="344"/>
      <c r="I734" s="32"/>
      <c r="J734" s="32"/>
      <c r="L734" s="345"/>
      <c r="N734" s="8"/>
    </row>
    <row r="735" spans="4:14" x14ac:dyDescent="0.25">
      <c r="D735" s="343"/>
      <c r="E735" s="344"/>
      <c r="I735" s="32"/>
      <c r="J735" s="32"/>
      <c r="L735" s="345"/>
      <c r="N735" s="8"/>
    </row>
    <row r="736" spans="4:14" x14ac:dyDescent="0.25">
      <c r="D736" s="343"/>
      <c r="E736" s="344"/>
      <c r="I736" s="32"/>
      <c r="J736" s="32"/>
      <c r="L736" s="345"/>
      <c r="N736" s="8"/>
    </row>
    <row r="737" spans="4:14" x14ac:dyDescent="0.25">
      <c r="D737" s="343"/>
      <c r="E737" s="344"/>
      <c r="I737" s="32"/>
      <c r="J737" s="32"/>
      <c r="L737" s="345"/>
      <c r="N737" s="8"/>
    </row>
    <row r="738" spans="4:14" x14ac:dyDescent="0.25">
      <c r="D738" s="343"/>
      <c r="E738" s="344"/>
      <c r="I738" s="32"/>
      <c r="J738" s="32"/>
      <c r="L738" s="345"/>
      <c r="N738" s="8"/>
    </row>
    <row r="739" spans="4:14" x14ac:dyDescent="0.25">
      <c r="D739" s="343"/>
      <c r="E739" s="344"/>
      <c r="I739" s="32"/>
      <c r="J739" s="32"/>
      <c r="L739" s="345"/>
      <c r="N739" s="8"/>
    </row>
    <row r="740" spans="4:14" x14ac:dyDescent="0.25">
      <c r="D740" s="343"/>
      <c r="E740" s="344"/>
      <c r="I740" s="32"/>
      <c r="J740" s="32"/>
      <c r="L740" s="345"/>
      <c r="N740" s="8"/>
    </row>
    <row r="741" spans="4:14" x14ac:dyDescent="0.25">
      <c r="D741" s="343"/>
      <c r="E741" s="344"/>
      <c r="I741" s="32"/>
      <c r="J741" s="32"/>
      <c r="L741" s="345"/>
      <c r="N741" s="8"/>
    </row>
    <row r="742" spans="4:14" x14ac:dyDescent="0.25">
      <c r="D742" s="343"/>
      <c r="E742" s="344"/>
      <c r="I742" s="32"/>
      <c r="J742" s="32"/>
      <c r="L742" s="345"/>
      <c r="N742" s="8"/>
    </row>
    <row r="743" spans="4:14" x14ac:dyDescent="0.25">
      <c r="D743" s="343"/>
      <c r="E743" s="344"/>
      <c r="I743" s="32"/>
      <c r="J743" s="32"/>
      <c r="L743" s="345"/>
      <c r="N743" s="8"/>
    </row>
    <row r="744" spans="4:14" x14ac:dyDescent="0.25">
      <c r="D744" s="343"/>
      <c r="E744" s="344"/>
      <c r="I744" s="32"/>
      <c r="J744" s="32"/>
      <c r="L744" s="345"/>
      <c r="N744" s="8"/>
    </row>
    <row r="745" spans="4:14" x14ac:dyDescent="0.25">
      <c r="D745" s="343"/>
      <c r="E745" s="344"/>
      <c r="I745" s="32"/>
      <c r="J745" s="32"/>
      <c r="L745" s="345"/>
      <c r="N745" s="8"/>
    </row>
    <row r="746" spans="4:14" x14ac:dyDescent="0.25">
      <c r="D746" s="343"/>
      <c r="E746" s="344"/>
      <c r="I746" s="32"/>
      <c r="J746" s="32"/>
      <c r="L746" s="345"/>
      <c r="N746" s="8"/>
    </row>
    <row r="747" spans="4:14" x14ac:dyDescent="0.25">
      <c r="D747" s="343"/>
      <c r="E747" s="344"/>
      <c r="I747" s="32"/>
      <c r="J747" s="32"/>
      <c r="L747" s="345"/>
      <c r="N747" s="8"/>
    </row>
    <row r="748" spans="4:14" x14ac:dyDescent="0.25">
      <c r="D748" s="343"/>
      <c r="E748" s="344"/>
      <c r="I748" s="32"/>
      <c r="J748" s="32"/>
      <c r="L748" s="345"/>
      <c r="N748" s="8"/>
    </row>
    <row r="749" spans="4:14" x14ac:dyDescent="0.25">
      <c r="D749" s="343"/>
      <c r="E749" s="344"/>
      <c r="I749" s="32"/>
      <c r="J749" s="32"/>
      <c r="L749" s="345"/>
      <c r="N749" s="8"/>
    </row>
    <row r="750" spans="4:14" x14ac:dyDescent="0.25">
      <c r="D750" s="343"/>
      <c r="E750" s="344"/>
      <c r="I750" s="32"/>
      <c r="J750" s="32"/>
      <c r="L750" s="345"/>
      <c r="N750" s="8"/>
    </row>
    <row r="751" spans="4:14" x14ac:dyDescent="0.25">
      <c r="D751" s="343"/>
      <c r="E751" s="344"/>
      <c r="I751" s="32"/>
      <c r="J751" s="32"/>
      <c r="L751" s="345"/>
      <c r="N751" s="8"/>
    </row>
    <row r="752" spans="4:14" x14ac:dyDescent="0.25">
      <c r="D752" s="343"/>
      <c r="E752" s="344"/>
      <c r="I752" s="32"/>
      <c r="J752" s="32"/>
      <c r="L752" s="345"/>
      <c r="N752" s="8"/>
    </row>
    <row r="753" spans="4:14" x14ac:dyDescent="0.25">
      <c r="D753" s="343"/>
      <c r="E753" s="344"/>
      <c r="I753" s="32"/>
      <c r="J753" s="32"/>
      <c r="L753" s="345"/>
      <c r="N753" s="8"/>
    </row>
    <row r="754" spans="4:14" x14ac:dyDescent="0.25">
      <c r="D754" s="343"/>
      <c r="E754" s="344"/>
      <c r="I754" s="32"/>
      <c r="J754" s="32"/>
      <c r="L754" s="345"/>
      <c r="N754" s="8"/>
    </row>
    <row r="755" spans="4:14" x14ac:dyDescent="0.25">
      <c r="D755" s="343"/>
      <c r="E755" s="344"/>
      <c r="I755" s="32"/>
      <c r="J755" s="32"/>
      <c r="L755" s="345"/>
      <c r="N755" s="8"/>
    </row>
    <row r="756" spans="4:14" x14ac:dyDescent="0.25">
      <c r="D756" s="343"/>
      <c r="E756" s="344"/>
      <c r="I756" s="32"/>
      <c r="J756" s="32"/>
      <c r="L756" s="345"/>
      <c r="N756" s="8"/>
    </row>
    <row r="757" spans="4:14" x14ac:dyDescent="0.25">
      <c r="D757" s="343"/>
      <c r="E757" s="344"/>
      <c r="I757" s="32"/>
      <c r="J757" s="32"/>
      <c r="L757" s="345"/>
      <c r="N757" s="8"/>
    </row>
    <row r="758" spans="4:14" x14ac:dyDescent="0.25">
      <c r="D758" s="343"/>
      <c r="E758" s="344"/>
      <c r="I758" s="32"/>
      <c r="J758" s="32"/>
      <c r="L758" s="345"/>
      <c r="N758" s="8"/>
    </row>
    <row r="759" spans="4:14" x14ac:dyDescent="0.25">
      <c r="D759" s="343"/>
      <c r="E759" s="344"/>
      <c r="I759" s="32"/>
      <c r="J759" s="32"/>
      <c r="L759" s="345"/>
      <c r="N759" s="8"/>
    </row>
    <row r="760" spans="4:14" x14ac:dyDescent="0.25">
      <c r="D760" s="343"/>
      <c r="E760" s="344"/>
      <c r="I760" s="32"/>
      <c r="J760" s="32"/>
      <c r="L760" s="345"/>
      <c r="N760" s="8"/>
    </row>
    <row r="761" spans="4:14" x14ac:dyDescent="0.25">
      <c r="D761" s="343"/>
      <c r="E761" s="344"/>
      <c r="I761" s="32"/>
      <c r="J761" s="32"/>
      <c r="L761" s="345"/>
      <c r="N761" s="8"/>
    </row>
    <row r="762" spans="4:14" x14ac:dyDescent="0.25">
      <c r="D762" s="343"/>
      <c r="E762" s="344"/>
      <c r="I762" s="32"/>
      <c r="J762" s="32"/>
      <c r="L762" s="345"/>
      <c r="N762" s="8"/>
    </row>
    <row r="763" spans="4:14" x14ac:dyDescent="0.25">
      <c r="D763" s="343"/>
      <c r="E763" s="344"/>
      <c r="I763" s="32"/>
      <c r="J763" s="32"/>
      <c r="L763" s="345"/>
      <c r="N763" s="8"/>
    </row>
    <row r="764" spans="4:14" x14ac:dyDescent="0.25">
      <c r="D764" s="343"/>
      <c r="E764" s="344"/>
      <c r="I764" s="32"/>
      <c r="J764" s="32"/>
      <c r="L764" s="345"/>
      <c r="N764" s="8"/>
    </row>
    <row r="765" spans="4:14" x14ac:dyDescent="0.25">
      <c r="D765" s="343"/>
      <c r="E765" s="344"/>
      <c r="I765" s="32"/>
      <c r="J765" s="32"/>
      <c r="L765" s="345"/>
      <c r="N765" s="8"/>
    </row>
    <row r="766" spans="4:14" x14ac:dyDescent="0.25">
      <c r="D766" s="343"/>
      <c r="E766" s="344"/>
      <c r="I766" s="32"/>
      <c r="J766" s="32"/>
      <c r="L766" s="345"/>
      <c r="N766" s="8"/>
    </row>
    <row r="767" spans="4:14" x14ac:dyDescent="0.25">
      <c r="D767" s="343"/>
      <c r="E767" s="344"/>
      <c r="I767" s="32"/>
      <c r="J767" s="32"/>
      <c r="L767" s="345"/>
      <c r="N767" s="8"/>
    </row>
    <row r="768" spans="4:14" x14ac:dyDescent="0.25">
      <c r="D768" s="343"/>
      <c r="E768" s="344"/>
      <c r="I768" s="32"/>
      <c r="J768" s="32"/>
      <c r="L768" s="345"/>
      <c r="N768" s="8"/>
    </row>
    <row r="769" spans="4:14" x14ac:dyDescent="0.25">
      <c r="D769" s="343"/>
      <c r="E769" s="344"/>
      <c r="I769" s="32"/>
      <c r="J769" s="32"/>
      <c r="L769" s="345"/>
      <c r="N769" s="8"/>
    </row>
    <row r="770" spans="4:14" x14ac:dyDescent="0.25">
      <c r="D770" s="343"/>
      <c r="E770" s="344"/>
      <c r="I770" s="32"/>
      <c r="J770" s="32"/>
      <c r="L770" s="345"/>
      <c r="N770" s="8"/>
    </row>
    <row r="771" spans="4:14" x14ac:dyDescent="0.25">
      <c r="D771" s="343"/>
      <c r="E771" s="344"/>
      <c r="I771" s="32"/>
      <c r="J771" s="32"/>
      <c r="L771" s="345"/>
      <c r="N771" s="8"/>
    </row>
    <row r="772" spans="4:14" x14ac:dyDescent="0.25">
      <c r="D772" s="343"/>
      <c r="E772" s="344"/>
      <c r="I772" s="32"/>
      <c r="J772" s="32"/>
      <c r="L772" s="345"/>
      <c r="N772" s="8"/>
    </row>
    <row r="773" spans="4:14" x14ac:dyDescent="0.25">
      <c r="D773" s="343"/>
      <c r="E773" s="344"/>
      <c r="I773" s="32"/>
      <c r="J773" s="32"/>
      <c r="L773" s="345"/>
      <c r="N773" s="8"/>
    </row>
    <row r="774" spans="4:14" x14ac:dyDescent="0.25">
      <c r="D774" s="343"/>
      <c r="E774" s="344"/>
      <c r="I774" s="32"/>
      <c r="J774" s="32"/>
      <c r="L774" s="345"/>
      <c r="N774" s="8"/>
    </row>
    <row r="775" spans="4:14" x14ac:dyDescent="0.25">
      <c r="D775" s="343"/>
      <c r="E775" s="344"/>
      <c r="I775" s="32"/>
      <c r="J775" s="32"/>
      <c r="L775" s="345"/>
      <c r="N775" s="8"/>
    </row>
    <row r="776" spans="4:14" x14ac:dyDescent="0.25">
      <c r="D776" s="343"/>
      <c r="E776" s="344"/>
      <c r="I776" s="32"/>
      <c r="J776" s="32"/>
      <c r="L776" s="345"/>
      <c r="N776" s="8"/>
    </row>
    <row r="777" spans="4:14" x14ac:dyDescent="0.25">
      <c r="D777" s="343"/>
      <c r="E777" s="344"/>
      <c r="I777" s="32"/>
      <c r="J777" s="32"/>
      <c r="L777" s="345"/>
      <c r="N777" s="8"/>
    </row>
    <row r="778" spans="4:14" x14ac:dyDescent="0.25">
      <c r="D778" s="343"/>
      <c r="E778" s="344"/>
      <c r="I778" s="32"/>
      <c r="J778" s="32"/>
      <c r="L778" s="345"/>
      <c r="N778" s="8"/>
    </row>
    <row r="779" spans="4:14" x14ac:dyDescent="0.25">
      <c r="D779" s="343"/>
      <c r="E779" s="344"/>
      <c r="I779" s="32"/>
      <c r="J779" s="32"/>
      <c r="L779" s="345"/>
      <c r="N779" s="8"/>
    </row>
    <row r="780" spans="4:14" x14ac:dyDescent="0.25">
      <c r="D780" s="343"/>
      <c r="E780" s="344"/>
      <c r="I780" s="32"/>
      <c r="J780" s="32"/>
      <c r="L780" s="345"/>
      <c r="N780" s="8"/>
    </row>
    <row r="781" spans="4:14" x14ac:dyDescent="0.25">
      <c r="D781" s="343"/>
      <c r="E781" s="344"/>
      <c r="I781" s="32"/>
      <c r="J781" s="32"/>
      <c r="L781" s="345"/>
      <c r="N781" s="8"/>
    </row>
    <row r="782" spans="4:14" x14ac:dyDescent="0.25">
      <c r="D782" s="343"/>
      <c r="E782" s="344"/>
      <c r="I782" s="32"/>
      <c r="J782" s="32"/>
      <c r="L782" s="345"/>
      <c r="N782" s="8"/>
    </row>
    <row r="783" spans="4:14" x14ac:dyDescent="0.25">
      <c r="D783" s="343"/>
      <c r="E783" s="344"/>
      <c r="I783" s="32"/>
      <c r="J783" s="32"/>
      <c r="L783" s="345"/>
      <c r="N783" s="8"/>
    </row>
    <row r="784" spans="4:14" x14ac:dyDescent="0.25">
      <c r="D784" s="343"/>
      <c r="E784" s="344"/>
      <c r="I784" s="32"/>
      <c r="J784" s="32"/>
      <c r="L784" s="345"/>
      <c r="N784" s="8"/>
    </row>
    <row r="785" spans="4:14" x14ac:dyDescent="0.25">
      <c r="D785" s="343"/>
      <c r="E785" s="344"/>
      <c r="I785" s="32"/>
      <c r="J785" s="32"/>
      <c r="L785" s="345"/>
      <c r="N785" s="8"/>
    </row>
    <row r="786" spans="4:14" x14ac:dyDescent="0.25">
      <c r="D786" s="343"/>
      <c r="E786" s="344"/>
      <c r="I786" s="32"/>
      <c r="J786" s="32"/>
      <c r="L786" s="345"/>
      <c r="N786" s="8"/>
    </row>
    <row r="787" spans="4:14" x14ac:dyDescent="0.25">
      <c r="D787" s="343"/>
      <c r="E787" s="344"/>
      <c r="I787" s="32"/>
      <c r="J787" s="32"/>
      <c r="L787" s="345"/>
      <c r="N787" s="8"/>
    </row>
    <row r="788" spans="4:14" x14ac:dyDescent="0.25">
      <c r="D788" s="343"/>
      <c r="E788" s="344"/>
      <c r="I788" s="32"/>
      <c r="J788" s="32"/>
      <c r="L788" s="345"/>
      <c r="N788" s="8"/>
    </row>
    <row r="789" spans="4:14" x14ac:dyDescent="0.25">
      <c r="D789" s="343"/>
      <c r="E789" s="344"/>
      <c r="I789" s="32"/>
      <c r="J789" s="32"/>
      <c r="L789" s="345"/>
      <c r="N789" s="8"/>
    </row>
    <row r="790" spans="4:14" x14ac:dyDescent="0.25">
      <c r="D790" s="343"/>
      <c r="E790" s="344"/>
      <c r="I790" s="32"/>
      <c r="J790" s="32"/>
      <c r="L790" s="345"/>
      <c r="N790" s="8"/>
    </row>
    <row r="791" spans="4:14" x14ac:dyDescent="0.25">
      <c r="D791" s="343"/>
      <c r="E791" s="344"/>
      <c r="I791" s="32"/>
      <c r="J791" s="32"/>
      <c r="L791" s="345"/>
      <c r="N791" s="8"/>
    </row>
    <row r="792" spans="4:14" x14ac:dyDescent="0.25">
      <c r="D792" s="343"/>
      <c r="E792" s="344"/>
      <c r="I792" s="32"/>
      <c r="J792" s="32"/>
      <c r="L792" s="345"/>
      <c r="N792" s="8"/>
    </row>
    <row r="793" spans="4:14" x14ac:dyDescent="0.25">
      <c r="D793" s="343"/>
      <c r="E793" s="344"/>
      <c r="I793" s="32"/>
      <c r="J793" s="32"/>
      <c r="L793" s="345"/>
      <c r="N793" s="8"/>
    </row>
    <row r="794" spans="4:14" x14ac:dyDescent="0.25">
      <c r="D794" s="343"/>
      <c r="E794" s="344"/>
      <c r="I794" s="32"/>
      <c r="J794" s="32"/>
      <c r="L794" s="345"/>
      <c r="N794" s="8"/>
    </row>
    <row r="795" spans="4:14" x14ac:dyDescent="0.25">
      <c r="D795" s="343"/>
      <c r="E795" s="344"/>
      <c r="I795" s="32"/>
      <c r="J795" s="32"/>
      <c r="L795" s="345"/>
      <c r="N795" s="8"/>
    </row>
    <row r="796" spans="4:14" x14ac:dyDescent="0.25">
      <c r="D796" s="343"/>
      <c r="E796" s="344"/>
      <c r="I796" s="32"/>
      <c r="J796" s="32"/>
      <c r="L796" s="345"/>
      <c r="N796" s="8"/>
    </row>
    <row r="797" spans="4:14" x14ac:dyDescent="0.25">
      <c r="D797" s="343"/>
      <c r="E797" s="344"/>
      <c r="I797" s="32"/>
      <c r="J797" s="32"/>
      <c r="L797" s="345"/>
      <c r="N797" s="8"/>
    </row>
    <row r="798" spans="4:14" x14ac:dyDescent="0.25">
      <c r="D798" s="343"/>
      <c r="E798" s="344"/>
      <c r="I798" s="32"/>
      <c r="J798" s="32"/>
      <c r="L798" s="345"/>
      <c r="N798" s="8"/>
    </row>
    <row r="799" spans="4:14" x14ac:dyDescent="0.25">
      <c r="D799" s="343"/>
      <c r="E799" s="344"/>
      <c r="I799" s="32"/>
      <c r="J799" s="32"/>
      <c r="L799" s="345"/>
      <c r="N799" s="8"/>
    </row>
    <row r="800" spans="4:14" x14ac:dyDescent="0.25">
      <c r="D800" s="343"/>
      <c r="E800" s="344"/>
      <c r="I800" s="32"/>
      <c r="J800" s="32"/>
      <c r="L800" s="345"/>
      <c r="N800" s="8"/>
    </row>
    <row r="801" spans="4:14" x14ac:dyDescent="0.25">
      <c r="D801" s="343"/>
      <c r="E801" s="344"/>
      <c r="I801" s="32"/>
      <c r="J801" s="32"/>
      <c r="L801" s="345"/>
      <c r="N801" s="8"/>
    </row>
    <row r="802" spans="4:14" x14ac:dyDescent="0.25">
      <c r="D802" s="343"/>
      <c r="E802" s="344"/>
      <c r="I802" s="32"/>
      <c r="J802" s="32"/>
      <c r="L802" s="345"/>
      <c r="N802" s="8"/>
    </row>
    <row r="803" spans="4:14" x14ac:dyDescent="0.25">
      <c r="D803" s="343"/>
      <c r="E803" s="344"/>
      <c r="I803" s="32"/>
      <c r="J803" s="32"/>
      <c r="L803" s="345"/>
      <c r="N803" s="8"/>
    </row>
    <row r="804" spans="4:14" x14ac:dyDescent="0.25">
      <c r="D804" s="343"/>
      <c r="E804" s="344"/>
      <c r="I804" s="32"/>
      <c r="J804" s="32"/>
      <c r="L804" s="345"/>
      <c r="N804" s="8"/>
    </row>
    <row r="805" spans="4:14" x14ac:dyDescent="0.25">
      <c r="D805" s="343"/>
      <c r="E805" s="344"/>
      <c r="I805" s="32"/>
      <c r="J805" s="32"/>
      <c r="L805" s="345"/>
      <c r="N805" s="8"/>
    </row>
    <row r="806" spans="4:14" x14ac:dyDescent="0.25">
      <c r="D806" s="343"/>
      <c r="E806" s="344"/>
      <c r="I806" s="32"/>
      <c r="J806" s="32"/>
      <c r="L806" s="345"/>
      <c r="N806" s="8"/>
    </row>
    <row r="807" spans="4:14" x14ac:dyDescent="0.25">
      <c r="D807" s="343"/>
      <c r="E807" s="344"/>
      <c r="I807" s="32"/>
      <c r="J807" s="32"/>
      <c r="L807" s="345"/>
      <c r="N807" s="8"/>
    </row>
    <row r="808" spans="4:14" x14ac:dyDescent="0.25">
      <c r="D808" s="343"/>
      <c r="E808" s="344"/>
      <c r="I808" s="32"/>
      <c r="J808" s="32"/>
      <c r="L808" s="345"/>
      <c r="N808" s="8"/>
    </row>
    <row r="809" spans="4:14" x14ac:dyDescent="0.25">
      <c r="D809" s="343"/>
      <c r="E809" s="344"/>
      <c r="I809" s="32"/>
      <c r="J809" s="32"/>
      <c r="L809" s="345"/>
      <c r="N809" s="8"/>
    </row>
    <row r="810" spans="4:14" x14ac:dyDescent="0.25">
      <c r="D810" s="343"/>
      <c r="E810" s="344"/>
      <c r="I810" s="32"/>
      <c r="J810" s="32"/>
      <c r="L810" s="345"/>
      <c r="N810" s="8"/>
    </row>
    <row r="811" spans="4:14" x14ac:dyDescent="0.25">
      <c r="D811" s="343"/>
      <c r="E811" s="344"/>
      <c r="I811" s="32"/>
      <c r="J811" s="32"/>
      <c r="L811" s="345"/>
      <c r="N811" s="8"/>
    </row>
    <row r="812" spans="4:14" x14ac:dyDescent="0.25">
      <c r="D812" s="343"/>
      <c r="E812" s="344"/>
      <c r="I812" s="32"/>
      <c r="J812" s="32"/>
      <c r="L812" s="345"/>
      <c r="N812" s="8"/>
    </row>
    <row r="813" spans="4:14" x14ac:dyDescent="0.25">
      <c r="D813" s="343"/>
      <c r="E813" s="344"/>
      <c r="I813" s="32"/>
      <c r="J813" s="32"/>
      <c r="L813" s="345"/>
      <c r="N813" s="8"/>
    </row>
    <row r="814" spans="4:14" x14ac:dyDescent="0.25">
      <c r="D814" s="343"/>
      <c r="E814" s="344"/>
      <c r="I814" s="32"/>
      <c r="J814" s="32"/>
      <c r="L814" s="345"/>
      <c r="N814" s="8"/>
    </row>
    <row r="815" spans="4:14" x14ac:dyDescent="0.25">
      <c r="D815" s="343"/>
      <c r="E815" s="344"/>
      <c r="I815" s="32"/>
      <c r="J815" s="32"/>
      <c r="L815" s="345"/>
      <c r="N815" s="8"/>
    </row>
    <row r="816" spans="4:14" x14ac:dyDescent="0.25">
      <c r="D816" s="343"/>
      <c r="E816" s="344"/>
      <c r="I816" s="32"/>
      <c r="J816" s="32"/>
      <c r="L816" s="345"/>
      <c r="N816" s="8"/>
    </row>
    <row r="817" spans="4:14" x14ac:dyDescent="0.25">
      <c r="D817" s="343"/>
      <c r="E817" s="344"/>
      <c r="I817" s="32"/>
      <c r="J817" s="32"/>
      <c r="L817" s="345"/>
      <c r="N817" s="8"/>
    </row>
    <row r="818" spans="4:14" x14ac:dyDescent="0.25">
      <c r="D818" s="343"/>
      <c r="E818" s="344"/>
      <c r="I818" s="32"/>
      <c r="J818" s="32"/>
      <c r="L818" s="345"/>
      <c r="N818" s="8"/>
    </row>
    <row r="819" spans="4:14" x14ac:dyDescent="0.25">
      <c r="D819" s="343"/>
      <c r="E819" s="344"/>
      <c r="I819" s="32"/>
      <c r="J819" s="32"/>
      <c r="L819" s="345"/>
      <c r="N819" s="8"/>
    </row>
    <row r="820" spans="4:14" x14ac:dyDescent="0.25">
      <c r="D820" s="343"/>
      <c r="E820" s="344"/>
      <c r="I820" s="32"/>
      <c r="J820" s="32"/>
      <c r="L820" s="345"/>
      <c r="N820" s="8"/>
    </row>
    <row r="821" spans="4:14" x14ac:dyDescent="0.25">
      <c r="D821" s="343"/>
      <c r="E821" s="344"/>
      <c r="I821" s="32"/>
      <c r="J821" s="32"/>
      <c r="L821" s="345"/>
      <c r="N821" s="8"/>
    </row>
    <row r="822" spans="4:14" x14ac:dyDescent="0.25">
      <c r="D822" s="343"/>
      <c r="E822" s="344"/>
      <c r="I822" s="32"/>
      <c r="J822" s="32"/>
      <c r="L822" s="345"/>
      <c r="N822" s="8"/>
    </row>
    <row r="823" spans="4:14" x14ac:dyDescent="0.25">
      <c r="D823" s="343"/>
      <c r="E823" s="344"/>
      <c r="I823" s="32"/>
      <c r="J823" s="32"/>
      <c r="L823" s="345"/>
      <c r="N823" s="8"/>
    </row>
    <row r="824" spans="4:14" x14ac:dyDescent="0.25">
      <c r="D824" s="343"/>
      <c r="E824" s="344"/>
      <c r="I824" s="32"/>
      <c r="J824" s="32"/>
      <c r="L824" s="345"/>
      <c r="N824" s="8"/>
    </row>
    <row r="825" spans="4:14" x14ac:dyDescent="0.25">
      <c r="D825" s="343"/>
      <c r="E825" s="344"/>
      <c r="I825" s="32"/>
      <c r="J825" s="32"/>
      <c r="L825" s="345"/>
      <c r="N825" s="8"/>
    </row>
    <row r="826" spans="4:14" x14ac:dyDescent="0.25">
      <c r="D826" s="343"/>
      <c r="E826" s="344"/>
      <c r="I826" s="32"/>
      <c r="J826" s="32"/>
      <c r="L826" s="345"/>
      <c r="N826" s="8"/>
    </row>
    <row r="827" spans="4:14" x14ac:dyDescent="0.25">
      <c r="D827" s="343"/>
      <c r="E827" s="344"/>
      <c r="I827" s="32"/>
      <c r="J827" s="32"/>
      <c r="L827" s="345"/>
      <c r="N827" s="8"/>
    </row>
    <row r="828" spans="4:14" x14ac:dyDescent="0.25">
      <c r="D828" s="343"/>
      <c r="E828" s="344"/>
      <c r="I828" s="32"/>
      <c r="J828" s="32"/>
      <c r="L828" s="345"/>
      <c r="N828" s="8"/>
    </row>
    <row r="829" spans="4:14" x14ac:dyDescent="0.25">
      <c r="D829" s="343"/>
      <c r="E829" s="344"/>
      <c r="I829" s="32"/>
      <c r="J829" s="32"/>
      <c r="L829" s="345"/>
      <c r="N829" s="8"/>
    </row>
    <row r="830" spans="4:14" x14ac:dyDescent="0.25">
      <c r="D830" s="343"/>
      <c r="E830" s="344"/>
      <c r="I830" s="32"/>
      <c r="J830" s="32"/>
      <c r="L830" s="345"/>
      <c r="N830" s="8"/>
    </row>
    <row r="831" spans="4:14" x14ac:dyDescent="0.25">
      <c r="D831" s="343"/>
      <c r="E831" s="344"/>
      <c r="I831" s="32"/>
      <c r="J831" s="32"/>
      <c r="L831" s="345"/>
      <c r="N831" s="8"/>
    </row>
    <row r="832" spans="4:14" x14ac:dyDescent="0.25">
      <c r="D832" s="343"/>
      <c r="E832" s="344"/>
      <c r="I832" s="32"/>
      <c r="J832" s="32"/>
      <c r="L832" s="345"/>
      <c r="N832" s="8"/>
    </row>
    <row r="833" spans="4:14" x14ac:dyDescent="0.25">
      <c r="D833" s="343"/>
      <c r="E833" s="344"/>
      <c r="I833" s="32"/>
      <c r="J833" s="32"/>
      <c r="L833" s="345"/>
      <c r="N833" s="8"/>
    </row>
    <row r="834" spans="4:14" x14ac:dyDescent="0.25">
      <c r="D834" s="343"/>
      <c r="E834" s="344"/>
      <c r="I834" s="32"/>
      <c r="J834" s="32"/>
      <c r="L834" s="345"/>
      <c r="N834" s="8"/>
    </row>
    <row r="835" spans="4:14" x14ac:dyDescent="0.25">
      <c r="D835" s="343"/>
      <c r="E835" s="344"/>
      <c r="I835" s="32"/>
      <c r="J835" s="32"/>
      <c r="L835" s="345"/>
      <c r="N835" s="8"/>
    </row>
    <row r="836" spans="4:14" x14ac:dyDescent="0.25">
      <c r="D836" s="343"/>
      <c r="E836" s="344"/>
      <c r="I836" s="32"/>
      <c r="J836" s="32"/>
      <c r="L836" s="345"/>
      <c r="N836" s="8"/>
    </row>
    <row r="837" spans="4:14" x14ac:dyDescent="0.25">
      <c r="D837" s="343"/>
      <c r="E837" s="344"/>
      <c r="I837" s="32"/>
      <c r="J837" s="32"/>
      <c r="L837" s="345"/>
      <c r="N837" s="8"/>
    </row>
    <row r="838" spans="4:14" x14ac:dyDescent="0.25">
      <c r="D838" s="343"/>
      <c r="E838" s="344"/>
      <c r="I838" s="32"/>
      <c r="J838" s="32"/>
      <c r="L838" s="345"/>
      <c r="N838" s="8"/>
    </row>
    <row r="839" spans="4:14" x14ac:dyDescent="0.25">
      <c r="D839" s="343"/>
      <c r="E839" s="344"/>
      <c r="I839" s="32"/>
      <c r="J839" s="32"/>
      <c r="L839" s="345"/>
      <c r="N839" s="8"/>
    </row>
    <row r="840" spans="4:14" x14ac:dyDescent="0.25">
      <c r="D840" s="343"/>
      <c r="E840" s="344"/>
      <c r="I840" s="32"/>
      <c r="J840" s="32"/>
      <c r="L840" s="345"/>
      <c r="N840" s="8"/>
    </row>
    <row r="841" spans="4:14" x14ac:dyDescent="0.25">
      <c r="D841" s="343"/>
      <c r="E841" s="344"/>
      <c r="I841" s="32"/>
      <c r="J841" s="32"/>
      <c r="L841" s="345"/>
      <c r="N841" s="8"/>
    </row>
    <row r="842" spans="4:14" x14ac:dyDescent="0.25">
      <c r="D842" s="343"/>
      <c r="E842" s="344"/>
      <c r="I842" s="32"/>
      <c r="J842" s="32"/>
      <c r="L842" s="345"/>
      <c r="N842" s="8"/>
    </row>
    <row r="843" spans="4:14" x14ac:dyDescent="0.25">
      <c r="D843" s="343"/>
      <c r="E843" s="344"/>
      <c r="I843" s="32"/>
      <c r="J843" s="32"/>
      <c r="L843" s="345"/>
      <c r="N843" s="8"/>
    </row>
    <row r="844" spans="4:14" x14ac:dyDescent="0.25">
      <c r="D844" s="343"/>
      <c r="E844" s="344"/>
      <c r="I844" s="32"/>
      <c r="J844" s="32"/>
      <c r="L844" s="345"/>
      <c r="N844" s="8"/>
    </row>
    <row r="845" spans="4:14" x14ac:dyDescent="0.25">
      <c r="D845" s="343"/>
      <c r="E845" s="344"/>
      <c r="I845" s="32"/>
      <c r="J845" s="32"/>
      <c r="L845" s="345"/>
      <c r="N845" s="8"/>
    </row>
    <row r="846" spans="4:14" x14ac:dyDescent="0.25">
      <c r="D846" s="343"/>
      <c r="E846" s="344"/>
      <c r="I846" s="32"/>
      <c r="J846" s="32"/>
      <c r="L846" s="345"/>
      <c r="N846" s="8"/>
    </row>
    <row r="847" spans="4:14" x14ac:dyDescent="0.25">
      <c r="D847" s="343"/>
      <c r="E847" s="344"/>
      <c r="I847" s="32"/>
      <c r="J847" s="32"/>
      <c r="L847" s="345"/>
      <c r="N847" s="8"/>
    </row>
    <row r="848" spans="4:14" x14ac:dyDescent="0.25">
      <c r="D848" s="343"/>
      <c r="E848" s="344"/>
      <c r="I848" s="32"/>
      <c r="J848" s="32"/>
      <c r="L848" s="345"/>
      <c r="N848" s="8"/>
    </row>
    <row r="849" spans="4:14" x14ac:dyDescent="0.25">
      <c r="D849" s="343"/>
      <c r="E849" s="344"/>
      <c r="I849" s="32"/>
      <c r="J849" s="32"/>
      <c r="L849" s="345"/>
      <c r="N849" s="8"/>
    </row>
    <row r="850" spans="4:14" x14ac:dyDescent="0.25">
      <c r="D850" s="343"/>
      <c r="E850" s="344"/>
      <c r="I850" s="32"/>
      <c r="J850" s="32"/>
      <c r="L850" s="345"/>
      <c r="N850" s="8"/>
    </row>
    <row r="851" spans="4:14" x14ac:dyDescent="0.25">
      <c r="D851" s="343"/>
      <c r="E851" s="344"/>
      <c r="I851" s="32"/>
      <c r="J851" s="32"/>
      <c r="L851" s="345"/>
      <c r="N851" s="8"/>
    </row>
    <row r="852" spans="4:14" x14ac:dyDescent="0.25">
      <c r="D852" s="343"/>
      <c r="E852" s="344"/>
      <c r="I852" s="32"/>
      <c r="J852" s="32"/>
      <c r="L852" s="345"/>
      <c r="N852" s="8"/>
    </row>
    <row r="853" spans="4:14" x14ac:dyDescent="0.25">
      <c r="D853" s="343"/>
      <c r="E853" s="344"/>
      <c r="I853" s="32"/>
      <c r="J853" s="32"/>
      <c r="L853" s="345"/>
      <c r="N853" s="8"/>
    </row>
    <row r="854" spans="4:14" x14ac:dyDescent="0.25">
      <c r="D854" s="343"/>
      <c r="E854" s="344"/>
      <c r="I854" s="32"/>
      <c r="J854" s="32"/>
      <c r="L854" s="345"/>
      <c r="N854" s="8"/>
    </row>
    <row r="855" spans="4:14" x14ac:dyDescent="0.25">
      <c r="D855" s="343"/>
      <c r="E855" s="344"/>
      <c r="I855" s="32"/>
      <c r="J855" s="32"/>
      <c r="L855" s="345"/>
      <c r="N855" s="8"/>
    </row>
    <row r="856" spans="4:14" x14ac:dyDescent="0.25">
      <c r="D856" s="343"/>
      <c r="E856" s="344"/>
      <c r="I856" s="32"/>
      <c r="J856" s="32"/>
      <c r="L856" s="345"/>
      <c r="N856" s="8"/>
    </row>
    <row r="857" spans="4:14" x14ac:dyDescent="0.25">
      <c r="D857" s="343"/>
      <c r="E857" s="344"/>
      <c r="I857" s="32"/>
      <c r="J857" s="32"/>
      <c r="L857" s="345"/>
      <c r="N857" s="8"/>
    </row>
    <row r="858" spans="4:14" x14ac:dyDescent="0.25">
      <c r="D858" s="343"/>
      <c r="E858" s="344"/>
      <c r="I858" s="32"/>
      <c r="J858" s="32"/>
      <c r="L858" s="345"/>
      <c r="N858" s="8"/>
    </row>
    <row r="859" spans="4:14" x14ac:dyDescent="0.25">
      <c r="D859" s="343"/>
      <c r="E859" s="344"/>
      <c r="I859" s="32"/>
      <c r="J859" s="32"/>
      <c r="L859" s="345"/>
      <c r="N859" s="8"/>
    </row>
    <row r="860" spans="4:14" x14ac:dyDescent="0.25">
      <c r="D860" s="343"/>
      <c r="E860" s="344"/>
      <c r="I860" s="32"/>
      <c r="J860" s="32"/>
      <c r="L860" s="345"/>
      <c r="N860" s="8"/>
    </row>
    <row r="861" spans="4:14" x14ac:dyDescent="0.25">
      <c r="D861" s="343"/>
      <c r="E861" s="344"/>
      <c r="I861" s="32"/>
      <c r="J861" s="32"/>
      <c r="L861" s="345"/>
      <c r="N861" s="8"/>
    </row>
    <row r="862" spans="4:14" x14ac:dyDescent="0.25">
      <c r="D862" s="343"/>
      <c r="E862" s="344"/>
      <c r="I862" s="32"/>
      <c r="J862" s="32"/>
      <c r="L862" s="345"/>
      <c r="N862" s="8"/>
    </row>
    <row r="863" spans="4:14" x14ac:dyDescent="0.25">
      <c r="D863" s="343"/>
      <c r="E863" s="344"/>
      <c r="I863" s="32"/>
      <c r="J863" s="32"/>
      <c r="L863" s="345"/>
      <c r="N863" s="8"/>
    </row>
    <row r="864" spans="4:14" x14ac:dyDescent="0.25">
      <c r="D864" s="343"/>
      <c r="E864" s="344"/>
      <c r="I864" s="32"/>
      <c r="J864" s="32"/>
      <c r="L864" s="345"/>
      <c r="N864" s="8"/>
    </row>
    <row r="865" spans="4:14" x14ac:dyDescent="0.25">
      <c r="D865" s="343"/>
      <c r="E865" s="344"/>
      <c r="I865" s="32"/>
      <c r="J865" s="32"/>
      <c r="L865" s="345"/>
      <c r="N865" s="8"/>
    </row>
    <row r="866" spans="4:14" x14ac:dyDescent="0.25">
      <c r="D866" s="343"/>
      <c r="E866" s="344"/>
      <c r="I866" s="32"/>
      <c r="J866" s="32"/>
      <c r="L866" s="345"/>
      <c r="N866" s="8"/>
    </row>
    <row r="867" spans="4:14" x14ac:dyDescent="0.25">
      <c r="D867" s="343"/>
      <c r="E867" s="344"/>
      <c r="I867" s="32"/>
      <c r="J867" s="32"/>
      <c r="L867" s="345"/>
      <c r="N867" s="8"/>
    </row>
    <row r="868" spans="4:14" x14ac:dyDescent="0.25">
      <c r="D868" s="343"/>
      <c r="E868" s="344"/>
      <c r="I868" s="32"/>
      <c r="J868" s="32"/>
      <c r="L868" s="345"/>
      <c r="N868" s="8"/>
    </row>
    <row r="869" spans="4:14" x14ac:dyDescent="0.25">
      <c r="D869" s="343"/>
      <c r="E869" s="344"/>
      <c r="I869" s="32"/>
      <c r="J869" s="32"/>
      <c r="L869" s="345"/>
      <c r="N869" s="8"/>
    </row>
    <row r="870" spans="4:14" x14ac:dyDescent="0.25">
      <c r="D870" s="343"/>
      <c r="E870" s="344"/>
      <c r="I870" s="32"/>
      <c r="J870" s="32"/>
      <c r="L870" s="345"/>
      <c r="N870" s="8"/>
    </row>
    <row r="871" spans="4:14" x14ac:dyDescent="0.25">
      <c r="D871" s="343"/>
      <c r="E871" s="344"/>
      <c r="I871" s="32"/>
      <c r="J871" s="32"/>
      <c r="L871" s="345"/>
      <c r="N871" s="8"/>
    </row>
    <row r="872" spans="4:14" x14ac:dyDescent="0.25">
      <c r="D872" s="343"/>
      <c r="E872" s="344"/>
      <c r="I872" s="32"/>
      <c r="J872" s="32"/>
      <c r="L872" s="345"/>
      <c r="N872" s="8"/>
    </row>
    <row r="873" spans="4:14" x14ac:dyDescent="0.25">
      <c r="D873" s="343"/>
      <c r="E873" s="344"/>
      <c r="I873" s="32"/>
      <c r="J873" s="32"/>
      <c r="L873" s="345"/>
      <c r="N873" s="8"/>
    </row>
    <row r="874" spans="4:14" x14ac:dyDescent="0.25">
      <c r="D874" s="343"/>
      <c r="E874" s="344"/>
      <c r="I874" s="32"/>
      <c r="J874" s="32"/>
      <c r="L874" s="345"/>
      <c r="N874" s="8"/>
    </row>
    <row r="875" spans="4:14" x14ac:dyDescent="0.25">
      <c r="D875" s="343"/>
      <c r="E875" s="344"/>
      <c r="I875" s="32"/>
      <c r="J875" s="32"/>
      <c r="L875" s="345"/>
      <c r="N875" s="8"/>
    </row>
    <row r="876" spans="4:14" x14ac:dyDescent="0.25">
      <c r="D876" s="343"/>
      <c r="E876" s="344"/>
      <c r="I876" s="32"/>
      <c r="J876" s="32"/>
      <c r="L876" s="345"/>
      <c r="N876" s="8"/>
    </row>
    <row r="877" spans="4:14" x14ac:dyDescent="0.25">
      <c r="D877" s="343"/>
      <c r="E877" s="344"/>
      <c r="I877" s="32"/>
      <c r="J877" s="32"/>
      <c r="L877" s="345"/>
      <c r="N877" s="8"/>
    </row>
    <row r="878" spans="4:14" x14ac:dyDescent="0.25">
      <c r="D878" s="343"/>
      <c r="E878" s="344"/>
      <c r="I878" s="32"/>
      <c r="J878" s="32"/>
      <c r="L878" s="345"/>
      <c r="N878" s="8"/>
    </row>
    <row r="879" spans="4:14" x14ac:dyDescent="0.25">
      <c r="D879" s="343"/>
      <c r="E879" s="344"/>
      <c r="I879" s="32"/>
      <c r="J879" s="32"/>
      <c r="L879" s="345"/>
      <c r="N879" s="8"/>
    </row>
    <row r="880" spans="4:14" x14ac:dyDescent="0.25">
      <c r="D880" s="343"/>
      <c r="E880" s="344"/>
      <c r="I880" s="32"/>
      <c r="J880" s="32"/>
      <c r="L880" s="345"/>
      <c r="N880" s="8"/>
    </row>
    <row r="881" spans="4:14" x14ac:dyDescent="0.25">
      <c r="D881" s="343"/>
      <c r="E881" s="344"/>
      <c r="I881" s="32"/>
      <c r="J881" s="32"/>
      <c r="L881" s="345"/>
      <c r="N881" s="8"/>
    </row>
    <row r="882" spans="4:14" x14ac:dyDescent="0.25">
      <c r="D882" s="343"/>
      <c r="E882" s="344"/>
      <c r="I882" s="32"/>
      <c r="J882" s="32"/>
      <c r="L882" s="345"/>
      <c r="N882" s="8"/>
    </row>
    <row r="883" spans="4:14" x14ac:dyDescent="0.25">
      <c r="D883" s="343"/>
      <c r="E883" s="344"/>
      <c r="I883" s="32"/>
      <c r="J883" s="32"/>
      <c r="L883" s="345"/>
      <c r="N883" s="8"/>
    </row>
    <row r="884" spans="4:14" x14ac:dyDescent="0.25">
      <c r="D884" s="343"/>
      <c r="E884" s="344"/>
      <c r="I884" s="32"/>
      <c r="J884" s="32"/>
      <c r="L884" s="345"/>
      <c r="N884" s="8"/>
    </row>
    <row r="885" spans="4:14" x14ac:dyDescent="0.25">
      <c r="D885" s="343"/>
      <c r="E885" s="344"/>
      <c r="I885" s="32"/>
      <c r="J885" s="32"/>
      <c r="L885" s="345"/>
      <c r="N885" s="8"/>
    </row>
    <row r="886" spans="4:14" x14ac:dyDescent="0.25">
      <c r="D886" s="343"/>
      <c r="E886" s="344"/>
      <c r="I886" s="32"/>
      <c r="J886" s="32"/>
      <c r="L886" s="345"/>
      <c r="N886" s="8"/>
    </row>
    <row r="887" spans="4:14" x14ac:dyDescent="0.25">
      <c r="D887" s="343"/>
      <c r="E887" s="344"/>
      <c r="I887" s="32"/>
      <c r="J887" s="32"/>
      <c r="L887" s="345"/>
      <c r="N887" s="8"/>
    </row>
    <row r="888" spans="4:14" x14ac:dyDescent="0.25">
      <c r="D888" s="343"/>
      <c r="E888" s="344"/>
      <c r="I888" s="32"/>
      <c r="J888" s="32"/>
      <c r="L888" s="345"/>
      <c r="N888" s="8"/>
    </row>
    <row r="889" spans="4:14" x14ac:dyDescent="0.25">
      <c r="D889" s="343"/>
      <c r="E889" s="344"/>
      <c r="I889" s="32"/>
      <c r="J889" s="32"/>
      <c r="L889" s="345"/>
      <c r="N889" s="8"/>
    </row>
    <row r="890" spans="4:14" x14ac:dyDescent="0.25">
      <c r="D890" s="343"/>
      <c r="E890" s="344"/>
      <c r="I890" s="32"/>
      <c r="J890" s="32"/>
      <c r="L890" s="345"/>
      <c r="N890" s="8"/>
    </row>
    <row r="891" spans="4:14" x14ac:dyDescent="0.25">
      <c r="D891" s="343"/>
      <c r="E891" s="344"/>
      <c r="I891" s="32"/>
      <c r="J891" s="32"/>
      <c r="L891" s="345"/>
      <c r="N891" s="8"/>
    </row>
    <row r="892" spans="4:14" x14ac:dyDescent="0.25">
      <c r="D892" s="343"/>
      <c r="E892" s="344"/>
      <c r="I892" s="32"/>
      <c r="J892" s="32"/>
      <c r="L892" s="345"/>
      <c r="N892" s="8"/>
    </row>
    <row r="893" spans="4:14" x14ac:dyDescent="0.25">
      <c r="D893" s="343"/>
      <c r="E893" s="344"/>
      <c r="I893" s="32"/>
      <c r="J893" s="32"/>
      <c r="L893" s="345"/>
      <c r="N893" s="8"/>
    </row>
    <row r="894" spans="4:14" x14ac:dyDescent="0.25">
      <c r="D894" s="343"/>
      <c r="E894" s="344"/>
      <c r="I894" s="32"/>
      <c r="J894" s="32"/>
      <c r="L894" s="345"/>
      <c r="N894" s="8"/>
    </row>
    <row r="895" spans="4:14" x14ac:dyDescent="0.25">
      <c r="D895" s="343"/>
      <c r="E895" s="344"/>
      <c r="I895" s="32"/>
      <c r="J895" s="32"/>
      <c r="L895" s="345"/>
      <c r="N895" s="8"/>
    </row>
    <row r="896" spans="4:14" x14ac:dyDescent="0.25">
      <c r="D896" s="343"/>
      <c r="E896" s="344"/>
      <c r="I896" s="32"/>
      <c r="J896" s="32"/>
      <c r="L896" s="345"/>
      <c r="N896" s="8"/>
    </row>
    <row r="897" spans="4:14" x14ac:dyDescent="0.25">
      <c r="D897" s="343"/>
      <c r="E897" s="344"/>
      <c r="I897" s="32"/>
      <c r="J897" s="32"/>
      <c r="L897" s="345"/>
      <c r="N897" s="8"/>
    </row>
    <row r="898" spans="4:14" x14ac:dyDescent="0.25">
      <c r="D898" s="343"/>
      <c r="E898" s="344"/>
      <c r="I898" s="32"/>
      <c r="J898" s="32"/>
      <c r="L898" s="345"/>
      <c r="N898" s="8"/>
    </row>
    <row r="899" spans="4:14" x14ac:dyDescent="0.25">
      <c r="D899" s="343"/>
      <c r="E899" s="344"/>
      <c r="I899" s="32"/>
      <c r="J899" s="32"/>
      <c r="L899" s="345"/>
      <c r="N899" s="8"/>
    </row>
    <row r="900" spans="4:14" x14ac:dyDescent="0.25">
      <c r="D900" s="343"/>
      <c r="E900" s="344"/>
      <c r="I900" s="32"/>
      <c r="J900" s="32"/>
      <c r="L900" s="345"/>
      <c r="N900" s="8"/>
    </row>
    <row r="901" spans="4:14" x14ac:dyDescent="0.25">
      <c r="D901" s="343"/>
      <c r="E901" s="344"/>
      <c r="I901" s="32"/>
      <c r="J901" s="32"/>
      <c r="L901" s="345"/>
      <c r="N901" s="8"/>
    </row>
    <row r="902" spans="4:14" x14ac:dyDescent="0.25">
      <c r="D902" s="343"/>
      <c r="E902" s="344"/>
      <c r="I902" s="32"/>
      <c r="J902" s="32"/>
      <c r="L902" s="345"/>
      <c r="N902" s="8"/>
    </row>
    <row r="903" spans="4:14" x14ac:dyDescent="0.25">
      <c r="D903" s="343"/>
      <c r="E903" s="344"/>
      <c r="I903" s="32"/>
      <c r="J903" s="32"/>
      <c r="L903" s="345"/>
      <c r="N903" s="8"/>
    </row>
    <row r="904" spans="4:14" x14ac:dyDescent="0.25">
      <c r="D904" s="343"/>
      <c r="E904" s="344"/>
      <c r="I904" s="32"/>
      <c r="J904" s="32"/>
      <c r="L904" s="345"/>
      <c r="N904" s="8"/>
    </row>
    <row r="905" spans="4:14" x14ac:dyDescent="0.25">
      <c r="D905" s="343"/>
      <c r="E905" s="344"/>
      <c r="I905" s="32"/>
      <c r="J905" s="32"/>
      <c r="L905" s="345"/>
      <c r="N905" s="8"/>
    </row>
    <row r="906" spans="4:14" x14ac:dyDescent="0.25">
      <c r="D906" s="343"/>
      <c r="E906" s="344"/>
      <c r="I906" s="32"/>
      <c r="J906" s="32"/>
      <c r="L906" s="345"/>
      <c r="N906" s="8"/>
    </row>
    <row r="907" spans="4:14" x14ac:dyDescent="0.25">
      <c r="D907" s="343"/>
      <c r="E907" s="344"/>
      <c r="I907" s="32"/>
      <c r="J907" s="32"/>
      <c r="L907" s="345"/>
      <c r="N907" s="8"/>
    </row>
    <row r="908" spans="4:14" x14ac:dyDescent="0.25">
      <c r="D908" s="343"/>
      <c r="E908" s="344"/>
      <c r="I908" s="32"/>
      <c r="J908" s="32"/>
      <c r="L908" s="345"/>
      <c r="N908" s="8"/>
    </row>
    <row r="909" spans="4:14" x14ac:dyDescent="0.25">
      <c r="D909" s="343"/>
      <c r="E909" s="344"/>
      <c r="I909" s="32"/>
      <c r="J909" s="32"/>
      <c r="L909" s="345"/>
      <c r="N909" s="8"/>
    </row>
    <row r="910" spans="4:14" x14ac:dyDescent="0.25">
      <c r="D910" s="343"/>
      <c r="E910" s="344"/>
      <c r="I910" s="32"/>
      <c r="J910" s="32"/>
      <c r="L910" s="345"/>
      <c r="N910" s="8"/>
    </row>
    <row r="911" spans="4:14" x14ac:dyDescent="0.25">
      <c r="D911" s="343"/>
      <c r="E911" s="344"/>
      <c r="I911" s="32"/>
      <c r="J911" s="32"/>
      <c r="L911" s="345"/>
      <c r="N911" s="8"/>
    </row>
    <row r="912" spans="4:14" x14ac:dyDescent="0.25">
      <c r="D912" s="343"/>
      <c r="E912" s="344"/>
      <c r="I912" s="32"/>
      <c r="J912" s="32"/>
      <c r="L912" s="345"/>
      <c r="N912" s="8"/>
    </row>
    <row r="913" spans="4:14" x14ac:dyDescent="0.25">
      <c r="D913" s="343"/>
      <c r="E913" s="344"/>
      <c r="I913" s="32"/>
      <c r="J913" s="32"/>
      <c r="L913" s="345"/>
      <c r="N913" s="8"/>
    </row>
    <row r="914" spans="4:14" x14ac:dyDescent="0.25">
      <c r="D914" s="343"/>
      <c r="E914" s="344"/>
      <c r="I914" s="32"/>
      <c r="J914" s="32"/>
      <c r="L914" s="345"/>
      <c r="N914" s="8"/>
    </row>
    <row r="915" spans="4:14" x14ac:dyDescent="0.25">
      <c r="D915" s="343"/>
      <c r="E915" s="344"/>
      <c r="I915" s="32"/>
      <c r="J915" s="32"/>
      <c r="L915" s="345"/>
      <c r="N915" s="8"/>
    </row>
    <row r="916" spans="4:14" x14ac:dyDescent="0.25">
      <c r="D916" s="343"/>
      <c r="E916" s="344"/>
      <c r="I916" s="32"/>
      <c r="J916" s="32"/>
      <c r="L916" s="345"/>
      <c r="N916" s="8"/>
    </row>
    <row r="917" spans="4:14" x14ac:dyDescent="0.25">
      <c r="D917" s="343"/>
      <c r="E917" s="344"/>
      <c r="I917" s="32"/>
      <c r="J917" s="32"/>
      <c r="L917" s="345"/>
      <c r="N917" s="8"/>
    </row>
    <row r="918" spans="4:14" x14ac:dyDescent="0.25">
      <c r="D918" s="343"/>
      <c r="E918" s="344"/>
      <c r="I918" s="32"/>
      <c r="J918" s="32"/>
      <c r="L918" s="345"/>
      <c r="N918" s="8"/>
    </row>
    <row r="919" spans="4:14" x14ac:dyDescent="0.25">
      <c r="D919" s="343"/>
      <c r="E919" s="344"/>
      <c r="I919" s="32"/>
      <c r="J919" s="32"/>
      <c r="L919" s="345"/>
      <c r="N919" s="8"/>
    </row>
    <row r="920" spans="4:14" x14ac:dyDescent="0.25">
      <c r="D920" s="343"/>
      <c r="E920" s="344"/>
      <c r="I920" s="32"/>
      <c r="J920" s="32"/>
      <c r="L920" s="345"/>
      <c r="N920" s="8"/>
    </row>
    <row r="921" spans="4:14" x14ac:dyDescent="0.25">
      <c r="D921" s="343"/>
      <c r="E921" s="344"/>
      <c r="I921" s="32"/>
      <c r="J921" s="32"/>
      <c r="L921" s="345"/>
      <c r="N921" s="8"/>
    </row>
    <row r="922" spans="4:14" x14ac:dyDescent="0.25">
      <c r="D922" s="343"/>
      <c r="E922" s="344"/>
      <c r="I922" s="32"/>
      <c r="J922" s="32"/>
      <c r="L922" s="345"/>
      <c r="N922" s="8"/>
    </row>
    <row r="923" spans="4:14" x14ac:dyDescent="0.25">
      <c r="D923" s="343"/>
      <c r="E923" s="344"/>
      <c r="I923" s="32"/>
      <c r="J923" s="32"/>
      <c r="L923" s="345"/>
      <c r="N923" s="8"/>
    </row>
    <row r="924" spans="4:14" x14ac:dyDescent="0.25">
      <c r="D924" s="343"/>
      <c r="E924" s="344"/>
      <c r="I924" s="32"/>
      <c r="J924" s="32"/>
      <c r="L924" s="345"/>
      <c r="N924" s="8"/>
    </row>
    <row r="925" spans="4:14" x14ac:dyDescent="0.25">
      <c r="D925" s="343"/>
      <c r="E925" s="344"/>
      <c r="I925" s="32"/>
      <c r="J925" s="32"/>
      <c r="L925" s="345"/>
      <c r="N925" s="8"/>
    </row>
    <row r="926" spans="4:14" x14ac:dyDescent="0.25">
      <c r="D926" s="343"/>
      <c r="E926" s="344"/>
      <c r="I926" s="32"/>
      <c r="J926" s="32"/>
      <c r="L926" s="345"/>
      <c r="N926" s="8"/>
    </row>
    <row r="927" spans="4:14" x14ac:dyDescent="0.25">
      <c r="D927" s="343"/>
      <c r="E927" s="344"/>
      <c r="I927" s="32"/>
      <c r="J927" s="32"/>
      <c r="L927" s="345"/>
      <c r="N927" s="8"/>
    </row>
    <row r="928" spans="4:14" x14ac:dyDescent="0.25">
      <c r="D928" s="343"/>
      <c r="E928" s="344"/>
      <c r="I928" s="32"/>
      <c r="J928" s="32"/>
      <c r="L928" s="345"/>
      <c r="N928" s="8"/>
    </row>
    <row r="929" spans="4:14" x14ac:dyDescent="0.25">
      <c r="D929" s="343"/>
      <c r="E929" s="344"/>
      <c r="I929" s="32"/>
      <c r="J929" s="32"/>
      <c r="L929" s="345"/>
      <c r="N929" s="8"/>
    </row>
    <row r="930" spans="4:14" x14ac:dyDescent="0.25">
      <c r="D930" s="343"/>
      <c r="E930" s="344"/>
      <c r="I930" s="32"/>
      <c r="J930" s="32"/>
      <c r="L930" s="345"/>
      <c r="N930" s="8"/>
    </row>
    <row r="931" spans="4:14" x14ac:dyDescent="0.25">
      <c r="D931" s="343"/>
      <c r="E931" s="344"/>
      <c r="I931" s="32"/>
      <c r="J931" s="32"/>
      <c r="L931" s="345"/>
      <c r="N931" s="8"/>
    </row>
    <row r="932" spans="4:14" x14ac:dyDescent="0.25">
      <c r="D932" s="343"/>
      <c r="E932" s="344"/>
      <c r="I932" s="32"/>
      <c r="J932" s="32"/>
      <c r="L932" s="345"/>
      <c r="N932" s="8"/>
    </row>
    <row r="933" spans="4:14" x14ac:dyDescent="0.25">
      <c r="D933" s="343"/>
      <c r="E933" s="344"/>
      <c r="I933" s="32"/>
      <c r="J933" s="32"/>
      <c r="L933" s="345"/>
      <c r="N933" s="8"/>
    </row>
    <row r="934" spans="4:14" x14ac:dyDescent="0.25">
      <c r="D934" s="343"/>
      <c r="E934" s="344"/>
      <c r="I934" s="32"/>
      <c r="J934" s="32"/>
      <c r="L934" s="345"/>
      <c r="N934" s="8"/>
    </row>
    <row r="935" spans="4:14" x14ac:dyDescent="0.25">
      <c r="D935" s="343"/>
      <c r="E935" s="344"/>
      <c r="I935" s="32"/>
      <c r="J935" s="32"/>
      <c r="L935" s="345"/>
      <c r="N935" s="8"/>
    </row>
    <row r="936" spans="4:14" x14ac:dyDescent="0.25">
      <c r="D936" s="343"/>
      <c r="E936" s="344"/>
      <c r="I936" s="32"/>
      <c r="J936" s="32"/>
      <c r="L936" s="345"/>
      <c r="N936" s="8"/>
    </row>
    <row r="937" spans="4:14" x14ac:dyDescent="0.25">
      <c r="D937" s="343"/>
      <c r="E937" s="344"/>
      <c r="I937" s="32"/>
      <c r="J937" s="32"/>
      <c r="L937" s="345"/>
      <c r="N937" s="8"/>
    </row>
    <row r="938" spans="4:14" x14ac:dyDescent="0.25">
      <c r="D938" s="343"/>
      <c r="E938" s="344"/>
      <c r="I938" s="32"/>
      <c r="J938" s="32"/>
      <c r="L938" s="345"/>
      <c r="N938" s="8"/>
    </row>
    <row r="939" spans="4:14" x14ac:dyDescent="0.25">
      <c r="D939" s="343"/>
      <c r="E939" s="344"/>
      <c r="I939" s="32"/>
      <c r="J939" s="32"/>
      <c r="L939" s="345"/>
      <c r="N939" s="8"/>
    </row>
    <row r="940" spans="4:14" x14ac:dyDescent="0.25">
      <c r="D940" s="343"/>
      <c r="E940" s="344"/>
      <c r="I940" s="32"/>
      <c r="J940" s="32"/>
      <c r="L940" s="345"/>
      <c r="N940" s="8"/>
    </row>
    <row r="941" spans="4:14" x14ac:dyDescent="0.25">
      <c r="D941" s="343"/>
      <c r="E941" s="344"/>
      <c r="I941" s="32"/>
      <c r="J941" s="32"/>
      <c r="L941" s="345"/>
      <c r="N941" s="8"/>
    </row>
    <row r="942" spans="4:14" x14ac:dyDescent="0.25">
      <c r="D942" s="343"/>
      <c r="E942" s="344"/>
      <c r="I942" s="32"/>
      <c r="J942" s="32"/>
      <c r="L942" s="345"/>
      <c r="N942" s="8"/>
    </row>
    <row r="943" spans="4:14" x14ac:dyDescent="0.25">
      <c r="D943" s="343"/>
      <c r="E943" s="344"/>
      <c r="I943" s="32"/>
      <c r="J943" s="32"/>
      <c r="L943" s="345"/>
      <c r="N943" s="8"/>
    </row>
    <row r="944" spans="4:14" x14ac:dyDescent="0.25">
      <c r="D944" s="343"/>
      <c r="E944" s="344"/>
      <c r="I944" s="32"/>
      <c r="J944" s="32"/>
      <c r="L944" s="345"/>
      <c r="N944" s="8"/>
    </row>
    <row r="945" spans="4:14" x14ac:dyDescent="0.25">
      <c r="D945" s="343"/>
      <c r="E945" s="344"/>
      <c r="I945" s="32"/>
      <c r="J945" s="32"/>
      <c r="L945" s="345"/>
      <c r="N945" s="8"/>
    </row>
    <row r="946" spans="4:14" x14ac:dyDescent="0.25">
      <c r="D946" s="343"/>
      <c r="E946" s="344"/>
      <c r="I946" s="32"/>
      <c r="J946" s="32"/>
      <c r="L946" s="345"/>
      <c r="N946" s="8"/>
    </row>
    <row r="947" spans="4:14" x14ac:dyDescent="0.25">
      <c r="D947" s="343"/>
      <c r="E947" s="344"/>
      <c r="I947" s="32"/>
      <c r="J947" s="32"/>
      <c r="L947" s="345"/>
      <c r="N947" s="8"/>
    </row>
    <row r="948" spans="4:14" x14ac:dyDescent="0.25">
      <c r="D948" s="343"/>
      <c r="E948" s="344"/>
      <c r="I948" s="32"/>
      <c r="J948" s="32"/>
      <c r="L948" s="345"/>
      <c r="N948" s="8"/>
    </row>
    <row r="949" spans="4:14" x14ac:dyDescent="0.25">
      <c r="D949" s="343"/>
      <c r="E949" s="344"/>
      <c r="I949" s="32"/>
      <c r="J949" s="32"/>
      <c r="L949" s="345"/>
      <c r="N949" s="8"/>
    </row>
    <row r="950" spans="4:14" x14ac:dyDescent="0.25">
      <c r="D950" s="343"/>
      <c r="E950" s="344"/>
      <c r="I950" s="32"/>
      <c r="J950" s="32"/>
      <c r="L950" s="345"/>
      <c r="N950" s="8"/>
    </row>
    <row r="951" spans="4:14" x14ac:dyDescent="0.25">
      <c r="D951" s="343"/>
      <c r="E951" s="344"/>
      <c r="I951" s="32"/>
      <c r="J951" s="32"/>
      <c r="L951" s="345"/>
      <c r="N951" s="8"/>
    </row>
    <row r="952" spans="4:14" x14ac:dyDescent="0.25">
      <c r="D952" s="343"/>
      <c r="E952" s="344"/>
      <c r="I952" s="32"/>
      <c r="J952" s="32"/>
      <c r="L952" s="345"/>
      <c r="N952" s="8"/>
    </row>
    <row r="953" spans="4:14" x14ac:dyDescent="0.25">
      <c r="D953" s="343"/>
      <c r="E953" s="344"/>
      <c r="I953" s="32"/>
      <c r="J953" s="32"/>
      <c r="L953" s="345"/>
      <c r="N953" s="8"/>
    </row>
    <row r="954" spans="4:14" x14ac:dyDescent="0.25">
      <c r="D954" s="343"/>
      <c r="E954" s="344"/>
      <c r="I954" s="32"/>
      <c r="J954" s="32"/>
      <c r="L954" s="345"/>
      <c r="N954" s="8"/>
    </row>
    <row r="955" spans="4:14" x14ac:dyDescent="0.25">
      <c r="D955" s="343"/>
      <c r="E955" s="344"/>
      <c r="I955" s="32"/>
      <c r="J955" s="32"/>
      <c r="L955" s="345"/>
      <c r="N955" s="8"/>
    </row>
    <row r="956" spans="4:14" x14ac:dyDescent="0.25">
      <c r="D956" s="343"/>
      <c r="E956" s="344"/>
      <c r="I956" s="32"/>
      <c r="J956" s="32"/>
      <c r="L956" s="345"/>
      <c r="N956" s="8"/>
    </row>
    <row r="957" spans="4:14" x14ac:dyDescent="0.25">
      <c r="D957" s="343"/>
      <c r="E957" s="344"/>
      <c r="I957" s="32"/>
      <c r="J957" s="32"/>
      <c r="L957" s="345"/>
      <c r="N957" s="8"/>
    </row>
    <row r="958" spans="4:14" x14ac:dyDescent="0.25">
      <c r="D958" s="343"/>
      <c r="E958" s="344"/>
      <c r="I958" s="32"/>
      <c r="J958" s="32"/>
      <c r="L958" s="345"/>
      <c r="N958" s="8"/>
    </row>
    <row r="959" spans="4:14" x14ac:dyDescent="0.25">
      <c r="D959" s="343"/>
      <c r="E959" s="344"/>
      <c r="I959" s="32"/>
      <c r="J959" s="32"/>
      <c r="L959" s="345"/>
      <c r="N959" s="8"/>
    </row>
    <row r="960" spans="4:14" x14ac:dyDescent="0.25">
      <c r="D960" s="343"/>
      <c r="E960" s="344"/>
      <c r="I960" s="32"/>
      <c r="J960" s="32"/>
      <c r="L960" s="345"/>
      <c r="N960" s="8"/>
    </row>
    <row r="961" spans="4:14" x14ac:dyDescent="0.25">
      <c r="D961" s="343"/>
      <c r="E961" s="344"/>
      <c r="I961" s="32"/>
      <c r="J961" s="32"/>
      <c r="L961" s="345"/>
      <c r="N961" s="8"/>
    </row>
    <row r="962" spans="4:14" x14ac:dyDescent="0.25">
      <c r="D962" s="343"/>
      <c r="E962" s="344"/>
      <c r="I962" s="32"/>
      <c r="J962" s="32"/>
      <c r="L962" s="345"/>
      <c r="N962" s="8"/>
    </row>
    <row r="963" spans="4:14" x14ac:dyDescent="0.25">
      <c r="D963" s="343"/>
      <c r="E963" s="344"/>
      <c r="I963" s="32"/>
      <c r="J963" s="32"/>
      <c r="L963" s="345"/>
      <c r="N963" s="8"/>
    </row>
    <row r="964" spans="4:14" x14ac:dyDescent="0.25">
      <c r="D964" s="343"/>
      <c r="E964" s="344"/>
      <c r="I964" s="32"/>
      <c r="J964" s="32"/>
      <c r="L964" s="345"/>
      <c r="N964" s="8"/>
    </row>
    <row r="965" spans="4:14" x14ac:dyDescent="0.25">
      <c r="D965" s="343"/>
      <c r="E965" s="344"/>
      <c r="I965" s="32"/>
      <c r="J965" s="32"/>
      <c r="L965" s="345"/>
      <c r="N965" s="8"/>
    </row>
    <row r="966" spans="4:14" x14ac:dyDescent="0.25">
      <c r="D966" s="343"/>
      <c r="E966" s="344"/>
      <c r="I966" s="32"/>
      <c r="J966" s="32"/>
      <c r="L966" s="345"/>
      <c r="N966" s="8"/>
    </row>
    <row r="967" spans="4:14" x14ac:dyDescent="0.25">
      <c r="D967" s="343"/>
      <c r="E967" s="344"/>
      <c r="I967" s="32"/>
      <c r="J967" s="32"/>
      <c r="L967" s="345"/>
      <c r="N967" s="8"/>
    </row>
    <row r="968" spans="4:14" x14ac:dyDescent="0.25">
      <c r="D968" s="343"/>
      <c r="E968" s="344"/>
      <c r="I968" s="32"/>
      <c r="J968" s="32"/>
      <c r="L968" s="345"/>
      <c r="N968" s="8"/>
    </row>
    <row r="969" spans="4:14" x14ac:dyDescent="0.25">
      <c r="D969" s="343"/>
      <c r="E969" s="344"/>
      <c r="I969" s="32"/>
      <c r="J969" s="32"/>
      <c r="L969" s="345"/>
      <c r="N969" s="8"/>
    </row>
    <row r="970" spans="4:14" x14ac:dyDescent="0.25">
      <c r="D970" s="343"/>
      <c r="E970" s="344"/>
      <c r="I970" s="32"/>
      <c r="J970" s="32"/>
      <c r="L970" s="345"/>
      <c r="N970" s="8"/>
    </row>
    <row r="971" spans="4:14" x14ac:dyDescent="0.25">
      <c r="D971" s="343"/>
      <c r="E971" s="344"/>
      <c r="I971" s="32"/>
      <c r="J971" s="32"/>
      <c r="L971" s="345"/>
      <c r="N971" s="8"/>
    </row>
    <row r="972" spans="4:14" x14ac:dyDescent="0.25">
      <c r="D972" s="343"/>
      <c r="E972" s="344"/>
      <c r="I972" s="32"/>
      <c r="J972" s="32"/>
      <c r="L972" s="345"/>
      <c r="N972" s="8"/>
    </row>
    <row r="973" spans="4:14" x14ac:dyDescent="0.25">
      <c r="D973" s="343"/>
      <c r="E973" s="344"/>
      <c r="I973" s="32"/>
      <c r="J973" s="32"/>
      <c r="L973" s="345"/>
      <c r="N973" s="8"/>
    </row>
    <row r="974" spans="4:14" x14ac:dyDescent="0.25">
      <c r="D974" s="343"/>
      <c r="E974" s="344"/>
      <c r="I974" s="32"/>
      <c r="J974" s="32"/>
      <c r="L974" s="345"/>
      <c r="N974" s="8"/>
    </row>
    <row r="975" spans="4:14" x14ac:dyDescent="0.25">
      <c r="D975" s="343"/>
      <c r="E975" s="344"/>
      <c r="I975" s="32"/>
      <c r="J975" s="32"/>
      <c r="L975" s="345"/>
      <c r="N975" s="8"/>
    </row>
    <row r="976" spans="4:14" x14ac:dyDescent="0.25">
      <c r="D976" s="343"/>
      <c r="E976" s="344"/>
      <c r="I976" s="32"/>
      <c r="J976" s="32"/>
      <c r="L976" s="345"/>
      <c r="N976" s="8"/>
    </row>
    <row r="977" spans="4:14" x14ac:dyDescent="0.25">
      <c r="D977" s="343"/>
      <c r="E977" s="344"/>
      <c r="I977" s="32"/>
      <c r="J977" s="32"/>
      <c r="L977" s="345"/>
      <c r="N977" s="8"/>
    </row>
    <row r="978" spans="4:14" x14ac:dyDescent="0.25">
      <c r="D978" s="343"/>
      <c r="E978" s="344"/>
      <c r="I978" s="32"/>
      <c r="J978" s="32"/>
      <c r="L978" s="345"/>
      <c r="N978" s="8"/>
    </row>
    <row r="979" spans="4:14" x14ac:dyDescent="0.25">
      <c r="D979" s="343"/>
      <c r="E979" s="344"/>
      <c r="I979" s="32"/>
      <c r="J979" s="32"/>
      <c r="L979" s="345"/>
      <c r="N979" s="8"/>
    </row>
    <row r="980" spans="4:14" x14ac:dyDescent="0.25">
      <c r="D980" s="343"/>
      <c r="E980" s="344"/>
      <c r="I980" s="32"/>
      <c r="J980" s="32"/>
      <c r="L980" s="345"/>
      <c r="N980" s="8"/>
    </row>
    <row r="981" spans="4:14" x14ac:dyDescent="0.25">
      <c r="D981" s="343"/>
      <c r="E981" s="344"/>
      <c r="I981" s="32"/>
      <c r="J981" s="32"/>
      <c r="L981" s="345"/>
      <c r="N981" s="8"/>
    </row>
    <row r="982" spans="4:14" x14ac:dyDescent="0.25">
      <c r="D982" s="343"/>
      <c r="E982" s="344"/>
      <c r="I982" s="32"/>
      <c r="J982" s="32"/>
      <c r="L982" s="345"/>
      <c r="N982" s="8"/>
    </row>
    <row r="983" spans="4:14" x14ac:dyDescent="0.25">
      <c r="D983" s="343"/>
      <c r="E983" s="344"/>
      <c r="I983" s="32"/>
      <c r="J983" s="32"/>
      <c r="L983" s="345"/>
      <c r="N983" s="8"/>
    </row>
    <row r="984" spans="4:14" x14ac:dyDescent="0.25">
      <c r="D984" s="343"/>
      <c r="E984" s="344"/>
      <c r="I984" s="32"/>
      <c r="J984" s="32"/>
      <c r="L984" s="345"/>
      <c r="N984" s="8"/>
    </row>
    <row r="985" spans="4:14" x14ac:dyDescent="0.25">
      <c r="D985" s="343"/>
      <c r="E985" s="344"/>
      <c r="I985" s="32"/>
      <c r="J985" s="32"/>
      <c r="L985" s="345"/>
      <c r="N985" s="8"/>
    </row>
    <row r="986" spans="4:14" x14ac:dyDescent="0.25">
      <c r="D986" s="343"/>
      <c r="E986" s="344"/>
      <c r="I986" s="32"/>
      <c r="J986" s="32"/>
      <c r="L986" s="345"/>
      <c r="N986" s="8"/>
    </row>
    <row r="987" spans="4:14" x14ac:dyDescent="0.25">
      <c r="D987" s="343"/>
      <c r="E987" s="344"/>
      <c r="I987" s="32"/>
      <c r="J987" s="32"/>
      <c r="L987" s="345"/>
      <c r="N987" s="8"/>
    </row>
    <row r="988" spans="4:14" x14ac:dyDescent="0.25">
      <c r="D988" s="343"/>
      <c r="E988" s="344"/>
      <c r="I988" s="32"/>
      <c r="J988" s="32"/>
      <c r="L988" s="345"/>
      <c r="N988" s="8"/>
    </row>
    <row r="989" spans="4:14" x14ac:dyDescent="0.25">
      <c r="D989" s="343"/>
      <c r="E989" s="344"/>
      <c r="I989" s="32"/>
      <c r="J989" s="32"/>
      <c r="L989" s="345"/>
      <c r="N989" s="8"/>
    </row>
    <row r="990" spans="4:14" x14ac:dyDescent="0.25">
      <c r="D990" s="343"/>
      <c r="E990" s="344"/>
      <c r="I990" s="32"/>
      <c r="J990" s="32"/>
      <c r="L990" s="345"/>
      <c r="N990" s="8"/>
    </row>
    <row r="991" spans="4:14" x14ac:dyDescent="0.25">
      <c r="D991" s="343"/>
      <c r="E991" s="344"/>
      <c r="I991" s="32"/>
      <c r="J991" s="32"/>
      <c r="L991" s="345"/>
      <c r="N991" s="8"/>
    </row>
    <row r="992" spans="4:14" x14ac:dyDescent="0.25">
      <c r="D992" s="343"/>
      <c r="E992" s="344"/>
      <c r="I992" s="32"/>
      <c r="J992" s="32"/>
      <c r="L992" s="345"/>
      <c r="N992" s="8"/>
    </row>
    <row r="993" spans="4:14" x14ac:dyDescent="0.25">
      <c r="D993" s="343"/>
      <c r="E993" s="344"/>
      <c r="I993" s="32"/>
      <c r="J993" s="32"/>
      <c r="L993" s="345"/>
      <c r="N993" s="8"/>
    </row>
    <row r="994" spans="4:14" x14ac:dyDescent="0.25">
      <c r="D994" s="343"/>
      <c r="E994" s="344"/>
      <c r="I994" s="32"/>
      <c r="J994" s="32"/>
      <c r="L994" s="345"/>
      <c r="N994" s="8"/>
    </row>
    <row r="995" spans="4:14" x14ac:dyDescent="0.25">
      <c r="D995" s="343"/>
      <c r="E995" s="344"/>
      <c r="I995" s="32"/>
      <c r="J995" s="32"/>
      <c r="L995" s="345"/>
      <c r="N995" s="8"/>
    </row>
    <row r="996" spans="4:14" x14ac:dyDescent="0.25">
      <c r="D996" s="343"/>
      <c r="E996" s="344"/>
      <c r="I996" s="32"/>
      <c r="J996" s="32"/>
      <c r="L996" s="345"/>
      <c r="N996" s="8"/>
    </row>
    <row r="997" spans="4:14" x14ac:dyDescent="0.25">
      <c r="D997" s="343"/>
      <c r="E997" s="344"/>
      <c r="I997" s="32"/>
      <c r="J997" s="32"/>
      <c r="L997" s="345"/>
      <c r="N997" s="8"/>
    </row>
    <row r="998" spans="4:14" x14ac:dyDescent="0.25">
      <c r="D998" s="343"/>
      <c r="E998" s="344"/>
      <c r="I998" s="32"/>
      <c r="J998" s="32"/>
      <c r="L998" s="345"/>
      <c r="N998" s="8"/>
    </row>
    <row r="999" spans="4:14" x14ac:dyDescent="0.25">
      <c r="D999" s="343"/>
      <c r="E999" s="344"/>
      <c r="I999" s="32"/>
      <c r="J999" s="32"/>
      <c r="L999" s="345"/>
      <c r="N999" s="8"/>
    </row>
    <row r="1000" spans="4:14" x14ac:dyDescent="0.25">
      <c r="D1000" s="343"/>
      <c r="E1000" s="344"/>
      <c r="I1000" s="32"/>
      <c r="J1000" s="32"/>
      <c r="L1000" s="345"/>
      <c r="N1000" s="8"/>
    </row>
    <row r="1001" spans="4:14" x14ac:dyDescent="0.25">
      <c r="D1001" s="343"/>
      <c r="E1001" s="344"/>
      <c r="I1001" s="32"/>
      <c r="J1001" s="32"/>
      <c r="L1001" s="345"/>
      <c r="N1001" s="8"/>
    </row>
    <row r="1002" spans="4:14" x14ac:dyDescent="0.25">
      <c r="D1002" s="343"/>
      <c r="E1002" s="344"/>
      <c r="I1002" s="32"/>
      <c r="J1002" s="32"/>
      <c r="L1002" s="345"/>
      <c r="N1002" s="8"/>
    </row>
    <row r="1003" spans="4:14" x14ac:dyDescent="0.25">
      <c r="D1003" s="343"/>
      <c r="E1003" s="344"/>
      <c r="I1003" s="32"/>
      <c r="J1003" s="32"/>
      <c r="L1003" s="345"/>
      <c r="N1003" s="8"/>
    </row>
    <row r="1004" spans="4:14" x14ac:dyDescent="0.25">
      <c r="D1004" s="343"/>
      <c r="E1004" s="344"/>
      <c r="I1004" s="32"/>
      <c r="J1004" s="32"/>
      <c r="L1004" s="345"/>
      <c r="N1004" s="8"/>
    </row>
    <row r="1005" spans="4:14" x14ac:dyDescent="0.25">
      <c r="D1005" s="343"/>
      <c r="E1005" s="344"/>
      <c r="I1005" s="32"/>
      <c r="J1005" s="32"/>
      <c r="L1005" s="345"/>
      <c r="N1005" s="8"/>
    </row>
    <row r="1006" spans="4:14" x14ac:dyDescent="0.25">
      <c r="D1006" s="343"/>
      <c r="E1006" s="344"/>
      <c r="I1006" s="32"/>
      <c r="J1006" s="32"/>
      <c r="L1006" s="345"/>
      <c r="N1006" s="8"/>
    </row>
    <row r="1007" spans="4:14" x14ac:dyDescent="0.25">
      <c r="D1007" s="343"/>
      <c r="E1007" s="344"/>
      <c r="I1007" s="32"/>
      <c r="J1007" s="32"/>
      <c r="L1007" s="345"/>
      <c r="N1007" s="8"/>
    </row>
    <row r="1008" spans="4:14" x14ac:dyDescent="0.25">
      <c r="D1008" s="343"/>
      <c r="E1008" s="344"/>
      <c r="I1008" s="32"/>
      <c r="J1008" s="32"/>
      <c r="L1008" s="345"/>
      <c r="N1008" s="8"/>
    </row>
    <row r="1009" spans="4:14" x14ac:dyDescent="0.25">
      <c r="D1009" s="343"/>
      <c r="E1009" s="344"/>
      <c r="I1009" s="32"/>
      <c r="J1009" s="32"/>
      <c r="L1009" s="345"/>
      <c r="N1009" s="8"/>
    </row>
    <row r="1010" spans="4:14" x14ac:dyDescent="0.25">
      <c r="D1010" s="343"/>
      <c r="E1010" s="344"/>
      <c r="I1010" s="32"/>
      <c r="J1010" s="32"/>
      <c r="L1010" s="345"/>
      <c r="N1010" s="8"/>
    </row>
    <row r="1011" spans="4:14" x14ac:dyDescent="0.25">
      <c r="D1011" s="343"/>
      <c r="E1011" s="344"/>
      <c r="I1011" s="32"/>
      <c r="J1011" s="32"/>
      <c r="L1011" s="345"/>
      <c r="N1011" s="8"/>
    </row>
    <row r="1012" spans="4:14" x14ac:dyDescent="0.25">
      <c r="D1012" s="343"/>
      <c r="E1012" s="344"/>
      <c r="I1012" s="32"/>
      <c r="J1012" s="32"/>
      <c r="L1012" s="345"/>
      <c r="N1012" s="8"/>
    </row>
    <row r="1013" spans="4:14" x14ac:dyDescent="0.25">
      <c r="D1013" s="343"/>
      <c r="E1013" s="344"/>
      <c r="I1013" s="32"/>
      <c r="J1013" s="32"/>
      <c r="L1013" s="345"/>
      <c r="N1013" s="8"/>
    </row>
    <row r="1014" spans="4:14" x14ac:dyDescent="0.25">
      <c r="D1014" s="343"/>
      <c r="E1014" s="344"/>
      <c r="I1014" s="32"/>
      <c r="J1014" s="32"/>
      <c r="L1014" s="345"/>
      <c r="N1014" s="8"/>
    </row>
    <row r="1015" spans="4:14" x14ac:dyDescent="0.25">
      <c r="D1015" s="343"/>
      <c r="E1015" s="344"/>
      <c r="I1015" s="32"/>
      <c r="J1015" s="32"/>
      <c r="L1015" s="345"/>
      <c r="N1015" s="8"/>
    </row>
    <row r="1016" spans="4:14" x14ac:dyDescent="0.25">
      <c r="D1016" s="343"/>
      <c r="E1016" s="344"/>
      <c r="I1016" s="32"/>
      <c r="J1016" s="32"/>
      <c r="L1016" s="345"/>
      <c r="N1016" s="8"/>
    </row>
    <row r="1017" spans="4:14" x14ac:dyDescent="0.25">
      <c r="D1017" s="343"/>
      <c r="E1017" s="344"/>
      <c r="I1017" s="32"/>
      <c r="J1017" s="32"/>
      <c r="L1017" s="345"/>
      <c r="N1017" s="8"/>
    </row>
    <row r="1018" spans="4:14" x14ac:dyDescent="0.25">
      <c r="D1018" s="343"/>
      <c r="E1018" s="344"/>
      <c r="I1018" s="32"/>
      <c r="J1018" s="32"/>
      <c r="L1018" s="345"/>
      <c r="N1018" s="8"/>
    </row>
    <row r="1019" spans="4:14" x14ac:dyDescent="0.25">
      <c r="D1019" s="343"/>
      <c r="E1019" s="344"/>
      <c r="I1019" s="32"/>
      <c r="J1019" s="32"/>
      <c r="L1019" s="345"/>
      <c r="N1019" s="8"/>
    </row>
    <row r="1020" spans="4:14" x14ac:dyDescent="0.25">
      <c r="D1020" s="343"/>
      <c r="E1020" s="344"/>
      <c r="I1020" s="32"/>
      <c r="J1020" s="32"/>
      <c r="L1020" s="345"/>
      <c r="N1020" s="8"/>
    </row>
    <row r="1021" spans="4:14" x14ac:dyDescent="0.25">
      <c r="D1021" s="343"/>
      <c r="E1021" s="344"/>
      <c r="I1021" s="32"/>
      <c r="J1021" s="32"/>
      <c r="L1021" s="345"/>
      <c r="N1021" s="8"/>
    </row>
    <row r="1022" spans="4:14" x14ac:dyDescent="0.25">
      <c r="D1022" s="343"/>
      <c r="E1022" s="344"/>
      <c r="I1022" s="32"/>
      <c r="J1022" s="32"/>
      <c r="L1022" s="345"/>
      <c r="N1022" s="8"/>
    </row>
    <row r="1023" spans="4:14" x14ac:dyDescent="0.25">
      <c r="D1023" s="343"/>
      <c r="E1023" s="344"/>
      <c r="I1023" s="32"/>
      <c r="J1023" s="32"/>
      <c r="L1023" s="345"/>
      <c r="N1023" s="8"/>
    </row>
    <row r="1024" spans="4:14" x14ac:dyDescent="0.25">
      <c r="D1024" s="343"/>
      <c r="E1024" s="344"/>
      <c r="I1024" s="32"/>
      <c r="J1024" s="32"/>
      <c r="L1024" s="345"/>
      <c r="N1024" s="8"/>
    </row>
    <row r="1025" spans="4:14" x14ac:dyDescent="0.25">
      <c r="D1025" s="343"/>
      <c r="E1025" s="344"/>
      <c r="I1025" s="32"/>
      <c r="J1025" s="32"/>
      <c r="L1025" s="345"/>
      <c r="N1025" s="8"/>
    </row>
    <row r="1026" spans="4:14" x14ac:dyDescent="0.25">
      <c r="D1026" s="343"/>
      <c r="E1026" s="344"/>
      <c r="I1026" s="32"/>
      <c r="J1026" s="32"/>
      <c r="L1026" s="345"/>
      <c r="N1026" s="8"/>
    </row>
    <row r="1027" spans="4:14" x14ac:dyDescent="0.25">
      <c r="D1027" s="343"/>
      <c r="E1027" s="344"/>
      <c r="I1027" s="32"/>
      <c r="J1027" s="32"/>
      <c r="L1027" s="345"/>
      <c r="N1027" s="8"/>
    </row>
    <row r="1028" spans="4:14" x14ac:dyDescent="0.25">
      <c r="D1028" s="343"/>
      <c r="E1028" s="344"/>
      <c r="I1028" s="32"/>
      <c r="J1028" s="32"/>
      <c r="L1028" s="345"/>
      <c r="N1028" s="8"/>
    </row>
    <row r="1029" spans="4:14" x14ac:dyDescent="0.25">
      <c r="D1029" s="343"/>
      <c r="E1029" s="344"/>
      <c r="I1029" s="32"/>
      <c r="J1029" s="32"/>
      <c r="L1029" s="345"/>
      <c r="N1029" s="8"/>
    </row>
    <row r="1030" spans="4:14" x14ac:dyDescent="0.25">
      <c r="D1030" s="343"/>
      <c r="E1030" s="344"/>
      <c r="I1030" s="32"/>
      <c r="J1030" s="32"/>
      <c r="L1030" s="345"/>
      <c r="N1030" s="8"/>
    </row>
    <row r="1031" spans="4:14" x14ac:dyDescent="0.25">
      <c r="D1031" s="343"/>
      <c r="E1031" s="344"/>
      <c r="I1031" s="32"/>
      <c r="J1031" s="32"/>
      <c r="L1031" s="345"/>
      <c r="N1031" s="8"/>
    </row>
    <row r="1032" spans="4:14" x14ac:dyDescent="0.25">
      <c r="D1032" s="343"/>
      <c r="E1032" s="344"/>
      <c r="I1032" s="32"/>
      <c r="J1032" s="32"/>
      <c r="L1032" s="345"/>
      <c r="N1032" s="8"/>
    </row>
    <row r="1033" spans="4:14" x14ac:dyDescent="0.25">
      <c r="D1033" s="343"/>
      <c r="E1033" s="344"/>
      <c r="I1033" s="32"/>
      <c r="J1033" s="32"/>
      <c r="L1033" s="345"/>
      <c r="N1033" s="8"/>
    </row>
    <row r="1034" spans="4:14" x14ac:dyDescent="0.25">
      <c r="D1034" s="343"/>
      <c r="E1034" s="344"/>
      <c r="I1034" s="32"/>
      <c r="J1034" s="32"/>
      <c r="L1034" s="345"/>
      <c r="N1034" s="8"/>
    </row>
    <row r="1035" spans="4:14" x14ac:dyDescent="0.25">
      <c r="D1035" s="343"/>
      <c r="E1035" s="344"/>
      <c r="I1035" s="32"/>
      <c r="J1035" s="32"/>
      <c r="L1035" s="345"/>
      <c r="N1035" s="8"/>
    </row>
    <row r="1036" spans="4:14" x14ac:dyDescent="0.25">
      <c r="D1036" s="343"/>
      <c r="E1036" s="344"/>
      <c r="I1036" s="32"/>
      <c r="J1036" s="32"/>
      <c r="L1036" s="345"/>
      <c r="N1036" s="8"/>
    </row>
    <row r="1037" spans="4:14" x14ac:dyDescent="0.25">
      <c r="D1037" s="343"/>
      <c r="E1037" s="344"/>
      <c r="I1037" s="32"/>
      <c r="J1037" s="32"/>
      <c r="L1037" s="345"/>
      <c r="N1037" s="8"/>
    </row>
    <row r="1038" spans="4:14" x14ac:dyDescent="0.25">
      <c r="D1038" s="343"/>
      <c r="E1038" s="344"/>
      <c r="I1038" s="32"/>
      <c r="J1038" s="32"/>
      <c r="L1038" s="345"/>
      <c r="N1038" s="8"/>
    </row>
    <row r="1039" spans="4:14" x14ac:dyDescent="0.25">
      <c r="D1039" s="343"/>
      <c r="E1039" s="344"/>
      <c r="I1039" s="32"/>
      <c r="J1039" s="32"/>
      <c r="L1039" s="345"/>
      <c r="N1039" s="8"/>
    </row>
    <row r="1040" spans="4:14" x14ac:dyDescent="0.25">
      <c r="D1040" s="343"/>
      <c r="E1040" s="344"/>
      <c r="I1040" s="32"/>
      <c r="J1040" s="32"/>
      <c r="L1040" s="345"/>
      <c r="N1040" s="8"/>
    </row>
    <row r="1041" spans="4:14" x14ac:dyDescent="0.25">
      <c r="D1041" s="343"/>
      <c r="E1041" s="344"/>
      <c r="I1041" s="32"/>
      <c r="J1041" s="32"/>
      <c r="L1041" s="345"/>
      <c r="N1041" s="8"/>
    </row>
    <row r="1042" spans="4:14" x14ac:dyDescent="0.25">
      <c r="D1042" s="343"/>
      <c r="E1042" s="344"/>
      <c r="I1042" s="32"/>
      <c r="J1042" s="32"/>
      <c r="L1042" s="345"/>
      <c r="N1042" s="8"/>
    </row>
    <row r="1043" spans="4:14" x14ac:dyDescent="0.25">
      <c r="D1043" s="343"/>
      <c r="E1043" s="344"/>
      <c r="I1043" s="32"/>
      <c r="J1043" s="32"/>
      <c r="L1043" s="345"/>
      <c r="N1043" s="8"/>
    </row>
  </sheetData>
  <conditionalFormatting sqref="J3">
    <cfRule type="notContainsBlanks" dxfId="0" priority="1">
      <formula>LEN(TRIM(J3))&gt;0</formula>
    </cfRule>
  </conditionalFormatting>
  <printOptions horizontalCentered="1" gridLines="1"/>
  <pageMargins left="0.7" right="0.7" top="0.75" bottom="0.75" header="0" footer="0"/>
  <pageSetup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defaultColWidth="14.42578125" defaultRowHeight="15" customHeight="1" x14ac:dyDescent="0.25"/>
  <cols>
    <col min="1" max="1" width="8.7109375" customWidth="1"/>
    <col min="2" max="2" width="32.7109375" customWidth="1"/>
    <col min="3" max="3" width="17.85546875" customWidth="1"/>
    <col min="4" max="4" width="15.28515625" customWidth="1"/>
    <col min="5" max="5" width="14.28515625" customWidth="1"/>
    <col min="6" max="6" width="12.140625" customWidth="1"/>
  </cols>
  <sheetData>
    <row r="1" spans="1:13" ht="34.5" customHeight="1" x14ac:dyDescent="0.4">
      <c r="A1" s="511" t="s">
        <v>3925</v>
      </c>
      <c r="B1" s="499"/>
      <c r="C1" s="499"/>
      <c r="D1" s="499"/>
      <c r="E1" s="499"/>
    </row>
    <row r="2" spans="1:13" ht="14.25" customHeight="1" x14ac:dyDescent="0.25"/>
    <row r="3" spans="1:13" ht="14.25" customHeight="1" x14ac:dyDescent="0.25">
      <c r="C3" s="512" t="s">
        <v>3926</v>
      </c>
      <c r="D3" s="513"/>
      <c r="E3" s="514"/>
    </row>
    <row r="4" spans="1:13" ht="14.25" customHeight="1" x14ac:dyDescent="0.25">
      <c r="C4" s="370" t="s">
        <v>13</v>
      </c>
      <c r="D4" s="371" t="s">
        <v>1773</v>
      </c>
      <c r="E4" s="371" t="s">
        <v>3529</v>
      </c>
      <c r="G4" s="129" t="s">
        <v>3927</v>
      </c>
      <c r="H4" s="65"/>
      <c r="I4" s="247"/>
      <c r="J4" s="247"/>
    </row>
    <row r="5" spans="1:13" ht="14.25" customHeight="1" x14ac:dyDescent="0.25">
      <c r="A5" s="31">
        <v>100</v>
      </c>
      <c r="B5" s="372" t="s">
        <v>3530</v>
      </c>
      <c r="C5" s="373" t="e">
        <f>'2022 BUDGET '!#REF!</f>
        <v>#REF!</v>
      </c>
      <c r="D5" s="373" t="e">
        <f>'2022 BUDGET '!#REF!</f>
        <v>#REF!</v>
      </c>
      <c r="E5" s="373" t="e">
        <f t="shared" ref="E5:E21" si="0">SUM(C5:D5)</f>
        <v>#REF!</v>
      </c>
      <c r="G5" s="130" t="s">
        <v>3928</v>
      </c>
      <c r="H5" s="130" t="s">
        <v>3929</v>
      </c>
      <c r="I5" s="374" t="s">
        <v>3930</v>
      </c>
      <c r="J5" s="247"/>
    </row>
    <row r="6" spans="1:13" ht="14.25" customHeight="1" x14ac:dyDescent="0.25">
      <c r="A6" s="31">
        <v>150</v>
      </c>
      <c r="B6" s="372" t="s">
        <v>3531</v>
      </c>
      <c r="C6" s="373" t="e">
        <f>'2022 BUDGET '!#REF!</f>
        <v>#REF!</v>
      </c>
      <c r="D6" s="373" t="e">
        <f>'2022 BUDGET '!#REF!</f>
        <v>#REF!</v>
      </c>
      <c r="E6" s="373" t="e">
        <f t="shared" si="0"/>
        <v>#REF!</v>
      </c>
      <c r="G6" s="131">
        <v>429653.12</v>
      </c>
      <c r="H6" s="131">
        <v>85167.83</v>
      </c>
      <c r="I6" s="131">
        <v>91362.54</v>
      </c>
      <c r="J6" s="375" t="s">
        <v>3931</v>
      </c>
      <c r="M6" s="31"/>
    </row>
    <row r="7" spans="1:13" ht="14.25" customHeight="1" x14ac:dyDescent="0.25">
      <c r="A7" s="31">
        <v>200</v>
      </c>
      <c r="B7" s="372" t="s">
        <v>1803</v>
      </c>
      <c r="C7" s="373" t="e">
        <f>'2022 BUDGET '!#REF!</f>
        <v>#REF!</v>
      </c>
      <c r="D7" s="373" t="e">
        <f>'2022 BUDGET '!#REF!</f>
        <v>#REF!</v>
      </c>
      <c r="E7" s="373" t="e">
        <f t="shared" si="0"/>
        <v>#REF!</v>
      </c>
      <c r="G7" s="69">
        <v>183546.18</v>
      </c>
      <c r="H7" s="69">
        <v>30272.93</v>
      </c>
      <c r="I7" s="69">
        <v>18682.3</v>
      </c>
      <c r="J7" s="71" t="s">
        <v>3932</v>
      </c>
    </row>
    <row r="8" spans="1:13" ht="14.25" customHeight="1" x14ac:dyDescent="0.25">
      <c r="A8" s="31">
        <v>210</v>
      </c>
      <c r="B8" s="372" t="s">
        <v>3532</v>
      </c>
      <c r="C8" s="128">
        <f>JUVCSCD!D11</f>
        <v>-394633.5</v>
      </c>
      <c r="D8" s="128">
        <f>JUVCSCD!D36</f>
        <v>394633.5</v>
      </c>
      <c r="E8" s="373">
        <f t="shared" si="0"/>
        <v>0</v>
      </c>
      <c r="G8" s="198">
        <v>-169835</v>
      </c>
      <c r="H8" s="198">
        <v>-47200</v>
      </c>
      <c r="I8" s="198">
        <v>0</v>
      </c>
      <c r="J8" s="71" t="s">
        <v>3933</v>
      </c>
    </row>
    <row r="9" spans="1:13" ht="14.25" customHeight="1" x14ac:dyDescent="0.25">
      <c r="A9" s="31">
        <v>230</v>
      </c>
      <c r="B9" s="372" t="s">
        <v>3533</v>
      </c>
      <c r="C9" s="373" t="e">
        <f>'2022 BUDGET '!#REF!</f>
        <v>#REF!</v>
      </c>
      <c r="D9" s="373" t="e">
        <f>'2022 BUDGET '!#REF!</f>
        <v>#REF!</v>
      </c>
      <c r="E9" s="373" t="e">
        <f t="shared" si="0"/>
        <v>#REF!</v>
      </c>
      <c r="G9" s="131">
        <f t="shared" ref="G9:I9" si="1">SUM(G6:G8)</f>
        <v>443364.30000000005</v>
      </c>
      <c r="H9" s="131">
        <f t="shared" si="1"/>
        <v>68240.760000000009</v>
      </c>
      <c r="I9" s="131">
        <f t="shared" si="1"/>
        <v>110044.84</v>
      </c>
      <c r="J9" s="45" t="s">
        <v>3934</v>
      </c>
    </row>
    <row r="10" spans="1:13" ht="14.25" customHeight="1" x14ac:dyDescent="0.25">
      <c r="A10" s="31">
        <v>240</v>
      </c>
      <c r="B10" s="372" t="s">
        <v>3534</v>
      </c>
      <c r="C10" s="373" t="e">
        <f>'2022 BUDGET '!#REF!</f>
        <v>#REF!</v>
      </c>
      <c r="D10" s="373" t="e">
        <f>'2022 BUDGET '!#REF!</f>
        <v>#REF!</v>
      </c>
      <c r="E10" s="373" t="e">
        <f t="shared" si="0"/>
        <v>#REF!</v>
      </c>
      <c r="F10" s="128"/>
      <c r="G10" s="101">
        <v>184597.41</v>
      </c>
      <c r="H10" s="101">
        <v>33044.01</v>
      </c>
      <c r="I10" s="101">
        <v>18385.34</v>
      </c>
      <c r="J10" s="71" t="s">
        <v>3935</v>
      </c>
    </row>
    <row r="11" spans="1:13" ht="14.25" customHeight="1" x14ac:dyDescent="0.25">
      <c r="A11" s="31">
        <v>243</v>
      </c>
      <c r="B11" s="372" t="s">
        <v>3535</v>
      </c>
      <c r="C11" s="373" t="e">
        <f>'2022 BUDGET '!#REF!</f>
        <v>#REF!</v>
      </c>
      <c r="D11" s="373" t="e">
        <f>'2022 BUDGET '!#REF!</f>
        <v>#REF!</v>
      </c>
      <c r="E11" s="373" t="e">
        <f t="shared" si="0"/>
        <v>#REF!</v>
      </c>
      <c r="G11" s="200">
        <v>-119045.91</v>
      </c>
      <c r="H11" s="200">
        <v>-7877.76</v>
      </c>
      <c r="I11" s="200">
        <v>0</v>
      </c>
      <c r="J11" s="71" t="s">
        <v>3936</v>
      </c>
    </row>
    <row r="12" spans="1:13" ht="14.25" customHeight="1" x14ac:dyDescent="0.25">
      <c r="A12" s="31">
        <v>250</v>
      </c>
      <c r="B12" s="372" t="s">
        <v>3536</v>
      </c>
      <c r="C12" s="373" t="e">
        <f>'2022 BUDGET '!#REF!</f>
        <v>#REF!</v>
      </c>
      <c r="D12" s="373" t="e">
        <f>'2022 BUDGET '!#REF!</f>
        <v>#REF!</v>
      </c>
      <c r="E12" s="373" t="e">
        <f t="shared" si="0"/>
        <v>#REF!</v>
      </c>
      <c r="F12" s="128"/>
      <c r="G12" s="376">
        <f t="shared" ref="G12:I12" si="2">SUM(G9:G11)</f>
        <v>508915.80000000005</v>
      </c>
      <c r="H12" s="376">
        <f t="shared" si="2"/>
        <v>93407.010000000024</v>
      </c>
      <c r="I12" s="376">
        <f t="shared" si="2"/>
        <v>128430.18</v>
      </c>
      <c r="J12" s="45" t="s">
        <v>3937</v>
      </c>
    </row>
    <row r="13" spans="1:13" ht="14.25" customHeight="1" x14ac:dyDescent="0.25">
      <c r="A13" s="31">
        <v>260</v>
      </c>
      <c r="B13" s="372" t="s">
        <v>3493</v>
      </c>
      <c r="C13" s="373" t="e">
        <f>'2022 BUDGET '!#REF!</f>
        <v>#REF!</v>
      </c>
      <c r="D13" s="373" t="e">
        <f>'2022 BUDGET '!#REF!</f>
        <v>#REF!</v>
      </c>
      <c r="E13" s="373" t="e">
        <f t="shared" si="0"/>
        <v>#REF!</v>
      </c>
      <c r="G13" s="101" t="e">
        <f>-'2022 BUDGET '!#REF!</f>
        <v>#REF!</v>
      </c>
      <c r="H13" s="101" t="e">
        <f>-'2022 BUDGET '!#REF!</f>
        <v>#REF!</v>
      </c>
      <c r="I13" s="101" t="e">
        <f>-'2022 BUDGET '!#REF!</f>
        <v>#REF!</v>
      </c>
      <c r="J13" s="71" t="s">
        <v>3938</v>
      </c>
    </row>
    <row r="14" spans="1:13" ht="14.25" customHeight="1" x14ac:dyDescent="0.25">
      <c r="A14" s="31">
        <v>261</v>
      </c>
      <c r="B14" s="372" t="s">
        <v>3537</v>
      </c>
      <c r="C14" s="373" t="e">
        <f>'2022 BUDGET '!#REF!</f>
        <v>#REF!</v>
      </c>
      <c r="D14" s="373" t="e">
        <f>'2022 BUDGET '!#REF!</f>
        <v>#REF!</v>
      </c>
      <c r="E14" s="373" t="e">
        <f t="shared" si="0"/>
        <v>#REF!</v>
      </c>
      <c r="G14" s="198" t="e">
        <f>-'2022 BUDGET '!#REF!</f>
        <v>#REF!</v>
      </c>
      <c r="H14" s="198" t="e">
        <f>-'2022 BUDGET '!#REF!</f>
        <v>#REF!</v>
      </c>
      <c r="I14" s="198" t="e">
        <f>-'2022 BUDGET '!#REF!</f>
        <v>#REF!</v>
      </c>
      <c r="J14" s="71" t="s">
        <v>3939</v>
      </c>
    </row>
    <row r="15" spans="1:13" ht="14.25" customHeight="1" x14ac:dyDescent="0.25">
      <c r="A15" s="31">
        <v>263</v>
      </c>
      <c r="B15" s="372" t="s">
        <v>3538</v>
      </c>
      <c r="C15" s="373" t="e">
        <f>'2022 BUDGET '!#REF!</f>
        <v>#REF!</v>
      </c>
      <c r="D15" s="373" t="e">
        <f>'2022 BUDGET '!#REF!</f>
        <v>#REF!</v>
      </c>
      <c r="E15" s="373" t="e">
        <f t="shared" si="0"/>
        <v>#REF!</v>
      </c>
      <c r="G15" s="376" t="e">
        <f t="shared" ref="G15:I15" si="3">SUM(G12:G14)</f>
        <v>#REF!</v>
      </c>
      <c r="H15" s="376" t="e">
        <f t="shared" si="3"/>
        <v>#REF!</v>
      </c>
      <c r="I15" s="376" t="e">
        <f t="shared" si="3"/>
        <v>#REF!</v>
      </c>
      <c r="J15" s="377" t="s">
        <v>3940</v>
      </c>
    </row>
    <row r="16" spans="1:13" ht="14.25" customHeight="1" x14ac:dyDescent="0.25">
      <c r="A16" s="31">
        <v>270</v>
      </c>
      <c r="B16" s="372" t="s">
        <v>2248</v>
      </c>
      <c r="C16" s="373" t="e">
        <f>'2022 BUDGET '!#REF!</f>
        <v>#REF!</v>
      </c>
      <c r="D16" s="373" t="e">
        <f>'2022 BUDGET '!#REF!</f>
        <v>#REF!</v>
      </c>
      <c r="E16" s="373" t="e">
        <f t="shared" si="0"/>
        <v>#REF!</v>
      </c>
    </row>
    <row r="17" spans="1:9" ht="14.25" customHeight="1" x14ac:dyDescent="0.25">
      <c r="A17" s="31">
        <v>280</v>
      </c>
      <c r="B17" s="372" t="s">
        <v>2258</v>
      </c>
      <c r="C17" s="373" t="e">
        <f>'2022 BUDGET '!#REF!</f>
        <v>#REF!</v>
      </c>
      <c r="D17" s="373" t="e">
        <f>'2022 BUDGET '!#REF!</f>
        <v>#REF!</v>
      </c>
      <c r="E17" s="373" t="e">
        <f t="shared" si="0"/>
        <v>#REF!</v>
      </c>
    </row>
    <row r="18" spans="1:9" ht="14.25" customHeight="1" x14ac:dyDescent="0.25">
      <c r="A18" s="31">
        <v>290</v>
      </c>
      <c r="B18" s="372" t="s">
        <v>3881</v>
      </c>
      <c r="C18" s="373" t="e">
        <f t="shared" ref="C18:D18" si="4">#REF!</f>
        <v>#REF!</v>
      </c>
      <c r="D18" s="373" t="e">
        <f t="shared" si="4"/>
        <v>#REF!</v>
      </c>
      <c r="E18" s="373" t="e">
        <f t="shared" si="0"/>
        <v>#REF!</v>
      </c>
    </row>
    <row r="19" spans="1:9" ht="14.25" customHeight="1" x14ac:dyDescent="0.25">
      <c r="A19" s="31">
        <v>800</v>
      </c>
      <c r="B19" s="372" t="s">
        <v>3539</v>
      </c>
      <c r="C19" s="373" t="e">
        <f>'2022 BUDGET '!#REF!</f>
        <v>#REF!</v>
      </c>
      <c r="D19" s="373" t="e">
        <f>'2022 BUDGET '!#REF!</f>
        <v>#REF!</v>
      </c>
      <c r="E19" s="373" t="e">
        <f t="shared" si="0"/>
        <v>#REF!</v>
      </c>
    </row>
    <row r="20" spans="1:9" ht="14.25" customHeight="1" x14ac:dyDescent="0.25">
      <c r="A20" s="31">
        <v>810</v>
      </c>
      <c r="B20" s="372" t="s">
        <v>3540</v>
      </c>
      <c r="C20" s="373" t="e">
        <f>'2022 BUDGET '!#REF!</f>
        <v>#REF!</v>
      </c>
      <c r="D20" s="373" t="e">
        <f>'2022 BUDGET '!#REF!</f>
        <v>#REF!</v>
      </c>
      <c r="E20" s="373" t="e">
        <f t="shared" si="0"/>
        <v>#REF!</v>
      </c>
      <c r="G20" s="128" t="e">
        <f>C7</f>
        <v>#REF!</v>
      </c>
      <c r="H20" s="126" t="s">
        <v>3543</v>
      </c>
    </row>
    <row r="21" spans="1:9" ht="14.25" customHeight="1" x14ac:dyDescent="0.25">
      <c r="A21" s="31">
        <v>820</v>
      </c>
      <c r="B21" s="372" t="s">
        <v>3541</v>
      </c>
      <c r="C21" s="378" t="e">
        <f>'2022 BUDGET '!#REF!</f>
        <v>#REF!</v>
      </c>
      <c r="D21" s="379" t="e">
        <f>'2022 BUDGET '!#REF!</f>
        <v>#REF!</v>
      </c>
      <c r="E21" s="379" t="e">
        <f t="shared" si="0"/>
        <v>#REF!</v>
      </c>
      <c r="G21" s="128" t="e">
        <f>'2022 BUDGET '!#REF!</f>
        <v>#REF!</v>
      </c>
      <c r="H21" s="126" t="s">
        <v>3544</v>
      </c>
    </row>
    <row r="22" spans="1:9" ht="14.25" customHeight="1" x14ac:dyDescent="0.25">
      <c r="G22" s="128" t="e">
        <f>'2022 BUDGET '!#REF!+'2022 BUDGET '!#REF!+'2022 BUDGET '!#REF!+'2022 BUDGET '!#REF!</f>
        <v>#REF!</v>
      </c>
      <c r="H22" s="126" t="s">
        <v>3545</v>
      </c>
    </row>
    <row r="23" spans="1:9" ht="14.25" customHeight="1" x14ac:dyDescent="0.25">
      <c r="B23" s="380" t="s">
        <v>3542</v>
      </c>
      <c r="C23" s="373" t="e">
        <f t="shared" ref="C23:E23" si="5">SUM(C5:C21)</f>
        <v>#REF!</v>
      </c>
      <c r="D23" s="373" t="e">
        <f t="shared" si="5"/>
        <v>#REF!</v>
      </c>
      <c r="E23" s="373" t="e">
        <f t="shared" si="5"/>
        <v>#REF!</v>
      </c>
      <c r="G23" s="128" t="e">
        <f>'2022 BUDGET '!#REF!</f>
        <v>#REF!</v>
      </c>
      <c r="H23" s="126" t="s">
        <v>3546</v>
      </c>
    </row>
    <row r="24" spans="1:9" ht="14.25" customHeight="1" x14ac:dyDescent="0.25">
      <c r="B24" s="380" t="s">
        <v>3547</v>
      </c>
      <c r="C24" s="373" t="e">
        <f>'2022 BUDGET '!#REF!</f>
        <v>#REF!</v>
      </c>
      <c r="D24" s="373" t="e">
        <f>'2022 BUDGET '!#REF!</f>
        <v>#REF!</v>
      </c>
      <c r="E24" s="373" t="e">
        <f>#REF!</f>
        <v>#REF!</v>
      </c>
      <c r="G24" s="127" t="e">
        <f>SUM(G20:G23)</f>
        <v>#REF!</v>
      </c>
      <c r="H24" s="128" t="e">
        <f>SUM(G24/4)</f>
        <v>#REF!</v>
      </c>
      <c r="I24" s="126" t="s">
        <v>3548</v>
      </c>
    </row>
    <row r="25" spans="1:9" ht="14.25" customHeight="1" x14ac:dyDescent="0.25"/>
    <row r="26" spans="1:9" ht="14.25" customHeight="1" x14ac:dyDescent="0.25">
      <c r="C26" s="373" t="e">
        <f t="shared" ref="C26:E26" si="6">SUM(C23-C24)</f>
        <v>#REF!</v>
      </c>
      <c r="D26" s="373" t="e">
        <f t="shared" si="6"/>
        <v>#REF!</v>
      </c>
      <c r="E26" s="373" t="e">
        <f t="shared" si="6"/>
        <v>#REF!</v>
      </c>
    </row>
    <row r="27" spans="1:9" ht="14.25" customHeight="1" x14ac:dyDescent="0.25"/>
    <row r="28" spans="1:9" ht="14.25" customHeight="1" x14ac:dyDescent="0.25"/>
    <row r="29" spans="1:9" ht="14.25" customHeight="1" x14ac:dyDescent="0.25"/>
    <row r="30" spans="1:9" ht="14.25" customHeight="1" x14ac:dyDescent="0.25"/>
    <row r="31" spans="1:9" ht="14.25" customHeight="1" x14ac:dyDescent="0.25"/>
    <row r="32" spans="1:9"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E1"/>
    <mergeCell ref="C3:E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E712"/>
  <sheetViews>
    <sheetView workbookViewId="0">
      <pane ySplit="8" topLeftCell="A9" activePane="bottomLeft" state="frozen"/>
      <selection pane="bottomLeft" activeCell="B10" sqref="B10"/>
    </sheetView>
  </sheetViews>
  <sheetFormatPr defaultColWidth="14.42578125" defaultRowHeight="15" customHeight="1" x14ac:dyDescent="0.25"/>
  <cols>
    <col min="1" max="1" width="9" customWidth="1"/>
    <col min="2" max="2" width="8" customWidth="1"/>
    <col min="3" max="3" width="31.85546875" customWidth="1"/>
    <col min="4" max="4" width="16" customWidth="1"/>
    <col min="5" max="5" width="14.140625" customWidth="1"/>
    <col min="8" max="8" width="14.42578125" hidden="1"/>
  </cols>
  <sheetData>
    <row r="1" spans="1:31" ht="60" hidden="1" x14ac:dyDescent="0.25">
      <c r="A1" s="247"/>
      <c r="B1" s="247"/>
      <c r="C1" s="247"/>
      <c r="D1" s="247"/>
      <c r="E1" s="247"/>
      <c r="F1" s="247"/>
      <c r="G1" s="321"/>
      <c r="H1" s="247"/>
      <c r="I1" s="247"/>
      <c r="J1" s="381"/>
      <c r="K1" s="382" t="s">
        <v>3941</v>
      </c>
      <c r="L1" s="383" t="s">
        <v>2383</v>
      </c>
      <c r="M1" s="247"/>
      <c r="N1" s="247"/>
      <c r="O1" s="247"/>
      <c r="P1" s="247"/>
      <c r="Q1" s="247"/>
      <c r="R1" s="247"/>
      <c r="S1" s="247"/>
      <c r="T1" s="247"/>
      <c r="U1" s="247"/>
      <c r="V1" s="247"/>
      <c r="W1" s="247"/>
      <c r="X1" s="247"/>
      <c r="Y1" s="247"/>
      <c r="Z1" s="247"/>
      <c r="AA1" s="247"/>
      <c r="AB1" s="247"/>
      <c r="AC1" s="247"/>
      <c r="AD1" s="247"/>
      <c r="AE1" s="247"/>
    </row>
    <row r="2" spans="1:31" ht="15.75" hidden="1" x14ac:dyDescent="0.25">
      <c r="A2" s="247"/>
      <c r="B2" s="247"/>
      <c r="C2" s="247"/>
      <c r="D2" s="247"/>
      <c r="E2" s="247"/>
      <c r="F2" s="247"/>
      <c r="G2" s="321"/>
      <c r="H2" s="384"/>
      <c r="I2" s="384"/>
      <c r="J2" s="385" t="s">
        <v>2384</v>
      </c>
      <c r="K2" s="386">
        <v>0</v>
      </c>
      <c r="L2" s="387">
        <v>0</v>
      </c>
      <c r="M2" s="247"/>
      <c r="N2" s="247"/>
      <c r="O2" s="247"/>
      <c r="P2" s="247"/>
      <c r="Q2" s="247"/>
      <c r="R2" s="247"/>
      <c r="S2" s="247"/>
      <c r="T2" s="247"/>
      <c r="U2" s="247"/>
      <c r="V2" s="247"/>
      <c r="W2" s="247"/>
      <c r="X2" s="247"/>
      <c r="Y2" s="247"/>
      <c r="Z2" s="247"/>
      <c r="AA2" s="247"/>
      <c r="AB2" s="247"/>
      <c r="AC2" s="247"/>
      <c r="AD2" s="247"/>
      <c r="AE2" s="247"/>
    </row>
    <row r="3" spans="1:31" ht="15.75" hidden="1" x14ac:dyDescent="0.25">
      <c r="A3" s="247"/>
      <c r="B3" s="247"/>
      <c r="C3" s="247"/>
      <c r="D3" s="247"/>
      <c r="E3" s="247"/>
      <c r="F3" s="247"/>
      <c r="G3" s="321"/>
      <c r="H3" s="384"/>
      <c r="I3" s="384"/>
      <c r="J3" s="385" t="s">
        <v>2385</v>
      </c>
      <c r="K3" s="388">
        <v>0</v>
      </c>
      <c r="L3" s="389">
        <v>0</v>
      </c>
      <c r="M3" s="247"/>
      <c r="N3" s="247"/>
      <c r="O3" s="247"/>
      <c r="P3" s="247"/>
      <c r="Q3" s="247"/>
      <c r="R3" s="247"/>
      <c r="S3" s="247"/>
      <c r="T3" s="247"/>
      <c r="U3" s="247"/>
      <c r="V3" s="247"/>
      <c r="W3" s="247"/>
      <c r="X3" s="247"/>
      <c r="Y3" s="247"/>
      <c r="Z3" s="247"/>
      <c r="AA3" s="247"/>
      <c r="AB3" s="247"/>
      <c r="AC3" s="247"/>
      <c r="AD3" s="247"/>
      <c r="AE3" s="247"/>
    </row>
    <row r="4" spans="1:31" ht="31.5" hidden="1" x14ac:dyDescent="0.5">
      <c r="A4" s="515" t="s">
        <v>3942</v>
      </c>
      <c r="B4" s="499"/>
      <c r="C4" s="499"/>
      <c r="D4" s="499"/>
      <c r="E4" s="499"/>
      <c r="F4" s="499"/>
      <c r="G4" s="499"/>
      <c r="H4" s="499"/>
      <c r="I4" s="499"/>
      <c r="J4" s="499"/>
      <c r="K4" s="499"/>
      <c r="L4" s="247"/>
      <c r="M4" s="247"/>
      <c r="N4" s="247"/>
      <c r="O4" s="247"/>
      <c r="P4" s="247"/>
      <c r="Q4" s="247"/>
      <c r="R4" s="247"/>
      <c r="S4" s="247"/>
      <c r="T4" s="247"/>
      <c r="U4" s="247"/>
      <c r="V4" s="247"/>
      <c r="W4" s="247"/>
      <c r="X4" s="247"/>
      <c r="Y4" s="247"/>
      <c r="Z4" s="247"/>
      <c r="AA4" s="247"/>
      <c r="AB4" s="247"/>
      <c r="AC4" s="247"/>
      <c r="AD4" s="247"/>
      <c r="AE4" s="247"/>
    </row>
    <row r="5" spans="1:31" x14ac:dyDescent="0.25">
      <c r="A5" s="247"/>
      <c r="B5" s="247"/>
      <c r="C5" s="247"/>
      <c r="D5" s="247"/>
      <c r="E5" s="247"/>
      <c r="F5" s="247"/>
      <c r="G5" s="147" t="s">
        <v>2386</v>
      </c>
      <c r="H5" s="147" t="s">
        <v>3943</v>
      </c>
      <c r="I5" s="147" t="s">
        <v>2404</v>
      </c>
      <c r="J5" s="147" t="s">
        <v>3943</v>
      </c>
      <c r="K5" s="147" t="s">
        <v>3943</v>
      </c>
      <c r="L5" s="147" t="s">
        <v>2387</v>
      </c>
      <c r="M5" s="147" t="s">
        <v>2388</v>
      </c>
      <c r="N5" s="247"/>
      <c r="O5" s="147" t="s">
        <v>2389</v>
      </c>
      <c r="P5" s="147" t="s">
        <v>3739</v>
      </c>
      <c r="Q5" s="147" t="s">
        <v>2393</v>
      </c>
      <c r="R5" s="147" t="s">
        <v>3944</v>
      </c>
      <c r="S5" s="247"/>
      <c r="T5" s="147" t="s">
        <v>2391</v>
      </c>
      <c r="U5" s="147" t="s">
        <v>2392</v>
      </c>
      <c r="V5" s="147" t="s">
        <v>2393</v>
      </c>
      <c r="W5" s="516" t="s">
        <v>3945</v>
      </c>
      <c r="X5" s="499"/>
      <c r="Y5" s="499"/>
      <c r="Z5" s="499"/>
      <c r="AA5" s="499"/>
      <c r="AB5" s="499"/>
      <c r="AC5" s="499"/>
      <c r="AD5" s="499"/>
      <c r="AE5" s="247"/>
    </row>
    <row r="6" spans="1:31" x14ac:dyDescent="0.25">
      <c r="A6" s="151" t="s">
        <v>2394</v>
      </c>
      <c r="B6" s="151" t="s">
        <v>2395</v>
      </c>
      <c r="C6" s="151" t="s">
        <v>2396</v>
      </c>
      <c r="D6" s="151" t="s">
        <v>2397</v>
      </c>
      <c r="E6" s="151" t="s">
        <v>2398</v>
      </c>
      <c r="F6" s="147" t="s">
        <v>2399</v>
      </c>
      <c r="G6" s="147" t="s">
        <v>2400</v>
      </c>
      <c r="H6" s="147" t="s">
        <v>3946</v>
      </c>
      <c r="I6" s="147" t="s">
        <v>3947</v>
      </c>
      <c r="J6" s="147" t="s">
        <v>3946</v>
      </c>
      <c r="K6" s="147" t="s">
        <v>3946</v>
      </c>
      <c r="L6" s="147" t="s">
        <v>2403</v>
      </c>
      <c r="M6" s="147" t="s">
        <v>2404</v>
      </c>
      <c r="N6" s="147" t="s">
        <v>3747</v>
      </c>
      <c r="O6" s="147" t="s">
        <v>2405</v>
      </c>
      <c r="P6" s="147" t="s">
        <v>3748</v>
      </c>
      <c r="Q6" s="147" t="s">
        <v>3748</v>
      </c>
      <c r="R6" s="147" t="s">
        <v>3748</v>
      </c>
      <c r="S6" s="147" t="s">
        <v>2406</v>
      </c>
      <c r="T6" s="147" t="s">
        <v>2407</v>
      </c>
      <c r="U6" s="147" t="s">
        <v>2408</v>
      </c>
      <c r="V6" s="147" t="s">
        <v>2409</v>
      </c>
      <c r="W6" s="154" t="s">
        <v>257</v>
      </c>
      <c r="X6" s="154" t="s">
        <v>2410</v>
      </c>
      <c r="Y6" s="154" t="s">
        <v>2411</v>
      </c>
      <c r="Z6" s="154" t="s">
        <v>2412</v>
      </c>
      <c r="AA6" s="154" t="s">
        <v>2413</v>
      </c>
      <c r="AB6" s="154" t="s">
        <v>2414</v>
      </c>
      <c r="AC6" s="154" t="s">
        <v>2415</v>
      </c>
      <c r="AD6" s="154" t="s">
        <v>2416</v>
      </c>
      <c r="AE6" s="390" t="s">
        <v>2394</v>
      </c>
    </row>
    <row r="7" spans="1:31" ht="15.75" x14ac:dyDescent="0.25">
      <c r="A7" s="247"/>
      <c r="B7" s="247"/>
      <c r="C7" s="247"/>
      <c r="D7" s="247"/>
      <c r="E7" s="247"/>
      <c r="F7" s="247"/>
      <c r="G7" s="247"/>
      <c r="H7" s="391">
        <v>2018</v>
      </c>
      <c r="I7" s="391"/>
      <c r="J7" s="391">
        <v>2019</v>
      </c>
      <c r="K7" s="391">
        <v>2020</v>
      </c>
      <c r="L7" s="147">
        <v>2080</v>
      </c>
      <c r="M7" s="147">
        <v>26</v>
      </c>
      <c r="N7" s="147">
        <v>264</v>
      </c>
      <c r="O7" s="247"/>
      <c r="P7" s="147">
        <v>26</v>
      </c>
      <c r="Q7" s="247"/>
      <c r="R7" s="247"/>
      <c r="S7" s="247"/>
      <c r="T7" s="247"/>
      <c r="U7" s="247"/>
      <c r="V7" s="321"/>
      <c r="W7" s="159">
        <v>6.2E-2</v>
      </c>
      <c r="X7" s="159">
        <v>1.4500000000000001E-2</v>
      </c>
      <c r="Y7" s="392">
        <v>0.1502</v>
      </c>
      <c r="Z7" s="392">
        <v>1.6000000000000001E-3</v>
      </c>
      <c r="AA7" s="392">
        <v>6.9999999999999999E-4</v>
      </c>
      <c r="AB7" s="393">
        <v>335</v>
      </c>
      <c r="AC7" s="394">
        <v>10356.36</v>
      </c>
      <c r="AD7" s="165">
        <v>0.01</v>
      </c>
      <c r="AE7" s="247"/>
    </row>
    <row r="8" spans="1:31" x14ac:dyDescent="0.2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247"/>
    </row>
    <row r="9" spans="1:31" x14ac:dyDescent="0.25">
      <c r="A9" s="167">
        <v>401</v>
      </c>
      <c r="B9" s="167">
        <v>401001</v>
      </c>
      <c r="C9" s="168" t="s">
        <v>241</v>
      </c>
      <c r="D9" s="168" t="s">
        <v>2418</v>
      </c>
      <c r="E9" s="168" t="s">
        <v>2419</v>
      </c>
      <c r="F9" s="58">
        <v>34610</v>
      </c>
      <c r="G9" s="59">
        <f>(DATE(2020,12,30)-(F9))/365</f>
        <v>26.260273972602739</v>
      </c>
      <c r="H9" s="63">
        <v>73179.320240000001</v>
      </c>
      <c r="I9" s="63">
        <v>75008.800000000003</v>
      </c>
      <c r="J9" s="63">
        <v>75008.803245999996</v>
      </c>
      <c r="K9" s="63">
        <f>SUM(((J9*$K$3)+$K$2)+J9)</f>
        <v>75008.803245999996</v>
      </c>
      <c r="L9" s="63">
        <f>SUM(K9/$L$7)</f>
        <v>36.061924637499999</v>
      </c>
      <c r="M9" s="63">
        <f>SUM(K9/$M$7)</f>
        <v>2884.9539709999999</v>
      </c>
      <c r="N9" s="63">
        <f>IF(G9&lt;4,0,(G9-1)*$N$7)</f>
        <v>6668.7123287671229</v>
      </c>
      <c r="O9" s="65"/>
      <c r="P9" s="65"/>
      <c r="Q9" s="63">
        <f t="shared" ref="Q9:Q15" si="0">IF(N9+P9&gt;5000,5000,N9+P9)</f>
        <v>5000</v>
      </c>
      <c r="R9" s="63">
        <f t="shared" ref="R9:R15" si="1">Q9+K9</f>
        <v>80008.803245999996</v>
      </c>
      <c r="S9" s="65"/>
      <c r="T9" s="65"/>
      <c r="U9" s="65"/>
      <c r="V9" s="63">
        <f t="shared" ref="V9:V15" si="2">SUM(R9:U9)</f>
        <v>80008.803245999996</v>
      </c>
      <c r="W9" s="63">
        <f t="shared" ref="W9:W15" si="3">SUM(V9*$W$7)</f>
        <v>4960.5458012519994</v>
      </c>
      <c r="X9" s="63">
        <f t="shared" ref="X9:X15" si="4">SUM(V9*$X$7)</f>
        <v>1160.127647067</v>
      </c>
      <c r="Y9" s="63">
        <f t="shared" ref="Y9:Y10" si="5">SUM(V9*$Y$7)</f>
        <v>12017.3222475492</v>
      </c>
      <c r="Z9" s="63">
        <f t="shared" ref="Z9:Z10" si="6">SUM(V9*$Z$7)</f>
        <v>128.01408519360001</v>
      </c>
      <c r="AA9" s="63" t="s">
        <v>2420</v>
      </c>
      <c r="AB9" s="63">
        <f>SUM($AB$7)</f>
        <v>335</v>
      </c>
      <c r="AC9" s="63">
        <f>$AC$7</f>
        <v>10356.36</v>
      </c>
      <c r="AD9" s="63">
        <f>SUM(AB9+AC9)*$AD$7</f>
        <v>106.9136</v>
      </c>
      <c r="AE9" s="178">
        <v>401</v>
      </c>
    </row>
    <row r="10" spans="1:31" x14ac:dyDescent="0.25">
      <c r="A10" s="167">
        <v>401</v>
      </c>
      <c r="B10" s="167">
        <v>401001</v>
      </c>
      <c r="C10" s="168" t="s">
        <v>241</v>
      </c>
      <c r="D10" s="168" t="s">
        <v>2418</v>
      </c>
      <c r="E10" s="168" t="s">
        <v>2421</v>
      </c>
      <c r="F10" s="58">
        <v>34610</v>
      </c>
      <c r="G10" s="167" t="s">
        <v>2422</v>
      </c>
      <c r="H10" s="63">
        <v>25200</v>
      </c>
      <c r="I10" s="57">
        <v>25200</v>
      </c>
      <c r="J10" s="63">
        <v>25200</v>
      </c>
      <c r="K10" s="57">
        <v>25200</v>
      </c>
      <c r="L10" s="63">
        <f>SUM(K10/L7)</f>
        <v>12.115384615384615</v>
      </c>
      <c r="M10" s="63">
        <f>SUM(K10/26)</f>
        <v>969.23076923076928</v>
      </c>
      <c r="N10" s="63">
        <v>0</v>
      </c>
      <c r="O10" s="65"/>
      <c r="P10" s="65"/>
      <c r="Q10" s="63">
        <f t="shared" si="0"/>
        <v>0</v>
      </c>
      <c r="R10" s="63">
        <f t="shared" si="1"/>
        <v>25200</v>
      </c>
      <c r="S10" s="65"/>
      <c r="T10" s="65"/>
      <c r="U10" s="65"/>
      <c r="V10" s="63">
        <f t="shared" si="2"/>
        <v>25200</v>
      </c>
      <c r="W10" s="63">
        <f t="shared" si="3"/>
        <v>1562.4</v>
      </c>
      <c r="X10" s="63">
        <f t="shared" si="4"/>
        <v>365.40000000000003</v>
      </c>
      <c r="Y10" s="63">
        <f t="shared" si="5"/>
        <v>3785.04</v>
      </c>
      <c r="Z10" s="63">
        <f t="shared" si="6"/>
        <v>40.32</v>
      </c>
      <c r="AA10" s="63" t="s">
        <v>2420</v>
      </c>
      <c r="AB10" s="63" t="s">
        <v>2422</v>
      </c>
      <c r="AC10" s="63" t="s">
        <v>2422</v>
      </c>
      <c r="AD10" s="63" t="s">
        <v>2422</v>
      </c>
      <c r="AE10" s="178">
        <v>401</v>
      </c>
    </row>
    <row r="11" spans="1:31" x14ac:dyDescent="0.25">
      <c r="A11" s="247">
        <v>401</v>
      </c>
      <c r="B11" s="167">
        <v>401001</v>
      </c>
      <c r="C11" s="168" t="s">
        <v>3754</v>
      </c>
      <c r="D11" s="247"/>
      <c r="E11" s="247"/>
      <c r="F11" s="247"/>
      <c r="G11" s="247"/>
      <c r="H11" s="63">
        <v>600</v>
      </c>
      <c r="I11" s="179"/>
      <c r="J11" s="63">
        <v>600</v>
      </c>
      <c r="K11" s="57">
        <v>600</v>
      </c>
      <c r="L11" s="65"/>
      <c r="M11" s="65"/>
      <c r="N11" s="63">
        <f t="shared" ref="N11:N15" si="7">IF(G11&lt;4,0,(G11-1)*$N$7)</f>
        <v>0</v>
      </c>
      <c r="O11" s="65"/>
      <c r="P11" s="65"/>
      <c r="Q11" s="63">
        <f t="shared" si="0"/>
        <v>0</v>
      </c>
      <c r="R11" s="63">
        <f t="shared" si="1"/>
        <v>600</v>
      </c>
      <c r="S11" s="65"/>
      <c r="T11" s="65"/>
      <c r="U11" s="65"/>
      <c r="V11" s="63">
        <f t="shared" si="2"/>
        <v>600</v>
      </c>
      <c r="W11" s="63">
        <f t="shared" si="3"/>
        <v>37.200000000000003</v>
      </c>
      <c r="X11" s="63">
        <f t="shared" si="4"/>
        <v>8.7000000000000011</v>
      </c>
      <c r="Y11" s="63" t="s">
        <v>2420</v>
      </c>
      <c r="Z11" s="63" t="s">
        <v>2420</v>
      </c>
      <c r="AA11" s="63" t="s">
        <v>2422</v>
      </c>
      <c r="AB11" s="63" t="s">
        <v>2422</v>
      </c>
      <c r="AC11" s="63" t="s">
        <v>2422</v>
      </c>
      <c r="AD11" s="63" t="s">
        <v>2422</v>
      </c>
      <c r="AE11" s="178">
        <v>401</v>
      </c>
    </row>
    <row r="12" spans="1:31" x14ac:dyDescent="0.25">
      <c r="A12" s="167">
        <v>401</v>
      </c>
      <c r="B12" s="167">
        <v>401002</v>
      </c>
      <c r="C12" s="168" t="s">
        <v>2424</v>
      </c>
      <c r="D12" s="168" t="s">
        <v>2425</v>
      </c>
      <c r="E12" s="168" t="s">
        <v>2426</v>
      </c>
      <c r="F12" s="58">
        <v>37278</v>
      </c>
      <c r="G12" s="59">
        <f t="shared" ref="G12:G13" si="8">(DATE(2020,12,30)-(F12))/365</f>
        <v>18.950684931506849</v>
      </c>
      <c r="H12" s="63">
        <v>39061.837040000006</v>
      </c>
      <c r="I12" s="63">
        <v>40038.379999999997</v>
      </c>
      <c r="J12" s="63">
        <v>40038.382966000005</v>
      </c>
      <c r="K12" s="63">
        <f>SUM(((J12*$K$3)+$K$2)+J12)</f>
        <v>40038.382966000005</v>
      </c>
      <c r="L12" s="63">
        <f t="shared" ref="L12:L13" si="9">SUM(K12/2080)</f>
        <v>19.249222579807693</v>
      </c>
      <c r="M12" s="63">
        <f t="shared" ref="M12:M13" si="10">SUM(K12/26)</f>
        <v>1539.9378063846157</v>
      </c>
      <c r="N12" s="63">
        <f t="shared" si="7"/>
        <v>4738.9808219178085</v>
      </c>
      <c r="O12" s="65"/>
      <c r="P12" s="65"/>
      <c r="Q12" s="63">
        <f t="shared" si="0"/>
        <v>4738.9808219178085</v>
      </c>
      <c r="R12" s="63">
        <f t="shared" si="1"/>
        <v>44777.363787917813</v>
      </c>
      <c r="S12" s="65"/>
      <c r="T12" s="65"/>
      <c r="U12" s="65"/>
      <c r="V12" s="63">
        <f t="shared" si="2"/>
        <v>44777.363787917813</v>
      </c>
      <c r="W12" s="63">
        <f t="shared" si="3"/>
        <v>2776.1965548509042</v>
      </c>
      <c r="X12" s="63">
        <f t="shared" si="4"/>
        <v>649.27177492480837</v>
      </c>
      <c r="Y12" s="63">
        <f t="shared" ref="Y12:Y15" si="11">SUM(V12*$Y$7)</f>
        <v>6725.5600409452554</v>
      </c>
      <c r="Z12" s="63">
        <f t="shared" ref="Z12:Z15" si="12">SUM(V12*$Z$7)</f>
        <v>71.643782060668499</v>
      </c>
      <c r="AA12" s="63">
        <f t="shared" ref="AA12:AA15" si="13">SUM(V12*$AA$7)</f>
        <v>31.344154651542468</v>
      </c>
      <c r="AB12" s="63">
        <f t="shared" ref="AB12:AB13" si="14">SUM($AB$7)</f>
        <v>335</v>
      </c>
      <c r="AC12" s="63">
        <f t="shared" ref="AC12:AC13" si="15">$AC$7</f>
        <v>10356.36</v>
      </c>
      <c r="AD12" s="63">
        <f t="shared" ref="AD12:AD13" si="16">SUM(AB12+AC12)*$AD$7</f>
        <v>106.9136</v>
      </c>
      <c r="AE12" s="178">
        <v>401</v>
      </c>
    </row>
    <row r="13" spans="1:31" x14ac:dyDescent="0.25">
      <c r="A13" s="167">
        <v>401</v>
      </c>
      <c r="B13" s="167">
        <v>401003</v>
      </c>
      <c r="C13" s="168" t="s">
        <v>2428</v>
      </c>
      <c r="D13" s="181" t="s">
        <v>2429</v>
      </c>
      <c r="E13" s="181" t="s">
        <v>2430</v>
      </c>
      <c r="F13" s="87">
        <v>41694</v>
      </c>
      <c r="G13" s="59">
        <f t="shared" si="8"/>
        <v>6.8520547945205479</v>
      </c>
      <c r="H13" s="63">
        <v>33987.983840000001</v>
      </c>
      <c r="I13" s="63">
        <v>36847.040000000001</v>
      </c>
      <c r="J13" s="63">
        <v>36847.038250000005</v>
      </c>
      <c r="K13" s="63">
        <v>36847.040000000001</v>
      </c>
      <c r="L13" s="63">
        <f t="shared" si="9"/>
        <v>17.714923076923078</v>
      </c>
      <c r="M13" s="63">
        <f t="shared" si="10"/>
        <v>1417.1938461538462</v>
      </c>
      <c r="N13" s="63">
        <f t="shared" si="7"/>
        <v>1544.9424657534246</v>
      </c>
      <c r="O13" s="65"/>
      <c r="P13" s="65"/>
      <c r="Q13" s="63">
        <f t="shared" si="0"/>
        <v>1544.9424657534246</v>
      </c>
      <c r="R13" s="63">
        <f t="shared" si="1"/>
        <v>38391.982465753426</v>
      </c>
      <c r="S13" s="65"/>
      <c r="T13" s="65"/>
      <c r="U13" s="65"/>
      <c r="V13" s="63">
        <f t="shared" si="2"/>
        <v>38391.982465753426</v>
      </c>
      <c r="W13" s="63">
        <f t="shared" si="3"/>
        <v>2380.3029128767125</v>
      </c>
      <c r="X13" s="63">
        <f t="shared" si="4"/>
        <v>556.68374575342466</v>
      </c>
      <c r="Y13" s="63">
        <f t="shared" si="11"/>
        <v>5766.475766356165</v>
      </c>
      <c r="Z13" s="63">
        <f t="shared" si="12"/>
        <v>61.427171945205487</v>
      </c>
      <c r="AA13" s="63">
        <f t="shared" si="13"/>
        <v>26.874387726027397</v>
      </c>
      <c r="AB13" s="63">
        <f t="shared" si="14"/>
        <v>335</v>
      </c>
      <c r="AC13" s="63">
        <f t="shared" si="15"/>
        <v>10356.36</v>
      </c>
      <c r="AD13" s="63">
        <f t="shared" si="16"/>
        <v>106.9136</v>
      </c>
      <c r="AE13" s="178">
        <v>401</v>
      </c>
    </row>
    <row r="14" spans="1:31" x14ac:dyDescent="0.25">
      <c r="A14" s="167">
        <v>401</v>
      </c>
      <c r="B14" s="247"/>
      <c r="C14" s="168" t="s">
        <v>2431</v>
      </c>
      <c r="D14" s="247"/>
      <c r="E14" s="247"/>
      <c r="F14" s="247"/>
      <c r="G14" s="247"/>
      <c r="H14" s="63">
        <v>1000</v>
      </c>
      <c r="I14" s="169"/>
      <c r="J14" s="63">
        <v>1000</v>
      </c>
      <c r="K14" s="63">
        <v>1000</v>
      </c>
      <c r="L14" s="65"/>
      <c r="M14" s="65"/>
      <c r="N14" s="63">
        <f t="shared" si="7"/>
        <v>0</v>
      </c>
      <c r="O14" s="65"/>
      <c r="P14" s="65"/>
      <c r="Q14" s="63">
        <f t="shared" si="0"/>
        <v>0</v>
      </c>
      <c r="R14" s="63">
        <f t="shared" si="1"/>
        <v>1000</v>
      </c>
      <c r="S14" s="65"/>
      <c r="T14" s="65"/>
      <c r="U14" s="65"/>
      <c r="V14" s="63">
        <f t="shared" si="2"/>
        <v>1000</v>
      </c>
      <c r="W14" s="63">
        <f t="shared" si="3"/>
        <v>62</v>
      </c>
      <c r="X14" s="63">
        <f t="shared" si="4"/>
        <v>14.5</v>
      </c>
      <c r="Y14" s="63">
        <f t="shared" si="11"/>
        <v>150.19999999999999</v>
      </c>
      <c r="Z14" s="63">
        <f t="shared" si="12"/>
        <v>1.6</v>
      </c>
      <c r="AA14" s="63">
        <f t="shared" si="13"/>
        <v>0.7</v>
      </c>
      <c r="AB14" s="63" t="s">
        <v>2422</v>
      </c>
      <c r="AC14" s="63" t="s">
        <v>2422</v>
      </c>
      <c r="AD14" s="63" t="s">
        <v>2422</v>
      </c>
      <c r="AE14" s="178">
        <v>401</v>
      </c>
    </row>
    <row r="15" spans="1:31" x14ac:dyDescent="0.25">
      <c r="A15" s="167">
        <v>401</v>
      </c>
      <c r="B15" s="167">
        <v>440007</v>
      </c>
      <c r="C15" s="168" t="s">
        <v>253</v>
      </c>
      <c r="D15" s="71"/>
      <c r="E15" s="247"/>
      <c r="F15" s="247"/>
      <c r="G15" s="247"/>
      <c r="H15" s="172">
        <v>9000</v>
      </c>
      <c r="I15" s="172">
        <v>9000</v>
      </c>
      <c r="J15" s="172">
        <v>9000</v>
      </c>
      <c r="K15" s="172">
        <v>9000</v>
      </c>
      <c r="L15" s="172">
        <f>SUM(K15/2080)</f>
        <v>4.3269230769230766</v>
      </c>
      <c r="M15" s="172">
        <f>SUM(K15/26)</f>
        <v>346.15384615384613</v>
      </c>
      <c r="N15" s="172">
        <f t="shared" si="7"/>
        <v>0</v>
      </c>
      <c r="O15" s="314"/>
      <c r="P15" s="314"/>
      <c r="Q15" s="172">
        <f t="shared" si="0"/>
        <v>0</v>
      </c>
      <c r="R15" s="172">
        <f t="shared" si="1"/>
        <v>9000</v>
      </c>
      <c r="S15" s="314"/>
      <c r="T15" s="314"/>
      <c r="U15" s="314"/>
      <c r="V15" s="172">
        <f t="shared" si="2"/>
        <v>9000</v>
      </c>
      <c r="W15" s="172">
        <f t="shared" si="3"/>
        <v>558</v>
      </c>
      <c r="X15" s="172">
        <f t="shared" si="4"/>
        <v>130.5</v>
      </c>
      <c r="Y15" s="172">
        <f t="shared" si="11"/>
        <v>1351.8</v>
      </c>
      <c r="Z15" s="172">
        <f t="shared" si="12"/>
        <v>14.4</v>
      </c>
      <c r="AA15" s="172">
        <f t="shared" si="13"/>
        <v>6.3</v>
      </c>
      <c r="AB15" s="172" t="s">
        <v>2422</v>
      </c>
      <c r="AC15" s="172" t="s">
        <v>2422</v>
      </c>
      <c r="AD15" s="172" t="s">
        <v>2422</v>
      </c>
      <c r="AE15" s="178">
        <v>401</v>
      </c>
    </row>
    <row r="16" spans="1:31" x14ac:dyDescent="0.25">
      <c r="A16" s="167">
        <v>401</v>
      </c>
      <c r="B16" s="247"/>
      <c r="C16" s="247"/>
      <c r="D16" s="247"/>
      <c r="E16" s="247"/>
      <c r="F16" s="247"/>
      <c r="G16" s="247"/>
      <c r="H16" s="175">
        <v>182029.14112000001</v>
      </c>
      <c r="I16" s="303"/>
      <c r="J16" s="175">
        <v>187694.22446200001</v>
      </c>
      <c r="K16" s="175">
        <f t="shared" ref="K16:AD16" si="17">SUM(K9:K15)</f>
        <v>187694.22621200001</v>
      </c>
      <c r="L16" s="175">
        <f t="shared" si="17"/>
        <v>89.468377986538471</v>
      </c>
      <c r="M16" s="175">
        <f t="shared" si="17"/>
        <v>7157.470238923077</v>
      </c>
      <c r="N16" s="175">
        <f t="shared" si="17"/>
        <v>12952.635616438358</v>
      </c>
      <c r="O16" s="175">
        <f t="shared" si="17"/>
        <v>0</v>
      </c>
      <c r="P16" s="175">
        <f t="shared" si="17"/>
        <v>0</v>
      </c>
      <c r="Q16" s="175">
        <f t="shared" si="17"/>
        <v>11283.923287671234</v>
      </c>
      <c r="R16" s="175">
        <f t="shared" si="17"/>
        <v>198978.14949967121</v>
      </c>
      <c r="S16" s="175">
        <f t="shared" si="17"/>
        <v>0</v>
      </c>
      <c r="T16" s="175">
        <f t="shared" si="17"/>
        <v>0</v>
      </c>
      <c r="U16" s="175">
        <f t="shared" si="17"/>
        <v>0</v>
      </c>
      <c r="V16" s="175">
        <f t="shared" si="17"/>
        <v>198978.14949967121</v>
      </c>
      <c r="W16" s="175">
        <f t="shared" si="17"/>
        <v>12336.645268979615</v>
      </c>
      <c r="X16" s="175">
        <f t="shared" si="17"/>
        <v>2885.1831677452333</v>
      </c>
      <c r="Y16" s="175">
        <f t="shared" si="17"/>
        <v>29796.398054850622</v>
      </c>
      <c r="Z16" s="175">
        <f t="shared" si="17"/>
        <v>317.405039199474</v>
      </c>
      <c r="AA16" s="175">
        <f t="shared" si="17"/>
        <v>65.218542377569861</v>
      </c>
      <c r="AB16" s="175">
        <f t="shared" si="17"/>
        <v>1005</v>
      </c>
      <c r="AC16" s="175">
        <f t="shared" si="17"/>
        <v>31069.08</v>
      </c>
      <c r="AD16" s="175">
        <f t="shared" si="17"/>
        <v>320.74080000000004</v>
      </c>
      <c r="AE16" s="178">
        <v>401</v>
      </c>
    </row>
    <row r="17" spans="1:31" x14ac:dyDescent="0.25">
      <c r="A17" s="247"/>
      <c r="B17" s="247"/>
      <c r="C17" s="247"/>
      <c r="D17" s="247"/>
      <c r="E17" s="247"/>
      <c r="F17" s="247"/>
      <c r="G17" s="247"/>
      <c r="H17" s="69">
        <v>171429.14112000001</v>
      </c>
      <c r="I17" s="169"/>
      <c r="J17" s="69">
        <v>177094.22446200001</v>
      </c>
      <c r="K17" s="69">
        <f>SUM(K12+K13)</f>
        <v>76885.422966000013</v>
      </c>
      <c r="L17" s="65"/>
      <c r="M17" s="65"/>
      <c r="N17" s="65"/>
      <c r="O17" s="65"/>
      <c r="P17" s="65"/>
      <c r="Q17" s="65"/>
      <c r="R17" s="65"/>
      <c r="S17" s="65"/>
      <c r="T17" s="65"/>
      <c r="U17" s="65"/>
      <c r="V17" s="65"/>
      <c r="W17" s="63">
        <f>SUM(W16+X16)</f>
        <v>15221.828436724849</v>
      </c>
      <c r="X17" s="65"/>
      <c r="Y17" s="65"/>
      <c r="Z17" s="65"/>
      <c r="AA17" s="65"/>
      <c r="AB17" s="65"/>
      <c r="AC17" s="63">
        <f>SUM(AC16:AD16)</f>
        <v>31389.820800000001</v>
      </c>
      <c r="AD17" s="65"/>
      <c r="AE17" s="247"/>
    </row>
    <row r="18" spans="1:31" x14ac:dyDescent="0.25">
      <c r="A18" s="247"/>
      <c r="B18" s="247"/>
      <c r="C18" s="247"/>
      <c r="D18" s="247"/>
      <c r="E18" s="247"/>
      <c r="F18" s="247"/>
      <c r="G18" s="247"/>
      <c r="H18" s="65"/>
      <c r="I18" s="169"/>
      <c r="J18" s="65"/>
      <c r="K18" s="65"/>
      <c r="L18" s="65"/>
      <c r="M18" s="65"/>
      <c r="N18" s="65"/>
      <c r="O18" s="65"/>
      <c r="P18" s="65"/>
      <c r="Q18" s="65"/>
      <c r="R18" s="65"/>
      <c r="S18" s="65"/>
      <c r="T18" s="65"/>
      <c r="U18" s="65"/>
      <c r="V18" s="65"/>
      <c r="W18" s="65"/>
      <c r="X18" s="65"/>
      <c r="Y18" s="65"/>
      <c r="Z18" s="65"/>
      <c r="AA18" s="65"/>
      <c r="AB18" s="65"/>
      <c r="AC18" s="65"/>
      <c r="AD18" s="65"/>
      <c r="AE18" s="247"/>
    </row>
    <row r="19" spans="1:31" x14ac:dyDescent="0.25">
      <c r="A19" s="247"/>
      <c r="B19" s="247"/>
      <c r="C19" s="247"/>
      <c r="D19" s="247"/>
      <c r="E19" s="247"/>
      <c r="F19" s="247"/>
      <c r="G19" s="247"/>
      <c r="H19" s="65"/>
      <c r="I19" s="169"/>
      <c r="J19" s="65"/>
      <c r="K19" s="65"/>
      <c r="L19" s="65"/>
      <c r="M19" s="65"/>
      <c r="N19" s="65"/>
      <c r="O19" s="65"/>
      <c r="P19" s="65"/>
      <c r="Q19" s="65"/>
      <c r="R19" s="65"/>
      <c r="S19" s="65"/>
      <c r="T19" s="65"/>
      <c r="U19" s="65"/>
      <c r="V19" s="65"/>
      <c r="W19" s="65"/>
      <c r="X19" s="65"/>
      <c r="Y19" s="65"/>
      <c r="Z19" s="65"/>
      <c r="AA19" s="65"/>
      <c r="AB19" s="65"/>
      <c r="AC19" s="65"/>
      <c r="AD19" s="65"/>
      <c r="AE19" s="247"/>
    </row>
    <row r="20" spans="1:31" x14ac:dyDescent="0.25">
      <c r="A20" s="167">
        <v>410</v>
      </c>
      <c r="B20" s="167">
        <v>410001</v>
      </c>
      <c r="C20" s="168" t="s">
        <v>435</v>
      </c>
      <c r="D20" s="168" t="s">
        <v>2433</v>
      </c>
      <c r="E20" s="168" t="s">
        <v>2434</v>
      </c>
      <c r="F20" s="58">
        <v>41792</v>
      </c>
      <c r="G20" s="59">
        <f t="shared" ref="G20:G33" si="18">(DATE(2020,12,30)-(F20))/365</f>
        <v>6.5835616438356164</v>
      </c>
      <c r="H20" s="63">
        <v>53197.577120000002</v>
      </c>
      <c r="I20" s="63">
        <v>54527.519999999997</v>
      </c>
      <c r="J20" s="63">
        <v>54527.516548</v>
      </c>
      <c r="K20" s="63">
        <f t="shared" ref="K20:K33" si="19">SUM(((J20*$K$3)+$K$2)+J20)</f>
        <v>54527.516548</v>
      </c>
      <c r="L20" s="63">
        <f t="shared" ref="L20:L35" si="20">SUM(K20/2080)</f>
        <v>26.215152186538461</v>
      </c>
      <c r="M20" s="63">
        <f t="shared" ref="M20:M35" si="21">SUM(K20/26)</f>
        <v>2097.2121749230769</v>
      </c>
      <c r="N20" s="63">
        <f t="shared" ref="N20:N33" si="22">IF(G20&lt;4,0,(G20-1)*$N$7)</f>
        <v>1474.0602739726028</v>
      </c>
      <c r="O20" s="313"/>
      <c r="P20" s="65"/>
      <c r="Q20" s="63">
        <f t="shared" ref="Q20:Q35" si="23">IF(N20+P20&gt;5000,5000,N20+P20)</f>
        <v>1474.0602739726028</v>
      </c>
      <c r="R20" s="63">
        <f t="shared" ref="R20:R35" si="24">Q20+K20</f>
        <v>56001.576821972601</v>
      </c>
      <c r="S20" s="65"/>
      <c r="T20" s="65"/>
      <c r="U20" s="65"/>
      <c r="V20" s="63">
        <f t="shared" ref="V20:V35" si="25">SUM(R20:U20)</f>
        <v>56001.576821972601</v>
      </c>
      <c r="W20" s="63">
        <f t="shared" ref="W20:W35" si="26">SUM(V20*$W$7)</f>
        <v>3472.0977629623012</v>
      </c>
      <c r="X20" s="63">
        <f t="shared" ref="X20:X35" si="27">SUM(V20*$X$7)</f>
        <v>812.02286391860275</v>
      </c>
      <c r="Y20" s="63">
        <f t="shared" ref="Y20:Y35" si="28">SUM(V20*$Y$7)</f>
        <v>8411.4368386602855</v>
      </c>
      <c r="Z20" s="63">
        <f t="shared" ref="Z20:Z35" si="29">SUM(V20*$Z$7)</f>
        <v>89.602522915156172</v>
      </c>
      <c r="AA20" s="63">
        <f t="shared" ref="AA20:AA35" si="30">SUM(V20*$AA$7)</f>
        <v>39.201103775380822</v>
      </c>
      <c r="AB20" s="63">
        <f t="shared" ref="AB20:AB33" si="31">SUM($AB$7)</f>
        <v>335</v>
      </c>
      <c r="AC20" s="63">
        <f t="shared" ref="AC20:AC33" si="32">$AC$7</f>
        <v>10356.36</v>
      </c>
      <c r="AD20" s="63">
        <f t="shared" ref="AD20:AD33" si="33">SUM(AB20+AC20)*$AD$7</f>
        <v>106.9136</v>
      </c>
      <c r="AE20" s="178">
        <v>410</v>
      </c>
    </row>
    <row r="21" spans="1:31" x14ac:dyDescent="0.25">
      <c r="A21" s="167">
        <v>410</v>
      </c>
      <c r="B21" s="167">
        <v>410002</v>
      </c>
      <c r="C21" s="168" t="s">
        <v>2436</v>
      </c>
      <c r="D21" s="168" t="s">
        <v>3755</v>
      </c>
      <c r="E21" s="168" t="s">
        <v>2541</v>
      </c>
      <c r="F21" s="58">
        <v>40189</v>
      </c>
      <c r="G21" s="59">
        <f t="shared" si="18"/>
        <v>10.975342465753425</v>
      </c>
      <c r="H21" s="63">
        <v>35948.325360000003</v>
      </c>
      <c r="I21" s="63">
        <v>36847.03</v>
      </c>
      <c r="J21" s="63">
        <v>36847.033494000003</v>
      </c>
      <c r="K21" s="63">
        <f t="shared" si="19"/>
        <v>36847.033494000003</v>
      </c>
      <c r="L21" s="63">
        <f t="shared" si="20"/>
        <v>17.714919949038464</v>
      </c>
      <c r="M21" s="63">
        <f t="shared" si="21"/>
        <v>1417.1935959230771</v>
      </c>
      <c r="N21" s="63">
        <f t="shared" si="22"/>
        <v>2633.4904109589042</v>
      </c>
      <c r="O21" s="65"/>
      <c r="P21" s="63">
        <v>380.12</v>
      </c>
      <c r="Q21" s="63">
        <f t="shared" si="23"/>
        <v>3013.6104109589041</v>
      </c>
      <c r="R21" s="63">
        <f t="shared" si="24"/>
        <v>39860.64390495891</v>
      </c>
      <c r="S21" s="65"/>
      <c r="T21" s="65"/>
      <c r="U21" s="65"/>
      <c r="V21" s="63">
        <f t="shared" si="25"/>
        <v>39860.64390495891</v>
      </c>
      <c r="W21" s="63">
        <f t="shared" si="26"/>
        <v>2471.3599221074523</v>
      </c>
      <c r="X21" s="63">
        <f t="shared" si="27"/>
        <v>577.97933662190417</v>
      </c>
      <c r="Y21" s="63">
        <f t="shared" si="28"/>
        <v>5987.0687145248285</v>
      </c>
      <c r="Z21" s="63">
        <f t="shared" si="29"/>
        <v>63.777030247934256</v>
      </c>
      <c r="AA21" s="63">
        <f t="shared" si="30"/>
        <v>27.902450733471237</v>
      </c>
      <c r="AB21" s="63">
        <f t="shared" si="31"/>
        <v>335</v>
      </c>
      <c r="AC21" s="63">
        <f t="shared" si="32"/>
        <v>10356.36</v>
      </c>
      <c r="AD21" s="63">
        <f t="shared" si="33"/>
        <v>106.9136</v>
      </c>
      <c r="AE21" s="178">
        <v>410</v>
      </c>
    </row>
    <row r="22" spans="1:31" x14ac:dyDescent="0.25">
      <c r="A22" s="167">
        <v>410</v>
      </c>
      <c r="B22" s="167">
        <v>410003</v>
      </c>
      <c r="C22" s="168" t="s">
        <v>3948</v>
      </c>
      <c r="D22" s="168" t="s">
        <v>3949</v>
      </c>
      <c r="E22" s="168" t="s">
        <v>2694</v>
      </c>
      <c r="F22" s="58">
        <v>43437</v>
      </c>
      <c r="G22" s="59">
        <f t="shared" si="18"/>
        <v>2.0767123287671234</v>
      </c>
      <c r="H22" s="63">
        <v>30689.997039999998</v>
      </c>
      <c r="I22" s="63">
        <v>31457.25</v>
      </c>
      <c r="J22" s="63">
        <v>31457.246965999999</v>
      </c>
      <c r="K22" s="63">
        <f t="shared" si="19"/>
        <v>31457.246965999999</v>
      </c>
      <c r="L22" s="63">
        <f t="shared" si="20"/>
        <v>15.123676425961538</v>
      </c>
      <c r="M22" s="63">
        <f t="shared" si="21"/>
        <v>1209.894114076923</v>
      </c>
      <c r="N22" s="63">
        <f t="shared" si="22"/>
        <v>0</v>
      </c>
      <c r="O22" s="65"/>
      <c r="P22" s="65"/>
      <c r="Q22" s="63">
        <f t="shared" si="23"/>
        <v>0</v>
      </c>
      <c r="R22" s="63">
        <f t="shared" si="24"/>
        <v>31457.246965999999</v>
      </c>
      <c r="S22" s="65"/>
      <c r="T22" s="65"/>
      <c r="U22" s="65"/>
      <c r="V22" s="63">
        <f t="shared" si="25"/>
        <v>31457.246965999999</v>
      </c>
      <c r="W22" s="63">
        <f t="shared" si="26"/>
        <v>1950.3493118919998</v>
      </c>
      <c r="X22" s="63">
        <f t="shared" si="27"/>
        <v>456.130081007</v>
      </c>
      <c r="Y22" s="63">
        <f t="shared" si="28"/>
        <v>4724.8784942931998</v>
      </c>
      <c r="Z22" s="63">
        <f t="shared" si="29"/>
        <v>50.331595145599998</v>
      </c>
      <c r="AA22" s="63">
        <f t="shared" si="30"/>
        <v>22.0200728762</v>
      </c>
      <c r="AB22" s="63">
        <f t="shared" si="31"/>
        <v>335</v>
      </c>
      <c r="AC22" s="63">
        <f t="shared" si="32"/>
        <v>10356.36</v>
      </c>
      <c r="AD22" s="63">
        <f t="shared" si="33"/>
        <v>106.9136</v>
      </c>
      <c r="AE22" s="178">
        <v>410</v>
      </c>
    </row>
    <row r="23" spans="1:31" x14ac:dyDescent="0.25">
      <c r="A23" s="167">
        <v>410</v>
      </c>
      <c r="B23" s="167">
        <v>410004</v>
      </c>
      <c r="C23" s="168" t="s">
        <v>3950</v>
      </c>
      <c r="D23" s="168" t="s">
        <v>2444</v>
      </c>
      <c r="E23" s="168" t="s">
        <v>2445</v>
      </c>
      <c r="F23" s="58">
        <v>42247</v>
      </c>
      <c r="G23" s="59">
        <f t="shared" si="18"/>
        <v>5.3369863013698629</v>
      </c>
      <c r="H23" s="63">
        <v>30689.997039999998</v>
      </c>
      <c r="I23" s="63">
        <v>31457.25</v>
      </c>
      <c r="J23" s="63">
        <v>31457.246965999999</v>
      </c>
      <c r="K23" s="63">
        <f t="shared" si="19"/>
        <v>31457.246965999999</v>
      </c>
      <c r="L23" s="63">
        <f t="shared" si="20"/>
        <v>15.123676425961538</v>
      </c>
      <c r="M23" s="63">
        <f t="shared" si="21"/>
        <v>1209.894114076923</v>
      </c>
      <c r="N23" s="63">
        <f t="shared" si="22"/>
        <v>1144.9643835616439</v>
      </c>
      <c r="O23" s="65"/>
      <c r="P23" s="65"/>
      <c r="Q23" s="63">
        <f t="shared" si="23"/>
        <v>1144.9643835616439</v>
      </c>
      <c r="R23" s="63">
        <f t="shared" si="24"/>
        <v>32602.211349561643</v>
      </c>
      <c r="S23" s="65"/>
      <c r="T23" s="65"/>
      <c r="U23" s="65"/>
      <c r="V23" s="63">
        <f t="shared" si="25"/>
        <v>32602.211349561643</v>
      </c>
      <c r="W23" s="63">
        <f t="shared" si="26"/>
        <v>2021.337103672822</v>
      </c>
      <c r="X23" s="63">
        <f t="shared" si="27"/>
        <v>472.73206456864386</v>
      </c>
      <c r="Y23" s="63">
        <f t="shared" si="28"/>
        <v>4896.8521447041585</v>
      </c>
      <c r="Z23" s="63">
        <f t="shared" si="29"/>
        <v>52.163538159298632</v>
      </c>
      <c r="AA23" s="63">
        <f t="shared" si="30"/>
        <v>22.821547944693151</v>
      </c>
      <c r="AB23" s="63">
        <f t="shared" si="31"/>
        <v>335</v>
      </c>
      <c r="AC23" s="63">
        <f t="shared" si="32"/>
        <v>10356.36</v>
      </c>
      <c r="AD23" s="63">
        <f t="shared" si="33"/>
        <v>106.9136</v>
      </c>
      <c r="AE23" s="178">
        <v>410</v>
      </c>
    </row>
    <row r="24" spans="1:31" x14ac:dyDescent="0.25">
      <c r="A24" s="167">
        <v>410</v>
      </c>
      <c r="B24" s="167">
        <v>410005</v>
      </c>
      <c r="C24" s="168" t="s">
        <v>3951</v>
      </c>
      <c r="D24" s="168" t="s">
        <v>2458</v>
      </c>
      <c r="E24" s="168" t="s">
        <v>2459</v>
      </c>
      <c r="F24" s="58">
        <v>42069</v>
      </c>
      <c r="G24" s="59">
        <f t="shared" si="18"/>
        <v>5.8246575342465752</v>
      </c>
      <c r="H24" s="63">
        <v>30689.997039999998</v>
      </c>
      <c r="I24" s="63">
        <v>31457.25</v>
      </c>
      <c r="J24" s="63">
        <v>31457.246965999999</v>
      </c>
      <c r="K24" s="63">
        <f t="shared" si="19"/>
        <v>31457.246965999999</v>
      </c>
      <c r="L24" s="63">
        <f t="shared" si="20"/>
        <v>15.123676425961538</v>
      </c>
      <c r="M24" s="63">
        <f t="shared" si="21"/>
        <v>1209.894114076923</v>
      </c>
      <c r="N24" s="63">
        <f t="shared" si="22"/>
        <v>1273.7095890410958</v>
      </c>
      <c r="O24" s="65"/>
      <c r="P24" s="65"/>
      <c r="Q24" s="63">
        <f t="shared" si="23"/>
        <v>1273.7095890410958</v>
      </c>
      <c r="R24" s="63">
        <f t="shared" si="24"/>
        <v>32730.956555041095</v>
      </c>
      <c r="S24" s="65"/>
      <c r="T24" s="65"/>
      <c r="U24" s="65"/>
      <c r="V24" s="63">
        <f t="shared" si="25"/>
        <v>32730.956555041095</v>
      </c>
      <c r="W24" s="63">
        <f t="shared" si="26"/>
        <v>2029.3193064125478</v>
      </c>
      <c r="X24" s="63">
        <f t="shared" si="27"/>
        <v>474.59887004809593</v>
      </c>
      <c r="Y24" s="63">
        <f t="shared" si="28"/>
        <v>4916.1896745671729</v>
      </c>
      <c r="Z24" s="63">
        <f t="shared" si="29"/>
        <v>52.369530488065756</v>
      </c>
      <c r="AA24" s="63">
        <f t="shared" si="30"/>
        <v>22.911669588528767</v>
      </c>
      <c r="AB24" s="63">
        <f t="shared" si="31"/>
        <v>335</v>
      </c>
      <c r="AC24" s="63">
        <f t="shared" si="32"/>
        <v>10356.36</v>
      </c>
      <c r="AD24" s="63">
        <f t="shared" si="33"/>
        <v>106.9136</v>
      </c>
      <c r="AE24" s="178">
        <v>410</v>
      </c>
    </row>
    <row r="25" spans="1:31" x14ac:dyDescent="0.25">
      <c r="A25" s="167">
        <v>410</v>
      </c>
      <c r="B25" s="167">
        <v>410006</v>
      </c>
      <c r="C25" s="168" t="s">
        <v>3952</v>
      </c>
      <c r="D25" s="168" t="s">
        <v>2588</v>
      </c>
      <c r="E25" s="168" t="s">
        <v>2589</v>
      </c>
      <c r="F25" s="58">
        <v>43199</v>
      </c>
      <c r="G25" s="59">
        <f t="shared" si="18"/>
        <v>2.7287671232876711</v>
      </c>
      <c r="H25" s="63">
        <v>30689.997039999998</v>
      </c>
      <c r="I25" s="63">
        <v>31457.25</v>
      </c>
      <c r="J25" s="63">
        <v>31457.246965999999</v>
      </c>
      <c r="K25" s="63">
        <f t="shared" si="19"/>
        <v>31457.246965999999</v>
      </c>
      <c r="L25" s="63">
        <f t="shared" si="20"/>
        <v>15.123676425961538</v>
      </c>
      <c r="M25" s="63">
        <f t="shared" si="21"/>
        <v>1209.894114076923</v>
      </c>
      <c r="N25" s="63">
        <f t="shared" si="22"/>
        <v>0</v>
      </c>
      <c r="O25" s="65"/>
      <c r="P25" s="65"/>
      <c r="Q25" s="63">
        <f t="shared" si="23"/>
        <v>0</v>
      </c>
      <c r="R25" s="63">
        <f t="shared" si="24"/>
        <v>31457.246965999999</v>
      </c>
      <c r="S25" s="65"/>
      <c r="T25" s="65"/>
      <c r="U25" s="65"/>
      <c r="V25" s="63">
        <f t="shared" si="25"/>
        <v>31457.246965999999</v>
      </c>
      <c r="W25" s="63">
        <f t="shared" si="26"/>
        <v>1950.3493118919998</v>
      </c>
      <c r="X25" s="63">
        <f t="shared" si="27"/>
        <v>456.130081007</v>
      </c>
      <c r="Y25" s="63">
        <f t="shared" si="28"/>
        <v>4724.8784942931998</v>
      </c>
      <c r="Z25" s="63">
        <f t="shared" si="29"/>
        <v>50.331595145599998</v>
      </c>
      <c r="AA25" s="63">
        <f t="shared" si="30"/>
        <v>22.0200728762</v>
      </c>
      <c r="AB25" s="63">
        <f t="shared" si="31"/>
        <v>335</v>
      </c>
      <c r="AC25" s="63">
        <f t="shared" si="32"/>
        <v>10356.36</v>
      </c>
      <c r="AD25" s="63">
        <f t="shared" si="33"/>
        <v>106.9136</v>
      </c>
      <c r="AE25" s="178">
        <v>410</v>
      </c>
    </row>
    <row r="26" spans="1:31" x14ac:dyDescent="0.25">
      <c r="A26" s="167">
        <v>410</v>
      </c>
      <c r="B26" s="167">
        <v>410007</v>
      </c>
      <c r="C26" s="168" t="s">
        <v>3953</v>
      </c>
      <c r="D26" s="168" t="s">
        <v>2472</v>
      </c>
      <c r="E26" s="168" t="s">
        <v>2473</v>
      </c>
      <c r="F26" s="58">
        <v>39652</v>
      </c>
      <c r="G26" s="59">
        <f t="shared" si="18"/>
        <v>12.446575342465753</v>
      </c>
      <c r="H26" s="63">
        <v>30689.997039999998</v>
      </c>
      <c r="I26" s="63">
        <v>31457.25</v>
      </c>
      <c r="J26" s="63">
        <v>31457.246965999999</v>
      </c>
      <c r="K26" s="63">
        <f t="shared" si="19"/>
        <v>31457.246965999999</v>
      </c>
      <c r="L26" s="63">
        <f t="shared" si="20"/>
        <v>15.123676425961538</v>
      </c>
      <c r="M26" s="63">
        <f t="shared" si="21"/>
        <v>1209.894114076923</v>
      </c>
      <c r="N26" s="63">
        <f t="shared" si="22"/>
        <v>3021.8958904109586</v>
      </c>
      <c r="O26" s="65"/>
      <c r="P26" s="65"/>
      <c r="Q26" s="63">
        <f t="shared" si="23"/>
        <v>3021.8958904109586</v>
      </c>
      <c r="R26" s="63">
        <f t="shared" si="24"/>
        <v>34479.142856410959</v>
      </c>
      <c r="S26" s="65"/>
      <c r="T26" s="65"/>
      <c r="U26" s="65"/>
      <c r="V26" s="63">
        <f t="shared" si="25"/>
        <v>34479.142856410959</v>
      </c>
      <c r="W26" s="63">
        <f t="shared" si="26"/>
        <v>2137.7068570974793</v>
      </c>
      <c r="X26" s="63">
        <f t="shared" si="27"/>
        <v>499.94757141795895</v>
      </c>
      <c r="Y26" s="63">
        <f t="shared" si="28"/>
        <v>5178.767257032926</v>
      </c>
      <c r="Z26" s="63">
        <f t="shared" si="29"/>
        <v>55.166628570257537</v>
      </c>
      <c r="AA26" s="63">
        <f t="shared" si="30"/>
        <v>24.135399999487671</v>
      </c>
      <c r="AB26" s="63">
        <f t="shared" si="31"/>
        <v>335</v>
      </c>
      <c r="AC26" s="63">
        <f t="shared" si="32"/>
        <v>10356.36</v>
      </c>
      <c r="AD26" s="63">
        <f t="shared" si="33"/>
        <v>106.9136</v>
      </c>
      <c r="AE26" s="178">
        <v>410</v>
      </c>
    </row>
    <row r="27" spans="1:31" x14ac:dyDescent="0.25">
      <c r="A27" s="167">
        <v>410</v>
      </c>
      <c r="B27" s="167">
        <v>410009</v>
      </c>
      <c r="C27" s="168" t="s">
        <v>3954</v>
      </c>
      <c r="D27" s="168" t="s">
        <v>2468</v>
      </c>
      <c r="E27" s="168" t="s">
        <v>2469</v>
      </c>
      <c r="F27" s="58">
        <v>39793</v>
      </c>
      <c r="G27" s="59">
        <f t="shared" si="18"/>
        <v>12.06027397260274</v>
      </c>
      <c r="H27" s="63">
        <v>30689.997039999998</v>
      </c>
      <c r="I27" s="63">
        <v>31457.25</v>
      </c>
      <c r="J27" s="63">
        <v>31457.246965999999</v>
      </c>
      <c r="K27" s="63">
        <f t="shared" si="19"/>
        <v>31457.246965999999</v>
      </c>
      <c r="L27" s="63">
        <f t="shared" si="20"/>
        <v>15.123676425961538</v>
      </c>
      <c r="M27" s="63">
        <f t="shared" si="21"/>
        <v>1209.894114076923</v>
      </c>
      <c r="N27" s="63">
        <f t="shared" si="22"/>
        <v>2919.9123287671232</v>
      </c>
      <c r="O27" s="65"/>
      <c r="P27" s="65"/>
      <c r="Q27" s="63">
        <f t="shared" si="23"/>
        <v>2919.9123287671232</v>
      </c>
      <c r="R27" s="63">
        <f t="shared" si="24"/>
        <v>34377.159294767123</v>
      </c>
      <c r="S27" s="65"/>
      <c r="T27" s="65"/>
      <c r="U27" s="65"/>
      <c r="V27" s="63">
        <f t="shared" si="25"/>
        <v>34377.159294767123</v>
      </c>
      <c r="W27" s="63">
        <f t="shared" si="26"/>
        <v>2131.3838762755618</v>
      </c>
      <c r="X27" s="63">
        <f t="shared" si="27"/>
        <v>498.46880977412332</v>
      </c>
      <c r="Y27" s="63">
        <f t="shared" si="28"/>
        <v>5163.4493260740219</v>
      </c>
      <c r="Z27" s="63">
        <f t="shared" si="29"/>
        <v>55.003454871627397</v>
      </c>
      <c r="AA27" s="63">
        <f t="shared" si="30"/>
        <v>24.064011506336985</v>
      </c>
      <c r="AB27" s="63">
        <f t="shared" si="31"/>
        <v>335</v>
      </c>
      <c r="AC27" s="63">
        <f t="shared" si="32"/>
        <v>10356.36</v>
      </c>
      <c r="AD27" s="63">
        <f t="shared" si="33"/>
        <v>106.9136</v>
      </c>
      <c r="AE27" s="178">
        <v>410</v>
      </c>
    </row>
    <row r="28" spans="1:31" x14ac:dyDescent="0.25">
      <c r="A28" s="167">
        <v>410</v>
      </c>
      <c r="B28" s="167">
        <v>410010</v>
      </c>
      <c r="C28" s="168" t="s">
        <v>3955</v>
      </c>
      <c r="D28" s="168" t="s">
        <v>2465</v>
      </c>
      <c r="E28" s="168" t="s">
        <v>2466</v>
      </c>
      <c r="F28" s="58">
        <v>38915</v>
      </c>
      <c r="G28" s="59">
        <f t="shared" si="18"/>
        <v>14.465753424657533</v>
      </c>
      <c r="H28" s="63">
        <v>30689.997039999998</v>
      </c>
      <c r="I28" s="63">
        <v>31457.25</v>
      </c>
      <c r="J28" s="63">
        <v>31457.246965999999</v>
      </c>
      <c r="K28" s="63">
        <f t="shared" si="19"/>
        <v>31457.246965999999</v>
      </c>
      <c r="L28" s="63">
        <f t="shared" si="20"/>
        <v>15.123676425961538</v>
      </c>
      <c r="M28" s="63">
        <f t="shared" si="21"/>
        <v>1209.894114076923</v>
      </c>
      <c r="N28" s="63">
        <f t="shared" si="22"/>
        <v>3554.9589041095887</v>
      </c>
      <c r="O28" s="65"/>
      <c r="P28" s="65"/>
      <c r="Q28" s="63">
        <f t="shared" si="23"/>
        <v>3554.9589041095887</v>
      </c>
      <c r="R28" s="63">
        <f t="shared" si="24"/>
        <v>35012.205870109588</v>
      </c>
      <c r="S28" s="65"/>
      <c r="T28" s="65"/>
      <c r="U28" s="65"/>
      <c r="V28" s="63">
        <f t="shared" si="25"/>
        <v>35012.205870109588</v>
      </c>
      <c r="W28" s="63">
        <f t="shared" si="26"/>
        <v>2170.7567639467943</v>
      </c>
      <c r="X28" s="63">
        <f t="shared" si="27"/>
        <v>507.67698511658904</v>
      </c>
      <c r="Y28" s="63">
        <f t="shared" si="28"/>
        <v>5258.8333216904603</v>
      </c>
      <c r="Z28" s="63">
        <f t="shared" si="29"/>
        <v>56.019529392175343</v>
      </c>
      <c r="AA28" s="63">
        <f t="shared" si="30"/>
        <v>24.508544109076713</v>
      </c>
      <c r="AB28" s="63">
        <f t="shared" si="31"/>
        <v>335</v>
      </c>
      <c r="AC28" s="63">
        <f t="shared" si="32"/>
        <v>10356.36</v>
      </c>
      <c r="AD28" s="63">
        <f t="shared" si="33"/>
        <v>106.9136</v>
      </c>
      <c r="AE28" s="178">
        <v>410</v>
      </c>
    </row>
    <row r="29" spans="1:31" x14ac:dyDescent="0.25">
      <c r="A29" s="167">
        <v>410</v>
      </c>
      <c r="B29" s="167">
        <v>410011</v>
      </c>
      <c r="C29" s="168" t="s">
        <v>3956</v>
      </c>
      <c r="D29" s="168" t="s">
        <v>3957</v>
      </c>
      <c r="E29" s="168" t="s">
        <v>3759</v>
      </c>
      <c r="F29" s="58">
        <v>36416</v>
      </c>
      <c r="G29" s="59">
        <f t="shared" si="18"/>
        <v>21.312328767123287</v>
      </c>
      <c r="H29" s="63">
        <v>32338.99552</v>
      </c>
      <c r="I29" s="63">
        <v>33147.47</v>
      </c>
      <c r="J29" s="63">
        <v>33147.470408000001</v>
      </c>
      <c r="K29" s="63">
        <f t="shared" si="19"/>
        <v>33147.470408000001</v>
      </c>
      <c r="L29" s="63">
        <f t="shared" si="20"/>
        <v>15.936283850000001</v>
      </c>
      <c r="M29" s="63">
        <f t="shared" si="21"/>
        <v>1274.9027080000001</v>
      </c>
      <c r="N29" s="63">
        <f t="shared" si="22"/>
        <v>5362.4547945205477</v>
      </c>
      <c r="O29" s="65"/>
      <c r="P29" s="65"/>
      <c r="Q29" s="63">
        <f t="shared" si="23"/>
        <v>5000</v>
      </c>
      <c r="R29" s="63">
        <f t="shared" si="24"/>
        <v>38147.470408000001</v>
      </c>
      <c r="S29" s="65"/>
      <c r="T29" s="65"/>
      <c r="U29" s="65"/>
      <c r="V29" s="63">
        <f t="shared" si="25"/>
        <v>38147.470408000001</v>
      </c>
      <c r="W29" s="63">
        <f t="shared" si="26"/>
        <v>2365.143165296</v>
      </c>
      <c r="X29" s="63">
        <f t="shared" si="27"/>
        <v>553.138320916</v>
      </c>
      <c r="Y29" s="63">
        <f t="shared" si="28"/>
        <v>5729.7500552816</v>
      </c>
      <c r="Z29" s="63">
        <f t="shared" si="29"/>
        <v>61.035952652800006</v>
      </c>
      <c r="AA29" s="63">
        <f t="shared" si="30"/>
        <v>26.703229285599999</v>
      </c>
      <c r="AB29" s="63">
        <f t="shared" si="31"/>
        <v>335</v>
      </c>
      <c r="AC29" s="63">
        <f t="shared" si="32"/>
        <v>10356.36</v>
      </c>
      <c r="AD29" s="63">
        <f t="shared" si="33"/>
        <v>106.9136</v>
      </c>
      <c r="AE29" s="178">
        <v>410</v>
      </c>
    </row>
    <row r="30" spans="1:31" x14ac:dyDescent="0.25">
      <c r="A30" s="167">
        <v>410</v>
      </c>
      <c r="B30" s="167">
        <v>410012</v>
      </c>
      <c r="C30" s="168" t="s">
        <v>3958</v>
      </c>
      <c r="D30" s="168" t="s">
        <v>2461</v>
      </c>
      <c r="E30" s="168" t="s">
        <v>2462</v>
      </c>
      <c r="F30" s="58">
        <v>43549</v>
      </c>
      <c r="G30" s="59">
        <f t="shared" si="18"/>
        <v>1.7698630136986302</v>
      </c>
      <c r="H30" s="63">
        <v>30689.997039999998</v>
      </c>
      <c r="I30" s="63">
        <v>33147.25</v>
      </c>
      <c r="J30" s="63">
        <v>31457.246965999999</v>
      </c>
      <c r="K30" s="63">
        <f t="shared" si="19"/>
        <v>31457.246965999999</v>
      </c>
      <c r="L30" s="63">
        <f t="shared" si="20"/>
        <v>15.123676425961538</v>
      </c>
      <c r="M30" s="63">
        <f t="shared" si="21"/>
        <v>1209.894114076923</v>
      </c>
      <c r="N30" s="63">
        <f t="shared" si="22"/>
        <v>0</v>
      </c>
      <c r="O30" s="65"/>
      <c r="P30" s="65"/>
      <c r="Q30" s="63">
        <f t="shared" si="23"/>
        <v>0</v>
      </c>
      <c r="R30" s="63">
        <f t="shared" si="24"/>
        <v>31457.246965999999</v>
      </c>
      <c r="S30" s="65"/>
      <c r="T30" s="65"/>
      <c r="U30" s="65"/>
      <c r="V30" s="63">
        <f t="shared" si="25"/>
        <v>31457.246965999999</v>
      </c>
      <c r="W30" s="63">
        <f t="shared" si="26"/>
        <v>1950.3493118919998</v>
      </c>
      <c r="X30" s="63">
        <f t="shared" si="27"/>
        <v>456.130081007</v>
      </c>
      <c r="Y30" s="63">
        <f t="shared" si="28"/>
        <v>4724.8784942931998</v>
      </c>
      <c r="Z30" s="63">
        <f t="shared" si="29"/>
        <v>50.331595145599998</v>
      </c>
      <c r="AA30" s="63">
        <f t="shared" si="30"/>
        <v>22.0200728762</v>
      </c>
      <c r="AB30" s="63">
        <f t="shared" si="31"/>
        <v>335</v>
      </c>
      <c r="AC30" s="63">
        <f t="shared" si="32"/>
        <v>10356.36</v>
      </c>
      <c r="AD30" s="63">
        <f t="shared" si="33"/>
        <v>106.9136</v>
      </c>
      <c r="AE30" s="178">
        <v>410</v>
      </c>
    </row>
    <row r="31" spans="1:31" x14ac:dyDescent="0.25">
      <c r="A31" s="167">
        <v>410</v>
      </c>
      <c r="B31" s="167">
        <v>410013</v>
      </c>
      <c r="C31" s="168" t="s">
        <v>3959</v>
      </c>
      <c r="D31" s="168" t="s">
        <v>2452</v>
      </c>
      <c r="E31" s="168" t="s">
        <v>2453</v>
      </c>
      <c r="F31" s="58">
        <v>36307</v>
      </c>
      <c r="G31" s="59">
        <f t="shared" si="18"/>
        <v>21.610958904109587</v>
      </c>
      <c r="H31" s="63">
        <v>30689.997039999998</v>
      </c>
      <c r="I31" s="63">
        <v>31457.25</v>
      </c>
      <c r="J31" s="63">
        <v>31457.246965999999</v>
      </c>
      <c r="K31" s="63">
        <f t="shared" si="19"/>
        <v>31457.246965999999</v>
      </c>
      <c r="L31" s="63">
        <f t="shared" si="20"/>
        <v>15.123676425961538</v>
      </c>
      <c r="M31" s="63">
        <f t="shared" si="21"/>
        <v>1209.894114076923</v>
      </c>
      <c r="N31" s="63">
        <f t="shared" si="22"/>
        <v>5441.2931506849309</v>
      </c>
      <c r="O31" s="65"/>
      <c r="P31" s="65"/>
      <c r="Q31" s="63">
        <f t="shared" si="23"/>
        <v>5000</v>
      </c>
      <c r="R31" s="63">
        <f t="shared" si="24"/>
        <v>36457.246965999999</v>
      </c>
      <c r="S31" s="65"/>
      <c r="T31" s="65"/>
      <c r="U31" s="65"/>
      <c r="V31" s="63">
        <f t="shared" si="25"/>
        <v>36457.246965999999</v>
      </c>
      <c r="W31" s="63">
        <f t="shared" si="26"/>
        <v>2260.3493118920001</v>
      </c>
      <c r="X31" s="63">
        <f t="shared" si="27"/>
        <v>528.63008100700006</v>
      </c>
      <c r="Y31" s="63">
        <f t="shared" si="28"/>
        <v>5475.8784942931998</v>
      </c>
      <c r="Z31" s="63">
        <f t="shared" si="29"/>
        <v>58.331595145599998</v>
      </c>
      <c r="AA31" s="63">
        <f t="shared" si="30"/>
        <v>25.5200728762</v>
      </c>
      <c r="AB31" s="63">
        <f t="shared" si="31"/>
        <v>335</v>
      </c>
      <c r="AC31" s="63">
        <f t="shared" si="32"/>
        <v>10356.36</v>
      </c>
      <c r="AD31" s="63">
        <f t="shared" si="33"/>
        <v>106.9136</v>
      </c>
      <c r="AE31" s="178">
        <v>410</v>
      </c>
    </row>
    <row r="32" spans="1:31" x14ac:dyDescent="0.25">
      <c r="A32" s="167">
        <v>410</v>
      </c>
      <c r="B32" s="167">
        <v>411001</v>
      </c>
      <c r="C32" s="168" t="s">
        <v>3960</v>
      </c>
      <c r="D32" s="168" t="s">
        <v>2437</v>
      </c>
      <c r="E32" s="168" t="s">
        <v>2438</v>
      </c>
      <c r="F32" s="58">
        <v>41869</v>
      </c>
      <c r="G32" s="59">
        <f t="shared" si="18"/>
        <v>6.3726027397260276</v>
      </c>
      <c r="H32" s="63">
        <v>30689.997039999998</v>
      </c>
      <c r="I32" s="63">
        <v>31457.25</v>
      </c>
      <c r="J32" s="63">
        <v>31457.246965999999</v>
      </c>
      <c r="K32" s="63">
        <f t="shared" si="19"/>
        <v>31457.246965999999</v>
      </c>
      <c r="L32" s="63">
        <f t="shared" si="20"/>
        <v>15.123676425961538</v>
      </c>
      <c r="M32" s="63">
        <f t="shared" si="21"/>
        <v>1209.894114076923</v>
      </c>
      <c r="N32" s="63">
        <f t="shared" si="22"/>
        <v>1418.3671232876713</v>
      </c>
      <c r="O32" s="65"/>
      <c r="P32" s="65"/>
      <c r="Q32" s="63">
        <f t="shared" si="23"/>
        <v>1418.3671232876713</v>
      </c>
      <c r="R32" s="63">
        <f t="shared" si="24"/>
        <v>32875.614089287672</v>
      </c>
      <c r="S32" s="65"/>
      <c r="T32" s="65"/>
      <c r="U32" s="65"/>
      <c r="V32" s="63">
        <f t="shared" si="25"/>
        <v>32875.614089287672</v>
      </c>
      <c r="W32" s="63">
        <f t="shared" si="26"/>
        <v>2038.2880735358356</v>
      </c>
      <c r="X32" s="63">
        <f t="shared" si="27"/>
        <v>476.69640429467125</v>
      </c>
      <c r="Y32" s="63">
        <f t="shared" si="28"/>
        <v>4937.9172362110085</v>
      </c>
      <c r="Z32" s="63">
        <f t="shared" si="29"/>
        <v>52.60098254286028</v>
      </c>
      <c r="AA32" s="63">
        <f t="shared" si="30"/>
        <v>23.01292986250137</v>
      </c>
      <c r="AB32" s="63">
        <f t="shared" si="31"/>
        <v>335</v>
      </c>
      <c r="AC32" s="63">
        <f t="shared" si="32"/>
        <v>10356.36</v>
      </c>
      <c r="AD32" s="63">
        <f t="shared" si="33"/>
        <v>106.9136</v>
      </c>
      <c r="AE32" s="178">
        <v>410</v>
      </c>
    </row>
    <row r="33" spans="1:31" x14ac:dyDescent="0.25">
      <c r="A33" s="167">
        <v>410</v>
      </c>
      <c r="B33" s="167">
        <v>480002</v>
      </c>
      <c r="C33" s="168" t="s">
        <v>3961</v>
      </c>
      <c r="D33" s="168" t="s">
        <v>3757</v>
      </c>
      <c r="E33" s="168" t="s">
        <v>2831</v>
      </c>
      <c r="F33" s="58">
        <v>39237</v>
      </c>
      <c r="G33" s="59">
        <f t="shared" si="18"/>
        <v>13.583561643835617</v>
      </c>
      <c r="H33" s="63">
        <v>31951.56424</v>
      </c>
      <c r="I33" s="63">
        <v>32750.35</v>
      </c>
      <c r="J33" s="63">
        <v>32750.353346</v>
      </c>
      <c r="K33" s="63">
        <f t="shared" si="19"/>
        <v>32750.353346</v>
      </c>
      <c r="L33" s="63">
        <f t="shared" si="20"/>
        <v>15.745362185576923</v>
      </c>
      <c r="M33" s="63">
        <f t="shared" si="21"/>
        <v>1259.6289748461538</v>
      </c>
      <c r="N33" s="63">
        <f t="shared" si="22"/>
        <v>3322.0602739726028</v>
      </c>
      <c r="O33" s="65"/>
      <c r="P33" s="65"/>
      <c r="Q33" s="63">
        <f t="shared" si="23"/>
        <v>3322.0602739726028</v>
      </c>
      <c r="R33" s="63">
        <f t="shared" si="24"/>
        <v>36072.413619972605</v>
      </c>
      <c r="S33" s="65"/>
      <c r="T33" s="65"/>
      <c r="U33" s="65"/>
      <c r="V33" s="63">
        <f t="shared" si="25"/>
        <v>36072.413619972605</v>
      </c>
      <c r="W33" s="63">
        <f t="shared" si="26"/>
        <v>2236.4896444383016</v>
      </c>
      <c r="X33" s="63">
        <f t="shared" si="27"/>
        <v>523.04999748960279</v>
      </c>
      <c r="Y33" s="63">
        <f t="shared" si="28"/>
        <v>5418.0765257198855</v>
      </c>
      <c r="Z33" s="63">
        <f t="shared" si="29"/>
        <v>57.715861791956172</v>
      </c>
      <c r="AA33" s="63">
        <f t="shared" si="30"/>
        <v>25.250689533980825</v>
      </c>
      <c r="AB33" s="63">
        <f t="shared" si="31"/>
        <v>335</v>
      </c>
      <c r="AC33" s="63">
        <f t="shared" si="32"/>
        <v>10356.36</v>
      </c>
      <c r="AD33" s="63">
        <f t="shared" si="33"/>
        <v>106.9136</v>
      </c>
      <c r="AE33" s="178">
        <v>410</v>
      </c>
    </row>
    <row r="34" spans="1:31" x14ac:dyDescent="0.25">
      <c r="A34" s="167">
        <v>410</v>
      </c>
      <c r="B34" s="247"/>
      <c r="C34" s="168" t="s">
        <v>2474</v>
      </c>
      <c r="D34" s="168"/>
      <c r="E34" s="168"/>
      <c r="F34" s="58"/>
      <c r="G34" s="167" t="s">
        <v>2422</v>
      </c>
      <c r="H34" s="63">
        <v>6000</v>
      </c>
      <c r="I34" s="169"/>
      <c r="J34" s="63">
        <v>6000</v>
      </c>
      <c r="K34" s="63">
        <v>6000</v>
      </c>
      <c r="L34" s="63">
        <f t="shared" si="20"/>
        <v>2.8846153846153846</v>
      </c>
      <c r="M34" s="63">
        <f t="shared" si="21"/>
        <v>230.76923076923077</v>
      </c>
      <c r="N34" s="63">
        <v>0</v>
      </c>
      <c r="O34" s="65"/>
      <c r="P34" s="65"/>
      <c r="Q34" s="63">
        <f t="shared" si="23"/>
        <v>0</v>
      </c>
      <c r="R34" s="63">
        <f t="shared" si="24"/>
        <v>6000</v>
      </c>
      <c r="S34" s="65"/>
      <c r="T34" s="65"/>
      <c r="U34" s="65"/>
      <c r="V34" s="63">
        <f t="shared" si="25"/>
        <v>6000</v>
      </c>
      <c r="W34" s="63">
        <f t="shared" si="26"/>
        <v>372</v>
      </c>
      <c r="X34" s="63">
        <f t="shared" si="27"/>
        <v>87</v>
      </c>
      <c r="Y34" s="63">
        <f t="shared" si="28"/>
        <v>901.2</v>
      </c>
      <c r="Z34" s="63">
        <f t="shared" si="29"/>
        <v>9.6</v>
      </c>
      <c r="AA34" s="63">
        <f t="shared" si="30"/>
        <v>4.2</v>
      </c>
      <c r="AB34" s="63" t="s">
        <v>2422</v>
      </c>
      <c r="AC34" s="63" t="s">
        <v>2422</v>
      </c>
      <c r="AD34" s="63" t="s">
        <v>2422</v>
      </c>
      <c r="AE34" s="178">
        <v>410</v>
      </c>
    </row>
    <row r="35" spans="1:31" x14ac:dyDescent="0.25">
      <c r="A35" s="167">
        <v>410</v>
      </c>
      <c r="B35" s="247"/>
      <c r="C35" s="168" t="s">
        <v>2475</v>
      </c>
      <c r="D35" s="247"/>
      <c r="E35" s="247"/>
      <c r="F35" s="247"/>
      <c r="G35" s="167" t="s">
        <v>2422</v>
      </c>
      <c r="H35" s="172">
        <v>6000</v>
      </c>
      <c r="I35" s="173"/>
      <c r="J35" s="172">
        <v>6000</v>
      </c>
      <c r="K35" s="172">
        <v>6000</v>
      </c>
      <c r="L35" s="172">
        <f t="shared" si="20"/>
        <v>2.8846153846153846</v>
      </c>
      <c r="M35" s="172">
        <f t="shared" si="21"/>
        <v>230.76923076923077</v>
      </c>
      <c r="N35" s="172">
        <v>0</v>
      </c>
      <c r="O35" s="314"/>
      <c r="P35" s="314"/>
      <c r="Q35" s="172">
        <f t="shared" si="23"/>
        <v>0</v>
      </c>
      <c r="R35" s="172">
        <f t="shared" si="24"/>
        <v>6000</v>
      </c>
      <c r="S35" s="314"/>
      <c r="T35" s="314"/>
      <c r="U35" s="314"/>
      <c r="V35" s="172">
        <f t="shared" si="25"/>
        <v>6000</v>
      </c>
      <c r="W35" s="172">
        <f t="shared" si="26"/>
        <v>372</v>
      </c>
      <c r="X35" s="172">
        <f t="shared" si="27"/>
        <v>87</v>
      </c>
      <c r="Y35" s="172">
        <f t="shared" si="28"/>
        <v>901.2</v>
      </c>
      <c r="Z35" s="172">
        <f t="shared" si="29"/>
        <v>9.6</v>
      </c>
      <c r="AA35" s="172">
        <f t="shared" si="30"/>
        <v>4.2</v>
      </c>
      <c r="AB35" s="172" t="s">
        <v>2422</v>
      </c>
      <c r="AC35" s="172" t="s">
        <v>2422</v>
      </c>
      <c r="AD35" s="172" t="s">
        <v>2422</v>
      </c>
      <c r="AE35" s="178">
        <v>410</v>
      </c>
    </row>
    <row r="36" spans="1:31" x14ac:dyDescent="0.25">
      <c r="A36" s="247"/>
      <c r="B36" s="247"/>
      <c r="C36" s="247"/>
      <c r="D36" s="247"/>
      <c r="E36" s="247"/>
      <c r="F36" s="247"/>
      <c r="G36" s="247"/>
      <c r="H36" s="175">
        <v>472336.4326399999</v>
      </c>
      <c r="I36" s="303"/>
      <c r="J36" s="175">
        <v>483844.84345600003</v>
      </c>
      <c r="K36" s="175">
        <f t="shared" ref="K36:AD36" si="34">SUM(K19:K35)</f>
        <v>483844.84345600003</v>
      </c>
      <c r="L36" s="175">
        <f t="shared" si="34"/>
        <v>232.61771320000003</v>
      </c>
      <c r="M36" s="175">
        <f t="shared" si="34"/>
        <v>18609.417056000002</v>
      </c>
      <c r="N36" s="175">
        <f t="shared" si="34"/>
        <v>31567.167123287669</v>
      </c>
      <c r="O36" s="175">
        <f t="shared" si="34"/>
        <v>0</v>
      </c>
      <c r="P36" s="175">
        <f t="shared" si="34"/>
        <v>380.12</v>
      </c>
      <c r="Q36" s="175">
        <f t="shared" si="34"/>
        <v>31143.539178082188</v>
      </c>
      <c r="R36" s="175">
        <f t="shared" si="34"/>
        <v>514988.38263408217</v>
      </c>
      <c r="S36" s="175">
        <f t="shared" si="34"/>
        <v>0</v>
      </c>
      <c r="T36" s="175">
        <f t="shared" si="34"/>
        <v>0</v>
      </c>
      <c r="U36" s="175">
        <f t="shared" si="34"/>
        <v>0</v>
      </c>
      <c r="V36" s="175">
        <f t="shared" si="34"/>
        <v>514988.38263408217</v>
      </c>
      <c r="W36" s="175">
        <f t="shared" si="34"/>
        <v>31929.279723313095</v>
      </c>
      <c r="X36" s="175">
        <f t="shared" si="34"/>
        <v>7467.3315481941918</v>
      </c>
      <c r="Y36" s="175">
        <f t="shared" si="34"/>
        <v>77351.255071639127</v>
      </c>
      <c r="Z36" s="175">
        <f t="shared" si="34"/>
        <v>823.98141221453159</v>
      </c>
      <c r="AA36" s="175">
        <f t="shared" si="34"/>
        <v>360.49186784385756</v>
      </c>
      <c r="AB36" s="175">
        <f t="shared" si="34"/>
        <v>4690</v>
      </c>
      <c r="AC36" s="175">
        <f t="shared" si="34"/>
        <v>144989.03999999998</v>
      </c>
      <c r="AD36" s="175">
        <f t="shared" si="34"/>
        <v>1496.7904000000003</v>
      </c>
      <c r="AE36" s="178">
        <v>410</v>
      </c>
    </row>
    <row r="37" spans="1:31" x14ac:dyDescent="0.25">
      <c r="A37" s="247"/>
      <c r="B37" s="247"/>
      <c r="C37" s="247"/>
      <c r="D37" s="247"/>
      <c r="E37" s="247"/>
      <c r="F37" s="247"/>
      <c r="G37" s="247"/>
      <c r="H37" s="69">
        <v>460336.4326399999</v>
      </c>
      <c r="I37" s="169"/>
      <c r="J37" s="69">
        <f>SUM(J21:J33)</f>
        <v>417317.3269080001</v>
      </c>
      <c r="K37" s="69">
        <f>SUM(J21:J33)</f>
        <v>417317.3269080001</v>
      </c>
      <c r="L37" s="65"/>
      <c r="M37" s="65"/>
      <c r="N37" s="65"/>
      <c r="O37" s="65"/>
      <c r="P37" s="65"/>
      <c r="Q37" s="65"/>
      <c r="R37" s="65"/>
      <c r="S37" s="65"/>
      <c r="T37" s="65"/>
      <c r="U37" s="65"/>
      <c r="V37" s="65"/>
      <c r="W37" s="63">
        <f>SUM(W36+X36)</f>
        <v>39396.611271507289</v>
      </c>
      <c r="X37" s="65"/>
      <c r="Y37" s="65"/>
      <c r="Z37" s="65"/>
      <c r="AA37" s="65"/>
      <c r="AB37" s="65"/>
      <c r="AC37" s="63">
        <f>SUM(AC36+AD36)</f>
        <v>146485.83039999998</v>
      </c>
      <c r="AD37" s="65"/>
      <c r="AE37" s="247"/>
    </row>
    <row r="38" spans="1:31" x14ac:dyDescent="0.25">
      <c r="A38" s="247"/>
      <c r="B38" s="247"/>
      <c r="C38" s="247"/>
      <c r="D38" s="247"/>
      <c r="E38" s="247"/>
      <c r="F38" s="247"/>
      <c r="G38" s="247"/>
      <c r="H38" s="65"/>
      <c r="I38" s="169"/>
      <c r="J38" s="65"/>
      <c r="K38" s="65"/>
      <c r="L38" s="65"/>
      <c r="M38" s="65"/>
      <c r="N38" s="65"/>
      <c r="O38" s="65"/>
      <c r="P38" s="65"/>
      <c r="Q38" s="65"/>
      <c r="R38" s="65"/>
      <c r="S38" s="65"/>
      <c r="T38" s="65"/>
      <c r="U38" s="65"/>
      <c r="V38" s="65"/>
      <c r="W38" s="65"/>
      <c r="X38" s="65"/>
      <c r="Y38" s="65"/>
      <c r="Z38" s="65"/>
      <c r="AA38" s="65"/>
      <c r="AB38" s="65"/>
      <c r="AC38" s="65"/>
      <c r="AD38" s="65"/>
      <c r="AE38" s="247"/>
    </row>
    <row r="39" spans="1:31" x14ac:dyDescent="0.25">
      <c r="A39" s="247"/>
      <c r="B39" s="247"/>
      <c r="C39" s="247"/>
      <c r="D39" s="247"/>
      <c r="E39" s="247"/>
      <c r="F39" s="247"/>
      <c r="G39" s="247"/>
      <c r="H39" s="65"/>
      <c r="I39" s="169"/>
      <c r="J39" s="65"/>
      <c r="K39" s="65"/>
      <c r="L39" s="65"/>
      <c r="M39" s="65"/>
      <c r="N39" s="65"/>
      <c r="O39" s="65"/>
      <c r="P39" s="65"/>
      <c r="Q39" s="65"/>
      <c r="R39" s="65"/>
      <c r="S39" s="65"/>
      <c r="T39" s="65"/>
      <c r="U39" s="65"/>
      <c r="V39" s="65"/>
      <c r="W39" s="65"/>
      <c r="X39" s="65"/>
      <c r="Y39" s="65"/>
      <c r="Z39" s="65"/>
      <c r="AA39" s="65"/>
      <c r="AB39" s="65"/>
      <c r="AC39" s="65"/>
      <c r="AD39" s="65"/>
      <c r="AE39" s="247"/>
    </row>
    <row r="40" spans="1:31" x14ac:dyDescent="0.25">
      <c r="A40" s="167">
        <v>412</v>
      </c>
      <c r="B40" s="167">
        <v>412001</v>
      </c>
      <c r="C40" s="168" t="s">
        <v>2477</v>
      </c>
      <c r="D40" s="168" t="s">
        <v>3175</v>
      </c>
      <c r="E40" s="168" t="s">
        <v>3760</v>
      </c>
      <c r="F40" s="58">
        <v>36388</v>
      </c>
      <c r="G40" s="59">
        <f t="shared" ref="G40:G44" si="35">(DATE(2020,12,30)-(F40))/365</f>
        <v>21.389041095890413</v>
      </c>
      <c r="H40" s="63">
        <v>48235.616000000002</v>
      </c>
      <c r="I40" s="63">
        <v>49441.51</v>
      </c>
      <c r="J40" s="63">
        <v>49441.506399999998</v>
      </c>
      <c r="K40" s="63">
        <f>SUM(((J40*$K$3)+$K$2)+J40)</f>
        <v>49441.506399999998</v>
      </c>
      <c r="L40" s="63">
        <f t="shared" ref="L40:L44" si="36">SUM(K40/2080)</f>
        <v>23.769955</v>
      </c>
      <c r="M40" s="63">
        <f t="shared" ref="M40:M44" si="37">SUM(K40/26)</f>
        <v>1901.5963999999999</v>
      </c>
      <c r="N40" s="63">
        <f t="shared" ref="N40:N44" si="38">IF(G40&lt;4,0,(G40-1)*$N$7)</f>
        <v>5382.7068493150691</v>
      </c>
      <c r="O40" s="65"/>
      <c r="P40" s="65"/>
      <c r="Q40" s="63">
        <f t="shared" ref="Q40:Q46" si="39">IF(N40+P40&gt;5000,5000,N40+P40)</f>
        <v>5000</v>
      </c>
      <c r="R40" s="63">
        <f t="shared" ref="R40:R46" si="40">Q40+K40</f>
        <v>54441.506399999998</v>
      </c>
      <c r="S40" s="65"/>
      <c r="T40" s="65"/>
      <c r="U40" s="65"/>
      <c r="V40" s="63">
        <f t="shared" ref="V40:V46" si="41">SUM(R40:U40)</f>
        <v>54441.506399999998</v>
      </c>
      <c r="W40" s="63">
        <f t="shared" ref="W40:W46" si="42">SUM(V40*$W$7)</f>
        <v>3375.3733967999997</v>
      </c>
      <c r="X40" s="63">
        <f t="shared" ref="X40:X46" si="43">SUM(V40*$X$7)</f>
        <v>789.40184280000005</v>
      </c>
      <c r="Y40" s="63">
        <f t="shared" ref="Y40:Y44" si="44">SUM(V40*$Y$7)</f>
        <v>8177.1142612799995</v>
      </c>
      <c r="Z40" s="63">
        <f t="shared" ref="Z40:Z44" si="45">SUM(V40*$Z$7)</f>
        <v>87.106410240000002</v>
      </c>
      <c r="AA40" s="63">
        <f t="shared" ref="AA40:AA44" si="46">SUM(V40*$AA$7)</f>
        <v>38.109054479999998</v>
      </c>
      <c r="AB40" s="63">
        <f t="shared" ref="AB40:AB44" si="47">SUM($AB$7)</f>
        <v>335</v>
      </c>
      <c r="AC40" s="63">
        <f t="shared" ref="AC40:AC44" si="48">$AC$7</f>
        <v>10356.36</v>
      </c>
      <c r="AD40" s="63">
        <f t="shared" ref="AD40:AD44" si="49">SUM(AB40+AC40)*$AD$7</f>
        <v>106.9136</v>
      </c>
      <c r="AE40" s="178">
        <v>412</v>
      </c>
    </row>
    <row r="41" spans="1:31" x14ac:dyDescent="0.25">
      <c r="A41" s="167">
        <v>412</v>
      </c>
      <c r="B41" s="167">
        <v>412002</v>
      </c>
      <c r="C41" s="168" t="s">
        <v>2481</v>
      </c>
      <c r="D41" s="168" t="s">
        <v>3256</v>
      </c>
      <c r="E41" s="168" t="s">
        <v>3257</v>
      </c>
      <c r="F41" s="58">
        <v>43628</v>
      </c>
      <c r="G41" s="59">
        <f t="shared" si="35"/>
        <v>1.5534246575342465</v>
      </c>
      <c r="H41" s="63">
        <v>30689.997039999998</v>
      </c>
      <c r="I41" s="63">
        <v>31457.25</v>
      </c>
      <c r="J41" s="63">
        <v>33973.625</v>
      </c>
      <c r="K41" s="63">
        <v>33973.629999999997</v>
      </c>
      <c r="L41" s="63">
        <f t="shared" si="36"/>
        <v>16.333475961538461</v>
      </c>
      <c r="M41" s="63">
        <f t="shared" si="37"/>
        <v>1306.6780769230768</v>
      </c>
      <c r="N41" s="63">
        <f t="shared" si="38"/>
        <v>0</v>
      </c>
      <c r="O41" s="65"/>
      <c r="P41" s="65"/>
      <c r="Q41" s="63">
        <f t="shared" si="39"/>
        <v>0</v>
      </c>
      <c r="R41" s="63">
        <f t="shared" si="40"/>
        <v>33973.629999999997</v>
      </c>
      <c r="S41" s="65"/>
      <c r="T41" s="65"/>
      <c r="U41" s="65"/>
      <c r="V41" s="63">
        <f t="shared" si="41"/>
        <v>33973.629999999997</v>
      </c>
      <c r="W41" s="63">
        <f t="shared" si="42"/>
        <v>2106.3650599999996</v>
      </c>
      <c r="X41" s="63">
        <f t="shared" si="43"/>
        <v>492.61763500000001</v>
      </c>
      <c r="Y41" s="63">
        <f t="shared" si="44"/>
        <v>5102.8392260000001</v>
      </c>
      <c r="Z41" s="63">
        <f t="shared" si="45"/>
        <v>54.357807999999999</v>
      </c>
      <c r="AA41" s="63">
        <f t="shared" si="46"/>
        <v>23.781540999999997</v>
      </c>
      <c r="AB41" s="63">
        <f t="shared" si="47"/>
        <v>335</v>
      </c>
      <c r="AC41" s="63">
        <f t="shared" si="48"/>
        <v>10356.36</v>
      </c>
      <c r="AD41" s="63">
        <f t="shared" si="49"/>
        <v>106.9136</v>
      </c>
      <c r="AE41" s="178">
        <v>412</v>
      </c>
    </row>
    <row r="42" spans="1:31" x14ac:dyDescent="0.25">
      <c r="A42" s="167">
        <v>412</v>
      </c>
      <c r="B42" s="167">
        <v>412003</v>
      </c>
      <c r="C42" s="168" t="s">
        <v>3962</v>
      </c>
      <c r="D42" s="168" t="s">
        <v>3335</v>
      </c>
      <c r="E42" s="168" t="s">
        <v>3336</v>
      </c>
      <c r="F42" s="58">
        <v>43269</v>
      </c>
      <c r="G42" s="59">
        <f t="shared" si="35"/>
        <v>2.536986301369863</v>
      </c>
      <c r="H42" s="63">
        <v>30689.997039999998</v>
      </c>
      <c r="I42" s="63">
        <v>31457.25</v>
      </c>
      <c r="J42" s="63">
        <v>31457.246965999999</v>
      </c>
      <c r="K42" s="63">
        <f t="shared" ref="K42:K43" si="50">SUM(((J42*$K$3)+$K$2)+J42)</f>
        <v>31457.246965999999</v>
      </c>
      <c r="L42" s="63">
        <f t="shared" si="36"/>
        <v>15.123676425961538</v>
      </c>
      <c r="M42" s="63">
        <f t="shared" si="37"/>
        <v>1209.894114076923</v>
      </c>
      <c r="N42" s="63">
        <f t="shared" si="38"/>
        <v>0</v>
      </c>
      <c r="O42" s="65"/>
      <c r="P42" s="65"/>
      <c r="Q42" s="63">
        <f t="shared" si="39"/>
        <v>0</v>
      </c>
      <c r="R42" s="63">
        <f t="shared" si="40"/>
        <v>31457.246965999999</v>
      </c>
      <c r="S42" s="65"/>
      <c r="T42" s="65"/>
      <c r="U42" s="65"/>
      <c r="V42" s="63">
        <f t="shared" si="41"/>
        <v>31457.246965999999</v>
      </c>
      <c r="W42" s="63">
        <f t="shared" si="42"/>
        <v>1950.3493118919998</v>
      </c>
      <c r="X42" s="63">
        <f t="shared" si="43"/>
        <v>456.130081007</v>
      </c>
      <c r="Y42" s="63">
        <f t="shared" si="44"/>
        <v>4724.8784942931998</v>
      </c>
      <c r="Z42" s="63">
        <f t="shared" si="45"/>
        <v>50.331595145599998</v>
      </c>
      <c r="AA42" s="63">
        <f t="shared" si="46"/>
        <v>22.0200728762</v>
      </c>
      <c r="AB42" s="63">
        <f t="shared" si="47"/>
        <v>335</v>
      </c>
      <c r="AC42" s="63">
        <f t="shared" si="48"/>
        <v>10356.36</v>
      </c>
      <c r="AD42" s="63">
        <f t="shared" si="49"/>
        <v>106.9136</v>
      </c>
      <c r="AE42" s="178">
        <v>412</v>
      </c>
    </row>
    <row r="43" spans="1:31" x14ac:dyDescent="0.25">
      <c r="A43" s="167">
        <v>412</v>
      </c>
      <c r="B43" s="167">
        <v>412004</v>
      </c>
      <c r="C43" s="168" t="s">
        <v>3963</v>
      </c>
      <c r="D43" s="181" t="s">
        <v>2540</v>
      </c>
      <c r="E43" s="181" t="s">
        <v>2492</v>
      </c>
      <c r="F43" s="58">
        <v>43599</v>
      </c>
      <c r="G43" s="59">
        <f t="shared" si="35"/>
        <v>1.6328767123287671</v>
      </c>
      <c r="H43" s="63">
        <v>30689.997039999998</v>
      </c>
      <c r="I43" s="63">
        <v>31457.25</v>
      </c>
      <c r="J43" s="63">
        <v>31457.246965999999</v>
      </c>
      <c r="K43" s="63">
        <f t="shared" si="50"/>
        <v>31457.246965999999</v>
      </c>
      <c r="L43" s="63">
        <f t="shared" si="36"/>
        <v>15.123676425961538</v>
      </c>
      <c r="M43" s="63">
        <f t="shared" si="37"/>
        <v>1209.894114076923</v>
      </c>
      <c r="N43" s="63">
        <f t="shared" si="38"/>
        <v>0</v>
      </c>
      <c r="O43" s="65"/>
      <c r="P43" s="65"/>
      <c r="Q43" s="63">
        <f t="shared" si="39"/>
        <v>0</v>
      </c>
      <c r="R43" s="63">
        <f t="shared" si="40"/>
        <v>31457.246965999999</v>
      </c>
      <c r="S43" s="65"/>
      <c r="T43" s="65"/>
      <c r="U43" s="65"/>
      <c r="V43" s="63">
        <f t="shared" si="41"/>
        <v>31457.246965999999</v>
      </c>
      <c r="W43" s="63">
        <f t="shared" si="42"/>
        <v>1950.3493118919998</v>
      </c>
      <c r="X43" s="63">
        <f t="shared" si="43"/>
        <v>456.130081007</v>
      </c>
      <c r="Y43" s="63">
        <f t="shared" si="44"/>
        <v>4724.8784942931998</v>
      </c>
      <c r="Z43" s="63">
        <f t="shared" si="45"/>
        <v>50.331595145599998</v>
      </c>
      <c r="AA43" s="63">
        <f t="shared" si="46"/>
        <v>22.0200728762</v>
      </c>
      <c r="AB43" s="63">
        <f t="shared" si="47"/>
        <v>335</v>
      </c>
      <c r="AC43" s="63">
        <f t="shared" si="48"/>
        <v>10356.36</v>
      </c>
      <c r="AD43" s="63">
        <f t="shared" si="49"/>
        <v>106.9136</v>
      </c>
      <c r="AE43" s="178">
        <v>412</v>
      </c>
    </row>
    <row r="44" spans="1:31" x14ac:dyDescent="0.25">
      <c r="A44" s="189">
        <v>412</v>
      </c>
      <c r="B44" s="189">
        <v>412005</v>
      </c>
      <c r="C44" s="181" t="s">
        <v>3964</v>
      </c>
      <c r="D44" s="396" t="s">
        <v>3965</v>
      </c>
      <c r="E44" s="397"/>
      <c r="F44" s="398">
        <v>43831</v>
      </c>
      <c r="G44" s="59">
        <f t="shared" si="35"/>
        <v>0.99726027397260275</v>
      </c>
      <c r="H44" s="57">
        <v>30689.997039999998</v>
      </c>
      <c r="I44" s="179"/>
      <c r="J44" s="57">
        <v>0</v>
      </c>
      <c r="K44" s="399">
        <v>31457.25</v>
      </c>
      <c r="L44" s="57">
        <f t="shared" si="36"/>
        <v>15.123677884615384</v>
      </c>
      <c r="M44" s="57">
        <f t="shared" si="37"/>
        <v>1209.8942307692307</v>
      </c>
      <c r="N44" s="57">
        <f t="shared" si="38"/>
        <v>0</v>
      </c>
      <c r="O44" s="56"/>
      <c r="P44" s="56"/>
      <c r="Q44" s="57">
        <f t="shared" si="39"/>
        <v>0</v>
      </c>
      <c r="R44" s="57">
        <f t="shared" si="40"/>
        <v>31457.25</v>
      </c>
      <c r="S44" s="56"/>
      <c r="T44" s="56"/>
      <c r="U44" s="56"/>
      <c r="V44" s="57">
        <f t="shared" si="41"/>
        <v>31457.25</v>
      </c>
      <c r="W44" s="57">
        <f t="shared" si="42"/>
        <v>1950.3495</v>
      </c>
      <c r="X44" s="57">
        <f t="shared" si="43"/>
        <v>456.13012500000002</v>
      </c>
      <c r="Y44" s="57">
        <f t="shared" si="44"/>
        <v>4724.8789500000003</v>
      </c>
      <c r="Z44" s="57">
        <f t="shared" si="45"/>
        <v>50.331600000000002</v>
      </c>
      <c r="AA44" s="57">
        <f t="shared" si="46"/>
        <v>22.020074999999999</v>
      </c>
      <c r="AB44" s="57">
        <f t="shared" si="47"/>
        <v>335</v>
      </c>
      <c r="AC44" s="57">
        <f t="shared" si="48"/>
        <v>10356.36</v>
      </c>
      <c r="AD44" s="57">
        <f t="shared" si="49"/>
        <v>106.9136</v>
      </c>
      <c r="AE44" s="205">
        <v>412</v>
      </c>
    </row>
    <row r="45" spans="1:31" x14ac:dyDescent="0.25">
      <c r="A45" s="167">
        <v>412</v>
      </c>
      <c r="B45" s="167">
        <v>412005</v>
      </c>
      <c r="C45" s="168" t="s">
        <v>2494</v>
      </c>
      <c r="D45" s="247"/>
      <c r="E45" s="247"/>
      <c r="F45" s="58"/>
      <c r="G45" s="167" t="s">
        <v>2422</v>
      </c>
      <c r="H45" s="63">
        <v>60000</v>
      </c>
      <c r="I45" s="63">
        <v>14.5</v>
      </c>
      <c r="J45" s="63">
        <v>60000</v>
      </c>
      <c r="K45" s="63">
        <v>60000</v>
      </c>
      <c r="L45" s="63" t="s">
        <v>0</v>
      </c>
      <c r="M45" s="63" t="s">
        <v>0</v>
      </c>
      <c r="N45" s="63">
        <v>0</v>
      </c>
      <c r="O45" s="65"/>
      <c r="P45" s="65"/>
      <c r="Q45" s="63">
        <f t="shared" si="39"/>
        <v>0</v>
      </c>
      <c r="R45" s="63">
        <f t="shared" si="40"/>
        <v>60000</v>
      </c>
      <c r="S45" s="65"/>
      <c r="T45" s="65"/>
      <c r="U45" s="65"/>
      <c r="V45" s="63">
        <f t="shared" si="41"/>
        <v>60000</v>
      </c>
      <c r="W45" s="63">
        <f t="shared" si="42"/>
        <v>3720</v>
      </c>
      <c r="X45" s="63">
        <f t="shared" si="43"/>
        <v>870</v>
      </c>
      <c r="Y45" s="63" t="s">
        <v>2420</v>
      </c>
      <c r="Z45" s="63" t="s">
        <v>2420</v>
      </c>
      <c r="AA45" s="63" t="s">
        <v>2420</v>
      </c>
      <c r="AB45" s="63" t="s">
        <v>2422</v>
      </c>
      <c r="AC45" s="63" t="s">
        <v>2422</v>
      </c>
      <c r="AD45" s="63" t="s">
        <v>2422</v>
      </c>
      <c r="AE45" s="178">
        <v>412</v>
      </c>
    </row>
    <row r="46" spans="1:31" x14ac:dyDescent="0.25">
      <c r="A46" s="167">
        <v>412</v>
      </c>
      <c r="B46" s="247"/>
      <c r="C46" s="168" t="s">
        <v>2495</v>
      </c>
      <c r="D46" s="247"/>
      <c r="E46" s="247"/>
      <c r="F46" s="58"/>
      <c r="G46" s="167" t="s">
        <v>2422</v>
      </c>
      <c r="H46" s="172">
        <v>15000</v>
      </c>
      <c r="I46" s="173"/>
      <c r="J46" s="172">
        <v>15000</v>
      </c>
      <c r="K46" s="172">
        <v>15000</v>
      </c>
      <c r="L46" s="172" t="s">
        <v>0</v>
      </c>
      <c r="M46" s="172" t="s">
        <v>0</v>
      </c>
      <c r="N46" s="172">
        <v>0</v>
      </c>
      <c r="O46" s="314"/>
      <c r="P46" s="314"/>
      <c r="Q46" s="172">
        <f t="shared" si="39"/>
        <v>0</v>
      </c>
      <c r="R46" s="172">
        <f t="shared" si="40"/>
        <v>15000</v>
      </c>
      <c r="S46" s="314"/>
      <c r="T46" s="314"/>
      <c r="U46" s="314"/>
      <c r="V46" s="172">
        <f t="shared" si="41"/>
        <v>15000</v>
      </c>
      <c r="W46" s="172">
        <f t="shared" si="42"/>
        <v>930</v>
      </c>
      <c r="X46" s="172">
        <f t="shared" si="43"/>
        <v>217.5</v>
      </c>
      <c r="Y46" s="172">
        <f>SUM(V46*$Y$7)</f>
        <v>2253</v>
      </c>
      <c r="Z46" s="172">
        <f>SUM(V46*$Z$7)</f>
        <v>24</v>
      </c>
      <c r="AA46" s="172">
        <f>SUM(V46*$AA$7)</f>
        <v>10.5</v>
      </c>
      <c r="AB46" s="172" t="s">
        <v>2422</v>
      </c>
      <c r="AC46" s="172" t="s">
        <v>2422</v>
      </c>
      <c r="AD46" s="172" t="s">
        <v>2422</v>
      </c>
      <c r="AE46" s="178">
        <v>412</v>
      </c>
    </row>
    <row r="47" spans="1:31" x14ac:dyDescent="0.25">
      <c r="A47" s="167">
        <v>412</v>
      </c>
      <c r="B47" s="247"/>
      <c r="C47" s="247"/>
      <c r="D47" s="247"/>
      <c r="E47" s="247"/>
      <c r="F47" s="247"/>
      <c r="G47" s="247"/>
      <c r="H47" s="175">
        <v>245995.60415999999</v>
      </c>
      <c r="I47" s="303"/>
      <c r="J47" s="175">
        <v>221329.625332</v>
      </c>
      <c r="K47" s="175">
        <f t="shared" ref="K47:AD47" si="51">SUM(K39:K46)</f>
        <v>252786.880332</v>
      </c>
      <c r="L47" s="175">
        <f t="shared" si="51"/>
        <v>85.474461698076922</v>
      </c>
      <c r="M47" s="175">
        <f t="shared" si="51"/>
        <v>6837.9569358461531</v>
      </c>
      <c r="N47" s="175">
        <f t="shared" si="51"/>
        <v>5382.7068493150691</v>
      </c>
      <c r="O47" s="175">
        <f t="shared" si="51"/>
        <v>0</v>
      </c>
      <c r="P47" s="175">
        <f t="shared" si="51"/>
        <v>0</v>
      </c>
      <c r="Q47" s="175">
        <f t="shared" si="51"/>
        <v>5000</v>
      </c>
      <c r="R47" s="175">
        <f t="shared" si="51"/>
        <v>257786.880332</v>
      </c>
      <c r="S47" s="175">
        <f t="shared" si="51"/>
        <v>0</v>
      </c>
      <c r="T47" s="175">
        <f t="shared" si="51"/>
        <v>0</v>
      </c>
      <c r="U47" s="175">
        <f t="shared" si="51"/>
        <v>0</v>
      </c>
      <c r="V47" s="175">
        <f t="shared" si="51"/>
        <v>257786.880332</v>
      </c>
      <c r="W47" s="175">
        <f t="shared" si="51"/>
        <v>15982.786580583999</v>
      </c>
      <c r="X47" s="175">
        <f t="shared" si="51"/>
        <v>3737.909764814</v>
      </c>
      <c r="Y47" s="175">
        <f t="shared" si="51"/>
        <v>29707.589425866398</v>
      </c>
      <c r="Z47" s="175">
        <f t="shared" si="51"/>
        <v>316.45900853120003</v>
      </c>
      <c r="AA47" s="175">
        <f t="shared" si="51"/>
        <v>138.4508162324</v>
      </c>
      <c r="AB47" s="175">
        <f t="shared" si="51"/>
        <v>1675</v>
      </c>
      <c r="AC47" s="175">
        <f t="shared" si="51"/>
        <v>51781.8</v>
      </c>
      <c r="AD47" s="175">
        <f t="shared" si="51"/>
        <v>534.56799999999998</v>
      </c>
      <c r="AE47" s="178">
        <v>412</v>
      </c>
    </row>
    <row r="48" spans="1:31" x14ac:dyDescent="0.25">
      <c r="A48" s="247"/>
      <c r="B48" s="247"/>
      <c r="C48" s="247"/>
      <c r="D48" s="247"/>
      <c r="E48" s="247"/>
      <c r="F48" s="247"/>
      <c r="G48" s="247"/>
      <c r="H48" s="69">
        <v>170995.60415999999</v>
      </c>
      <c r="I48" s="169"/>
      <c r="J48" s="69">
        <v>146329.625332</v>
      </c>
      <c r="K48" s="69">
        <f>SUM(K40:K44)</f>
        <v>177786.880332</v>
      </c>
      <c r="L48" s="65"/>
      <c r="M48" s="65"/>
      <c r="N48" s="65"/>
      <c r="O48" s="65"/>
      <c r="P48" s="65"/>
      <c r="Q48" s="65"/>
      <c r="R48" s="65"/>
      <c r="S48" s="65"/>
      <c r="T48" s="65"/>
      <c r="U48" s="65"/>
      <c r="V48" s="65"/>
      <c r="W48" s="63">
        <f>SUM(W47+X47)</f>
        <v>19720.696345397999</v>
      </c>
      <c r="X48" s="65"/>
      <c r="Y48" s="65"/>
      <c r="Z48" s="65"/>
      <c r="AA48" s="65"/>
      <c r="AB48" s="65"/>
      <c r="AC48" s="63">
        <f>SUM(AC47+AD47)</f>
        <v>52316.368000000002</v>
      </c>
      <c r="AD48" s="65"/>
      <c r="AE48" s="247"/>
    </row>
    <row r="49" spans="1:31" x14ac:dyDescent="0.25">
      <c r="A49" s="247"/>
      <c r="B49" s="247"/>
      <c r="C49" s="247"/>
      <c r="D49" s="247"/>
      <c r="E49" s="247"/>
      <c r="F49" s="247"/>
      <c r="G49" s="247"/>
      <c r="H49" s="65"/>
      <c r="I49" s="169"/>
      <c r="J49" s="65"/>
      <c r="K49" s="65"/>
      <c r="L49" s="65"/>
      <c r="M49" s="65"/>
      <c r="N49" s="65"/>
      <c r="O49" s="65"/>
      <c r="P49" s="65"/>
      <c r="Q49" s="65"/>
      <c r="R49" s="65"/>
      <c r="S49" s="65"/>
      <c r="T49" s="65"/>
      <c r="U49" s="65"/>
      <c r="V49" s="65"/>
      <c r="W49" s="65"/>
      <c r="X49" s="65"/>
      <c r="Y49" s="65"/>
      <c r="Z49" s="65"/>
      <c r="AA49" s="65"/>
      <c r="AB49" s="65"/>
      <c r="AC49" s="65"/>
      <c r="AD49" s="65"/>
      <c r="AE49" s="247"/>
    </row>
    <row r="50" spans="1:31" x14ac:dyDescent="0.25">
      <c r="A50" s="247"/>
      <c r="B50" s="247"/>
      <c r="C50" s="247"/>
      <c r="D50" s="247"/>
      <c r="E50" s="247"/>
      <c r="F50" s="247"/>
      <c r="G50" s="247"/>
      <c r="H50" s="314"/>
      <c r="I50" s="173"/>
      <c r="J50" s="314"/>
      <c r="K50" s="314"/>
      <c r="L50" s="314"/>
      <c r="M50" s="314"/>
      <c r="N50" s="314"/>
      <c r="O50" s="314"/>
      <c r="P50" s="314"/>
      <c r="Q50" s="314"/>
      <c r="R50" s="314"/>
      <c r="S50" s="314"/>
      <c r="T50" s="314"/>
      <c r="U50" s="314"/>
      <c r="V50" s="314"/>
      <c r="W50" s="314"/>
      <c r="X50" s="314"/>
      <c r="Y50" s="314"/>
      <c r="Z50" s="314"/>
      <c r="AA50" s="314"/>
      <c r="AB50" s="314"/>
      <c r="AC50" s="314"/>
      <c r="AD50" s="314"/>
      <c r="AE50" s="247"/>
    </row>
    <row r="51" spans="1:31" x14ac:dyDescent="0.25">
      <c r="A51" s="167">
        <v>413</v>
      </c>
      <c r="B51" s="167">
        <v>413001</v>
      </c>
      <c r="C51" s="168" t="s">
        <v>3966</v>
      </c>
      <c r="D51" s="271" t="s">
        <v>3967</v>
      </c>
      <c r="E51" s="271"/>
      <c r="F51" s="58">
        <v>43101</v>
      </c>
      <c r="G51" s="167" t="s">
        <v>2422</v>
      </c>
      <c r="H51" s="175">
        <v>16500</v>
      </c>
      <c r="I51" s="303"/>
      <c r="J51" s="175">
        <v>0</v>
      </c>
      <c r="K51" s="175">
        <f>SUM(((H51*$K$3)+$K$2)+H51)</f>
        <v>16500</v>
      </c>
      <c r="L51" s="175">
        <f>SUM(K51/2080)</f>
        <v>7.9326923076923075</v>
      </c>
      <c r="M51" s="175">
        <v>1153.8499999999999</v>
      </c>
      <c r="N51" s="175">
        <v>0</v>
      </c>
      <c r="O51" s="175">
        <v>0</v>
      </c>
      <c r="P51" s="175">
        <v>0</v>
      </c>
      <c r="Q51" s="175">
        <v>0</v>
      </c>
      <c r="R51" s="175">
        <f>Q51+K51</f>
        <v>16500</v>
      </c>
      <c r="S51" s="175">
        <v>0</v>
      </c>
      <c r="T51" s="175">
        <v>0</v>
      </c>
      <c r="U51" s="175">
        <v>0</v>
      </c>
      <c r="V51" s="175">
        <f>SUM(R51:U51)</f>
        <v>16500</v>
      </c>
      <c r="W51" s="175">
        <f>SUM(V51*$W$7)</f>
        <v>1023</v>
      </c>
      <c r="X51" s="175">
        <f>SUM(V51*$X$7)</f>
        <v>239.25</v>
      </c>
      <c r="Y51" s="175">
        <f>SUM(V51*$Y$7)</f>
        <v>2478.3000000000002</v>
      </c>
      <c r="Z51" s="175">
        <f>SUM(V51*$Z$7)</f>
        <v>26.400000000000002</v>
      </c>
      <c r="AA51" s="175">
        <f>SUM(V51*$AA$7)</f>
        <v>11.55</v>
      </c>
      <c r="AB51" s="175">
        <v>0</v>
      </c>
      <c r="AC51" s="175">
        <v>0</v>
      </c>
      <c r="AD51" s="175">
        <v>0</v>
      </c>
      <c r="AE51" s="178">
        <v>413</v>
      </c>
    </row>
    <row r="52" spans="1:31" x14ac:dyDescent="0.25">
      <c r="A52" s="247"/>
      <c r="B52" s="247"/>
      <c r="C52" s="247"/>
      <c r="D52" s="247"/>
      <c r="E52" s="247"/>
      <c r="F52" s="247"/>
      <c r="G52" s="247"/>
      <c r="H52" s="65"/>
      <c r="I52" s="169"/>
      <c r="J52" s="65"/>
      <c r="K52" s="65"/>
      <c r="L52" s="65"/>
      <c r="M52" s="65"/>
      <c r="N52" s="65"/>
      <c r="O52" s="65"/>
      <c r="P52" s="65"/>
      <c r="Q52" s="65"/>
      <c r="R52" s="65"/>
      <c r="S52" s="65"/>
      <c r="T52" s="65"/>
      <c r="U52" s="65"/>
      <c r="V52" s="65"/>
      <c r="W52" s="63">
        <f>SUM(W51+X51)</f>
        <v>1262.25</v>
      </c>
      <c r="X52" s="65"/>
      <c r="Y52" s="65"/>
      <c r="Z52" s="65"/>
      <c r="AA52" s="65"/>
      <c r="AB52" s="65"/>
      <c r="AC52" s="63" t="s">
        <v>0</v>
      </c>
      <c r="AD52" s="65"/>
      <c r="AE52" s="247"/>
    </row>
    <row r="53" spans="1:31" x14ac:dyDescent="0.25">
      <c r="A53" s="247"/>
      <c r="B53" s="247"/>
      <c r="C53" s="247"/>
      <c r="D53" s="247"/>
      <c r="E53" s="247"/>
      <c r="F53" s="247"/>
      <c r="G53" s="247"/>
      <c r="H53" s="65"/>
      <c r="I53" s="169"/>
      <c r="J53" s="65"/>
      <c r="K53" s="65"/>
      <c r="L53" s="65"/>
      <c r="M53" s="65"/>
      <c r="N53" s="65"/>
      <c r="O53" s="65"/>
      <c r="P53" s="65"/>
      <c r="Q53" s="65"/>
      <c r="R53" s="65"/>
      <c r="S53" s="65"/>
      <c r="T53" s="65"/>
      <c r="U53" s="65"/>
      <c r="V53" s="65"/>
      <c r="W53" s="65"/>
      <c r="X53" s="65"/>
      <c r="Y53" s="65"/>
      <c r="Z53" s="65"/>
      <c r="AA53" s="65"/>
      <c r="AB53" s="65"/>
      <c r="AC53" s="65"/>
      <c r="AD53" s="65"/>
      <c r="AE53" s="247"/>
    </row>
    <row r="54" spans="1:31" x14ac:dyDescent="0.25">
      <c r="A54" s="247"/>
      <c r="B54" s="247"/>
      <c r="C54" s="247"/>
      <c r="D54" s="247"/>
      <c r="E54" s="247"/>
      <c r="F54" s="247"/>
      <c r="G54" s="247"/>
      <c r="H54" s="65"/>
      <c r="I54" s="169"/>
      <c r="J54" s="65"/>
      <c r="K54" s="65"/>
      <c r="L54" s="65"/>
      <c r="M54" s="65"/>
      <c r="N54" s="65"/>
      <c r="O54" s="65"/>
      <c r="P54" s="65"/>
      <c r="Q54" s="65"/>
      <c r="R54" s="65"/>
      <c r="S54" s="65"/>
      <c r="T54" s="65"/>
      <c r="U54" s="65"/>
      <c r="V54" s="65"/>
      <c r="W54" s="65"/>
      <c r="X54" s="65"/>
      <c r="Y54" s="65"/>
      <c r="Z54" s="65"/>
      <c r="AA54" s="65"/>
      <c r="AB54" s="65"/>
      <c r="AC54" s="65"/>
      <c r="AD54" s="65"/>
      <c r="AE54" s="247"/>
    </row>
    <row r="55" spans="1:31" x14ac:dyDescent="0.25">
      <c r="A55" s="167">
        <v>425</v>
      </c>
      <c r="B55" s="167">
        <v>425001</v>
      </c>
      <c r="C55" s="181" t="s">
        <v>541</v>
      </c>
      <c r="D55" s="181" t="s">
        <v>2500</v>
      </c>
      <c r="E55" s="181" t="s">
        <v>2501</v>
      </c>
      <c r="F55" s="87">
        <v>42005</v>
      </c>
      <c r="G55" s="189" t="s">
        <v>2422</v>
      </c>
      <c r="H55" s="57">
        <v>78000</v>
      </c>
      <c r="I55" s="57">
        <v>79000</v>
      </c>
      <c r="J55" s="57">
        <v>79000</v>
      </c>
      <c r="K55" s="57">
        <v>94500</v>
      </c>
      <c r="L55" s="63">
        <f t="shared" ref="L55:L58" si="52">SUM(K55/2080)</f>
        <v>45.432692307692307</v>
      </c>
      <c r="M55" s="63">
        <f t="shared" ref="M55:M58" si="53">SUM(K55/26)</f>
        <v>3634.6153846153848</v>
      </c>
      <c r="N55" s="63">
        <v>0</v>
      </c>
      <c r="O55" s="65"/>
      <c r="P55" s="65"/>
      <c r="Q55" s="63">
        <f t="shared" ref="Q55:Q59" si="54">IF(N55+P55&gt;5000,5000,N55+P55)</f>
        <v>0</v>
      </c>
      <c r="R55" s="63">
        <f t="shared" ref="R55:R59" si="55">Q55+K55</f>
        <v>94500</v>
      </c>
      <c r="S55" s="65"/>
      <c r="T55" s="65"/>
      <c r="U55" s="65"/>
      <c r="V55" s="63">
        <f t="shared" ref="V55:V59" si="56">SUM(R55:U55)</f>
        <v>94500</v>
      </c>
      <c r="W55" s="63">
        <f t="shared" ref="W55:W59" si="57">SUM(V55*$W$7)</f>
        <v>5859</v>
      </c>
      <c r="X55" s="63">
        <f t="shared" ref="X55:X59" si="58">SUM(V55*$X$7)</f>
        <v>1370.25</v>
      </c>
      <c r="Y55" s="63">
        <f t="shared" ref="Y55:Y59" si="59">SUM(V55*$Y$7)</f>
        <v>14193.9</v>
      </c>
      <c r="Z55" s="63">
        <f t="shared" ref="Z55:Z59" si="60">SUM(V55*$Z$7)</f>
        <v>151.20000000000002</v>
      </c>
      <c r="AA55" s="63">
        <f>SUM(V55*$AA$7)</f>
        <v>66.150000000000006</v>
      </c>
      <c r="AB55" s="63">
        <f>SUM($AB$7)</f>
        <v>335</v>
      </c>
      <c r="AC55" s="63">
        <f>$AC$7</f>
        <v>10356.36</v>
      </c>
      <c r="AD55" s="63">
        <f>SUM(AB55+AC55)*$AD$7</f>
        <v>106.9136</v>
      </c>
      <c r="AE55" s="178">
        <v>425</v>
      </c>
    </row>
    <row r="56" spans="1:31" x14ac:dyDescent="0.25">
      <c r="A56" s="167">
        <v>425</v>
      </c>
      <c r="B56" s="167">
        <v>425001</v>
      </c>
      <c r="C56" s="168" t="s">
        <v>541</v>
      </c>
      <c r="D56" s="168" t="s">
        <v>2500</v>
      </c>
      <c r="E56" s="168" t="s">
        <v>2502</v>
      </c>
      <c r="F56" s="58">
        <v>42005</v>
      </c>
      <c r="G56" s="167" t="s">
        <v>2422</v>
      </c>
      <c r="H56" s="63">
        <v>70000</v>
      </c>
      <c r="I56" s="57">
        <v>70000</v>
      </c>
      <c r="J56" s="63">
        <v>70000</v>
      </c>
      <c r="K56" s="57">
        <v>85500</v>
      </c>
      <c r="L56" s="63">
        <f t="shared" si="52"/>
        <v>41.105769230769234</v>
      </c>
      <c r="M56" s="63">
        <f t="shared" si="53"/>
        <v>3288.4615384615386</v>
      </c>
      <c r="N56" s="63">
        <v>0</v>
      </c>
      <c r="O56" s="65"/>
      <c r="P56" s="65"/>
      <c r="Q56" s="63">
        <f t="shared" si="54"/>
        <v>0</v>
      </c>
      <c r="R56" s="63">
        <f t="shared" si="55"/>
        <v>85500</v>
      </c>
      <c r="S56" s="65"/>
      <c r="T56" s="65"/>
      <c r="U56" s="65"/>
      <c r="V56" s="63">
        <f t="shared" si="56"/>
        <v>85500</v>
      </c>
      <c r="W56" s="63">
        <f t="shared" si="57"/>
        <v>5301</v>
      </c>
      <c r="X56" s="63">
        <f t="shared" si="58"/>
        <v>1239.75</v>
      </c>
      <c r="Y56" s="63">
        <f t="shared" si="59"/>
        <v>12842.1</v>
      </c>
      <c r="Z56" s="63">
        <f t="shared" si="60"/>
        <v>136.80000000000001</v>
      </c>
      <c r="AA56" s="63" t="s">
        <v>2422</v>
      </c>
      <c r="AB56" s="63" t="s">
        <v>2422</v>
      </c>
      <c r="AC56" s="63" t="s">
        <v>2422</v>
      </c>
      <c r="AD56" s="63" t="s">
        <v>2422</v>
      </c>
      <c r="AE56" s="178">
        <v>425</v>
      </c>
    </row>
    <row r="57" spans="1:31" x14ac:dyDescent="0.25">
      <c r="A57" s="167">
        <v>425</v>
      </c>
      <c r="B57" s="167">
        <v>425002</v>
      </c>
      <c r="C57" s="168" t="s">
        <v>2504</v>
      </c>
      <c r="D57" s="168" t="s">
        <v>2505</v>
      </c>
      <c r="E57" s="168" t="s">
        <v>2506</v>
      </c>
      <c r="F57" s="58">
        <v>41122</v>
      </c>
      <c r="G57" s="59">
        <f t="shared" ref="G57:G58" si="61">(DATE(2020,12,30)-(F57))/365</f>
        <v>8.419178082191781</v>
      </c>
      <c r="H57" s="63">
        <v>78184.156560000003</v>
      </c>
      <c r="I57" s="63">
        <v>80138.759999999995</v>
      </c>
      <c r="J57" s="63">
        <v>80138.76047400001</v>
      </c>
      <c r="K57" s="63">
        <f t="shared" ref="K57:K58" si="62">SUM(((J57*$K$3)+$K$2)+J57)</f>
        <v>80138.76047400001</v>
      </c>
      <c r="L57" s="63">
        <f t="shared" si="52"/>
        <v>38.52825022788462</v>
      </c>
      <c r="M57" s="63">
        <f t="shared" si="53"/>
        <v>3082.2600182307697</v>
      </c>
      <c r="N57" s="63">
        <f t="shared" ref="N57:N58" si="63">IF(G57&lt;4,0,(G57-1)*$N$7)</f>
        <v>1958.6630136986303</v>
      </c>
      <c r="O57" s="65"/>
      <c r="P57" s="65"/>
      <c r="Q57" s="63">
        <f t="shared" si="54"/>
        <v>1958.6630136986303</v>
      </c>
      <c r="R57" s="63">
        <f t="shared" si="55"/>
        <v>82097.423487698645</v>
      </c>
      <c r="S57" s="65"/>
      <c r="T57" s="65"/>
      <c r="U57" s="65"/>
      <c r="V57" s="63">
        <f t="shared" si="56"/>
        <v>82097.423487698645</v>
      </c>
      <c r="W57" s="63">
        <f t="shared" si="57"/>
        <v>5090.0402562373156</v>
      </c>
      <c r="X57" s="63">
        <f t="shared" si="58"/>
        <v>1190.4126405716304</v>
      </c>
      <c r="Y57" s="63">
        <f t="shared" si="59"/>
        <v>12331.033007852337</v>
      </c>
      <c r="Z57" s="63">
        <f t="shared" si="60"/>
        <v>131.35587758031784</v>
      </c>
      <c r="AA57" s="63">
        <f t="shared" ref="AA57:AA59" si="64">SUM(V57*$AA$7)</f>
        <v>57.468196441389054</v>
      </c>
      <c r="AB57" s="63">
        <f t="shared" ref="AB57:AB58" si="65">SUM($AB$7)</f>
        <v>335</v>
      </c>
      <c r="AC57" s="63">
        <f t="shared" ref="AC57:AC58" si="66">$AC$7</f>
        <v>10356.36</v>
      </c>
      <c r="AD57" s="63">
        <f t="shared" ref="AD57:AD58" si="67">SUM(AB57+AC57)*$AD$7</f>
        <v>106.9136</v>
      </c>
      <c r="AE57" s="178">
        <v>425</v>
      </c>
    </row>
    <row r="58" spans="1:31" x14ac:dyDescent="0.25">
      <c r="A58" s="167">
        <v>425</v>
      </c>
      <c r="B58" s="167">
        <v>425003</v>
      </c>
      <c r="C58" s="168" t="s">
        <v>2508</v>
      </c>
      <c r="D58" s="168" t="s">
        <v>2509</v>
      </c>
      <c r="E58" s="168" t="s">
        <v>2510</v>
      </c>
      <c r="F58" s="58">
        <v>39503</v>
      </c>
      <c r="G58" s="59">
        <f t="shared" si="61"/>
        <v>12.854794520547944</v>
      </c>
      <c r="H58" s="63">
        <v>39061.837040000006</v>
      </c>
      <c r="I58" s="63">
        <v>40038.379999999997</v>
      </c>
      <c r="J58" s="63">
        <v>40038.382966000005</v>
      </c>
      <c r="K58" s="63">
        <f t="shared" si="62"/>
        <v>40038.382966000005</v>
      </c>
      <c r="L58" s="63">
        <f t="shared" si="52"/>
        <v>19.249222579807693</v>
      </c>
      <c r="M58" s="63">
        <f t="shared" si="53"/>
        <v>1539.9378063846157</v>
      </c>
      <c r="N58" s="63">
        <f t="shared" si="63"/>
        <v>3129.6657534246574</v>
      </c>
      <c r="O58" s="65"/>
      <c r="P58" s="65"/>
      <c r="Q58" s="63">
        <f t="shared" si="54"/>
        <v>3129.6657534246574</v>
      </c>
      <c r="R58" s="63">
        <f t="shared" si="55"/>
        <v>43168.04871942466</v>
      </c>
      <c r="S58" s="65"/>
      <c r="T58" s="65"/>
      <c r="U58" s="65"/>
      <c r="V58" s="63">
        <f t="shared" si="56"/>
        <v>43168.04871942466</v>
      </c>
      <c r="W58" s="63">
        <f t="shared" si="57"/>
        <v>2676.419020604329</v>
      </c>
      <c r="X58" s="63">
        <f t="shared" si="58"/>
        <v>625.93670643165763</v>
      </c>
      <c r="Y58" s="63">
        <f t="shared" si="59"/>
        <v>6483.8409176575842</v>
      </c>
      <c r="Z58" s="63">
        <f t="shared" si="60"/>
        <v>69.068877951079457</v>
      </c>
      <c r="AA58" s="63">
        <f t="shared" si="64"/>
        <v>30.217634103597263</v>
      </c>
      <c r="AB58" s="63">
        <f t="shared" si="65"/>
        <v>335</v>
      </c>
      <c r="AC58" s="63">
        <f t="shared" si="66"/>
        <v>10356.36</v>
      </c>
      <c r="AD58" s="63">
        <f t="shared" si="67"/>
        <v>106.9136</v>
      </c>
      <c r="AE58" s="178">
        <v>425</v>
      </c>
    </row>
    <row r="59" spans="1:31" x14ac:dyDescent="0.25">
      <c r="A59" s="167">
        <v>425</v>
      </c>
      <c r="B59" s="167">
        <v>440004</v>
      </c>
      <c r="C59" s="168" t="s">
        <v>253</v>
      </c>
      <c r="D59" s="247"/>
      <c r="E59" s="247"/>
      <c r="F59" s="247"/>
      <c r="G59" s="167" t="s">
        <v>2422</v>
      </c>
      <c r="H59" s="172">
        <v>9000</v>
      </c>
      <c r="I59" s="173"/>
      <c r="J59" s="172">
        <v>9000</v>
      </c>
      <c r="K59" s="172">
        <v>9000</v>
      </c>
      <c r="L59" s="172" t="s">
        <v>0</v>
      </c>
      <c r="M59" s="172" t="s">
        <v>0</v>
      </c>
      <c r="N59" s="172">
        <v>0</v>
      </c>
      <c r="O59" s="314"/>
      <c r="P59" s="314"/>
      <c r="Q59" s="172">
        <f t="shared" si="54"/>
        <v>0</v>
      </c>
      <c r="R59" s="172">
        <f t="shared" si="55"/>
        <v>9000</v>
      </c>
      <c r="S59" s="314"/>
      <c r="T59" s="314"/>
      <c r="U59" s="314"/>
      <c r="V59" s="172">
        <f t="shared" si="56"/>
        <v>9000</v>
      </c>
      <c r="W59" s="172">
        <f t="shared" si="57"/>
        <v>558</v>
      </c>
      <c r="X59" s="172">
        <f t="shared" si="58"/>
        <v>130.5</v>
      </c>
      <c r="Y59" s="172">
        <f t="shared" si="59"/>
        <v>1351.8</v>
      </c>
      <c r="Z59" s="172">
        <f t="shared" si="60"/>
        <v>14.4</v>
      </c>
      <c r="AA59" s="172">
        <f t="shared" si="64"/>
        <v>6.3</v>
      </c>
      <c r="AB59" s="172" t="s">
        <v>2422</v>
      </c>
      <c r="AC59" s="172" t="s">
        <v>2422</v>
      </c>
      <c r="AD59" s="172" t="s">
        <v>2422</v>
      </c>
      <c r="AE59" s="178">
        <v>425</v>
      </c>
    </row>
    <row r="60" spans="1:31" x14ac:dyDescent="0.25">
      <c r="A60" s="167">
        <v>425</v>
      </c>
      <c r="B60" s="247"/>
      <c r="C60" s="247"/>
      <c r="D60" s="247"/>
      <c r="E60" s="247"/>
      <c r="F60" s="247"/>
      <c r="G60" s="247"/>
      <c r="H60" s="175">
        <v>274245.99359999999</v>
      </c>
      <c r="I60" s="303"/>
      <c r="J60" s="175">
        <v>278177.14344000001</v>
      </c>
      <c r="K60" s="175">
        <f t="shared" ref="K60:AD60" si="68">SUM(K55:K59)</f>
        <v>309177.14344000001</v>
      </c>
      <c r="L60" s="175">
        <f t="shared" si="68"/>
        <v>144.31593434615388</v>
      </c>
      <c r="M60" s="175">
        <f t="shared" si="68"/>
        <v>11545.27474769231</v>
      </c>
      <c r="N60" s="175">
        <f t="shared" si="68"/>
        <v>5088.3287671232874</v>
      </c>
      <c r="O60" s="175">
        <f t="shared" si="68"/>
        <v>0</v>
      </c>
      <c r="P60" s="175">
        <f t="shared" si="68"/>
        <v>0</v>
      </c>
      <c r="Q60" s="175">
        <f t="shared" si="68"/>
        <v>5088.3287671232874</v>
      </c>
      <c r="R60" s="175">
        <f t="shared" si="68"/>
        <v>314265.4722071233</v>
      </c>
      <c r="S60" s="175">
        <f t="shared" si="68"/>
        <v>0</v>
      </c>
      <c r="T60" s="175">
        <f t="shared" si="68"/>
        <v>0</v>
      </c>
      <c r="U60" s="175">
        <f t="shared" si="68"/>
        <v>0</v>
      </c>
      <c r="V60" s="175">
        <f t="shared" si="68"/>
        <v>314265.4722071233</v>
      </c>
      <c r="W60" s="175">
        <f t="shared" si="68"/>
        <v>19484.459276841644</v>
      </c>
      <c r="X60" s="175">
        <f t="shared" si="68"/>
        <v>4556.8493470032881</v>
      </c>
      <c r="Y60" s="175">
        <f t="shared" si="68"/>
        <v>47202.673925509924</v>
      </c>
      <c r="Z60" s="175">
        <f t="shared" si="68"/>
        <v>502.82475553139727</v>
      </c>
      <c r="AA60" s="175">
        <f t="shared" si="68"/>
        <v>160.13583054498633</v>
      </c>
      <c r="AB60" s="175">
        <f t="shared" si="68"/>
        <v>1005</v>
      </c>
      <c r="AC60" s="175">
        <f t="shared" si="68"/>
        <v>31069.08</v>
      </c>
      <c r="AD60" s="175">
        <f t="shared" si="68"/>
        <v>320.74080000000004</v>
      </c>
      <c r="AE60" s="178">
        <v>425</v>
      </c>
    </row>
    <row r="61" spans="1:31" x14ac:dyDescent="0.25">
      <c r="A61" s="247"/>
      <c r="B61" s="247"/>
      <c r="C61" s="247"/>
      <c r="D61" s="247"/>
      <c r="E61" s="247"/>
      <c r="F61" s="247"/>
      <c r="G61" s="247"/>
      <c r="H61" s="69">
        <v>265245.99359999999</v>
      </c>
      <c r="I61" s="169"/>
      <c r="J61" s="69">
        <v>120177.14344000001</v>
      </c>
      <c r="K61" s="69">
        <f>K57+K58</f>
        <v>120177.14344000001</v>
      </c>
      <c r="L61" s="65"/>
      <c r="M61" s="65"/>
      <c r="N61" s="65"/>
      <c r="O61" s="65"/>
      <c r="P61" s="65"/>
      <c r="Q61" s="65"/>
      <c r="R61" s="65"/>
      <c r="S61" s="65"/>
      <c r="T61" s="65"/>
      <c r="U61" s="65"/>
      <c r="V61" s="65"/>
      <c r="W61" s="63">
        <f>SUM(W60:X60)</f>
        <v>24041.308623844932</v>
      </c>
      <c r="X61" s="65"/>
      <c r="Y61" s="65"/>
      <c r="Z61" s="65"/>
      <c r="AA61" s="65"/>
      <c r="AB61" s="65"/>
      <c r="AC61" s="63">
        <f>SUM(AC60:AD60)</f>
        <v>31389.820800000001</v>
      </c>
      <c r="AD61" s="65"/>
      <c r="AE61" s="247"/>
    </row>
    <row r="62" spans="1:31" x14ac:dyDescent="0.25">
      <c r="A62" s="247"/>
      <c r="B62" s="247"/>
      <c r="C62" s="247"/>
      <c r="D62" s="247"/>
      <c r="E62" s="247"/>
      <c r="F62" s="247"/>
      <c r="G62" s="247"/>
      <c r="H62" s="65"/>
      <c r="I62" s="169"/>
      <c r="J62" s="65"/>
      <c r="K62" s="65"/>
      <c r="L62" s="65"/>
      <c r="M62" s="65"/>
      <c r="N62" s="65"/>
      <c r="O62" s="65"/>
      <c r="P62" s="65"/>
      <c r="Q62" s="65"/>
      <c r="R62" s="65"/>
      <c r="S62" s="65"/>
      <c r="T62" s="65"/>
      <c r="U62" s="65"/>
      <c r="V62" s="65"/>
      <c r="W62" s="65"/>
      <c r="X62" s="65"/>
      <c r="Y62" s="65"/>
      <c r="Z62" s="65"/>
      <c r="AA62" s="65"/>
      <c r="AB62" s="65"/>
      <c r="AC62" s="65"/>
      <c r="AD62" s="65"/>
      <c r="AE62" s="247"/>
    </row>
    <row r="63" spans="1:31" x14ac:dyDescent="0.25">
      <c r="A63" s="247"/>
      <c r="B63" s="247"/>
      <c r="C63" s="247"/>
      <c r="D63" s="247"/>
      <c r="E63" s="247"/>
      <c r="F63" s="247"/>
      <c r="G63" s="247"/>
      <c r="H63" s="65"/>
      <c r="I63" s="169"/>
      <c r="J63" s="65"/>
      <c r="K63" s="65"/>
      <c r="L63" s="65"/>
      <c r="M63" s="65"/>
      <c r="N63" s="65"/>
      <c r="O63" s="65"/>
      <c r="P63" s="65"/>
      <c r="Q63" s="65"/>
      <c r="R63" s="65"/>
      <c r="S63" s="65"/>
      <c r="T63" s="65"/>
      <c r="U63" s="65"/>
      <c r="V63" s="65"/>
      <c r="W63" s="65"/>
      <c r="X63" s="65"/>
      <c r="Y63" s="65"/>
      <c r="Z63" s="65"/>
      <c r="AA63" s="65"/>
      <c r="AB63" s="65"/>
      <c r="AC63" s="65"/>
      <c r="AD63" s="65"/>
      <c r="AE63" s="247"/>
    </row>
    <row r="64" spans="1:31" x14ac:dyDescent="0.25">
      <c r="A64" s="167">
        <v>426</v>
      </c>
      <c r="B64" s="167">
        <v>426001</v>
      </c>
      <c r="C64" s="181" t="s">
        <v>2512</v>
      </c>
      <c r="D64" s="181" t="s">
        <v>2513</v>
      </c>
      <c r="E64" s="181" t="s">
        <v>2514</v>
      </c>
      <c r="F64" s="87">
        <v>38357</v>
      </c>
      <c r="G64" s="189" t="s">
        <v>2422</v>
      </c>
      <c r="H64" s="57">
        <v>78000</v>
      </c>
      <c r="I64" s="57">
        <v>79000</v>
      </c>
      <c r="J64" s="57">
        <v>79000</v>
      </c>
      <c r="K64" s="57">
        <v>91900</v>
      </c>
      <c r="L64" s="63">
        <f t="shared" ref="L64:L67" si="69">SUM(K64/2080)</f>
        <v>44.182692307692307</v>
      </c>
      <c r="M64" s="63">
        <f t="shared" ref="M64:M68" si="70">SUM(K64/26)</f>
        <v>3534.6153846153848</v>
      </c>
      <c r="N64" s="63" t="s">
        <v>2420</v>
      </c>
      <c r="O64" s="65"/>
      <c r="P64" s="65"/>
      <c r="Q64" s="63">
        <v>0</v>
      </c>
      <c r="R64" s="63">
        <f t="shared" ref="R64:R69" si="71">Q64+K64</f>
        <v>91900</v>
      </c>
      <c r="S64" s="65"/>
      <c r="T64" s="65"/>
      <c r="U64" s="65"/>
      <c r="V64" s="63">
        <f t="shared" ref="V64:V69" si="72">SUM(R64:U64)</f>
        <v>91900</v>
      </c>
      <c r="W64" s="63">
        <f t="shared" ref="W64:W69" si="73">SUM(V64*$W$7)</f>
        <v>5697.8</v>
      </c>
      <c r="X64" s="63">
        <f t="shared" ref="X64:X69" si="74">SUM(V64*$X$7)</f>
        <v>1332.55</v>
      </c>
      <c r="Y64" s="63">
        <f t="shared" ref="Y64:Y69" si="75">SUM(V64*$Y$7)</f>
        <v>13803.38</v>
      </c>
      <c r="Z64" s="63">
        <f t="shared" ref="Z64:Z69" si="76">SUM(V64*$Z$7)</f>
        <v>147.04000000000002</v>
      </c>
      <c r="AA64" s="63">
        <f>SUM(V64*$AA$7)</f>
        <v>64.33</v>
      </c>
      <c r="AB64" s="63">
        <f>SUM($AB$7)</f>
        <v>335</v>
      </c>
      <c r="AC64" s="63">
        <f>$AC$7</f>
        <v>10356.36</v>
      </c>
      <c r="AD64" s="63">
        <f>SUM(AB64+AC64)*$AD$7</f>
        <v>106.9136</v>
      </c>
      <c r="AE64" s="178">
        <v>426</v>
      </c>
    </row>
    <row r="65" spans="1:31" x14ac:dyDescent="0.25">
      <c r="A65" s="167">
        <v>426</v>
      </c>
      <c r="B65" s="167">
        <v>426001</v>
      </c>
      <c r="C65" s="168" t="s">
        <v>2512</v>
      </c>
      <c r="D65" s="168" t="s">
        <v>2513</v>
      </c>
      <c r="E65" s="168" t="s">
        <v>2515</v>
      </c>
      <c r="F65" s="58">
        <v>38357</v>
      </c>
      <c r="G65" s="167" t="s">
        <v>2422</v>
      </c>
      <c r="H65" s="63">
        <v>70000</v>
      </c>
      <c r="I65" s="57">
        <v>70000</v>
      </c>
      <c r="J65" s="63">
        <v>70000</v>
      </c>
      <c r="K65" s="57">
        <v>92500</v>
      </c>
      <c r="L65" s="63">
        <f t="shared" si="69"/>
        <v>44.471153846153847</v>
      </c>
      <c r="M65" s="63">
        <f t="shared" si="70"/>
        <v>3557.6923076923076</v>
      </c>
      <c r="N65" s="63" t="s">
        <v>2420</v>
      </c>
      <c r="O65" s="65"/>
      <c r="P65" s="65"/>
      <c r="Q65" s="63">
        <v>0</v>
      </c>
      <c r="R65" s="63">
        <f t="shared" si="71"/>
        <v>92500</v>
      </c>
      <c r="S65" s="65"/>
      <c r="T65" s="65"/>
      <c r="U65" s="65"/>
      <c r="V65" s="63">
        <f t="shared" si="72"/>
        <v>92500</v>
      </c>
      <c r="W65" s="63">
        <f t="shared" si="73"/>
        <v>5735</v>
      </c>
      <c r="X65" s="63">
        <f t="shared" si="74"/>
        <v>1341.25</v>
      </c>
      <c r="Y65" s="63">
        <f t="shared" si="75"/>
        <v>13893.5</v>
      </c>
      <c r="Z65" s="63">
        <f t="shared" si="76"/>
        <v>148</v>
      </c>
      <c r="AA65" s="63" t="s">
        <v>2422</v>
      </c>
      <c r="AB65" s="63" t="s">
        <v>2422</v>
      </c>
      <c r="AC65" s="63" t="s">
        <v>2422</v>
      </c>
      <c r="AD65" s="63" t="s">
        <v>2422</v>
      </c>
      <c r="AE65" s="178">
        <v>426</v>
      </c>
    </row>
    <row r="66" spans="1:31" x14ac:dyDescent="0.25">
      <c r="A66" s="167">
        <v>426</v>
      </c>
      <c r="B66" s="167">
        <v>426002</v>
      </c>
      <c r="C66" s="168" t="s">
        <v>2517</v>
      </c>
      <c r="D66" s="168" t="s">
        <v>2518</v>
      </c>
      <c r="E66" s="168" t="s">
        <v>2519</v>
      </c>
      <c r="F66" s="58">
        <v>42828</v>
      </c>
      <c r="G66" s="59">
        <f t="shared" ref="G66:G68" si="77">(DATE(2020,12,30)-(F66))/365</f>
        <v>3.7452054794520548</v>
      </c>
      <c r="H66" s="63">
        <v>78184.156560000003</v>
      </c>
      <c r="I66" s="63">
        <v>80138.759999999995</v>
      </c>
      <c r="J66" s="63">
        <v>80138.76047400001</v>
      </c>
      <c r="K66" s="63">
        <f t="shared" ref="K66:K67" si="78">SUM(((J66*$K$3)+$K$2)+J66)</f>
        <v>80138.76047400001</v>
      </c>
      <c r="L66" s="63">
        <f t="shared" si="69"/>
        <v>38.52825022788462</v>
      </c>
      <c r="M66" s="63">
        <f t="shared" si="70"/>
        <v>3082.2600182307697</v>
      </c>
      <c r="N66" s="63">
        <f t="shared" ref="N66:N67" si="79">IF(G66&lt;4,0,(G66-1)*$N$7)</f>
        <v>0</v>
      </c>
      <c r="O66" s="65"/>
      <c r="P66" s="65"/>
      <c r="Q66" s="63">
        <f t="shared" ref="Q66:Q67" si="80">IF(N66+P66&gt;5000,5000,N66+P66)</f>
        <v>0</v>
      </c>
      <c r="R66" s="63">
        <f t="shared" si="71"/>
        <v>80138.76047400001</v>
      </c>
      <c r="S66" s="65"/>
      <c r="T66" s="65"/>
      <c r="U66" s="65"/>
      <c r="V66" s="63">
        <f t="shared" si="72"/>
        <v>80138.76047400001</v>
      </c>
      <c r="W66" s="63">
        <f t="shared" si="73"/>
        <v>4968.6031493880009</v>
      </c>
      <c r="X66" s="63">
        <f t="shared" si="74"/>
        <v>1162.0120268730002</v>
      </c>
      <c r="Y66" s="63">
        <f t="shared" si="75"/>
        <v>12036.841823194802</v>
      </c>
      <c r="Z66" s="63">
        <f t="shared" si="76"/>
        <v>128.22201675840003</v>
      </c>
      <c r="AA66" s="63">
        <f t="shared" ref="AA66:AA69" si="81">SUM(V66*$AA$7)</f>
        <v>56.097132331800005</v>
      </c>
      <c r="AB66" s="63">
        <f t="shared" ref="AB66:AB67" si="82">SUM($AB$7)</f>
        <v>335</v>
      </c>
      <c r="AC66" s="63">
        <f t="shared" ref="AC66:AC67" si="83">$AC$7</f>
        <v>10356.36</v>
      </c>
      <c r="AD66" s="63">
        <f t="shared" ref="AD66:AD67" si="84">SUM(AB66+AC66)*$AD$7</f>
        <v>106.9136</v>
      </c>
      <c r="AE66" s="178">
        <v>426</v>
      </c>
    </row>
    <row r="67" spans="1:31" x14ac:dyDescent="0.25">
      <c r="A67" s="167">
        <v>426</v>
      </c>
      <c r="B67" s="167">
        <v>426003</v>
      </c>
      <c r="C67" s="168" t="s">
        <v>2521</v>
      </c>
      <c r="D67" s="168" t="s">
        <v>2522</v>
      </c>
      <c r="E67" s="168" t="s">
        <v>2523</v>
      </c>
      <c r="F67" s="58">
        <v>38384</v>
      </c>
      <c r="G67" s="59">
        <f t="shared" si="77"/>
        <v>15.920547945205479</v>
      </c>
      <c r="H67" s="63">
        <v>39061.837040000006</v>
      </c>
      <c r="I67" s="63">
        <v>40038.379999999997</v>
      </c>
      <c r="J67" s="63">
        <v>40038.382966000005</v>
      </c>
      <c r="K67" s="63">
        <f t="shared" si="78"/>
        <v>40038.382966000005</v>
      </c>
      <c r="L67" s="63">
        <f t="shared" si="69"/>
        <v>19.249222579807693</v>
      </c>
      <c r="M67" s="63">
        <f t="shared" si="70"/>
        <v>1539.9378063846157</v>
      </c>
      <c r="N67" s="63">
        <f t="shared" si="79"/>
        <v>3939.0246575342467</v>
      </c>
      <c r="O67" s="65"/>
      <c r="P67" s="65"/>
      <c r="Q67" s="63">
        <f t="shared" si="80"/>
        <v>3939.0246575342467</v>
      </c>
      <c r="R67" s="63">
        <f t="shared" si="71"/>
        <v>43977.407623534251</v>
      </c>
      <c r="S67" s="65"/>
      <c r="T67" s="65"/>
      <c r="U67" s="65"/>
      <c r="V67" s="63">
        <f t="shared" si="72"/>
        <v>43977.407623534251</v>
      </c>
      <c r="W67" s="63">
        <f t="shared" si="73"/>
        <v>2726.5992726591235</v>
      </c>
      <c r="X67" s="63">
        <f t="shared" si="74"/>
        <v>637.67241054124668</v>
      </c>
      <c r="Y67" s="63">
        <f t="shared" si="75"/>
        <v>6605.4066250548449</v>
      </c>
      <c r="Z67" s="63">
        <f t="shared" si="76"/>
        <v>70.363852197654808</v>
      </c>
      <c r="AA67" s="63">
        <f t="shared" si="81"/>
        <v>30.784185336473975</v>
      </c>
      <c r="AB67" s="63">
        <f t="shared" si="82"/>
        <v>335</v>
      </c>
      <c r="AC67" s="63">
        <f t="shared" si="83"/>
        <v>10356.36</v>
      </c>
      <c r="AD67" s="63">
        <f t="shared" si="84"/>
        <v>106.9136</v>
      </c>
      <c r="AE67" s="178">
        <v>426</v>
      </c>
    </row>
    <row r="68" spans="1:31" x14ac:dyDescent="0.25">
      <c r="A68" s="167">
        <v>426</v>
      </c>
      <c r="B68" s="167">
        <v>426004</v>
      </c>
      <c r="C68" s="168" t="s">
        <v>2525</v>
      </c>
      <c r="D68" s="168" t="s">
        <v>2526</v>
      </c>
      <c r="E68" s="168" t="s">
        <v>2527</v>
      </c>
      <c r="F68" s="58">
        <v>43262</v>
      </c>
      <c r="G68" s="59">
        <f t="shared" si="77"/>
        <v>2.5561643835616437</v>
      </c>
      <c r="H68" s="63">
        <v>15600</v>
      </c>
      <c r="I68" s="169"/>
      <c r="J68" s="63">
        <v>15600</v>
      </c>
      <c r="K68" s="63">
        <v>15600</v>
      </c>
      <c r="L68" s="63">
        <f>SUM(K68/1040)</f>
        <v>15</v>
      </c>
      <c r="M68" s="63">
        <f t="shared" si="70"/>
        <v>600</v>
      </c>
      <c r="N68" s="63">
        <v>0</v>
      </c>
      <c r="O68" s="65"/>
      <c r="P68" s="65"/>
      <c r="Q68" s="63">
        <v>0</v>
      </c>
      <c r="R68" s="63">
        <f t="shared" si="71"/>
        <v>15600</v>
      </c>
      <c r="S68" s="65"/>
      <c r="T68" s="63">
        <v>200</v>
      </c>
      <c r="U68" s="65"/>
      <c r="V68" s="63">
        <f t="shared" si="72"/>
        <v>15800</v>
      </c>
      <c r="W68" s="63">
        <f t="shared" si="73"/>
        <v>979.6</v>
      </c>
      <c r="X68" s="63">
        <f t="shared" si="74"/>
        <v>229.10000000000002</v>
      </c>
      <c r="Y68" s="63">
        <f t="shared" si="75"/>
        <v>2373.16</v>
      </c>
      <c r="Z68" s="63">
        <f t="shared" si="76"/>
        <v>25.28</v>
      </c>
      <c r="AA68" s="63">
        <f t="shared" si="81"/>
        <v>11.06</v>
      </c>
      <c r="AB68" s="63" t="s">
        <v>2422</v>
      </c>
      <c r="AC68" s="63" t="s">
        <v>2422</v>
      </c>
      <c r="AD68" s="63" t="s">
        <v>2422</v>
      </c>
      <c r="AE68" s="178">
        <v>426</v>
      </c>
    </row>
    <row r="69" spans="1:31" x14ac:dyDescent="0.25">
      <c r="A69" s="167">
        <v>426</v>
      </c>
      <c r="B69" s="167">
        <v>440005</v>
      </c>
      <c r="C69" s="168" t="s">
        <v>253</v>
      </c>
      <c r="D69" s="247"/>
      <c r="E69" s="247"/>
      <c r="F69" s="247"/>
      <c r="G69" s="59"/>
      <c r="H69" s="172">
        <v>9000</v>
      </c>
      <c r="I69" s="173"/>
      <c r="J69" s="172">
        <v>9000</v>
      </c>
      <c r="K69" s="172">
        <v>9000</v>
      </c>
      <c r="L69" s="172">
        <v>4.33</v>
      </c>
      <c r="M69" s="172">
        <v>346.15</v>
      </c>
      <c r="N69" s="172">
        <v>0</v>
      </c>
      <c r="O69" s="314"/>
      <c r="P69" s="314"/>
      <c r="Q69" s="172">
        <v>0</v>
      </c>
      <c r="R69" s="172">
        <f t="shared" si="71"/>
        <v>9000</v>
      </c>
      <c r="S69" s="314"/>
      <c r="T69" s="314"/>
      <c r="U69" s="314"/>
      <c r="V69" s="172">
        <f t="shared" si="72"/>
        <v>9000</v>
      </c>
      <c r="W69" s="172">
        <f t="shared" si="73"/>
        <v>558</v>
      </c>
      <c r="X69" s="172">
        <f t="shared" si="74"/>
        <v>130.5</v>
      </c>
      <c r="Y69" s="172">
        <f t="shared" si="75"/>
        <v>1351.8</v>
      </c>
      <c r="Z69" s="172">
        <f t="shared" si="76"/>
        <v>14.4</v>
      </c>
      <c r="AA69" s="172">
        <f t="shared" si="81"/>
        <v>6.3</v>
      </c>
      <c r="AB69" s="172" t="s">
        <v>2422</v>
      </c>
      <c r="AC69" s="172" t="s">
        <v>2422</v>
      </c>
      <c r="AD69" s="172" t="s">
        <v>2422</v>
      </c>
      <c r="AE69" s="178">
        <v>426</v>
      </c>
    </row>
    <row r="70" spans="1:31" x14ac:dyDescent="0.25">
      <c r="A70" s="167">
        <v>426</v>
      </c>
      <c r="B70" s="247"/>
      <c r="C70" s="247"/>
      <c r="D70" s="247"/>
      <c r="E70" s="247"/>
      <c r="F70" s="247"/>
      <c r="G70" s="247"/>
      <c r="H70" s="175">
        <v>289845.99359999999</v>
      </c>
      <c r="I70" s="303"/>
      <c r="J70" s="175">
        <v>293777.14344000001</v>
      </c>
      <c r="K70" s="175">
        <f t="shared" ref="K70:AD70" si="85">SUM(K63:K69)</f>
        <v>329177.14344000001</v>
      </c>
      <c r="L70" s="175">
        <f t="shared" si="85"/>
        <v>165.76131896153848</v>
      </c>
      <c r="M70" s="175">
        <f t="shared" si="85"/>
        <v>12660.655516923078</v>
      </c>
      <c r="N70" s="175">
        <f t="shared" si="85"/>
        <v>3939.0246575342467</v>
      </c>
      <c r="O70" s="175">
        <f t="shared" si="85"/>
        <v>0</v>
      </c>
      <c r="P70" s="175">
        <f t="shared" si="85"/>
        <v>0</v>
      </c>
      <c r="Q70" s="175">
        <f t="shared" si="85"/>
        <v>3939.0246575342467</v>
      </c>
      <c r="R70" s="175">
        <f t="shared" si="85"/>
        <v>333116.16809753428</v>
      </c>
      <c r="S70" s="175">
        <f t="shared" si="85"/>
        <v>0</v>
      </c>
      <c r="T70" s="175">
        <f t="shared" si="85"/>
        <v>200</v>
      </c>
      <c r="U70" s="175">
        <f t="shared" si="85"/>
        <v>0</v>
      </c>
      <c r="V70" s="175">
        <f t="shared" si="85"/>
        <v>333316.16809753428</v>
      </c>
      <c r="W70" s="175">
        <f t="shared" si="85"/>
        <v>20665.602422047123</v>
      </c>
      <c r="X70" s="175">
        <f t="shared" si="85"/>
        <v>4833.0844374142471</v>
      </c>
      <c r="Y70" s="175">
        <f t="shared" si="85"/>
        <v>50064.088448249648</v>
      </c>
      <c r="Z70" s="175">
        <f t="shared" si="85"/>
        <v>533.30586895605484</v>
      </c>
      <c r="AA70" s="175">
        <f t="shared" si="85"/>
        <v>168.57131766827399</v>
      </c>
      <c r="AB70" s="175">
        <f t="shared" si="85"/>
        <v>1005</v>
      </c>
      <c r="AC70" s="175">
        <f t="shared" si="85"/>
        <v>31069.08</v>
      </c>
      <c r="AD70" s="175">
        <f t="shared" si="85"/>
        <v>320.74080000000004</v>
      </c>
      <c r="AE70" s="178">
        <v>426</v>
      </c>
    </row>
    <row r="71" spans="1:31" x14ac:dyDescent="0.25">
      <c r="A71" s="247"/>
      <c r="B71" s="247"/>
      <c r="C71" s="247"/>
      <c r="D71" s="247"/>
      <c r="E71" s="247"/>
      <c r="F71" s="247"/>
      <c r="G71" s="247"/>
      <c r="H71" s="69">
        <v>280845.99359999999</v>
      </c>
      <c r="I71" s="169"/>
      <c r="J71" s="69">
        <v>120177.14344000001</v>
      </c>
      <c r="K71" s="69">
        <f>K66+K67</f>
        <v>120177.14344000001</v>
      </c>
      <c r="L71" s="65"/>
      <c r="M71" s="65"/>
      <c r="N71" s="65"/>
      <c r="O71" s="65"/>
      <c r="P71" s="65"/>
      <c r="Q71" s="65"/>
      <c r="R71" s="65"/>
      <c r="S71" s="65"/>
      <c r="T71" s="65"/>
      <c r="U71" s="65"/>
      <c r="V71" s="65"/>
      <c r="W71" s="63">
        <f>SUM(W70:X70)</f>
        <v>25498.68685946137</v>
      </c>
      <c r="X71" s="65"/>
      <c r="Y71" s="65"/>
      <c r="Z71" s="65"/>
      <c r="AA71" s="65"/>
      <c r="AB71" s="65"/>
      <c r="AC71" s="63">
        <f>SUM(AC70:AD70)</f>
        <v>31389.820800000001</v>
      </c>
      <c r="AD71" s="65"/>
      <c r="AE71" s="247"/>
    </row>
    <row r="72" spans="1:31" x14ac:dyDescent="0.25">
      <c r="A72" s="247"/>
      <c r="B72" s="247"/>
      <c r="C72" s="247"/>
      <c r="D72" s="247"/>
      <c r="E72" s="247"/>
      <c r="F72" s="247"/>
      <c r="G72" s="247"/>
      <c r="H72" s="65"/>
      <c r="I72" s="169"/>
      <c r="J72" s="65"/>
      <c r="K72" s="65"/>
      <c r="L72" s="65"/>
      <c r="M72" s="65"/>
      <c r="N72" s="65"/>
      <c r="O72" s="65"/>
      <c r="P72" s="65"/>
      <c r="Q72" s="65"/>
      <c r="R72" s="65"/>
      <c r="S72" s="65"/>
      <c r="T72" s="65"/>
      <c r="U72" s="65"/>
      <c r="V72" s="65"/>
      <c r="W72" s="65"/>
      <c r="X72" s="65"/>
      <c r="Y72" s="65"/>
      <c r="Z72" s="65"/>
      <c r="AA72" s="65"/>
      <c r="AB72" s="65"/>
      <c r="AC72" s="65"/>
      <c r="AD72" s="65"/>
      <c r="AE72" s="247"/>
    </row>
    <row r="73" spans="1:31" x14ac:dyDescent="0.25">
      <c r="A73" s="168"/>
      <c r="B73" s="168"/>
      <c r="C73" s="168"/>
      <c r="D73" s="168"/>
      <c r="E73" s="168"/>
      <c r="F73" s="80"/>
      <c r="G73" s="59"/>
      <c r="H73" s="63"/>
      <c r="I73" s="169"/>
      <c r="J73" s="63"/>
      <c r="K73" s="63"/>
      <c r="L73" s="63"/>
      <c r="M73" s="63"/>
      <c r="N73" s="65"/>
      <c r="O73" s="65"/>
      <c r="P73" s="65"/>
      <c r="Q73" s="65"/>
      <c r="R73" s="65"/>
      <c r="S73" s="65"/>
      <c r="T73" s="65"/>
      <c r="U73" s="65"/>
      <c r="V73" s="65"/>
      <c r="W73" s="63"/>
      <c r="X73" s="63"/>
      <c r="Y73" s="63"/>
      <c r="Z73" s="63"/>
      <c r="AA73" s="63"/>
      <c r="AB73" s="63"/>
      <c r="AC73" s="63"/>
      <c r="AD73" s="63"/>
      <c r="AE73" s="247"/>
    </row>
    <row r="74" spans="1:31" x14ac:dyDescent="0.25">
      <c r="A74" s="167">
        <v>431</v>
      </c>
      <c r="B74" s="167">
        <v>431001</v>
      </c>
      <c r="C74" s="168" t="s">
        <v>3968</v>
      </c>
      <c r="D74" s="168" t="s">
        <v>3969</v>
      </c>
      <c r="E74" s="168" t="s">
        <v>2531</v>
      </c>
      <c r="F74" s="58">
        <v>39876</v>
      </c>
      <c r="G74" s="59">
        <f t="shared" ref="G74:G75" si="86">(DATE(2020,12,30)-(F74))/365</f>
        <v>11.832876712328767</v>
      </c>
      <c r="H74" s="63">
        <v>33703.249839999997</v>
      </c>
      <c r="I74" s="169"/>
      <c r="J74" s="63">
        <v>36847.038250000005</v>
      </c>
      <c r="K74" s="63">
        <v>36847.040000000001</v>
      </c>
      <c r="L74" s="63">
        <f t="shared" ref="L74:L75" si="87">SUM(K74/2080)</f>
        <v>17.714923076923078</v>
      </c>
      <c r="M74" s="63">
        <f t="shared" ref="M74:M75" si="88">SUM(K74/26)</f>
        <v>1417.1938461538462</v>
      </c>
      <c r="N74" s="63">
        <f t="shared" ref="N74:N75" si="89">IF(G74&lt;4,0,(G74-1)*$N$7)</f>
        <v>2859.8794520547945</v>
      </c>
      <c r="O74" s="65"/>
      <c r="P74" s="65"/>
      <c r="Q74" s="63">
        <f t="shared" ref="Q74:Q75" si="90">IF(N74+P74&gt;5000,5000,N74+P74)</f>
        <v>2859.8794520547945</v>
      </c>
      <c r="R74" s="63">
        <f t="shared" ref="R74:R75" si="91">Q74+K74</f>
        <v>39706.919452054797</v>
      </c>
      <c r="S74" s="65"/>
      <c r="T74" s="65"/>
      <c r="U74" s="65"/>
      <c r="V74" s="63">
        <f t="shared" ref="V74:V75" si="92">SUM(R74:U74)</f>
        <v>39706.919452054797</v>
      </c>
      <c r="W74" s="63">
        <f t="shared" ref="W74:W75" si="93">SUM(V74*$W$7)</f>
        <v>2461.8290060273976</v>
      </c>
      <c r="X74" s="63">
        <f t="shared" ref="X74:X75" si="94">SUM(V74*$X$7)</f>
        <v>575.75033205479463</v>
      </c>
      <c r="Y74" s="63">
        <f t="shared" ref="Y74:Y75" si="95">SUM(V74*$Y$7)</f>
        <v>5963.9793016986305</v>
      </c>
      <c r="Z74" s="63">
        <f t="shared" ref="Z74:Z75" si="96">SUM(V74*$Z$7)</f>
        <v>63.531071123287681</v>
      </c>
      <c r="AA74" s="63">
        <f t="shared" ref="AA74:AA75" si="97">SUM(V74*$AA$7)</f>
        <v>27.794843616438357</v>
      </c>
      <c r="AB74" s="63">
        <f t="shared" ref="AB74:AB75" si="98">SUM($AB$7)</f>
        <v>335</v>
      </c>
      <c r="AC74" s="63">
        <f t="shared" ref="AC74:AC75" si="99">$AC$7</f>
        <v>10356.36</v>
      </c>
      <c r="AD74" s="63">
        <f t="shared" ref="AD74:AD75" si="100">SUM(AB74+AC74)*$AD$7</f>
        <v>106.9136</v>
      </c>
      <c r="AE74" s="247">
        <v>431</v>
      </c>
    </row>
    <row r="75" spans="1:31" x14ac:dyDescent="0.25">
      <c r="A75" s="167">
        <v>431</v>
      </c>
      <c r="B75" s="167">
        <v>431002</v>
      </c>
      <c r="C75" s="168" t="s">
        <v>3970</v>
      </c>
      <c r="D75" s="271" t="s">
        <v>3329</v>
      </c>
      <c r="E75" s="271" t="s">
        <v>2806</v>
      </c>
      <c r="F75" s="58">
        <v>43831</v>
      </c>
      <c r="G75" s="59">
        <f t="shared" si="86"/>
        <v>0.99726027397260275</v>
      </c>
      <c r="H75" s="172">
        <v>33703.249839999997</v>
      </c>
      <c r="I75" s="172">
        <v>36847.040000000001</v>
      </c>
      <c r="J75" s="172">
        <v>36847.038250000005</v>
      </c>
      <c r="K75" s="172">
        <v>36847.040000000001</v>
      </c>
      <c r="L75" s="172">
        <f t="shared" si="87"/>
        <v>17.714923076923078</v>
      </c>
      <c r="M75" s="172">
        <f t="shared" si="88"/>
        <v>1417.1938461538462</v>
      </c>
      <c r="N75" s="172">
        <f t="shared" si="89"/>
        <v>0</v>
      </c>
      <c r="O75" s="314"/>
      <c r="P75" s="314"/>
      <c r="Q75" s="172">
        <f t="shared" si="90"/>
        <v>0</v>
      </c>
      <c r="R75" s="172">
        <f t="shared" si="91"/>
        <v>36847.040000000001</v>
      </c>
      <c r="S75" s="314"/>
      <c r="T75" s="314"/>
      <c r="U75" s="314"/>
      <c r="V75" s="172">
        <f t="shared" si="92"/>
        <v>36847.040000000001</v>
      </c>
      <c r="W75" s="172">
        <f t="shared" si="93"/>
        <v>2284.5164800000002</v>
      </c>
      <c r="X75" s="172">
        <f t="shared" si="94"/>
        <v>534.28208000000006</v>
      </c>
      <c r="Y75" s="172">
        <f t="shared" si="95"/>
        <v>5534.4254080000001</v>
      </c>
      <c r="Z75" s="172">
        <f t="shared" si="96"/>
        <v>58.955264000000007</v>
      </c>
      <c r="AA75" s="172">
        <f t="shared" si="97"/>
        <v>25.792928</v>
      </c>
      <c r="AB75" s="172">
        <f t="shared" si="98"/>
        <v>335</v>
      </c>
      <c r="AC75" s="172">
        <f t="shared" si="99"/>
        <v>10356.36</v>
      </c>
      <c r="AD75" s="172">
        <f t="shared" si="100"/>
        <v>106.9136</v>
      </c>
      <c r="AE75" s="247">
        <v>431</v>
      </c>
    </row>
    <row r="76" spans="1:31" x14ac:dyDescent="0.25">
      <c r="A76" s="247"/>
      <c r="B76" s="168" t="s">
        <v>0</v>
      </c>
      <c r="C76" s="168" t="s">
        <v>0</v>
      </c>
      <c r="D76" s="168" t="s">
        <v>0</v>
      </c>
      <c r="E76" s="168" t="s">
        <v>0</v>
      </c>
      <c r="F76" s="168" t="s">
        <v>0</v>
      </c>
      <c r="G76" s="59" t="s">
        <v>0</v>
      </c>
      <c r="H76" s="175">
        <v>33703.249839999997</v>
      </c>
      <c r="I76" s="303"/>
      <c r="J76" s="175">
        <v>73694.07650000001</v>
      </c>
      <c r="K76" s="175">
        <f t="shared" ref="K76:AD76" si="101">SUM(K72:K75)</f>
        <v>73694.080000000002</v>
      </c>
      <c r="L76" s="175">
        <f t="shared" si="101"/>
        <v>35.429846153846157</v>
      </c>
      <c r="M76" s="175">
        <f t="shared" si="101"/>
        <v>2834.3876923076923</v>
      </c>
      <c r="N76" s="175">
        <f t="shared" si="101"/>
        <v>2859.8794520547945</v>
      </c>
      <c r="O76" s="175">
        <f t="shared" si="101"/>
        <v>0</v>
      </c>
      <c r="P76" s="175">
        <f t="shared" si="101"/>
        <v>0</v>
      </c>
      <c r="Q76" s="175">
        <f t="shared" si="101"/>
        <v>2859.8794520547945</v>
      </c>
      <c r="R76" s="175">
        <f t="shared" si="101"/>
        <v>76553.959452054798</v>
      </c>
      <c r="S76" s="175">
        <f t="shared" si="101"/>
        <v>0</v>
      </c>
      <c r="T76" s="175">
        <f t="shared" si="101"/>
        <v>0</v>
      </c>
      <c r="U76" s="175">
        <f t="shared" si="101"/>
        <v>0</v>
      </c>
      <c r="V76" s="175">
        <f t="shared" si="101"/>
        <v>76553.959452054798</v>
      </c>
      <c r="W76" s="175">
        <f t="shared" si="101"/>
        <v>4746.3454860273978</v>
      </c>
      <c r="X76" s="175">
        <f t="shared" si="101"/>
        <v>1110.0324120547948</v>
      </c>
      <c r="Y76" s="175">
        <f t="shared" si="101"/>
        <v>11498.404709698631</v>
      </c>
      <c r="Z76" s="175">
        <f t="shared" si="101"/>
        <v>122.48633512328769</v>
      </c>
      <c r="AA76" s="175">
        <f t="shared" si="101"/>
        <v>53.58777161643836</v>
      </c>
      <c r="AB76" s="175">
        <f t="shared" si="101"/>
        <v>670</v>
      </c>
      <c r="AC76" s="175">
        <f t="shared" si="101"/>
        <v>20712.72</v>
      </c>
      <c r="AD76" s="175">
        <f t="shared" si="101"/>
        <v>213.8272</v>
      </c>
      <c r="AE76" s="178">
        <v>431</v>
      </c>
    </row>
    <row r="77" spans="1:31" x14ac:dyDescent="0.25">
      <c r="A77" s="247"/>
      <c r="B77" s="247"/>
      <c r="C77" s="247"/>
      <c r="D77" s="247"/>
      <c r="E77" s="247"/>
      <c r="F77" s="247"/>
      <c r="G77" s="247"/>
      <c r="H77" s="65"/>
      <c r="I77" s="169"/>
      <c r="J77" s="65"/>
      <c r="K77" s="65"/>
      <c r="L77" s="65"/>
      <c r="M77" s="65"/>
      <c r="N77" s="65"/>
      <c r="O77" s="65"/>
      <c r="P77" s="65"/>
      <c r="Q77" s="65"/>
      <c r="R77" s="65"/>
      <c r="S77" s="65"/>
      <c r="T77" s="65"/>
      <c r="U77" s="65"/>
      <c r="V77" s="65"/>
      <c r="W77" s="63">
        <f>SUM(W76:X76)</f>
        <v>5856.3778980821926</v>
      </c>
      <c r="X77" s="65"/>
      <c r="Y77" s="65"/>
      <c r="Z77" s="65"/>
      <c r="AA77" s="65"/>
      <c r="AB77" s="65"/>
      <c r="AC77" s="63">
        <f>SUM(AC76:AD76)</f>
        <v>20926.547200000001</v>
      </c>
      <c r="AD77" s="65"/>
      <c r="AE77" s="247"/>
    </row>
    <row r="78" spans="1:31" x14ac:dyDescent="0.25">
      <c r="A78" s="247"/>
      <c r="B78" s="247"/>
      <c r="C78" s="247"/>
      <c r="D78" s="247"/>
      <c r="E78" s="247"/>
      <c r="F78" s="247"/>
      <c r="G78" s="247"/>
      <c r="H78" s="65"/>
      <c r="I78" s="169"/>
      <c r="J78" s="65"/>
      <c r="K78" s="65"/>
      <c r="L78" s="65"/>
      <c r="M78" s="65"/>
      <c r="N78" s="65"/>
      <c r="O78" s="65"/>
      <c r="P78" s="65"/>
      <c r="Q78" s="65"/>
      <c r="R78" s="65"/>
      <c r="S78" s="65"/>
      <c r="T78" s="65"/>
      <c r="U78" s="65"/>
      <c r="V78" s="65"/>
      <c r="W78" s="65"/>
      <c r="X78" s="65"/>
      <c r="Y78" s="65"/>
      <c r="Z78" s="65"/>
      <c r="AA78" s="65"/>
      <c r="AB78" s="65"/>
      <c r="AC78" s="65"/>
      <c r="AD78" s="65"/>
      <c r="AE78" s="247"/>
    </row>
    <row r="79" spans="1:31" x14ac:dyDescent="0.25">
      <c r="A79" s="247"/>
      <c r="B79" s="247"/>
      <c r="C79" s="247"/>
      <c r="D79" s="247"/>
      <c r="E79" s="247"/>
      <c r="F79" s="247"/>
      <c r="G79" s="247"/>
      <c r="H79" s="65"/>
      <c r="I79" s="169"/>
      <c r="J79" s="65"/>
      <c r="K79" s="65"/>
      <c r="L79" s="65"/>
      <c r="M79" s="65"/>
      <c r="N79" s="65"/>
      <c r="O79" s="65"/>
      <c r="P79" s="65"/>
      <c r="Q79" s="65"/>
      <c r="R79" s="65"/>
      <c r="S79" s="65"/>
      <c r="T79" s="65"/>
      <c r="U79" s="65"/>
      <c r="V79" s="65"/>
      <c r="W79" s="65"/>
      <c r="X79" s="65"/>
      <c r="Y79" s="65"/>
      <c r="Z79" s="65"/>
      <c r="AA79" s="65"/>
      <c r="AB79" s="65"/>
      <c r="AC79" s="65"/>
      <c r="AD79" s="65"/>
      <c r="AE79" s="247"/>
    </row>
    <row r="80" spans="1:31" x14ac:dyDescent="0.25">
      <c r="A80" s="247"/>
      <c r="B80" s="247"/>
      <c r="C80" s="247"/>
      <c r="D80" s="247"/>
      <c r="E80" s="247"/>
      <c r="F80" s="247"/>
      <c r="G80" s="247"/>
      <c r="H80" s="65"/>
      <c r="I80" s="169"/>
      <c r="J80" s="65"/>
      <c r="K80" s="65"/>
      <c r="L80" s="65"/>
      <c r="M80" s="65"/>
      <c r="N80" s="65"/>
      <c r="O80" s="65"/>
      <c r="P80" s="65"/>
      <c r="Q80" s="65"/>
      <c r="R80" s="65"/>
      <c r="S80" s="65"/>
      <c r="T80" s="65"/>
      <c r="U80" s="65"/>
      <c r="V80" s="65"/>
      <c r="W80" s="65"/>
      <c r="X80" s="65"/>
      <c r="Y80" s="65"/>
      <c r="Z80" s="65"/>
      <c r="AA80" s="65"/>
      <c r="AB80" s="65"/>
      <c r="AC80" s="65"/>
      <c r="AD80" s="65"/>
      <c r="AE80" s="247"/>
    </row>
    <row r="81" spans="1:31" x14ac:dyDescent="0.25">
      <c r="A81" s="247"/>
      <c r="B81" s="247"/>
      <c r="C81" s="247"/>
      <c r="D81" s="247"/>
      <c r="E81" s="247"/>
      <c r="F81" s="247"/>
      <c r="G81" s="247"/>
      <c r="H81" s="65"/>
      <c r="I81" s="169"/>
      <c r="J81" s="65"/>
      <c r="K81" s="65"/>
      <c r="L81" s="65"/>
      <c r="M81" s="65"/>
      <c r="N81" s="65"/>
      <c r="O81" s="65"/>
      <c r="P81" s="65"/>
      <c r="Q81" s="65"/>
      <c r="R81" s="65"/>
      <c r="S81" s="65"/>
      <c r="T81" s="65"/>
      <c r="U81" s="65"/>
      <c r="V81" s="65"/>
      <c r="W81" s="65"/>
      <c r="X81" s="65"/>
      <c r="Y81" s="65"/>
      <c r="Z81" s="65"/>
      <c r="AA81" s="65"/>
      <c r="AB81" s="65"/>
      <c r="AC81" s="65"/>
      <c r="AD81" s="65"/>
      <c r="AE81" s="247"/>
    </row>
    <row r="82" spans="1:31" x14ac:dyDescent="0.25">
      <c r="A82" s="167">
        <v>433</v>
      </c>
      <c r="B82" s="167">
        <v>433001</v>
      </c>
      <c r="C82" s="168" t="s">
        <v>2535</v>
      </c>
      <c r="D82" s="168" t="s">
        <v>2536</v>
      </c>
      <c r="E82" s="168" t="s">
        <v>2537</v>
      </c>
      <c r="F82" s="58">
        <v>39297</v>
      </c>
      <c r="G82" s="59">
        <f t="shared" ref="G82:G83" si="102">(DATE(2020,12,30)-(F82))/365</f>
        <v>13.419178082191781</v>
      </c>
      <c r="H82" s="63">
        <v>42209.279999999999</v>
      </c>
      <c r="I82" s="57">
        <v>43264.51</v>
      </c>
      <c r="J82" s="63">
        <v>42209.279999999999</v>
      </c>
      <c r="K82" s="57">
        <v>42209.279999999999</v>
      </c>
      <c r="L82" s="63">
        <f t="shared" ref="L82:L83" si="103">SUM(K82/2080)</f>
        <v>20.292923076923078</v>
      </c>
      <c r="M82" s="63">
        <f t="shared" ref="M82:M83" si="104">SUM(K82/26)</f>
        <v>1623.4338461538462</v>
      </c>
      <c r="N82" s="63">
        <f t="shared" ref="N82:N83" si="105">IF(G82&lt;4,0,(G82-1)*$N$7)</f>
        <v>3278.66301369863</v>
      </c>
      <c r="O82" s="65"/>
      <c r="P82" s="63">
        <f>-SUM(N82*0.46)</f>
        <v>-1508.1849863013699</v>
      </c>
      <c r="Q82" s="63">
        <f t="shared" ref="Q82:Q83" si="106">IF(N82+P82&gt;5000,5000,N82+P82)</f>
        <v>1770.4780273972601</v>
      </c>
      <c r="R82" s="63">
        <f t="shared" ref="R82:R83" si="107">Q82+K82</f>
        <v>43979.758027397256</v>
      </c>
      <c r="S82" s="65"/>
      <c r="T82" s="65"/>
      <c r="U82" s="65"/>
      <c r="V82" s="63">
        <f t="shared" ref="V82:V86" si="108">SUM(R82:U82)</f>
        <v>43979.758027397256</v>
      </c>
      <c r="W82" s="63">
        <f t="shared" ref="W82:W86" si="109">SUM(V82*$W$7)</f>
        <v>2726.74499769863</v>
      </c>
      <c r="X82" s="63">
        <f t="shared" ref="X82:X86" si="110">SUM(V82*$X$7)</f>
        <v>637.70649139726027</v>
      </c>
      <c r="Y82" s="63">
        <f t="shared" ref="Y82:Y86" si="111">SUM(V82*$Y$7)</f>
        <v>6605.7596557150682</v>
      </c>
      <c r="Z82" s="63">
        <f t="shared" ref="Z82:Z86" si="112">SUM(V82*$Z$7)</f>
        <v>70.367612843835616</v>
      </c>
      <c r="AA82" s="63">
        <f t="shared" ref="AA82:AA83" si="113">SUM(V82*$AA$7)</f>
        <v>30.785830619178078</v>
      </c>
      <c r="AB82" s="63">
        <f t="shared" ref="AB82:AB83" si="114">SUM($AB$7)</f>
        <v>335</v>
      </c>
      <c r="AC82" s="63">
        <f t="shared" ref="AC82:AC83" si="115">$AC$7</f>
        <v>10356.36</v>
      </c>
      <c r="AD82" s="63">
        <f t="shared" ref="AD82:AD83" si="116">SUM(AB82+AC82)*$AD$7</f>
        <v>106.9136</v>
      </c>
      <c r="AE82" s="178">
        <v>433</v>
      </c>
    </row>
    <row r="83" spans="1:31" x14ac:dyDescent="0.25">
      <c r="A83" s="167">
        <v>433</v>
      </c>
      <c r="B83" s="167">
        <v>433003</v>
      </c>
      <c r="C83" s="168" t="s">
        <v>2539</v>
      </c>
      <c r="D83" s="185" t="s">
        <v>3762</v>
      </c>
      <c r="E83" s="185" t="s">
        <v>3763</v>
      </c>
      <c r="F83" s="87">
        <v>33100</v>
      </c>
      <c r="G83" s="59">
        <f t="shared" si="102"/>
        <v>30.397260273972602</v>
      </c>
      <c r="H83" s="63">
        <v>39068.126079999995</v>
      </c>
      <c r="I83" s="63">
        <v>40044.83</v>
      </c>
      <c r="J83" s="63">
        <v>40044.829231999996</v>
      </c>
      <c r="K83" s="63">
        <f>SUM(((J83*$K$3)+$K$2)+J83)</f>
        <v>40044.829231999996</v>
      </c>
      <c r="L83" s="63">
        <f t="shared" si="103"/>
        <v>19.252321746153843</v>
      </c>
      <c r="M83" s="63">
        <f t="shared" si="104"/>
        <v>1540.1857396923076</v>
      </c>
      <c r="N83" s="63">
        <f t="shared" si="105"/>
        <v>7760.8767123287671</v>
      </c>
      <c r="O83" s="65"/>
      <c r="P83" s="65"/>
      <c r="Q83" s="63">
        <f t="shared" si="106"/>
        <v>5000</v>
      </c>
      <c r="R83" s="63">
        <f t="shared" si="107"/>
        <v>45044.829231999996</v>
      </c>
      <c r="S83" s="65"/>
      <c r="T83" s="65"/>
      <c r="U83" s="65"/>
      <c r="V83" s="63">
        <f t="shared" si="108"/>
        <v>45044.829231999996</v>
      </c>
      <c r="W83" s="63">
        <f t="shared" si="109"/>
        <v>2792.7794123839999</v>
      </c>
      <c r="X83" s="63">
        <f t="shared" si="110"/>
        <v>653.15002386399999</v>
      </c>
      <c r="Y83" s="63">
        <f t="shared" si="111"/>
        <v>6765.7333506463992</v>
      </c>
      <c r="Z83" s="63">
        <f t="shared" si="112"/>
        <v>72.071726771199991</v>
      </c>
      <c r="AA83" s="63">
        <f t="shared" si="113"/>
        <v>31.531380462399998</v>
      </c>
      <c r="AB83" s="63">
        <f t="shared" si="114"/>
        <v>335</v>
      </c>
      <c r="AC83" s="63">
        <f t="shared" si="115"/>
        <v>10356.36</v>
      </c>
      <c r="AD83" s="63">
        <f t="shared" si="116"/>
        <v>106.9136</v>
      </c>
      <c r="AE83" s="178">
        <v>433</v>
      </c>
    </row>
    <row r="84" spans="1:31" x14ac:dyDescent="0.25">
      <c r="A84" s="167">
        <v>433</v>
      </c>
      <c r="B84" s="167">
        <v>440001</v>
      </c>
      <c r="C84" s="168" t="s">
        <v>2543</v>
      </c>
      <c r="D84" s="168" t="s">
        <v>2544</v>
      </c>
      <c r="E84" s="168" t="s">
        <v>2527</v>
      </c>
      <c r="F84" s="58">
        <v>39269</v>
      </c>
      <c r="G84" s="167" t="s">
        <v>2422</v>
      </c>
      <c r="H84" s="63">
        <v>9000</v>
      </c>
      <c r="I84" s="63">
        <v>9000</v>
      </c>
      <c r="J84" s="63">
        <v>9000</v>
      </c>
      <c r="K84" s="63">
        <v>9000</v>
      </c>
      <c r="L84" s="63">
        <v>4.33</v>
      </c>
      <c r="M84" s="63">
        <v>346.15</v>
      </c>
      <c r="N84" s="63" t="s">
        <v>27</v>
      </c>
      <c r="O84" s="65"/>
      <c r="P84" s="65"/>
      <c r="Q84" s="63">
        <v>0</v>
      </c>
      <c r="R84" s="63">
        <v>9000</v>
      </c>
      <c r="S84" s="65"/>
      <c r="T84" s="65"/>
      <c r="U84" s="65"/>
      <c r="V84" s="63">
        <f t="shared" si="108"/>
        <v>9000</v>
      </c>
      <c r="W84" s="63">
        <f t="shared" si="109"/>
        <v>558</v>
      </c>
      <c r="X84" s="63">
        <f t="shared" si="110"/>
        <v>130.5</v>
      </c>
      <c r="Y84" s="63">
        <f t="shared" si="111"/>
        <v>1351.8</v>
      </c>
      <c r="Z84" s="63">
        <f t="shared" si="112"/>
        <v>14.4</v>
      </c>
      <c r="AA84" s="82" t="s">
        <v>2420</v>
      </c>
      <c r="AB84" s="82" t="s">
        <v>2420</v>
      </c>
      <c r="AC84" s="82" t="s">
        <v>2420</v>
      </c>
      <c r="AD84" s="82" t="s">
        <v>2420</v>
      </c>
      <c r="AE84" s="178">
        <v>433</v>
      </c>
    </row>
    <row r="85" spans="1:31" x14ac:dyDescent="0.25">
      <c r="A85" s="167">
        <v>433</v>
      </c>
      <c r="B85" s="167">
        <v>440001</v>
      </c>
      <c r="C85" s="181" t="s">
        <v>2545</v>
      </c>
      <c r="D85" s="181" t="s">
        <v>2544</v>
      </c>
      <c r="E85" s="181" t="s">
        <v>2546</v>
      </c>
      <c r="F85" s="87">
        <v>39269</v>
      </c>
      <c r="G85" s="189" t="s">
        <v>2422</v>
      </c>
      <c r="H85" s="57">
        <v>1405.0670400000001</v>
      </c>
      <c r="I85" s="57">
        <v>1405.07</v>
      </c>
      <c r="J85" s="57">
        <v>1405.07</v>
      </c>
      <c r="K85" s="57">
        <v>1405.07</v>
      </c>
      <c r="L85" s="63">
        <v>0.52</v>
      </c>
      <c r="M85" s="63">
        <v>41.62</v>
      </c>
      <c r="N85" s="63" t="s">
        <v>27</v>
      </c>
      <c r="O85" s="65"/>
      <c r="P85" s="65"/>
      <c r="Q85" s="63">
        <v>0</v>
      </c>
      <c r="R85" s="63">
        <v>1082.22</v>
      </c>
      <c r="S85" s="65"/>
      <c r="T85" s="65"/>
      <c r="U85" s="65"/>
      <c r="V85" s="63">
        <f t="shared" si="108"/>
        <v>1082.22</v>
      </c>
      <c r="W85" s="63">
        <f t="shared" si="109"/>
        <v>67.097639999999998</v>
      </c>
      <c r="X85" s="63">
        <f t="shared" si="110"/>
        <v>15.692190000000002</v>
      </c>
      <c r="Y85" s="63">
        <f t="shared" si="111"/>
        <v>162.54944399999999</v>
      </c>
      <c r="Z85" s="63">
        <f t="shared" si="112"/>
        <v>1.7315520000000002</v>
      </c>
      <c r="AA85" s="82" t="s">
        <v>2420</v>
      </c>
      <c r="AB85" s="82" t="s">
        <v>2420</v>
      </c>
      <c r="AC85" s="82" t="s">
        <v>2420</v>
      </c>
      <c r="AD85" s="82" t="s">
        <v>2420</v>
      </c>
      <c r="AE85" s="178">
        <v>433</v>
      </c>
    </row>
    <row r="86" spans="1:31" x14ac:dyDescent="0.25">
      <c r="A86" s="167">
        <v>433</v>
      </c>
      <c r="B86" s="167">
        <v>433003</v>
      </c>
      <c r="C86" s="168" t="s">
        <v>2525</v>
      </c>
      <c r="D86" s="247"/>
      <c r="E86" s="247"/>
      <c r="F86" s="247"/>
      <c r="G86" s="247"/>
      <c r="H86" s="172">
        <v>8320</v>
      </c>
      <c r="I86" s="173"/>
      <c r="J86" s="172">
        <v>8320</v>
      </c>
      <c r="K86" s="172">
        <v>8320</v>
      </c>
      <c r="L86" s="314"/>
      <c r="M86" s="314"/>
      <c r="N86" s="172" t="s">
        <v>27</v>
      </c>
      <c r="O86" s="314"/>
      <c r="P86" s="314"/>
      <c r="Q86" s="172">
        <v>0</v>
      </c>
      <c r="R86" s="172">
        <v>8320</v>
      </c>
      <c r="S86" s="314"/>
      <c r="T86" s="314"/>
      <c r="U86" s="314"/>
      <c r="V86" s="172">
        <f t="shared" si="108"/>
        <v>8320</v>
      </c>
      <c r="W86" s="172">
        <f t="shared" si="109"/>
        <v>515.84</v>
      </c>
      <c r="X86" s="172">
        <f t="shared" si="110"/>
        <v>120.64</v>
      </c>
      <c r="Y86" s="172">
        <f t="shared" si="111"/>
        <v>1249.664</v>
      </c>
      <c r="Z86" s="172">
        <f t="shared" si="112"/>
        <v>13.312000000000001</v>
      </c>
      <c r="AA86" s="172">
        <f>SUM(V86*$AA$7)</f>
        <v>5.8239999999999998</v>
      </c>
      <c r="AB86" s="172" t="s">
        <v>2422</v>
      </c>
      <c r="AC86" s="172" t="s">
        <v>2422</v>
      </c>
      <c r="AD86" s="172" t="s">
        <v>2422</v>
      </c>
      <c r="AE86" s="178">
        <v>433</v>
      </c>
    </row>
    <row r="87" spans="1:31" x14ac:dyDescent="0.25">
      <c r="A87" s="167">
        <v>433</v>
      </c>
      <c r="B87" s="247"/>
      <c r="C87" s="247"/>
      <c r="D87" s="247"/>
      <c r="E87" s="247"/>
      <c r="F87" s="247"/>
      <c r="G87" s="247"/>
      <c r="H87" s="175">
        <v>100002.47311999998</v>
      </c>
      <c r="I87" s="303"/>
      <c r="J87" s="175">
        <v>100979.17923199999</v>
      </c>
      <c r="K87" s="175">
        <f t="shared" ref="K87:AD87" si="117">SUM(K81:K86)</f>
        <v>100979.17923199999</v>
      </c>
      <c r="L87" s="175">
        <f t="shared" si="117"/>
        <v>44.395244823076922</v>
      </c>
      <c r="M87" s="175">
        <f t="shared" si="117"/>
        <v>3551.3895858461538</v>
      </c>
      <c r="N87" s="175">
        <f t="shared" si="117"/>
        <v>11039.539726027397</v>
      </c>
      <c r="O87" s="175">
        <f t="shared" si="117"/>
        <v>0</v>
      </c>
      <c r="P87" s="175">
        <f t="shared" si="117"/>
        <v>-1508.1849863013699</v>
      </c>
      <c r="Q87" s="175">
        <f t="shared" si="117"/>
        <v>6770.4780273972601</v>
      </c>
      <c r="R87" s="175">
        <f t="shared" si="117"/>
        <v>107426.80725939726</v>
      </c>
      <c r="S87" s="175">
        <f t="shared" si="117"/>
        <v>0</v>
      </c>
      <c r="T87" s="175">
        <f t="shared" si="117"/>
        <v>0</v>
      </c>
      <c r="U87" s="175">
        <f t="shared" si="117"/>
        <v>0</v>
      </c>
      <c r="V87" s="175">
        <f t="shared" si="117"/>
        <v>107426.80725939726</v>
      </c>
      <c r="W87" s="175">
        <f t="shared" si="117"/>
        <v>6660.4620500826295</v>
      </c>
      <c r="X87" s="175">
        <f t="shared" si="117"/>
        <v>1557.6887052612603</v>
      </c>
      <c r="Y87" s="175">
        <f t="shared" si="117"/>
        <v>16135.506450361467</v>
      </c>
      <c r="Z87" s="175">
        <f t="shared" si="117"/>
        <v>171.88289161503562</v>
      </c>
      <c r="AA87" s="175">
        <f t="shared" si="117"/>
        <v>68.141211081578078</v>
      </c>
      <c r="AB87" s="175">
        <f t="shared" si="117"/>
        <v>670</v>
      </c>
      <c r="AC87" s="175">
        <f t="shared" si="117"/>
        <v>20712.72</v>
      </c>
      <c r="AD87" s="175">
        <f t="shared" si="117"/>
        <v>213.8272</v>
      </c>
      <c r="AE87" s="178">
        <v>433</v>
      </c>
    </row>
    <row r="88" spans="1:31" x14ac:dyDescent="0.25">
      <c r="A88" s="247"/>
      <c r="B88" s="247"/>
      <c r="C88" s="247"/>
      <c r="D88" s="247"/>
      <c r="E88" s="247"/>
      <c r="F88" s="247"/>
      <c r="G88" s="247"/>
      <c r="H88" s="69">
        <v>91682.473119999981</v>
      </c>
      <c r="I88" s="169"/>
      <c r="J88" s="69">
        <v>82254.109231999988</v>
      </c>
      <c r="K88" s="69">
        <f>K82+K83</f>
        <v>82254.109231999988</v>
      </c>
      <c r="L88" s="65"/>
      <c r="M88" s="65"/>
      <c r="N88" s="65"/>
      <c r="O88" s="65"/>
      <c r="P88" s="65"/>
      <c r="Q88" s="65"/>
      <c r="R88" s="65"/>
      <c r="S88" s="65"/>
      <c r="T88" s="65"/>
      <c r="U88" s="65"/>
      <c r="V88" s="65"/>
      <c r="W88" s="63">
        <f>SUM(W87:X87)</f>
        <v>8218.1507553438896</v>
      </c>
      <c r="X88" s="65"/>
      <c r="Y88" s="65"/>
      <c r="Z88" s="65"/>
      <c r="AA88" s="65"/>
      <c r="AB88" s="65"/>
      <c r="AC88" s="63">
        <f>SUM(AC87:AD87)</f>
        <v>20926.547200000001</v>
      </c>
      <c r="AD88" s="65"/>
      <c r="AE88" s="247"/>
    </row>
    <row r="89" spans="1:31" x14ac:dyDescent="0.25">
      <c r="A89" s="247"/>
      <c r="B89" s="247"/>
      <c r="C89" s="247"/>
      <c r="D89" s="247"/>
      <c r="E89" s="247"/>
      <c r="F89" s="247"/>
      <c r="G89" s="247"/>
      <c r="H89" s="65"/>
      <c r="I89" s="169"/>
      <c r="J89" s="65"/>
      <c r="K89" s="65"/>
      <c r="L89" s="65"/>
      <c r="M89" s="65"/>
      <c r="N89" s="65"/>
      <c r="O89" s="65"/>
      <c r="P89" s="65"/>
      <c r="Q89" s="65"/>
      <c r="R89" s="65"/>
      <c r="S89" s="65"/>
      <c r="T89" s="65"/>
      <c r="U89" s="65"/>
      <c r="V89" s="65"/>
      <c r="W89" s="65"/>
      <c r="X89" s="65"/>
      <c r="Y89" s="65"/>
      <c r="Z89" s="65"/>
      <c r="AA89" s="65"/>
      <c r="AB89" s="65"/>
      <c r="AC89" s="65"/>
      <c r="AD89" s="65"/>
      <c r="AE89" s="247"/>
    </row>
    <row r="90" spans="1:31" x14ac:dyDescent="0.25">
      <c r="A90" s="247"/>
      <c r="B90" s="247"/>
      <c r="C90" s="247"/>
      <c r="D90" s="247"/>
      <c r="E90" s="247"/>
      <c r="F90" s="247"/>
      <c r="G90" s="247"/>
      <c r="H90" s="65"/>
      <c r="I90" s="169"/>
      <c r="J90" s="65"/>
      <c r="K90" s="65"/>
      <c r="L90" s="65"/>
      <c r="M90" s="65"/>
      <c r="N90" s="65"/>
      <c r="O90" s="65"/>
      <c r="P90" s="65"/>
      <c r="Q90" s="65"/>
      <c r="R90" s="65"/>
      <c r="S90" s="65"/>
      <c r="T90" s="65"/>
      <c r="U90" s="65"/>
      <c r="V90" s="65"/>
      <c r="W90" s="65"/>
      <c r="X90" s="65"/>
      <c r="Y90" s="65"/>
      <c r="Z90" s="65"/>
      <c r="AA90" s="65"/>
      <c r="AB90" s="65"/>
      <c r="AC90" s="65"/>
      <c r="AD90" s="65"/>
      <c r="AE90" s="247"/>
    </row>
    <row r="91" spans="1:31" x14ac:dyDescent="0.25">
      <c r="A91" s="167">
        <v>434</v>
      </c>
      <c r="B91" s="167">
        <v>434001</v>
      </c>
      <c r="C91" s="168" t="s">
        <v>2547</v>
      </c>
      <c r="D91" s="168" t="s">
        <v>2548</v>
      </c>
      <c r="E91" s="168" t="s">
        <v>2549</v>
      </c>
      <c r="F91" s="58">
        <v>42891</v>
      </c>
      <c r="G91" s="59">
        <f t="shared" ref="G91:G93" si="118">(DATE(2020,12,30)-(F91))/365</f>
        <v>3.5726027397260274</v>
      </c>
      <c r="H91" s="63">
        <v>78184.156560000003</v>
      </c>
      <c r="I91" s="63">
        <v>80138.759999999995</v>
      </c>
      <c r="J91" s="63">
        <v>80138.76047400001</v>
      </c>
      <c r="K91" s="63">
        <f t="shared" ref="K91:K93" si="119">SUM(((J91*$K$3)+$K$2)+J91)</f>
        <v>80138.76047400001</v>
      </c>
      <c r="L91" s="63">
        <f t="shared" ref="L91:L93" si="120">SUM(K91/2080)</f>
        <v>38.52825022788462</v>
      </c>
      <c r="M91" s="63">
        <f t="shared" ref="M91:M93" si="121">SUM(K91/26)</f>
        <v>3082.2600182307697</v>
      </c>
      <c r="N91" s="63">
        <f t="shared" ref="N91:N93" si="122">IF(G91&lt;4,0,(G91-1)*$N$7)</f>
        <v>0</v>
      </c>
      <c r="O91" s="65"/>
      <c r="P91" s="65"/>
      <c r="Q91" s="63">
        <f t="shared" ref="Q91:Q93" si="123">IF(N91+P91&gt;5000,5000,N91+P91)</f>
        <v>0</v>
      </c>
      <c r="R91" s="63">
        <f t="shared" ref="R91:R95" si="124">Q91+K91</f>
        <v>80138.76047400001</v>
      </c>
      <c r="S91" s="65"/>
      <c r="T91" s="65"/>
      <c r="U91" s="65"/>
      <c r="V91" s="63">
        <f t="shared" ref="V91:V95" si="125">SUM(R91:U91)</f>
        <v>80138.76047400001</v>
      </c>
      <c r="W91" s="63">
        <f t="shared" ref="W91:W95" si="126">SUM(V91*$W$7)</f>
        <v>4968.6031493880009</v>
      </c>
      <c r="X91" s="63">
        <f t="shared" ref="X91:X95" si="127">SUM(V91*$X$7)</f>
        <v>1162.0120268730002</v>
      </c>
      <c r="Y91" s="63">
        <f t="shared" ref="Y91:Y95" si="128">SUM(V91*$Y$7)</f>
        <v>12036.841823194802</v>
      </c>
      <c r="Z91" s="63">
        <f t="shared" ref="Z91:Z95" si="129">SUM(V91*$Z$7)</f>
        <v>128.22201675840003</v>
      </c>
      <c r="AA91" s="63">
        <f t="shared" ref="AA91:AA95" si="130">SUM(V91*$AA$7)</f>
        <v>56.097132331800005</v>
      </c>
      <c r="AB91" s="63">
        <f t="shared" ref="AB91:AB93" si="131">SUM($AB$7)</f>
        <v>335</v>
      </c>
      <c r="AC91" s="63">
        <f t="shared" ref="AC91:AC93" si="132">$AC$7</f>
        <v>10356.36</v>
      </c>
      <c r="AD91" s="63">
        <f t="shared" ref="AD91:AD93" si="133">SUM(AB91+AC91)*$AD$7</f>
        <v>106.9136</v>
      </c>
      <c r="AE91" s="178">
        <v>434</v>
      </c>
    </row>
    <row r="92" spans="1:31" x14ac:dyDescent="0.25">
      <c r="A92" s="167">
        <v>434</v>
      </c>
      <c r="B92" s="167">
        <v>434002</v>
      </c>
      <c r="C92" s="168" t="s">
        <v>2550</v>
      </c>
      <c r="D92" s="168" t="s">
        <v>2551</v>
      </c>
      <c r="E92" s="168" t="s">
        <v>2552</v>
      </c>
      <c r="F92" s="58">
        <v>41831</v>
      </c>
      <c r="G92" s="59">
        <f t="shared" si="118"/>
        <v>6.4767123287671229</v>
      </c>
      <c r="H92" s="63">
        <v>35804.876319999996</v>
      </c>
      <c r="I92" s="63">
        <v>36700</v>
      </c>
      <c r="J92" s="63">
        <v>36699.998227999997</v>
      </c>
      <c r="K92" s="63">
        <f t="shared" si="119"/>
        <v>36699.998227999997</v>
      </c>
      <c r="L92" s="63">
        <f t="shared" si="120"/>
        <v>17.64422991730769</v>
      </c>
      <c r="M92" s="63">
        <f t="shared" si="121"/>
        <v>1411.5383933846153</v>
      </c>
      <c r="N92" s="63">
        <f t="shared" si="122"/>
        <v>1445.8520547945204</v>
      </c>
      <c r="O92" s="65"/>
      <c r="P92" s="65"/>
      <c r="Q92" s="63">
        <f t="shared" si="123"/>
        <v>1445.8520547945204</v>
      </c>
      <c r="R92" s="63">
        <f t="shared" si="124"/>
        <v>38145.850282794519</v>
      </c>
      <c r="S92" s="65"/>
      <c r="T92" s="65"/>
      <c r="U92" s="65"/>
      <c r="V92" s="63">
        <f t="shared" si="125"/>
        <v>38145.850282794519</v>
      </c>
      <c r="W92" s="63">
        <f t="shared" si="126"/>
        <v>2365.0427175332602</v>
      </c>
      <c r="X92" s="63">
        <f t="shared" si="127"/>
        <v>553.11482910052052</v>
      </c>
      <c r="Y92" s="63">
        <f t="shared" si="128"/>
        <v>5729.506712475737</v>
      </c>
      <c r="Z92" s="63">
        <f t="shared" si="129"/>
        <v>61.033360452471236</v>
      </c>
      <c r="AA92" s="63">
        <f t="shared" si="130"/>
        <v>26.702095197956162</v>
      </c>
      <c r="AB92" s="63">
        <f t="shared" si="131"/>
        <v>335</v>
      </c>
      <c r="AC92" s="63">
        <f t="shared" si="132"/>
        <v>10356.36</v>
      </c>
      <c r="AD92" s="63">
        <f t="shared" si="133"/>
        <v>106.9136</v>
      </c>
      <c r="AE92" s="178">
        <v>434</v>
      </c>
    </row>
    <row r="93" spans="1:31" x14ac:dyDescent="0.25">
      <c r="A93" s="167">
        <v>434</v>
      </c>
      <c r="B93" s="167">
        <v>434003</v>
      </c>
      <c r="C93" s="168" t="s">
        <v>2553</v>
      </c>
      <c r="D93" s="168" t="s">
        <v>2554</v>
      </c>
      <c r="E93" s="168" t="s">
        <v>2555</v>
      </c>
      <c r="F93" s="58">
        <v>42588</v>
      </c>
      <c r="G93" s="59">
        <f t="shared" si="118"/>
        <v>4.4027397260273968</v>
      </c>
      <c r="H93" s="63">
        <v>39061.837040000006</v>
      </c>
      <c r="I93" s="63">
        <v>40038.379999999997</v>
      </c>
      <c r="J93" s="63">
        <v>40038.382966000005</v>
      </c>
      <c r="K93" s="63">
        <f t="shared" si="119"/>
        <v>40038.382966000005</v>
      </c>
      <c r="L93" s="63">
        <f t="shared" si="120"/>
        <v>19.249222579807693</v>
      </c>
      <c r="M93" s="63">
        <f t="shared" si="121"/>
        <v>1539.9378063846157</v>
      </c>
      <c r="N93" s="63">
        <f t="shared" si="122"/>
        <v>898.32328767123272</v>
      </c>
      <c r="O93" s="65"/>
      <c r="P93" s="65"/>
      <c r="Q93" s="63">
        <f t="shared" si="123"/>
        <v>898.32328767123272</v>
      </c>
      <c r="R93" s="63">
        <f t="shared" si="124"/>
        <v>40936.70625367124</v>
      </c>
      <c r="S93" s="65"/>
      <c r="T93" s="65"/>
      <c r="U93" s="65"/>
      <c r="V93" s="63">
        <f t="shared" si="125"/>
        <v>40936.70625367124</v>
      </c>
      <c r="W93" s="63">
        <f t="shared" si="126"/>
        <v>2538.0757877276169</v>
      </c>
      <c r="X93" s="63">
        <f t="shared" si="127"/>
        <v>593.58224067823301</v>
      </c>
      <c r="Y93" s="63">
        <f t="shared" si="128"/>
        <v>6148.6932793014203</v>
      </c>
      <c r="Z93" s="63">
        <f t="shared" si="129"/>
        <v>65.498730005873981</v>
      </c>
      <c r="AA93" s="63">
        <f t="shared" si="130"/>
        <v>28.655694377569869</v>
      </c>
      <c r="AB93" s="63">
        <f t="shared" si="131"/>
        <v>335</v>
      </c>
      <c r="AC93" s="63">
        <f t="shared" si="132"/>
        <v>10356.36</v>
      </c>
      <c r="AD93" s="63">
        <f t="shared" si="133"/>
        <v>106.9136</v>
      </c>
      <c r="AE93" s="178">
        <v>434</v>
      </c>
    </row>
    <row r="94" spans="1:31" x14ac:dyDescent="0.25">
      <c r="A94" s="167">
        <v>434</v>
      </c>
      <c r="B94" s="167">
        <v>440002</v>
      </c>
      <c r="C94" s="168" t="s">
        <v>2556</v>
      </c>
      <c r="D94" s="168" t="s">
        <v>2557</v>
      </c>
      <c r="E94" s="168" t="s">
        <v>2558</v>
      </c>
      <c r="F94" s="58">
        <v>38530</v>
      </c>
      <c r="G94" s="167" t="s">
        <v>2422</v>
      </c>
      <c r="H94" s="63">
        <v>9000</v>
      </c>
      <c r="I94" s="63">
        <v>9000</v>
      </c>
      <c r="J94" s="63">
        <v>9000</v>
      </c>
      <c r="K94" s="63">
        <v>9000</v>
      </c>
      <c r="L94" s="63">
        <v>4.33</v>
      </c>
      <c r="M94" s="63">
        <v>346.15</v>
      </c>
      <c r="N94" s="63" t="s">
        <v>27</v>
      </c>
      <c r="O94" s="65"/>
      <c r="P94" s="65"/>
      <c r="Q94" s="63">
        <v>0</v>
      </c>
      <c r="R94" s="63">
        <f t="shared" si="124"/>
        <v>9000</v>
      </c>
      <c r="S94" s="65"/>
      <c r="T94" s="65"/>
      <c r="U94" s="65"/>
      <c r="V94" s="63">
        <f t="shared" si="125"/>
        <v>9000</v>
      </c>
      <c r="W94" s="63">
        <f t="shared" si="126"/>
        <v>558</v>
      </c>
      <c r="X94" s="63">
        <f t="shared" si="127"/>
        <v>130.5</v>
      </c>
      <c r="Y94" s="63">
        <f t="shared" si="128"/>
        <v>1351.8</v>
      </c>
      <c r="Z94" s="63">
        <f t="shared" si="129"/>
        <v>14.4</v>
      </c>
      <c r="AA94" s="63">
        <f t="shared" si="130"/>
        <v>6.3</v>
      </c>
      <c r="AB94" s="63" t="s">
        <v>2422</v>
      </c>
      <c r="AC94" s="63" t="s">
        <v>2422</v>
      </c>
      <c r="AD94" s="63" t="s">
        <v>2422</v>
      </c>
      <c r="AE94" s="178">
        <v>434</v>
      </c>
    </row>
    <row r="95" spans="1:31" x14ac:dyDescent="0.25">
      <c r="A95" s="167">
        <v>434</v>
      </c>
      <c r="B95" s="167">
        <v>440002</v>
      </c>
      <c r="C95" s="181" t="s">
        <v>2559</v>
      </c>
      <c r="D95" s="181" t="s">
        <v>2557</v>
      </c>
      <c r="E95" s="181" t="s">
        <v>2560</v>
      </c>
      <c r="F95" s="87">
        <v>38530</v>
      </c>
      <c r="G95" s="189" t="s">
        <v>2422</v>
      </c>
      <c r="H95" s="171">
        <v>9000</v>
      </c>
      <c r="I95" s="171">
        <v>9000</v>
      </c>
      <c r="J95" s="171">
        <v>9000</v>
      </c>
      <c r="K95" s="171">
        <v>9000</v>
      </c>
      <c r="L95" s="172">
        <v>3.1</v>
      </c>
      <c r="M95" s="172">
        <v>247.98</v>
      </c>
      <c r="N95" s="172" t="s">
        <v>27</v>
      </c>
      <c r="O95" s="314"/>
      <c r="P95" s="314"/>
      <c r="Q95" s="172">
        <v>0</v>
      </c>
      <c r="R95" s="172">
        <f t="shared" si="124"/>
        <v>9000</v>
      </c>
      <c r="S95" s="314"/>
      <c r="T95" s="314"/>
      <c r="U95" s="314"/>
      <c r="V95" s="172">
        <f t="shared" si="125"/>
        <v>9000</v>
      </c>
      <c r="W95" s="172">
        <f t="shared" si="126"/>
        <v>558</v>
      </c>
      <c r="X95" s="172">
        <f t="shared" si="127"/>
        <v>130.5</v>
      </c>
      <c r="Y95" s="172">
        <f t="shared" si="128"/>
        <v>1351.8</v>
      </c>
      <c r="Z95" s="172">
        <f t="shared" si="129"/>
        <v>14.4</v>
      </c>
      <c r="AA95" s="172">
        <f t="shared" si="130"/>
        <v>6.3</v>
      </c>
      <c r="AB95" s="172" t="s">
        <v>2422</v>
      </c>
      <c r="AC95" s="172" t="s">
        <v>2422</v>
      </c>
      <c r="AD95" s="172" t="s">
        <v>2422</v>
      </c>
      <c r="AE95" s="178">
        <v>434</v>
      </c>
    </row>
    <row r="96" spans="1:31" x14ac:dyDescent="0.25">
      <c r="A96" s="167">
        <v>434</v>
      </c>
      <c r="B96" s="247"/>
      <c r="C96" s="247"/>
      <c r="D96" s="247"/>
      <c r="E96" s="247"/>
      <c r="F96" s="247"/>
      <c r="G96" s="247"/>
      <c r="H96" s="175">
        <v>171050.86992</v>
      </c>
      <c r="I96" s="303"/>
      <c r="J96" s="175">
        <v>174877.14166800003</v>
      </c>
      <c r="K96" s="175">
        <f t="shared" ref="K96:AD96" si="134">SUM(K91:K95)</f>
        <v>174877.14166800003</v>
      </c>
      <c r="L96" s="175">
        <f t="shared" si="134"/>
        <v>82.851702724999996</v>
      </c>
      <c r="M96" s="175">
        <f t="shared" si="134"/>
        <v>6627.8662179999992</v>
      </c>
      <c r="N96" s="175">
        <f t="shared" si="134"/>
        <v>2344.1753424657531</v>
      </c>
      <c r="O96" s="175">
        <f t="shared" si="134"/>
        <v>0</v>
      </c>
      <c r="P96" s="175">
        <f t="shared" si="134"/>
        <v>0</v>
      </c>
      <c r="Q96" s="175">
        <f t="shared" si="134"/>
        <v>2344.1753424657531</v>
      </c>
      <c r="R96" s="175">
        <f t="shared" si="134"/>
        <v>177221.31701046578</v>
      </c>
      <c r="S96" s="175">
        <f t="shared" si="134"/>
        <v>0</v>
      </c>
      <c r="T96" s="175">
        <f t="shared" si="134"/>
        <v>0</v>
      </c>
      <c r="U96" s="175">
        <f t="shared" si="134"/>
        <v>0</v>
      </c>
      <c r="V96" s="175">
        <f t="shared" si="134"/>
        <v>177221.31701046578</v>
      </c>
      <c r="W96" s="175">
        <f t="shared" si="134"/>
        <v>10987.721654648878</v>
      </c>
      <c r="X96" s="175">
        <f t="shared" si="134"/>
        <v>2569.709096651754</v>
      </c>
      <c r="Y96" s="175">
        <f t="shared" si="134"/>
        <v>26618.641814971958</v>
      </c>
      <c r="Z96" s="175">
        <f t="shared" si="134"/>
        <v>283.55410721674519</v>
      </c>
      <c r="AA96" s="175">
        <f t="shared" si="134"/>
        <v>124.05492190732603</v>
      </c>
      <c r="AB96" s="175">
        <f t="shared" si="134"/>
        <v>1005</v>
      </c>
      <c r="AC96" s="175">
        <f t="shared" si="134"/>
        <v>31069.08</v>
      </c>
      <c r="AD96" s="175">
        <f t="shared" si="134"/>
        <v>320.74080000000004</v>
      </c>
      <c r="AE96" s="178">
        <v>434</v>
      </c>
    </row>
    <row r="97" spans="1:31" x14ac:dyDescent="0.25">
      <c r="A97" s="247"/>
      <c r="B97" s="247"/>
      <c r="C97" s="247"/>
      <c r="D97" s="247"/>
      <c r="E97" s="168"/>
      <c r="F97" s="168"/>
      <c r="G97" s="168"/>
      <c r="H97" s="168"/>
      <c r="I97" s="169"/>
      <c r="J97" s="168">
        <v>156877.14166800003</v>
      </c>
      <c r="K97" s="63">
        <f>SUM(K91:K93)</f>
        <v>156877.14166800003</v>
      </c>
      <c r="L97" s="168"/>
      <c r="M97" s="65"/>
      <c r="N97" s="65"/>
      <c r="O97" s="65"/>
      <c r="P97" s="65"/>
      <c r="Q97" s="65"/>
      <c r="R97" s="65"/>
      <c r="S97" s="65"/>
      <c r="T97" s="65"/>
      <c r="U97" s="65"/>
      <c r="V97" s="65"/>
      <c r="W97" s="63">
        <f>SUM(W96:X96)</f>
        <v>13557.430751300632</v>
      </c>
      <c r="X97" s="65"/>
      <c r="Y97" s="65"/>
      <c r="Z97" s="65"/>
      <c r="AA97" s="65"/>
      <c r="AB97" s="65"/>
      <c r="AC97" s="63">
        <f>30420+655.57</f>
        <v>31075.57</v>
      </c>
      <c r="AD97" s="65"/>
      <c r="AE97" s="247"/>
    </row>
    <row r="98" spans="1:31" x14ac:dyDescent="0.25">
      <c r="A98" s="247"/>
      <c r="B98" s="517" t="s">
        <v>3971</v>
      </c>
      <c r="C98" s="499"/>
      <c r="D98" s="499"/>
      <c r="E98" s="499"/>
      <c r="F98" s="499"/>
      <c r="G98" s="181"/>
      <c r="H98" s="181"/>
      <c r="I98" s="148"/>
      <c r="M98" s="65"/>
      <c r="N98" s="65"/>
      <c r="O98" s="65"/>
      <c r="P98" s="65"/>
      <c r="Q98" s="65"/>
      <c r="R98" s="65"/>
      <c r="S98" s="65"/>
      <c r="T98" s="65"/>
      <c r="U98" s="65"/>
      <c r="V98" s="65"/>
      <c r="W98" s="63">
        <f>SUM(W96:X96)</f>
        <v>13557.430751300632</v>
      </c>
      <c r="X98" s="65"/>
      <c r="Y98" s="65"/>
      <c r="Z98" s="65"/>
      <c r="AA98" s="65"/>
      <c r="AB98" s="65"/>
      <c r="AD98" s="65"/>
      <c r="AE98" s="247"/>
    </row>
    <row r="99" spans="1:31" x14ac:dyDescent="0.25">
      <c r="A99" s="247"/>
      <c r="B99" s="247"/>
      <c r="C99" s="247"/>
      <c r="D99" s="247"/>
      <c r="E99" s="247"/>
      <c r="F99" s="247"/>
      <c r="G99" s="247"/>
      <c r="H99" s="65"/>
      <c r="I99" s="169"/>
      <c r="J99" s="65"/>
      <c r="K99" s="65"/>
      <c r="L99" s="65"/>
      <c r="M99" s="65"/>
      <c r="N99" s="65"/>
      <c r="O99" s="65"/>
      <c r="P99" s="65"/>
      <c r="Q99" s="65"/>
      <c r="R99" s="65"/>
      <c r="S99" s="65"/>
      <c r="T99" s="65"/>
      <c r="U99" s="65"/>
      <c r="V99" s="65"/>
      <c r="W99" s="65"/>
      <c r="X99" s="65"/>
      <c r="Y99" s="65"/>
      <c r="Z99" s="65"/>
      <c r="AA99" s="65"/>
      <c r="AB99" s="65"/>
      <c r="AC99" s="65"/>
      <c r="AD99" s="65"/>
      <c r="AE99" s="247"/>
    </row>
    <row r="100" spans="1:31" x14ac:dyDescent="0.25">
      <c r="A100" s="247"/>
      <c r="B100" s="247"/>
      <c r="C100" s="247"/>
      <c r="D100" s="247"/>
      <c r="E100" s="247"/>
      <c r="F100" s="247"/>
      <c r="G100" s="247"/>
      <c r="H100" s="65"/>
      <c r="I100" s="169"/>
      <c r="J100" s="65"/>
      <c r="K100" s="65"/>
      <c r="L100" s="65"/>
      <c r="M100" s="65"/>
      <c r="N100" s="65"/>
      <c r="O100" s="65"/>
      <c r="P100" s="65"/>
      <c r="Q100" s="65"/>
      <c r="R100" s="65"/>
      <c r="S100" s="65"/>
      <c r="T100" s="65"/>
      <c r="U100" s="65"/>
      <c r="V100" s="65"/>
      <c r="W100" s="65"/>
      <c r="X100" s="65"/>
      <c r="Y100" s="65"/>
      <c r="Z100" s="65"/>
      <c r="AA100" s="65"/>
      <c r="AB100" s="65"/>
      <c r="AC100" s="65"/>
      <c r="AD100" s="65"/>
      <c r="AE100" s="247"/>
    </row>
    <row r="101" spans="1:31" x14ac:dyDescent="0.25">
      <c r="A101" s="247"/>
      <c r="B101" s="247"/>
      <c r="C101" s="247"/>
      <c r="D101" s="247"/>
      <c r="E101" s="247"/>
      <c r="F101" s="247"/>
      <c r="G101" s="247"/>
      <c r="H101" s="65"/>
      <c r="I101" s="169"/>
      <c r="J101" s="65"/>
      <c r="K101" s="65"/>
      <c r="L101" s="65"/>
      <c r="M101" s="65"/>
      <c r="N101" s="65"/>
      <c r="O101" s="65"/>
      <c r="P101" s="65"/>
      <c r="Q101" s="65"/>
      <c r="R101" s="65"/>
      <c r="S101" s="65"/>
      <c r="T101" s="65"/>
      <c r="U101" s="65"/>
      <c r="V101" s="65"/>
      <c r="W101" s="65"/>
      <c r="X101" s="65"/>
      <c r="Y101" s="65"/>
      <c r="Z101" s="65"/>
      <c r="AA101" s="65"/>
      <c r="AB101" s="65"/>
      <c r="AC101" s="65"/>
      <c r="AD101" s="65"/>
      <c r="AE101" s="247"/>
    </row>
    <row r="102" spans="1:31" x14ac:dyDescent="0.25">
      <c r="A102" s="167">
        <v>435</v>
      </c>
      <c r="B102" s="167">
        <v>435001</v>
      </c>
      <c r="C102" s="168" t="s">
        <v>2561</v>
      </c>
      <c r="D102" s="185" t="s">
        <v>2562</v>
      </c>
      <c r="E102" s="185" t="s">
        <v>2563</v>
      </c>
      <c r="F102" s="58">
        <v>35044</v>
      </c>
      <c r="G102" s="59">
        <f t="shared" ref="G102:G104" si="135">(DATE(2020,12,30)-(F102))/365</f>
        <v>25.07123287671233</v>
      </c>
      <c r="H102" s="63">
        <v>78184.156560000003</v>
      </c>
      <c r="I102" s="63">
        <v>80138.759999999995</v>
      </c>
      <c r="J102" s="63">
        <v>80138.76047400001</v>
      </c>
      <c r="K102" s="63">
        <f t="shared" ref="K102:K104" si="136">SUM(((J102*$K$3)+$K$2)+J102)</f>
        <v>80138.76047400001</v>
      </c>
      <c r="L102" s="63">
        <f t="shared" ref="L102:L104" si="137">SUM(K102/2080)</f>
        <v>38.52825022788462</v>
      </c>
      <c r="M102" s="63">
        <f t="shared" ref="M102:M104" si="138">SUM(K102/26)</f>
        <v>3082.2600182307697</v>
      </c>
      <c r="N102" s="63">
        <f t="shared" ref="N102:N104" si="139">IF(G102&lt;4,0,(G102-1)*$N$7)</f>
        <v>6354.8054794520549</v>
      </c>
      <c r="O102" s="65"/>
      <c r="P102" s="65"/>
      <c r="Q102" s="63">
        <f t="shared" ref="Q102:Q104" si="140">IF(N102+P102&gt;5000,5000,N102+P102)</f>
        <v>5000</v>
      </c>
      <c r="R102" s="63">
        <f t="shared" ref="R102:R106" si="141">Q102+K102</f>
        <v>85138.76047400001</v>
      </c>
      <c r="S102" s="65"/>
      <c r="T102" s="65"/>
      <c r="U102" s="65"/>
      <c r="V102" s="63">
        <f t="shared" ref="V102:V106" si="142">SUM(R102:U102)</f>
        <v>85138.76047400001</v>
      </c>
      <c r="W102" s="63">
        <f t="shared" ref="W102:W106" si="143">SUM(V102*$W$7)</f>
        <v>5278.6031493880009</v>
      </c>
      <c r="X102" s="63">
        <f t="shared" ref="X102:X106" si="144">SUM(V102*$X$7)</f>
        <v>1234.5120268730002</v>
      </c>
      <c r="Y102" s="63">
        <f t="shared" ref="Y102:Y106" si="145">SUM(V102*$Y$7)</f>
        <v>12787.841823194802</v>
      </c>
      <c r="Z102" s="63">
        <f t="shared" ref="Z102:Z106" si="146">SUM(V102*$Z$7)</f>
        <v>136.22201675840003</v>
      </c>
      <c r="AA102" s="63">
        <f t="shared" ref="AA102:AA106" si="147">SUM(V102*$AA$7)</f>
        <v>59.597132331800005</v>
      </c>
      <c r="AB102" s="63">
        <f t="shared" ref="AB102:AB104" si="148">SUM($AB$7)</f>
        <v>335</v>
      </c>
      <c r="AC102" s="63">
        <f t="shared" ref="AC102:AC104" si="149">$AC$7</f>
        <v>10356.36</v>
      </c>
      <c r="AD102" s="63">
        <f t="shared" ref="AD102:AD104" si="150">SUM(AB102+AC102)*$AD$7</f>
        <v>106.9136</v>
      </c>
      <c r="AE102" s="178">
        <v>435</v>
      </c>
    </row>
    <row r="103" spans="1:31" x14ac:dyDescent="0.25">
      <c r="A103" s="167">
        <v>435</v>
      </c>
      <c r="B103" s="167">
        <v>435002</v>
      </c>
      <c r="C103" s="168" t="s">
        <v>2564</v>
      </c>
      <c r="D103" s="185" t="s">
        <v>2565</v>
      </c>
      <c r="E103" s="185" t="s">
        <v>2566</v>
      </c>
      <c r="F103" s="58">
        <v>35439</v>
      </c>
      <c r="G103" s="59">
        <f t="shared" si="135"/>
        <v>23.989041095890411</v>
      </c>
      <c r="H103" s="63">
        <v>35804.876319999996</v>
      </c>
      <c r="I103" s="63">
        <v>36700</v>
      </c>
      <c r="J103" s="63">
        <v>36699.998227999997</v>
      </c>
      <c r="K103" s="63">
        <f t="shared" si="136"/>
        <v>36699.998227999997</v>
      </c>
      <c r="L103" s="63">
        <f t="shared" si="137"/>
        <v>17.64422991730769</v>
      </c>
      <c r="M103" s="63">
        <f t="shared" si="138"/>
        <v>1411.5383933846153</v>
      </c>
      <c r="N103" s="63">
        <f t="shared" si="139"/>
        <v>6069.1068493150688</v>
      </c>
      <c r="O103" s="65"/>
      <c r="P103" s="65"/>
      <c r="Q103" s="63">
        <f t="shared" si="140"/>
        <v>5000</v>
      </c>
      <c r="R103" s="63">
        <f t="shared" si="141"/>
        <v>41699.998227999997</v>
      </c>
      <c r="S103" s="65"/>
      <c r="T103" s="65"/>
      <c r="U103" s="63">
        <v>1000</v>
      </c>
      <c r="V103" s="63">
        <f t="shared" si="142"/>
        <v>42699.998227999997</v>
      </c>
      <c r="W103" s="63">
        <f t="shared" si="143"/>
        <v>2647.3998901359996</v>
      </c>
      <c r="X103" s="63">
        <f t="shared" si="144"/>
        <v>619.14997430599999</v>
      </c>
      <c r="Y103" s="63">
        <f t="shared" si="145"/>
        <v>6413.5397338455996</v>
      </c>
      <c r="Z103" s="63">
        <f t="shared" si="146"/>
        <v>68.3199971648</v>
      </c>
      <c r="AA103" s="63">
        <f t="shared" si="147"/>
        <v>29.889998759599997</v>
      </c>
      <c r="AB103" s="63">
        <f t="shared" si="148"/>
        <v>335</v>
      </c>
      <c r="AC103" s="63">
        <f t="shared" si="149"/>
        <v>10356.36</v>
      </c>
      <c r="AD103" s="63">
        <f t="shared" si="150"/>
        <v>106.9136</v>
      </c>
      <c r="AE103" s="178">
        <v>435</v>
      </c>
    </row>
    <row r="104" spans="1:31" x14ac:dyDescent="0.25">
      <c r="A104" s="167">
        <v>435</v>
      </c>
      <c r="B104" s="167">
        <v>435003</v>
      </c>
      <c r="C104" s="168" t="s">
        <v>2567</v>
      </c>
      <c r="D104" s="168" t="s">
        <v>2568</v>
      </c>
      <c r="E104" s="168" t="s">
        <v>2569</v>
      </c>
      <c r="F104" s="58">
        <v>42212</v>
      </c>
      <c r="G104" s="59">
        <f t="shared" si="135"/>
        <v>5.4328767123287669</v>
      </c>
      <c r="H104" s="63">
        <v>39061.837040000006</v>
      </c>
      <c r="I104" s="63">
        <v>40038.379999999997</v>
      </c>
      <c r="J104" s="63">
        <v>40038.382966000005</v>
      </c>
      <c r="K104" s="63">
        <f t="shared" si="136"/>
        <v>40038.382966000005</v>
      </c>
      <c r="L104" s="63">
        <f t="shared" si="137"/>
        <v>19.249222579807693</v>
      </c>
      <c r="M104" s="63">
        <f t="shared" si="138"/>
        <v>1539.9378063846157</v>
      </c>
      <c r="N104" s="63">
        <f t="shared" si="139"/>
        <v>1170.2794520547945</v>
      </c>
      <c r="O104" s="65"/>
      <c r="P104" s="65"/>
      <c r="Q104" s="63">
        <f t="shared" si="140"/>
        <v>1170.2794520547945</v>
      </c>
      <c r="R104" s="63">
        <f t="shared" si="141"/>
        <v>41208.662418054802</v>
      </c>
      <c r="S104" s="65"/>
      <c r="T104" s="65"/>
      <c r="U104" s="65"/>
      <c r="V104" s="63">
        <f t="shared" si="142"/>
        <v>41208.662418054802</v>
      </c>
      <c r="W104" s="63">
        <f t="shared" si="143"/>
        <v>2554.9370699193978</v>
      </c>
      <c r="X104" s="63">
        <f t="shared" si="144"/>
        <v>597.52560506179464</v>
      </c>
      <c r="Y104" s="63">
        <f t="shared" si="145"/>
        <v>6189.5410951918311</v>
      </c>
      <c r="Z104" s="63">
        <f t="shared" si="146"/>
        <v>65.93385986888768</v>
      </c>
      <c r="AA104" s="63">
        <f t="shared" si="147"/>
        <v>28.84606369263836</v>
      </c>
      <c r="AB104" s="63">
        <f t="shared" si="148"/>
        <v>335</v>
      </c>
      <c r="AC104" s="63">
        <f t="shared" si="149"/>
        <v>10356.36</v>
      </c>
      <c r="AD104" s="63">
        <f t="shared" si="150"/>
        <v>106.9136</v>
      </c>
      <c r="AE104" s="178">
        <v>435</v>
      </c>
    </row>
    <row r="105" spans="1:31" x14ac:dyDescent="0.25">
      <c r="A105" s="167">
        <v>435</v>
      </c>
      <c r="B105" s="167">
        <v>440003</v>
      </c>
      <c r="C105" s="168" t="s">
        <v>2570</v>
      </c>
      <c r="D105" s="181" t="s">
        <v>2571</v>
      </c>
      <c r="E105" s="181" t="s">
        <v>2572</v>
      </c>
      <c r="F105" s="58">
        <v>39815</v>
      </c>
      <c r="G105" s="167" t="s">
        <v>2422</v>
      </c>
      <c r="H105" s="63">
        <v>9000</v>
      </c>
      <c r="I105" s="63">
        <v>9000</v>
      </c>
      <c r="J105" s="63">
        <v>9000</v>
      </c>
      <c r="K105" s="63">
        <v>9000</v>
      </c>
      <c r="L105" s="63">
        <v>4.33</v>
      </c>
      <c r="M105" s="63">
        <v>346.15</v>
      </c>
      <c r="N105" s="63" t="s">
        <v>27</v>
      </c>
      <c r="O105" s="65"/>
      <c r="P105" s="65"/>
      <c r="Q105" s="63">
        <v>0</v>
      </c>
      <c r="R105" s="63">
        <f t="shared" si="141"/>
        <v>9000</v>
      </c>
      <c r="S105" s="65"/>
      <c r="T105" s="65"/>
      <c r="U105" s="65"/>
      <c r="V105" s="63">
        <f t="shared" si="142"/>
        <v>9000</v>
      </c>
      <c r="W105" s="63">
        <f t="shared" si="143"/>
        <v>558</v>
      </c>
      <c r="X105" s="63">
        <f t="shared" si="144"/>
        <v>130.5</v>
      </c>
      <c r="Y105" s="63">
        <f t="shared" si="145"/>
        <v>1351.8</v>
      </c>
      <c r="Z105" s="63">
        <f t="shared" si="146"/>
        <v>14.4</v>
      </c>
      <c r="AA105" s="63">
        <f t="shared" si="147"/>
        <v>6.3</v>
      </c>
      <c r="AB105" s="63" t="s">
        <v>2422</v>
      </c>
      <c r="AC105" s="63" t="s">
        <v>2422</v>
      </c>
      <c r="AD105" s="63" t="s">
        <v>2422</v>
      </c>
      <c r="AE105" s="178">
        <v>435</v>
      </c>
    </row>
    <row r="106" spans="1:31" x14ac:dyDescent="0.25">
      <c r="A106" s="167">
        <v>435</v>
      </c>
      <c r="B106" s="167">
        <v>440003</v>
      </c>
      <c r="C106" s="181" t="s">
        <v>2573</v>
      </c>
      <c r="D106" s="181" t="s">
        <v>2571</v>
      </c>
      <c r="E106" s="181" t="s">
        <v>2574</v>
      </c>
      <c r="F106" s="87">
        <v>39815</v>
      </c>
      <c r="G106" s="189" t="s">
        <v>2422</v>
      </c>
      <c r="H106" s="171">
        <v>9000</v>
      </c>
      <c r="I106" s="171">
        <v>9000</v>
      </c>
      <c r="J106" s="171">
        <v>9000</v>
      </c>
      <c r="K106" s="171">
        <v>9000</v>
      </c>
      <c r="L106" s="172">
        <v>3.1</v>
      </c>
      <c r="M106" s="172">
        <v>247.98</v>
      </c>
      <c r="N106" s="172" t="s">
        <v>27</v>
      </c>
      <c r="O106" s="314"/>
      <c r="P106" s="314"/>
      <c r="Q106" s="172">
        <v>0</v>
      </c>
      <c r="R106" s="172">
        <f t="shared" si="141"/>
        <v>9000</v>
      </c>
      <c r="S106" s="314"/>
      <c r="T106" s="314"/>
      <c r="U106" s="314"/>
      <c r="V106" s="172">
        <f t="shared" si="142"/>
        <v>9000</v>
      </c>
      <c r="W106" s="172">
        <f t="shared" si="143"/>
        <v>558</v>
      </c>
      <c r="X106" s="172">
        <f t="shared" si="144"/>
        <v>130.5</v>
      </c>
      <c r="Y106" s="172">
        <f t="shared" si="145"/>
        <v>1351.8</v>
      </c>
      <c r="Z106" s="172">
        <f t="shared" si="146"/>
        <v>14.4</v>
      </c>
      <c r="AA106" s="172">
        <f t="shared" si="147"/>
        <v>6.3</v>
      </c>
      <c r="AB106" s="172" t="s">
        <v>2422</v>
      </c>
      <c r="AC106" s="172" t="s">
        <v>2422</v>
      </c>
      <c r="AD106" s="172" t="s">
        <v>2422</v>
      </c>
      <c r="AE106" s="178">
        <v>435</v>
      </c>
    </row>
    <row r="107" spans="1:31" x14ac:dyDescent="0.25">
      <c r="A107" s="167">
        <v>435</v>
      </c>
      <c r="B107" s="247"/>
      <c r="C107" s="247"/>
      <c r="D107" s="247"/>
      <c r="E107" s="247"/>
      <c r="F107" s="247"/>
      <c r="G107" s="247"/>
      <c r="H107" s="175">
        <v>171050.86992</v>
      </c>
      <c r="I107" s="303"/>
      <c r="J107" s="175">
        <v>174877.14166800003</v>
      </c>
      <c r="K107" s="175">
        <f t="shared" ref="K107:AD107" si="151">SUM(K102:K106)</f>
        <v>174877.14166800003</v>
      </c>
      <c r="L107" s="175">
        <f t="shared" si="151"/>
        <v>82.851702724999996</v>
      </c>
      <c r="M107" s="175">
        <f t="shared" si="151"/>
        <v>6627.8662179999992</v>
      </c>
      <c r="N107" s="175">
        <f t="shared" si="151"/>
        <v>13594.191780821919</v>
      </c>
      <c r="O107" s="175">
        <f t="shared" si="151"/>
        <v>0</v>
      </c>
      <c r="P107" s="175">
        <f t="shared" si="151"/>
        <v>0</v>
      </c>
      <c r="Q107" s="175">
        <f t="shared" si="151"/>
        <v>11170.279452054794</v>
      </c>
      <c r="R107" s="175">
        <f t="shared" si="151"/>
        <v>186047.42112005482</v>
      </c>
      <c r="S107" s="175">
        <f t="shared" si="151"/>
        <v>0</v>
      </c>
      <c r="T107" s="175">
        <f t="shared" si="151"/>
        <v>0</v>
      </c>
      <c r="U107" s="175">
        <f t="shared" si="151"/>
        <v>1000</v>
      </c>
      <c r="V107" s="175">
        <f t="shared" si="151"/>
        <v>187047.42112005482</v>
      </c>
      <c r="W107" s="175">
        <f t="shared" si="151"/>
        <v>11596.9401094434</v>
      </c>
      <c r="X107" s="175">
        <f t="shared" si="151"/>
        <v>2712.1876062407946</v>
      </c>
      <c r="Y107" s="175">
        <f t="shared" si="151"/>
        <v>28094.52265223223</v>
      </c>
      <c r="Z107" s="175">
        <f t="shared" si="151"/>
        <v>299.27587379208768</v>
      </c>
      <c r="AA107" s="175">
        <f t="shared" si="151"/>
        <v>130.93319478403836</v>
      </c>
      <c r="AB107" s="175">
        <f t="shared" si="151"/>
        <v>1005</v>
      </c>
      <c r="AC107" s="175">
        <f t="shared" si="151"/>
        <v>31069.08</v>
      </c>
      <c r="AD107" s="175">
        <f t="shared" si="151"/>
        <v>320.74080000000004</v>
      </c>
      <c r="AE107" s="178">
        <v>435</v>
      </c>
    </row>
    <row r="108" spans="1:31" x14ac:dyDescent="0.25">
      <c r="A108" s="247"/>
      <c r="B108" s="247"/>
      <c r="C108" s="247"/>
      <c r="D108" s="247"/>
      <c r="E108" s="247"/>
      <c r="F108" s="247"/>
      <c r="G108" s="247"/>
      <c r="H108" s="65"/>
      <c r="I108" s="169"/>
      <c r="J108" s="65"/>
      <c r="K108" s="65">
        <f>SUM(K102:K104)</f>
        <v>156877.14166800003</v>
      </c>
      <c r="L108" s="65"/>
      <c r="M108" s="65"/>
      <c r="N108" s="65"/>
      <c r="O108" s="65"/>
      <c r="P108" s="65"/>
      <c r="Q108" s="65"/>
      <c r="R108" s="65"/>
      <c r="S108" s="65"/>
      <c r="T108" s="65"/>
      <c r="U108" s="65"/>
      <c r="V108" s="65"/>
      <c r="W108" s="63">
        <f>SUM(W107:X107)</f>
        <v>14309.127715684193</v>
      </c>
      <c r="X108" s="65"/>
      <c r="Y108" s="65"/>
      <c r="Z108" s="65"/>
      <c r="AA108" s="65"/>
      <c r="AB108" s="65"/>
      <c r="AC108" s="63">
        <f>SUM(AC107:AD107)</f>
        <v>31389.820800000001</v>
      </c>
      <c r="AD108" s="65"/>
      <c r="AE108" s="247"/>
    </row>
    <row r="109" spans="1:31" x14ac:dyDescent="0.25">
      <c r="A109" s="247"/>
      <c r="B109" s="247"/>
      <c r="C109" s="247"/>
      <c r="D109" s="247"/>
      <c r="E109" s="247"/>
      <c r="F109" s="247"/>
      <c r="G109" s="247"/>
      <c r="H109" s="65"/>
      <c r="I109" s="169"/>
      <c r="J109" s="65"/>
      <c r="K109" s="65"/>
      <c r="L109" s="65"/>
      <c r="M109" s="65"/>
      <c r="N109" s="65"/>
      <c r="O109" s="65"/>
      <c r="P109" s="65"/>
      <c r="Q109" s="65"/>
      <c r="R109" s="65"/>
      <c r="S109" s="65"/>
      <c r="T109" s="65"/>
      <c r="U109" s="65"/>
      <c r="V109" s="65"/>
      <c r="W109" s="65"/>
      <c r="X109" s="65"/>
      <c r="Y109" s="65"/>
      <c r="Z109" s="65"/>
      <c r="AA109" s="65"/>
      <c r="AB109" s="65"/>
      <c r="AC109" s="65"/>
      <c r="AD109" s="65"/>
      <c r="AE109" s="247"/>
    </row>
    <row r="110" spans="1:31" x14ac:dyDescent="0.25">
      <c r="A110" s="247"/>
      <c r="B110" s="247"/>
      <c r="C110" s="247"/>
      <c r="D110" s="247"/>
      <c r="E110" s="247"/>
      <c r="F110" s="247"/>
      <c r="G110" s="247"/>
      <c r="H110" s="65"/>
      <c r="I110" s="169"/>
      <c r="J110" s="65"/>
      <c r="K110" s="65"/>
      <c r="L110" s="65"/>
      <c r="M110" s="65"/>
      <c r="N110" s="65"/>
      <c r="O110" s="65"/>
      <c r="P110" s="65"/>
      <c r="Q110" s="65"/>
      <c r="R110" s="65"/>
      <c r="S110" s="65"/>
      <c r="T110" s="65"/>
      <c r="U110" s="65"/>
      <c r="V110" s="65"/>
      <c r="W110" s="65"/>
      <c r="X110" s="65"/>
      <c r="Y110" s="65"/>
      <c r="Z110" s="65"/>
      <c r="AA110" s="65"/>
      <c r="AB110" s="65"/>
      <c r="AC110" s="65"/>
      <c r="AD110" s="65"/>
      <c r="AE110" s="247"/>
    </row>
    <row r="111" spans="1:31" x14ac:dyDescent="0.25">
      <c r="A111" s="167">
        <v>445</v>
      </c>
      <c r="B111" s="167">
        <v>445001</v>
      </c>
      <c r="C111" s="168" t="s">
        <v>697</v>
      </c>
      <c r="D111" s="168" t="s">
        <v>2576</v>
      </c>
      <c r="E111" s="168" t="s">
        <v>2577</v>
      </c>
      <c r="F111" s="58">
        <v>35178</v>
      </c>
      <c r="G111" s="59">
        <f t="shared" ref="G111:G122" si="152">(DATE(2020,12,30)-(F111))/365</f>
        <v>24.704109589041096</v>
      </c>
      <c r="H111" s="63">
        <v>53197.577120000002</v>
      </c>
      <c r="I111" s="63">
        <v>54527.519999999997</v>
      </c>
      <c r="J111" s="63">
        <v>54527.516548</v>
      </c>
      <c r="K111" s="63">
        <f t="shared" ref="K111:K119" si="153">SUM(((J111*$K$3)+$K$2)+J111)</f>
        <v>54527.516548</v>
      </c>
      <c r="L111" s="63">
        <f t="shared" ref="L111:L122" si="154">SUM(K111/2080)</f>
        <v>26.215152186538461</v>
      </c>
      <c r="M111" s="63">
        <f t="shared" ref="M111:M122" si="155">SUM(K111/26)</f>
        <v>2097.2121749230769</v>
      </c>
      <c r="N111" s="63">
        <f t="shared" ref="N111:N122" si="156">IF(G111&lt;4,0,(G111-1)*$N$7)</f>
        <v>6257.8849315068492</v>
      </c>
      <c r="O111" s="65"/>
      <c r="P111" s="65"/>
      <c r="Q111" s="63">
        <f t="shared" ref="Q111:Q122" si="157">IF(N111+P111&gt;5000,5000,N111+P111)</f>
        <v>5000</v>
      </c>
      <c r="R111" s="63">
        <f t="shared" ref="R111:R122" si="158">Q111+K111</f>
        <v>59527.516548</v>
      </c>
      <c r="S111" s="65"/>
      <c r="T111" s="65"/>
      <c r="U111" s="65"/>
      <c r="V111" s="63">
        <f t="shared" ref="V111:V124" si="159">SUM(R111:U111)</f>
        <v>59527.516548</v>
      </c>
      <c r="W111" s="63">
        <f t="shared" ref="W111:W124" si="160">SUM(V111*$W$7)</f>
        <v>3690.7060259760001</v>
      </c>
      <c r="X111" s="63">
        <f t="shared" ref="X111:X124" si="161">SUM(V111*$X$7)</f>
        <v>863.14898994600003</v>
      </c>
      <c r="Y111" s="63">
        <f t="shared" ref="Y111:Y124" si="162">SUM(V111*$Y$7)</f>
        <v>8941.0329855096006</v>
      </c>
      <c r="Z111" s="63">
        <f t="shared" ref="Z111:Z124" si="163">SUM(V111*$Z$7)</f>
        <v>95.244026476800002</v>
      </c>
      <c r="AA111" s="63">
        <f t="shared" ref="AA111:AA124" si="164">SUM(V111*$AA$7)</f>
        <v>41.669261583599997</v>
      </c>
      <c r="AB111" s="63">
        <f t="shared" ref="AB111:AB122" si="165">SUM($AB$7)</f>
        <v>335</v>
      </c>
      <c r="AC111" s="63">
        <f t="shared" ref="AC111:AC122" si="166">$AC$7</f>
        <v>10356.36</v>
      </c>
      <c r="AD111" s="63">
        <f t="shared" ref="AD111:AD122" si="167">SUM(AB111+AC111)*$AD$7</f>
        <v>106.9136</v>
      </c>
      <c r="AE111" s="178">
        <v>445</v>
      </c>
    </row>
    <row r="112" spans="1:31" x14ac:dyDescent="0.25">
      <c r="A112" s="167">
        <v>445</v>
      </c>
      <c r="B112" s="167">
        <v>445002</v>
      </c>
      <c r="C112" s="168" t="s">
        <v>2436</v>
      </c>
      <c r="D112" s="168" t="s">
        <v>2580</v>
      </c>
      <c r="E112" s="168" t="s">
        <v>2581</v>
      </c>
      <c r="F112" s="58">
        <v>42550</v>
      </c>
      <c r="G112" s="59">
        <f t="shared" si="152"/>
        <v>4.506849315068493</v>
      </c>
      <c r="H112" s="63">
        <v>35948.325360000003</v>
      </c>
      <c r="I112" s="63">
        <v>36847.03</v>
      </c>
      <c r="J112" s="63">
        <v>36847.033494000003</v>
      </c>
      <c r="K112" s="63">
        <f t="shared" si="153"/>
        <v>36847.033494000003</v>
      </c>
      <c r="L112" s="63">
        <f t="shared" si="154"/>
        <v>17.714919949038464</v>
      </c>
      <c r="M112" s="63">
        <f t="shared" si="155"/>
        <v>1417.1935959230771</v>
      </c>
      <c r="N112" s="63">
        <f t="shared" si="156"/>
        <v>925.80821917808214</v>
      </c>
      <c r="O112" s="65"/>
      <c r="P112" s="63"/>
      <c r="Q112" s="63">
        <f t="shared" si="157"/>
        <v>925.80821917808214</v>
      </c>
      <c r="R112" s="63">
        <f t="shared" si="158"/>
        <v>37772.841713178088</v>
      </c>
      <c r="S112" s="65"/>
      <c r="T112" s="65"/>
      <c r="U112" s="65"/>
      <c r="V112" s="63">
        <f t="shared" si="159"/>
        <v>37772.841713178088</v>
      </c>
      <c r="W112" s="63">
        <f t="shared" si="160"/>
        <v>2341.9161862170413</v>
      </c>
      <c r="X112" s="63">
        <f t="shared" si="161"/>
        <v>547.70620484108235</v>
      </c>
      <c r="Y112" s="63">
        <f t="shared" si="162"/>
        <v>5673.4808253193487</v>
      </c>
      <c r="Z112" s="63">
        <f t="shared" si="163"/>
        <v>60.436546741084946</v>
      </c>
      <c r="AA112" s="63">
        <f t="shared" si="164"/>
        <v>26.44098919922466</v>
      </c>
      <c r="AB112" s="63">
        <f t="shared" si="165"/>
        <v>335</v>
      </c>
      <c r="AC112" s="63">
        <f t="shared" si="166"/>
        <v>10356.36</v>
      </c>
      <c r="AD112" s="63">
        <f t="shared" si="167"/>
        <v>106.9136</v>
      </c>
      <c r="AE112" s="178">
        <v>445</v>
      </c>
    </row>
    <row r="113" spans="1:31" x14ac:dyDescent="0.25">
      <c r="A113" s="167">
        <v>445</v>
      </c>
      <c r="B113" s="167">
        <v>445003</v>
      </c>
      <c r="C113" s="168" t="s">
        <v>3948</v>
      </c>
      <c r="D113" s="168" t="s">
        <v>2584</v>
      </c>
      <c r="E113" s="168" t="s">
        <v>2555</v>
      </c>
      <c r="F113" s="58">
        <v>38936</v>
      </c>
      <c r="G113" s="59">
        <f t="shared" si="152"/>
        <v>14.408219178082192</v>
      </c>
      <c r="H113" s="63">
        <v>30689.997039999998</v>
      </c>
      <c r="I113" s="63">
        <v>31457.25</v>
      </c>
      <c r="J113" s="63">
        <v>31457.246965999999</v>
      </c>
      <c r="K113" s="63">
        <f t="shared" si="153"/>
        <v>31457.246965999999</v>
      </c>
      <c r="L113" s="63">
        <f t="shared" si="154"/>
        <v>15.123676425961538</v>
      </c>
      <c r="M113" s="63">
        <f t="shared" si="155"/>
        <v>1209.894114076923</v>
      </c>
      <c r="N113" s="63">
        <f t="shared" si="156"/>
        <v>3539.7698630136983</v>
      </c>
      <c r="O113" s="65"/>
      <c r="P113" s="65"/>
      <c r="Q113" s="63">
        <f t="shared" si="157"/>
        <v>3539.7698630136983</v>
      </c>
      <c r="R113" s="63">
        <f t="shared" si="158"/>
        <v>34997.016829013693</v>
      </c>
      <c r="S113" s="65"/>
      <c r="T113" s="65"/>
      <c r="U113" s="65"/>
      <c r="V113" s="63">
        <f t="shared" si="159"/>
        <v>34997.016829013693</v>
      </c>
      <c r="W113" s="63">
        <f t="shared" si="160"/>
        <v>2169.815043398849</v>
      </c>
      <c r="X113" s="63">
        <f t="shared" si="161"/>
        <v>507.45674402069858</v>
      </c>
      <c r="Y113" s="63">
        <f t="shared" si="162"/>
        <v>5256.5519277178564</v>
      </c>
      <c r="Z113" s="63">
        <f t="shared" si="163"/>
        <v>55.995226926421914</v>
      </c>
      <c r="AA113" s="63">
        <f t="shared" si="164"/>
        <v>24.497911780309586</v>
      </c>
      <c r="AB113" s="63">
        <f t="shared" si="165"/>
        <v>335</v>
      </c>
      <c r="AC113" s="63">
        <f t="shared" si="166"/>
        <v>10356.36</v>
      </c>
      <c r="AD113" s="63">
        <f t="shared" si="167"/>
        <v>106.9136</v>
      </c>
      <c r="AE113" s="178">
        <v>445</v>
      </c>
    </row>
    <row r="114" spans="1:31" x14ac:dyDescent="0.25">
      <c r="A114" s="167">
        <v>445</v>
      </c>
      <c r="B114" s="167">
        <v>445004</v>
      </c>
      <c r="C114" s="168" t="s">
        <v>3950</v>
      </c>
      <c r="D114" s="168" t="s">
        <v>3972</v>
      </c>
      <c r="E114" s="168" t="s">
        <v>3855</v>
      </c>
      <c r="F114" s="58">
        <v>43220</v>
      </c>
      <c r="G114" s="59">
        <f t="shared" si="152"/>
        <v>2.6712328767123288</v>
      </c>
      <c r="H114" s="63">
        <v>30689.997039999998</v>
      </c>
      <c r="I114" s="63">
        <v>31457.25</v>
      </c>
      <c r="J114" s="63">
        <v>31457.246965999999</v>
      </c>
      <c r="K114" s="63">
        <f t="shared" si="153"/>
        <v>31457.246965999999</v>
      </c>
      <c r="L114" s="63">
        <f t="shared" si="154"/>
        <v>15.123676425961538</v>
      </c>
      <c r="M114" s="63">
        <f t="shared" si="155"/>
        <v>1209.894114076923</v>
      </c>
      <c r="N114" s="63">
        <f t="shared" si="156"/>
        <v>0</v>
      </c>
      <c r="O114" s="65"/>
      <c r="P114" s="65"/>
      <c r="Q114" s="63">
        <f t="shared" si="157"/>
        <v>0</v>
      </c>
      <c r="R114" s="63">
        <f t="shared" si="158"/>
        <v>31457.246965999999</v>
      </c>
      <c r="S114" s="65"/>
      <c r="T114" s="65"/>
      <c r="U114" s="65"/>
      <c r="V114" s="63">
        <f t="shared" si="159"/>
        <v>31457.246965999999</v>
      </c>
      <c r="W114" s="63">
        <f t="shared" si="160"/>
        <v>1950.3493118919998</v>
      </c>
      <c r="X114" s="63">
        <f t="shared" si="161"/>
        <v>456.130081007</v>
      </c>
      <c r="Y114" s="63">
        <f t="shared" si="162"/>
        <v>4724.8784942931998</v>
      </c>
      <c r="Z114" s="63">
        <f t="shared" si="163"/>
        <v>50.331595145599998</v>
      </c>
      <c r="AA114" s="63">
        <f t="shared" si="164"/>
        <v>22.0200728762</v>
      </c>
      <c r="AB114" s="63">
        <f t="shared" si="165"/>
        <v>335</v>
      </c>
      <c r="AC114" s="63">
        <f t="shared" si="166"/>
        <v>10356.36</v>
      </c>
      <c r="AD114" s="63">
        <f t="shared" si="167"/>
        <v>106.9136</v>
      </c>
      <c r="AE114" s="178">
        <v>445</v>
      </c>
    </row>
    <row r="115" spans="1:31" x14ac:dyDescent="0.25">
      <c r="A115" s="167">
        <v>445</v>
      </c>
      <c r="B115" s="167">
        <v>445005</v>
      </c>
      <c r="C115" s="168" t="s">
        <v>3951</v>
      </c>
      <c r="D115" s="168" t="s">
        <v>2594</v>
      </c>
      <c r="E115" s="168" t="s">
        <v>2595</v>
      </c>
      <c r="F115" s="58">
        <v>42006</v>
      </c>
      <c r="G115" s="59">
        <f t="shared" si="152"/>
        <v>5.9972602739726026</v>
      </c>
      <c r="H115" s="63">
        <v>30689.997039999998</v>
      </c>
      <c r="I115" s="63">
        <v>31457.25</v>
      </c>
      <c r="J115" s="63">
        <v>31457.246965999999</v>
      </c>
      <c r="K115" s="63">
        <f t="shared" si="153"/>
        <v>31457.246965999999</v>
      </c>
      <c r="L115" s="63">
        <f t="shared" si="154"/>
        <v>15.123676425961538</v>
      </c>
      <c r="M115" s="63">
        <f t="shared" si="155"/>
        <v>1209.894114076923</v>
      </c>
      <c r="N115" s="63">
        <f t="shared" si="156"/>
        <v>1319.2767123287672</v>
      </c>
      <c r="O115" s="65"/>
      <c r="P115" s="65"/>
      <c r="Q115" s="63">
        <f t="shared" si="157"/>
        <v>1319.2767123287672</v>
      </c>
      <c r="R115" s="63">
        <f t="shared" si="158"/>
        <v>32776.523678328769</v>
      </c>
      <c r="S115" s="65"/>
      <c r="T115" s="65"/>
      <c r="U115" s="65"/>
      <c r="V115" s="63">
        <f t="shared" si="159"/>
        <v>32776.523678328769</v>
      </c>
      <c r="W115" s="63">
        <f t="shared" si="160"/>
        <v>2032.1444680563836</v>
      </c>
      <c r="X115" s="63">
        <f t="shared" si="161"/>
        <v>475.25959333576719</v>
      </c>
      <c r="Y115" s="63">
        <f t="shared" si="162"/>
        <v>4923.0338564849808</v>
      </c>
      <c r="Z115" s="63">
        <f t="shared" si="163"/>
        <v>52.442437885326036</v>
      </c>
      <c r="AA115" s="63">
        <f t="shared" si="164"/>
        <v>22.94356657483014</v>
      </c>
      <c r="AB115" s="63">
        <f t="shared" si="165"/>
        <v>335</v>
      </c>
      <c r="AC115" s="63">
        <f t="shared" si="166"/>
        <v>10356.36</v>
      </c>
      <c r="AD115" s="63">
        <f t="shared" si="167"/>
        <v>106.9136</v>
      </c>
      <c r="AE115" s="178">
        <v>445</v>
      </c>
    </row>
    <row r="116" spans="1:31" x14ac:dyDescent="0.25">
      <c r="A116" s="167">
        <v>445</v>
      </c>
      <c r="B116" s="167">
        <v>445006</v>
      </c>
      <c r="C116" s="168" t="s">
        <v>3952</v>
      </c>
      <c r="D116" s="168" t="s">
        <v>2597</v>
      </c>
      <c r="E116" s="168" t="s">
        <v>2598</v>
      </c>
      <c r="F116" s="58">
        <v>38860</v>
      </c>
      <c r="G116" s="59">
        <f t="shared" si="152"/>
        <v>14.616438356164384</v>
      </c>
      <c r="H116" s="63">
        <v>30689.997039999998</v>
      </c>
      <c r="I116" s="63">
        <v>31457.25</v>
      </c>
      <c r="J116" s="63">
        <v>31457.246965999999</v>
      </c>
      <c r="K116" s="63">
        <f t="shared" si="153"/>
        <v>31457.246965999999</v>
      </c>
      <c r="L116" s="63">
        <f t="shared" si="154"/>
        <v>15.123676425961538</v>
      </c>
      <c r="M116" s="63">
        <f t="shared" si="155"/>
        <v>1209.894114076923</v>
      </c>
      <c r="N116" s="63">
        <f t="shared" si="156"/>
        <v>3594.7397260273974</v>
      </c>
      <c r="O116" s="65"/>
      <c r="P116" s="65"/>
      <c r="Q116" s="63">
        <f t="shared" si="157"/>
        <v>3594.7397260273974</v>
      </c>
      <c r="R116" s="63">
        <f t="shared" si="158"/>
        <v>35051.986692027393</v>
      </c>
      <c r="S116" s="65"/>
      <c r="T116" s="65"/>
      <c r="U116" s="65"/>
      <c r="V116" s="63">
        <f t="shared" si="159"/>
        <v>35051.986692027393</v>
      </c>
      <c r="W116" s="63">
        <f t="shared" si="160"/>
        <v>2173.2231749056982</v>
      </c>
      <c r="X116" s="63">
        <f t="shared" si="161"/>
        <v>508.2538070343972</v>
      </c>
      <c r="Y116" s="63">
        <f t="shared" si="162"/>
        <v>5264.8084011425144</v>
      </c>
      <c r="Z116" s="63">
        <f t="shared" si="163"/>
        <v>56.083178707243832</v>
      </c>
      <c r="AA116" s="63">
        <f t="shared" si="164"/>
        <v>24.536390684419175</v>
      </c>
      <c r="AB116" s="63">
        <f t="shared" si="165"/>
        <v>335</v>
      </c>
      <c r="AC116" s="63">
        <f t="shared" si="166"/>
        <v>10356.36</v>
      </c>
      <c r="AD116" s="63">
        <f t="shared" si="167"/>
        <v>106.9136</v>
      </c>
      <c r="AE116" s="178">
        <v>445</v>
      </c>
    </row>
    <row r="117" spans="1:31" x14ac:dyDescent="0.25">
      <c r="A117" s="167">
        <v>445</v>
      </c>
      <c r="B117" s="167">
        <v>445007</v>
      </c>
      <c r="C117" s="168" t="s">
        <v>3953</v>
      </c>
      <c r="D117" s="168" t="s">
        <v>2600</v>
      </c>
      <c r="E117" s="168" t="s">
        <v>2601</v>
      </c>
      <c r="F117" s="58">
        <v>43381</v>
      </c>
      <c r="G117" s="59">
        <f t="shared" si="152"/>
        <v>2.2301369863013698</v>
      </c>
      <c r="H117" s="63">
        <v>30689.997039999998</v>
      </c>
      <c r="I117" s="63">
        <v>31457.25</v>
      </c>
      <c r="J117" s="63">
        <v>31457.246965999999</v>
      </c>
      <c r="K117" s="63">
        <f t="shared" si="153"/>
        <v>31457.246965999999</v>
      </c>
      <c r="L117" s="63">
        <f t="shared" si="154"/>
        <v>15.123676425961538</v>
      </c>
      <c r="M117" s="63">
        <f t="shared" si="155"/>
        <v>1209.894114076923</v>
      </c>
      <c r="N117" s="63">
        <f t="shared" si="156"/>
        <v>0</v>
      </c>
      <c r="O117" s="65"/>
      <c r="P117" s="65"/>
      <c r="Q117" s="63">
        <f t="shared" si="157"/>
        <v>0</v>
      </c>
      <c r="R117" s="63">
        <f t="shared" si="158"/>
        <v>31457.246965999999</v>
      </c>
      <c r="S117" s="65"/>
      <c r="T117" s="65"/>
      <c r="U117" s="65"/>
      <c r="V117" s="63">
        <f t="shared" si="159"/>
        <v>31457.246965999999</v>
      </c>
      <c r="W117" s="63">
        <f t="shared" si="160"/>
        <v>1950.3493118919998</v>
      </c>
      <c r="X117" s="63">
        <f t="shared" si="161"/>
        <v>456.130081007</v>
      </c>
      <c r="Y117" s="63">
        <f t="shared" si="162"/>
        <v>4724.8784942931998</v>
      </c>
      <c r="Z117" s="63">
        <f t="shared" si="163"/>
        <v>50.331595145599998</v>
      </c>
      <c r="AA117" s="63">
        <f t="shared" si="164"/>
        <v>22.0200728762</v>
      </c>
      <c r="AB117" s="63">
        <f t="shared" si="165"/>
        <v>335</v>
      </c>
      <c r="AC117" s="63">
        <f t="shared" si="166"/>
        <v>10356.36</v>
      </c>
      <c r="AD117" s="63">
        <f t="shared" si="167"/>
        <v>106.9136</v>
      </c>
      <c r="AE117" s="178">
        <v>445</v>
      </c>
    </row>
    <row r="118" spans="1:31" x14ac:dyDescent="0.25">
      <c r="A118" s="167">
        <v>445</v>
      </c>
      <c r="B118" s="167">
        <v>445008</v>
      </c>
      <c r="C118" s="168" t="s">
        <v>3973</v>
      </c>
      <c r="D118" s="185" t="s">
        <v>2609</v>
      </c>
      <c r="E118" s="185" t="s">
        <v>2610</v>
      </c>
      <c r="F118" s="58">
        <v>36381</v>
      </c>
      <c r="G118" s="59">
        <f t="shared" si="152"/>
        <v>21.408219178082192</v>
      </c>
      <c r="H118" s="63">
        <v>30689.997039999998</v>
      </c>
      <c r="I118" s="63">
        <v>31457.25</v>
      </c>
      <c r="J118" s="63">
        <v>31457.246965999999</v>
      </c>
      <c r="K118" s="63">
        <f t="shared" si="153"/>
        <v>31457.246965999999</v>
      </c>
      <c r="L118" s="63">
        <f t="shared" si="154"/>
        <v>15.123676425961538</v>
      </c>
      <c r="M118" s="63">
        <f t="shared" si="155"/>
        <v>1209.894114076923</v>
      </c>
      <c r="N118" s="63">
        <f t="shared" si="156"/>
        <v>5387.7698630136983</v>
      </c>
      <c r="O118" s="65"/>
      <c r="P118" s="65"/>
      <c r="Q118" s="63">
        <f t="shared" si="157"/>
        <v>5000</v>
      </c>
      <c r="R118" s="63">
        <f t="shared" si="158"/>
        <v>36457.246965999999</v>
      </c>
      <c r="S118" s="65"/>
      <c r="T118" s="65"/>
      <c r="U118" s="65"/>
      <c r="V118" s="63">
        <f t="shared" si="159"/>
        <v>36457.246965999999</v>
      </c>
      <c r="W118" s="63">
        <f t="shared" si="160"/>
        <v>2260.3493118920001</v>
      </c>
      <c r="X118" s="63">
        <f t="shared" si="161"/>
        <v>528.63008100700006</v>
      </c>
      <c r="Y118" s="63">
        <f t="shared" si="162"/>
        <v>5475.8784942931998</v>
      </c>
      <c r="Z118" s="63">
        <f t="shared" si="163"/>
        <v>58.331595145599998</v>
      </c>
      <c r="AA118" s="63">
        <f t="shared" si="164"/>
        <v>25.5200728762</v>
      </c>
      <c r="AB118" s="63">
        <f t="shared" si="165"/>
        <v>335</v>
      </c>
      <c r="AC118" s="63">
        <f t="shared" si="166"/>
        <v>10356.36</v>
      </c>
      <c r="AD118" s="63">
        <f t="shared" si="167"/>
        <v>106.9136</v>
      </c>
      <c r="AE118" s="178">
        <v>445</v>
      </c>
    </row>
    <row r="119" spans="1:31" x14ac:dyDescent="0.25">
      <c r="A119" s="167">
        <v>445</v>
      </c>
      <c r="B119" s="167">
        <v>445009</v>
      </c>
      <c r="C119" s="168" t="s">
        <v>3954</v>
      </c>
      <c r="D119" s="168" t="s">
        <v>2606</v>
      </c>
      <c r="E119" s="168" t="s">
        <v>2607</v>
      </c>
      <c r="F119" s="58">
        <v>43626</v>
      </c>
      <c r="G119" s="59">
        <f t="shared" si="152"/>
        <v>1.558904109589041</v>
      </c>
      <c r="H119" s="63">
        <v>30689.997039999998</v>
      </c>
      <c r="I119" s="63">
        <v>31457.25</v>
      </c>
      <c r="J119" s="63">
        <v>31457.246965999999</v>
      </c>
      <c r="K119" s="63">
        <f t="shared" si="153"/>
        <v>31457.246965999999</v>
      </c>
      <c r="L119" s="63">
        <f t="shared" si="154"/>
        <v>15.123676425961538</v>
      </c>
      <c r="M119" s="63">
        <f t="shared" si="155"/>
        <v>1209.894114076923</v>
      </c>
      <c r="N119" s="63">
        <f t="shared" si="156"/>
        <v>0</v>
      </c>
      <c r="O119" s="65"/>
      <c r="P119" s="65"/>
      <c r="Q119" s="63">
        <f t="shared" si="157"/>
        <v>0</v>
      </c>
      <c r="R119" s="63">
        <f t="shared" si="158"/>
        <v>31457.246965999999</v>
      </c>
      <c r="S119" s="65"/>
      <c r="T119" s="65"/>
      <c r="U119" s="65"/>
      <c r="V119" s="63">
        <f t="shared" si="159"/>
        <v>31457.246965999999</v>
      </c>
      <c r="W119" s="63">
        <f t="shared" si="160"/>
        <v>1950.3493118919998</v>
      </c>
      <c r="X119" s="63">
        <f t="shared" si="161"/>
        <v>456.130081007</v>
      </c>
      <c r="Y119" s="63">
        <f t="shared" si="162"/>
        <v>4724.8784942931998</v>
      </c>
      <c r="Z119" s="63">
        <f t="shared" si="163"/>
        <v>50.331595145599998</v>
      </c>
      <c r="AA119" s="63">
        <f t="shared" si="164"/>
        <v>22.0200728762</v>
      </c>
      <c r="AB119" s="63">
        <f t="shared" si="165"/>
        <v>335</v>
      </c>
      <c r="AC119" s="63">
        <f t="shared" si="166"/>
        <v>10356.36</v>
      </c>
      <c r="AD119" s="63">
        <f t="shared" si="167"/>
        <v>106.9136</v>
      </c>
      <c r="AE119" s="178">
        <v>445</v>
      </c>
    </row>
    <row r="120" spans="1:31" x14ac:dyDescent="0.25">
      <c r="A120" s="167">
        <v>445</v>
      </c>
      <c r="B120" s="167">
        <v>445010</v>
      </c>
      <c r="C120" s="168" t="s">
        <v>3974</v>
      </c>
      <c r="D120" s="168" t="s">
        <v>3181</v>
      </c>
      <c r="E120" s="168" t="s">
        <v>3179</v>
      </c>
      <c r="F120" s="83">
        <v>43633</v>
      </c>
      <c r="G120" s="59">
        <f t="shared" si="152"/>
        <v>1.5397260273972602</v>
      </c>
      <c r="H120" s="63">
        <v>0</v>
      </c>
      <c r="I120" s="63">
        <v>31457.25</v>
      </c>
      <c r="J120" s="63">
        <v>31457.25</v>
      </c>
      <c r="K120" s="63">
        <v>31457.25</v>
      </c>
      <c r="L120" s="63">
        <f t="shared" si="154"/>
        <v>15.123677884615384</v>
      </c>
      <c r="M120" s="63">
        <f t="shared" si="155"/>
        <v>1209.8942307692307</v>
      </c>
      <c r="N120" s="63">
        <f t="shared" si="156"/>
        <v>0</v>
      </c>
      <c r="O120" s="65"/>
      <c r="P120" s="65"/>
      <c r="Q120" s="63">
        <f t="shared" si="157"/>
        <v>0</v>
      </c>
      <c r="R120" s="63">
        <f t="shared" si="158"/>
        <v>31457.25</v>
      </c>
      <c r="S120" s="65"/>
      <c r="T120" s="65"/>
      <c r="U120" s="65"/>
      <c r="V120" s="63">
        <f t="shared" si="159"/>
        <v>31457.25</v>
      </c>
      <c r="W120" s="63">
        <f t="shared" si="160"/>
        <v>1950.3495</v>
      </c>
      <c r="X120" s="63">
        <f t="shared" si="161"/>
        <v>456.13012500000002</v>
      </c>
      <c r="Y120" s="63">
        <f t="shared" si="162"/>
        <v>4724.8789500000003</v>
      </c>
      <c r="Z120" s="63">
        <f t="shared" si="163"/>
        <v>50.331600000000002</v>
      </c>
      <c r="AA120" s="63">
        <f t="shared" si="164"/>
        <v>22.020074999999999</v>
      </c>
      <c r="AB120" s="63">
        <f t="shared" si="165"/>
        <v>335</v>
      </c>
      <c r="AC120" s="63">
        <f t="shared" si="166"/>
        <v>10356.36</v>
      </c>
      <c r="AD120" s="63">
        <f t="shared" si="167"/>
        <v>106.9136</v>
      </c>
      <c r="AE120" s="178">
        <v>445</v>
      </c>
    </row>
    <row r="121" spans="1:31" x14ac:dyDescent="0.25">
      <c r="A121" s="167">
        <v>445</v>
      </c>
      <c r="B121" s="167">
        <v>445011</v>
      </c>
      <c r="C121" s="168" t="s">
        <v>3956</v>
      </c>
      <c r="D121" s="168" t="s">
        <v>3975</v>
      </c>
      <c r="E121" s="168" t="s">
        <v>3976</v>
      </c>
      <c r="F121" s="58">
        <v>41862</v>
      </c>
      <c r="G121" s="59">
        <f t="shared" si="152"/>
        <v>6.3917808219178083</v>
      </c>
      <c r="H121" s="63">
        <v>30689.997039999998</v>
      </c>
      <c r="I121" s="63">
        <v>31457.25</v>
      </c>
      <c r="J121" s="63">
        <v>31457.246965999999</v>
      </c>
      <c r="K121" s="63">
        <f t="shared" ref="K121:K122" si="168">SUM(((J121*$K$3)+$K$2)+J121)</f>
        <v>31457.246965999999</v>
      </c>
      <c r="L121" s="63">
        <f t="shared" si="154"/>
        <v>15.123676425961538</v>
      </c>
      <c r="M121" s="63">
        <f t="shared" si="155"/>
        <v>1209.894114076923</v>
      </c>
      <c r="N121" s="63">
        <f t="shared" si="156"/>
        <v>1423.4301369863015</v>
      </c>
      <c r="O121" s="65"/>
      <c r="P121" s="65"/>
      <c r="Q121" s="63">
        <f t="shared" si="157"/>
        <v>1423.4301369863015</v>
      </c>
      <c r="R121" s="63">
        <f t="shared" si="158"/>
        <v>32880.677102986301</v>
      </c>
      <c r="S121" s="65"/>
      <c r="T121" s="65"/>
      <c r="U121" s="65"/>
      <c r="V121" s="63">
        <f t="shared" si="159"/>
        <v>32880.677102986301</v>
      </c>
      <c r="W121" s="63">
        <f t="shared" si="160"/>
        <v>2038.6019803851507</v>
      </c>
      <c r="X121" s="63">
        <f t="shared" si="161"/>
        <v>476.76981799330139</v>
      </c>
      <c r="Y121" s="63">
        <f t="shared" si="162"/>
        <v>4938.6777008685422</v>
      </c>
      <c r="Z121" s="63">
        <f t="shared" si="163"/>
        <v>52.609083364778087</v>
      </c>
      <c r="AA121" s="63">
        <f t="shared" si="164"/>
        <v>23.016473972090409</v>
      </c>
      <c r="AB121" s="63">
        <f t="shared" si="165"/>
        <v>335</v>
      </c>
      <c r="AC121" s="63">
        <f t="shared" si="166"/>
        <v>10356.36</v>
      </c>
      <c r="AD121" s="63">
        <f t="shared" si="167"/>
        <v>106.9136</v>
      </c>
      <c r="AE121" s="178">
        <v>445</v>
      </c>
    </row>
    <row r="122" spans="1:31" x14ac:dyDescent="0.25">
      <c r="A122" s="167">
        <v>445</v>
      </c>
      <c r="B122" s="167">
        <v>445012</v>
      </c>
      <c r="C122" s="168" t="s">
        <v>3958</v>
      </c>
      <c r="D122" s="168" t="s">
        <v>3977</v>
      </c>
      <c r="E122" s="168" t="s">
        <v>3978</v>
      </c>
      <c r="F122" s="58">
        <v>43269</v>
      </c>
      <c r="G122" s="59">
        <f t="shared" si="152"/>
        <v>2.536986301369863</v>
      </c>
      <c r="H122" s="63">
        <v>30689.997039999998</v>
      </c>
      <c r="I122" s="63">
        <v>31457.25</v>
      </c>
      <c r="J122" s="63">
        <v>31457.246965999999</v>
      </c>
      <c r="K122" s="63">
        <f t="shared" si="168"/>
        <v>31457.246965999999</v>
      </c>
      <c r="L122" s="63">
        <f t="shared" si="154"/>
        <v>15.123676425961538</v>
      </c>
      <c r="M122" s="63">
        <f t="shared" si="155"/>
        <v>1209.894114076923</v>
      </c>
      <c r="N122" s="63">
        <f t="shared" si="156"/>
        <v>0</v>
      </c>
      <c r="O122" s="65"/>
      <c r="P122" s="65"/>
      <c r="Q122" s="63">
        <f t="shared" si="157"/>
        <v>0</v>
      </c>
      <c r="R122" s="63">
        <f t="shared" si="158"/>
        <v>31457.246965999999</v>
      </c>
      <c r="S122" s="65"/>
      <c r="T122" s="65"/>
      <c r="U122" s="65"/>
      <c r="V122" s="63">
        <f t="shared" si="159"/>
        <v>31457.246965999999</v>
      </c>
      <c r="W122" s="63">
        <f t="shared" si="160"/>
        <v>1950.3493118919998</v>
      </c>
      <c r="X122" s="63">
        <f t="shared" si="161"/>
        <v>456.130081007</v>
      </c>
      <c r="Y122" s="63">
        <f t="shared" si="162"/>
        <v>4724.8784942931998</v>
      </c>
      <c r="Z122" s="63">
        <f t="shared" si="163"/>
        <v>50.331595145599998</v>
      </c>
      <c r="AA122" s="63">
        <f t="shared" si="164"/>
        <v>22.0200728762</v>
      </c>
      <c r="AB122" s="63">
        <f t="shared" si="165"/>
        <v>335</v>
      </c>
      <c r="AC122" s="63">
        <f t="shared" si="166"/>
        <v>10356.36</v>
      </c>
      <c r="AD122" s="63">
        <f t="shared" si="167"/>
        <v>106.9136</v>
      </c>
      <c r="AE122" s="178">
        <v>445</v>
      </c>
    </row>
    <row r="123" spans="1:31" x14ac:dyDescent="0.25">
      <c r="A123" s="167">
        <v>445</v>
      </c>
      <c r="B123" s="247"/>
      <c r="C123" s="168" t="s">
        <v>2611</v>
      </c>
      <c r="D123" s="168" t="s">
        <v>3979</v>
      </c>
      <c r="E123" s="168" t="s">
        <v>3980</v>
      </c>
      <c r="F123" s="58">
        <v>42674</v>
      </c>
      <c r="G123" s="167" t="s">
        <v>2422</v>
      </c>
      <c r="H123" s="63">
        <v>15600</v>
      </c>
      <c r="I123" s="169"/>
      <c r="J123" s="63">
        <v>15600</v>
      </c>
      <c r="K123" s="63">
        <v>15600</v>
      </c>
      <c r="L123" s="65"/>
      <c r="M123" s="65"/>
      <c r="N123" s="63" t="s">
        <v>27</v>
      </c>
      <c r="O123" s="65"/>
      <c r="P123" s="65"/>
      <c r="Q123" s="63">
        <v>0</v>
      </c>
      <c r="R123" s="63">
        <v>15600</v>
      </c>
      <c r="S123" s="65"/>
      <c r="T123" s="65"/>
      <c r="U123" s="65"/>
      <c r="V123" s="63">
        <f t="shared" si="159"/>
        <v>15600</v>
      </c>
      <c r="W123" s="63">
        <f t="shared" si="160"/>
        <v>967.2</v>
      </c>
      <c r="X123" s="63">
        <f t="shared" si="161"/>
        <v>226.20000000000002</v>
      </c>
      <c r="Y123" s="63">
        <f t="shared" si="162"/>
        <v>2343.12</v>
      </c>
      <c r="Z123" s="63">
        <f t="shared" si="163"/>
        <v>24.96</v>
      </c>
      <c r="AA123" s="63">
        <f t="shared" si="164"/>
        <v>10.92</v>
      </c>
      <c r="AB123" s="63" t="s">
        <v>2422</v>
      </c>
      <c r="AC123" s="63" t="s">
        <v>2422</v>
      </c>
      <c r="AD123" s="63" t="s">
        <v>2422</v>
      </c>
      <c r="AE123" s="178">
        <v>445</v>
      </c>
    </row>
    <row r="124" spans="1:31" x14ac:dyDescent="0.25">
      <c r="A124" s="167">
        <v>445</v>
      </c>
      <c r="B124" s="247"/>
      <c r="C124" s="168" t="s">
        <v>2495</v>
      </c>
      <c r="D124" s="247"/>
      <c r="E124" s="247"/>
      <c r="F124" s="247"/>
      <c r="G124" s="247"/>
      <c r="H124" s="172">
        <v>1500</v>
      </c>
      <c r="I124" s="173"/>
      <c r="J124" s="172">
        <v>1500</v>
      </c>
      <c r="K124" s="172">
        <v>1500</v>
      </c>
      <c r="L124" s="314"/>
      <c r="M124" s="314"/>
      <c r="N124" s="172" t="s">
        <v>27</v>
      </c>
      <c r="O124" s="314"/>
      <c r="P124" s="314"/>
      <c r="Q124" s="172">
        <v>0</v>
      </c>
      <c r="R124" s="172">
        <v>1500</v>
      </c>
      <c r="S124" s="314"/>
      <c r="T124" s="314"/>
      <c r="U124" s="314"/>
      <c r="V124" s="172">
        <f t="shared" si="159"/>
        <v>1500</v>
      </c>
      <c r="W124" s="172">
        <f t="shared" si="160"/>
        <v>93</v>
      </c>
      <c r="X124" s="172">
        <f t="shared" si="161"/>
        <v>21.75</v>
      </c>
      <c r="Y124" s="172">
        <f t="shared" si="162"/>
        <v>225.3</v>
      </c>
      <c r="Z124" s="172">
        <f t="shared" si="163"/>
        <v>2.4</v>
      </c>
      <c r="AA124" s="172">
        <f t="shared" si="164"/>
        <v>1.05</v>
      </c>
      <c r="AB124" s="172" t="s">
        <v>2422</v>
      </c>
      <c r="AC124" s="172" t="s">
        <v>2422</v>
      </c>
      <c r="AD124" s="172" t="s">
        <v>2422</v>
      </c>
      <c r="AE124" s="178">
        <v>445</v>
      </c>
    </row>
    <row r="125" spans="1:31" x14ac:dyDescent="0.25">
      <c r="A125" s="167">
        <v>445</v>
      </c>
      <c r="B125" s="247"/>
      <c r="C125" s="247"/>
      <c r="D125" s="247"/>
      <c r="E125" s="247"/>
      <c r="F125" s="247"/>
      <c r="G125" s="247"/>
      <c r="H125" s="175">
        <v>382455.87583999994</v>
      </c>
      <c r="I125" s="303"/>
      <c r="J125" s="175">
        <v>423047.02273600001</v>
      </c>
      <c r="K125" s="175">
        <f t="shared" ref="K125:AD125" si="169">SUM(K110:K124)</f>
        <v>423047.02273600001</v>
      </c>
      <c r="L125" s="175">
        <f t="shared" si="169"/>
        <v>195.16683785384615</v>
      </c>
      <c r="M125" s="175">
        <f t="shared" si="169"/>
        <v>15613.347028307697</v>
      </c>
      <c r="N125" s="175">
        <f t="shared" si="169"/>
        <v>22448.679452054796</v>
      </c>
      <c r="O125" s="175">
        <f t="shared" si="169"/>
        <v>0</v>
      </c>
      <c r="P125" s="175">
        <f t="shared" si="169"/>
        <v>0</v>
      </c>
      <c r="Q125" s="175">
        <f t="shared" si="169"/>
        <v>20803.024657534246</v>
      </c>
      <c r="R125" s="175">
        <f t="shared" si="169"/>
        <v>443850.04739353427</v>
      </c>
      <c r="S125" s="175">
        <f t="shared" si="169"/>
        <v>0</v>
      </c>
      <c r="T125" s="175">
        <f t="shared" si="169"/>
        <v>0</v>
      </c>
      <c r="U125" s="175">
        <f t="shared" si="169"/>
        <v>0</v>
      </c>
      <c r="V125" s="175">
        <f t="shared" si="169"/>
        <v>443850.04739353427</v>
      </c>
      <c r="W125" s="175">
        <f t="shared" si="169"/>
        <v>27518.702938399128</v>
      </c>
      <c r="X125" s="175">
        <f t="shared" si="169"/>
        <v>6435.8256872062457</v>
      </c>
      <c r="Y125" s="175">
        <f t="shared" si="169"/>
        <v>66666.277118508835</v>
      </c>
      <c r="Z125" s="175">
        <f t="shared" si="169"/>
        <v>710.16007582965483</v>
      </c>
      <c r="AA125" s="175">
        <f t="shared" si="169"/>
        <v>310.69503317547395</v>
      </c>
      <c r="AB125" s="175">
        <f t="shared" si="169"/>
        <v>4020</v>
      </c>
      <c r="AC125" s="175">
        <f t="shared" si="169"/>
        <v>124276.32</v>
      </c>
      <c r="AD125" s="175">
        <f t="shared" si="169"/>
        <v>1282.9632000000001</v>
      </c>
      <c r="AE125" s="178">
        <v>445</v>
      </c>
    </row>
    <row r="126" spans="1:31" x14ac:dyDescent="0.25">
      <c r="A126" s="247"/>
      <c r="B126" s="247"/>
      <c r="C126" s="247"/>
      <c r="D126" s="247"/>
      <c r="E126" s="247"/>
      <c r="F126" s="247"/>
      <c r="G126" s="247"/>
      <c r="H126" s="65"/>
      <c r="I126" s="169"/>
      <c r="J126" s="65">
        <v>351419.50618800009</v>
      </c>
      <c r="K126" s="69">
        <f>SUM(K112:K122)</f>
        <v>351419.50618800009</v>
      </c>
      <c r="L126" s="65"/>
      <c r="M126" s="65"/>
      <c r="N126" s="65"/>
      <c r="O126" s="65"/>
      <c r="P126" s="65"/>
      <c r="Q126" s="65"/>
      <c r="R126" s="65"/>
      <c r="S126" s="65"/>
      <c r="T126" s="65"/>
      <c r="U126" s="65"/>
      <c r="V126" s="65"/>
      <c r="W126" s="63">
        <f>SUM(W125:X125)</f>
        <v>33954.528625605373</v>
      </c>
      <c r="X126" s="65"/>
      <c r="Y126" s="65"/>
      <c r="Z126" s="65"/>
      <c r="AA126" s="65"/>
      <c r="AB126" s="65"/>
      <c r="AC126" s="63">
        <f>SUM(AC125:AD125)</f>
        <v>125559.28320000001</v>
      </c>
      <c r="AD126" s="65"/>
      <c r="AE126" s="247"/>
    </row>
    <row r="127" spans="1:31" x14ac:dyDescent="0.25">
      <c r="A127" s="247"/>
      <c r="B127" s="247"/>
      <c r="C127" s="247"/>
      <c r="D127" s="247"/>
      <c r="E127" s="247"/>
      <c r="F127" s="247"/>
      <c r="G127" s="247"/>
      <c r="H127" s="65"/>
      <c r="I127" s="169"/>
      <c r="J127" s="65"/>
      <c r="K127" s="65"/>
      <c r="L127" s="65"/>
      <c r="M127" s="65"/>
      <c r="N127" s="65"/>
      <c r="O127" s="65"/>
      <c r="P127" s="65"/>
      <c r="Q127" s="65"/>
      <c r="R127" s="65"/>
      <c r="S127" s="65"/>
      <c r="T127" s="65"/>
      <c r="U127" s="65"/>
      <c r="V127" s="65"/>
      <c r="W127" s="65"/>
      <c r="X127" s="65"/>
      <c r="Y127" s="65"/>
      <c r="Z127" s="65"/>
      <c r="AA127" s="65"/>
      <c r="AB127" s="65"/>
      <c r="AC127" s="65"/>
      <c r="AD127" s="65"/>
      <c r="AE127" s="247"/>
    </row>
    <row r="128" spans="1:31" x14ac:dyDescent="0.25">
      <c r="A128" s="247"/>
      <c r="B128" s="247"/>
      <c r="C128" s="247"/>
      <c r="D128" s="247"/>
      <c r="E128" s="247"/>
      <c r="F128" s="247"/>
      <c r="G128" s="247"/>
      <c r="H128" s="65"/>
      <c r="I128" s="169"/>
      <c r="J128" s="65"/>
      <c r="K128" s="65"/>
      <c r="L128" s="65"/>
      <c r="M128" s="65"/>
      <c r="N128" s="65"/>
      <c r="O128" s="65"/>
      <c r="P128" s="65"/>
      <c r="Q128" s="65"/>
      <c r="R128" s="65"/>
      <c r="S128" s="65"/>
      <c r="T128" s="65"/>
      <c r="U128" s="65"/>
      <c r="V128" s="65"/>
      <c r="W128" s="65"/>
      <c r="X128" s="65"/>
      <c r="Y128" s="65"/>
      <c r="Z128" s="65"/>
      <c r="AA128" s="65"/>
      <c r="AB128" s="65"/>
      <c r="AC128" s="65"/>
      <c r="AD128" s="65"/>
      <c r="AE128" s="247"/>
    </row>
    <row r="129" spans="1:31" x14ac:dyDescent="0.25">
      <c r="A129" s="167">
        <v>451</v>
      </c>
      <c r="B129" s="167">
        <v>451001</v>
      </c>
      <c r="C129" s="168" t="s">
        <v>2613</v>
      </c>
      <c r="D129" s="168" t="s">
        <v>2614</v>
      </c>
      <c r="E129" s="168" t="s">
        <v>2615</v>
      </c>
      <c r="F129" s="58">
        <v>41257</v>
      </c>
      <c r="G129" s="59">
        <f>(DATE(2020,12,30)-(F129))/365</f>
        <v>8.0493150684931507</v>
      </c>
      <c r="H129" s="63">
        <v>53197.577120000002</v>
      </c>
      <c r="I129" s="63">
        <v>54527.519999999997</v>
      </c>
      <c r="J129" s="63">
        <v>54527.516548</v>
      </c>
      <c r="K129" s="63">
        <f>SUM(((J129*$K$3)+$K$2)+J129)</f>
        <v>54527.516548</v>
      </c>
      <c r="L129" s="63">
        <f>SUM(K129/2080)</f>
        <v>26.215152186538461</v>
      </c>
      <c r="M129" s="63">
        <f>SUM(K129/26)</f>
        <v>2097.2121749230769</v>
      </c>
      <c r="N129" s="63">
        <f>IF(G129&lt;4,0,(G129-1)*$N$7)</f>
        <v>1861.0191780821917</v>
      </c>
      <c r="O129" s="65"/>
      <c r="P129" s="65"/>
      <c r="Q129" s="63">
        <f>IF(N129+P129&gt;5000,5000,N129+P129)</f>
        <v>1861.0191780821917</v>
      </c>
      <c r="R129" s="63">
        <f>Q129+K129</f>
        <v>56388.535726082191</v>
      </c>
      <c r="S129" s="65"/>
      <c r="T129" s="65"/>
      <c r="U129" s="65"/>
      <c r="V129" s="63">
        <f t="shared" ref="V129:V133" si="170">SUM(R129:U129)</f>
        <v>56388.535726082191</v>
      </c>
      <c r="W129" s="63">
        <f t="shared" ref="W129:W133" si="171">SUM(V129*$W$7)</f>
        <v>3496.0892150170957</v>
      </c>
      <c r="X129" s="63">
        <f t="shared" ref="X129:X133" si="172">SUM(V129*$X$7)</f>
        <v>817.63376802819187</v>
      </c>
      <c r="Y129" s="63">
        <f t="shared" ref="Y129:Y133" si="173">SUM(V129*$Y$7)</f>
        <v>8469.5580660575451</v>
      </c>
      <c r="Z129" s="63">
        <f t="shared" ref="Z129:Z133" si="174">SUM(V129*$Z$7)</f>
        <v>90.221657161731514</v>
      </c>
      <c r="AA129" s="63">
        <f t="shared" ref="AA129:AA133" si="175">SUM(V129*$AA$7)</f>
        <v>39.47197500825753</v>
      </c>
      <c r="AB129" s="63">
        <f>SUM($AB$7)</f>
        <v>335</v>
      </c>
      <c r="AC129" s="63">
        <f>$AC$7</f>
        <v>10356.36</v>
      </c>
      <c r="AD129" s="63">
        <f>SUM(AB129+AC129)*$AD$7</f>
        <v>106.9136</v>
      </c>
      <c r="AE129" s="178">
        <v>451</v>
      </c>
    </row>
    <row r="130" spans="1:31" x14ac:dyDescent="0.25">
      <c r="A130" s="247"/>
      <c r="B130" s="247"/>
      <c r="C130" s="168" t="s">
        <v>2901</v>
      </c>
      <c r="D130" s="247"/>
      <c r="E130" s="247"/>
      <c r="F130" s="247"/>
      <c r="G130" s="247"/>
      <c r="H130" s="63">
        <v>600</v>
      </c>
      <c r="I130" s="169"/>
      <c r="J130" s="63">
        <v>600</v>
      </c>
      <c r="K130" s="63">
        <v>600</v>
      </c>
      <c r="L130" s="65"/>
      <c r="M130" s="63">
        <v>23.08</v>
      </c>
      <c r="N130" s="63" t="s">
        <v>27</v>
      </c>
      <c r="O130" s="65"/>
      <c r="P130" s="65"/>
      <c r="Q130" s="63">
        <v>0</v>
      </c>
      <c r="R130" s="63">
        <v>600</v>
      </c>
      <c r="S130" s="65"/>
      <c r="T130" s="65"/>
      <c r="U130" s="65"/>
      <c r="V130" s="63">
        <f t="shared" si="170"/>
        <v>600</v>
      </c>
      <c r="W130" s="63">
        <f t="shared" si="171"/>
        <v>37.200000000000003</v>
      </c>
      <c r="X130" s="63">
        <f t="shared" si="172"/>
        <v>8.7000000000000011</v>
      </c>
      <c r="Y130" s="63">
        <f t="shared" si="173"/>
        <v>90.12</v>
      </c>
      <c r="Z130" s="63">
        <f t="shared" si="174"/>
        <v>0.96000000000000008</v>
      </c>
      <c r="AA130" s="63">
        <f t="shared" si="175"/>
        <v>0.42</v>
      </c>
      <c r="AB130" s="63" t="s">
        <v>2422</v>
      </c>
      <c r="AC130" s="63" t="s">
        <v>2422</v>
      </c>
      <c r="AD130" s="63" t="s">
        <v>2422</v>
      </c>
      <c r="AE130" s="178">
        <v>451</v>
      </c>
    </row>
    <row r="131" spans="1:31" x14ac:dyDescent="0.25">
      <c r="A131" s="167">
        <v>451</v>
      </c>
      <c r="B131" s="167">
        <v>451002</v>
      </c>
      <c r="C131" s="168" t="s">
        <v>2617</v>
      </c>
      <c r="D131" s="168" t="s">
        <v>2618</v>
      </c>
      <c r="E131" s="168" t="s">
        <v>2619</v>
      </c>
      <c r="F131" s="58">
        <v>42564</v>
      </c>
      <c r="G131" s="59">
        <f t="shared" ref="G131:G132" si="176">(DATE(2020,12,30)-(F131))/365</f>
        <v>4.4684931506849317</v>
      </c>
      <c r="H131" s="63">
        <v>30692.333840000003</v>
      </c>
      <c r="I131" s="63">
        <v>31459.64</v>
      </c>
      <c r="J131" s="63">
        <v>31459.642186000005</v>
      </c>
      <c r="K131" s="63">
        <f>SUM(((J131*$K$3)+$K$2)+J131)</f>
        <v>31459.642186000005</v>
      </c>
      <c r="L131" s="63">
        <f t="shared" ref="L131:L132" si="177">SUM(K131/2080)</f>
        <v>15.124827974038464</v>
      </c>
      <c r="M131" s="63">
        <f t="shared" ref="M131:M132" si="178">SUM(K131/26)</f>
        <v>1209.9862379230772</v>
      </c>
      <c r="N131" s="63">
        <f t="shared" ref="N131:N132" si="179">IF(G131&lt;4,0,(G131-1)*$N$7)</f>
        <v>915.682191780822</v>
      </c>
      <c r="O131" s="65"/>
      <c r="P131" s="65"/>
      <c r="Q131" s="63">
        <f t="shared" ref="Q131:Q132" si="180">IF(N131+P131&gt;5000,5000,N131+P131)</f>
        <v>915.682191780822</v>
      </c>
      <c r="R131" s="63">
        <f t="shared" ref="R131:R133" si="181">Q131+K131</f>
        <v>32375.324377780827</v>
      </c>
      <c r="S131" s="65"/>
      <c r="T131" s="65"/>
      <c r="U131" s="65"/>
      <c r="V131" s="63">
        <f t="shared" si="170"/>
        <v>32375.324377780827</v>
      </c>
      <c r="W131" s="63">
        <f t="shared" si="171"/>
        <v>2007.2701114224112</v>
      </c>
      <c r="X131" s="63">
        <f t="shared" si="172"/>
        <v>469.44220347782203</v>
      </c>
      <c r="Y131" s="63">
        <f t="shared" si="173"/>
        <v>4862.7737215426805</v>
      </c>
      <c r="Z131" s="63">
        <f t="shared" si="174"/>
        <v>51.800519004449328</v>
      </c>
      <c r="AA131" s="63">
        <f t="shared" si="175"/>
        <v>22.662727064446578</v>
      </c>
      <c r="AB131" s="63">
        <f t="shared" ref="AB131:AB132" si="182">SUM($AB$7)</f>
        <v>335</v>
      </c>
      <c r="AC131" s="63">
        <f t="shared" ref="AC131:AC132" si="183">$AC$7</f>
        <v>10356.36</v>
      </c>
      <c r="AD131" s="63">
        <f t="shared" ref="AD131:AD132" si="184">SUM(AB131+AC131)*$AD$7</f>
        <v>106.9136</v>
      </c>
      <c r="AE131" s="178">
        <v>451</v>
      </c>
    </row>
    <row r="132" spans="1:31" x14ac:dyDescent="0.25">
      <c r="A132" s="167">
        <v>451</v>
      </c>
      <c r="B132" s="167">
        <v>451003</v>
      </c>
      <c r="C132" s="168" t="s">
        <v>3981</v>
      </c>
      <c r="D132" s="168" t="s">
        <v>2622</v>
      </c>
      <c r="E132" s="168" t="s">
        <v>2623</v>
      </c>
      <c r="F132" s="58">
        <v>43255</v>
      </c>
      <c r="G132" s="59">
        <f t="shared" si="176"/>
        <v>2.5753424657534247</v>
      </c>
      <c r="H132" s="63">
        <v>30692.333840000003</v>
      </c>
      <c r="I132" s="57">
        <v>31459.64</v>
      </c>
      <c r="J132" s="63">
        <v>31459.642186000005</v>
      </c>
      <c r="K132" s="57">
        <f>SUM(((J131*$K$3)+$K$2)+J131)</f>
        <v>31459.642186000005</v>
      </c>
      <c r="L132" s="63">
        <f t="shared" si="177"/>
        <v>15.124827974038464</v>
      </c>
      <c r="M132" s="63">
        <f t="shared" si="178"/>
        <v>1209.9862379230772</v>
      </c>
      <c r="N132" s="63">
        <f t="shared" si="179"/>
        <v>0</v>
      </c>
      <c r="O132" s="65"/>
      <c r="P132" s="65"/>
      <c r="Q132" s="63">
        <f t="shared" si="180"/>
        <v>0</v>
      </c>
      <c r="R132" s="63">
        <f t="shared" si="181"/>
        <v>31459.642186000005</v>
      </c>
      <c r="S132" s="65"/>
      <c r="T132" s="65"/>
      <c r="U132" s="65"/>
      <c r="V132" s="63">
        <f t="shared" si="170"/>
        <v>31459.642186000005</v>
      </c>
      <c r="W132" s="63">
        <f t="shared" si="171"/>
        <v>1950.4978155320002</v>
      </c>
      <c r="X132" s="63">
        <f t="shared" si="172"/>
        <v>456.16481169700006</v>
      </c>
      <c r="Y132" s="63">
        <f t="shared" si="173"/>
        <v>4725.2382563372003</v>
      </c>
      <c r="Z132" s="63">
        <f t="shared" si="174"/>
        <v>50.335427497600008</v>
      </c>
      <c r="AA132" s="63">
        <f t="shared" si="175"/>
        <v>22.021749530200005</v>
      </c>
      <c r="AB132" s="63">
        <f t="shared" si="182"/>
        <v>335</v>
      </c>
      <c r="AC132" s="63">
        <f t="shared" si="183"/>
        <v>10356.36</v>
      </c>
      <c r="AD132" s="63">
        <f t="shared" si="184"/>
        <v>106.9136</v>
      </c>
      <c r="AE132" s="178">
        <v>451</v>
      </c>
    </row>
    <row r="133" spans="1:31" x14ac:dyDescent="0.25">
      <c r="A133" s="167">
        <v>451</v>
      </c>
      <c r="B133" s="167">
        <v>451004</v>
      </c>
      <c r="C133" s="168" t="s">
        <v>2495</v>
      </c>
      <c r="D133" s="247"/>
      <c r="E133" s="247"/>
      <c r="F133" s="247"/>
      <c r="G133" s="247"/>
      <c r="H133" s="172">
        <v>0</v>
      </c>
      <c r="I133" s="173"/>
      <c r="J133" s="172">
        <v>0</v>
      </c>
      <c r="K133" s="172">
        <v>0</v>
      </c>
      <c r="L133" s="314"/>
      <c r="M133" s="314"/>
      <c r="N133" s="172" t="s">
        <v>27</v>
      </c>
      <c r="O133" s="314"/>
      <c r="P133" s="314"/>
      <c r="Q133" s="172">
        <v>0</v>
      </c>
      <c r="R133" s="172">
        <f t="shared" si="181"/>
        <v>0</v>
      </c>
      <c r="S133" s="314"/>
      <c r="T133" s="314"/>
      <c r="U133" s="314"/>
      <c r="V133" s="172">
        <f t="shared" si="170"/>
        <v>0</v>
      </c>
      <c r="W133" s="172">
        <f t="shared" si="171"/>
        <v>0</v>
      </c>
      <c r="X133" s="172">
        <f t="shared" si="172"/>
        <v>0</v>
      </c>
      <c r="Y133" s="172">
        <f t="shared" si="173"/>
        <v>0</v>
      </c>
      <c r="Z133" s="172">
        <f t="shared" si="174"/>
        <v>0</v>
      </c>
      <c r="AA133" s="172">
        <f t="shared" si="175"/>
        <v>0</v>
      </c>
      <c r="AB133" s="172" t="s">
        <v>2422</v>
      </c>
      <c r="AC133" s="172" t="s">
        <v>2422</v>
      </c>
      <c r="AD133" s="172" t="s">
        <v>2422</v>
      </c>
      <c r="AE133" s="178">
        <v>451</v>
      </c>
    </row>
    <row r="134" spans="1:31" x14ac:dyDescent="0.25">
      <c r="A134" s="167">
        <v>451</v>
      </c>
      <c r="B134" s="247"/>
      <c r="C134" s="247"/>
      <c r="D134" s="247"/>
      <c r="E134" s="247"/>
      <c r="F134" s="247"/>
      <c r="G134" s="247"/>
      <c r="H134" s="175">
        <v>115182.24480000001</v>
      </c>
      <c r="I134" s="303"/>
      <c r="J134" s="175">
        <v>118046.80092000001</v>
      </c>
      <c r="K134" s="175">
        <f t="shared" ref="K134:AD134" si="185">SUM(K129:K133)</f>
        <v>118046.80092000001</v>
      </c>
      <c r="L134" s="175">
        <f t="shared" si="185"/>
        <v>56.464808134615396</v>
      </c>
      <c r="M134" s="175">
        <f t="shared" si="185"/>
        <v>4540.2646507692316</v>
      </c>
      <c r="N134" s="175">
        <f t="shared" si="185"/>
        <v>2776.7013698630135</v>
      </c>
      <c r="O134" s="175">
        <f t="shared" si="185"/>
        <v>0</v>
      </c>
      <c r="P134" s="175">
        <f t="shared" si="185"/>
        <v>0</v>
      </c>
      <c r="Q134" s="175">
        <f t="shared" si="185"/>
        <v>2776.7013698630135</v>
      </c>
      <c r="R134" s="175">
        <f t="shared" si="185"/>
        <v>120823.50228986301</v>
      </c>
      <c r="S134" s="175">
        <f t="shared" si="185"/>
        <v>0</v>
      </c>
      <c r="T134" s="175">
        <f t="shared" si="185"/>
        <v>0</v>
      </c>
      <c r="U134" s="175">
        <f t="shared" si="185"/>
        <v>0</v>
      </c>
      <c r="V134" s="175">
        <f t="shared" si="185"/>
        <v>120823.50228986301</v>
      </c>
      <c r="W134" s="175">
        <f t="shared" si="185"/>
        <v>7491.057141971507</v>
      </c>
      <c r="X134" s="175">
        <f t="shared" si="185"/>
        <v>1751.940783203014</v>
      </c>
      <c r="Y134" s="175">
        <f t="shared" si="185"/>
        <v>18147.690043937426</v>
      </c>
      <c r="Z134" s="175">
        <f t="shared" si="185"/>
        <v>193.31760366378086</v>
      </c>
      <c r="AA134" s="175">
        <f t="shared" si="185"/>
        <v>84.576451602904115</v>
      </c>
      <c r="AB134" s="175">
        <f t="shared" si="185"/>
        <v>1005</v>
      </c>
      <c r="AC134" s="175">
        <f t="shared" si="185"/>
        <v>31069.08</v>
      </c>
      <c r="AD134" s="175">
        <f t="shared" si="185"/>
        <v>320.74080000000004</v>
      </c>
      <c r="AE134" s="178">
        <v>451</v>
      </c>
    </row>
    <row r="135" spans="1:31" x14ac:dyDescent="0.25">
      <c r="A135" s="247"/>
      <c r="B135" s="247"/>
      <c r="C135" s="247"/>
      <c r="D135" s="247"/>
      <c r="E135" s="247"/>
      <c r="F135" s="247"/>
      <c r="G135" s="247"/>
      <c r="H135" s="65"/>
      <c r="I135" s="169"/>
      <c r="J135" s="65"/>
      <c r="K135" s="65">
        <f>SUM(K131:K132)</f>
        <v>62919.284372000009</v>
      </c>
      <c r="L135" s="65"/>
      <c r="M135" s="65"/>
      <c r="N135" s="65"/>
      <c r="O135" s="65"/>
      <c r="P135" s="65"/>
      <c r="Q135" s="65"/>
      <c r="R135" s="65"/>
      <c r="S135" s="65"/>
      <c r="T135" s="65"/>
      <c r="U135" s="65"/>
      <c r="V135" s="65"/>
      <c r="W135" s="63">
        <f>SUM(W134:X134)</f>
        <v>9242.9979251745208</v>
      </c>
      <c r="X135" s="65"/>
      <c r="Y135" s="65"/>
      <c r="Z135" s="65"/>
      <c r="AA135" s="65"/>
      <c r="AB135" s="65"/>
      <c r="AC135" s="63">
        <f>SUM(AC134:AD134)</f>
        <v>31389.820800000001</v>
      </c>
      <c r="AD135" s="65"/>
      <c r="AE135" s="247"/>
    </row>
    <row r="136" spans="1:31" x14ac:dyDescent="0.25">
      <c r="A136" s="247"/>
      <c r="B136" s="247"/>
      <c r="C136" s="247"/>
      <c r="D136" s="247"/>
      <c r="E136" s="247"/>
      <c r="F136" s="247"/>
      <c r="G136" s="247"/>
      <c r="H136" s="65"/>
      <c r="I136" s="169"/>
      <c r="J136" s="65"/>
      <c r="K136" s="65"/>
      <c r="L136" s="65"/>
      <c r="M136" s="65"/>
      <c r="N136" s="65"/>
      <c r="O136" s="65"/>
      <c r="P136" s="65"/>
      <c r="Q136" s="65"/>
      <c r="R136" s="65"/>
      <c r="S136" s="65"/>
      <c r="T136" s="65"/>
      <c r="U136" s="65"/>
      <c r="V136" s="65"/>
      <c r="W136" s="65"/>
      <c r="X136" s="65"/>
      <c r="Y136" s="65"/>
      <c r="Z136" s="65"/>
      <c r="AA136" s="65"/>
      <c r="AB136" s="65"/>
      <c r="AC136" s="65"/>
      <c r="AD136" s="65"/>
      <c r="AE136" s="247"/>
    </row>
    <row r="137" spans="1:31" x14ac:dyDescent="0.25">
      <c r="A137" s="247"/>
      <c r="B137" s="247"/>
      <c r="C137" s="247"/>
      <c r="D137" s="247"/>
      <c r="E137" s="247"/>
      <c r="F137" s="247"/>
      <c r="G137" s="247"/>
      <c r="H137" s="65"/>
      <c r="I137" s="169"/>
      <c r="J137" s="65"/>
      <c r="K137" s="65"/>
      <c r="L137" s="65"/>
      <c r="M137" s="65"/>
      <c r="N137" s="65"/>
      <c r="O137" s="65"/>
      <c r="P137" s="65"/>
      <c r="Q137" s="65"/>
      <c r="R137" s="65"/>
      <c r="S137" s="65"/>
      <c r="T137" s="65"/>
      <c r="U137" s="65"/>
      <c r="V137" s="65"/>
      <c r="W137" s="65"/>
      <c r="X137" s="65"/>
      <c r="Y137" s="65"/>
      <c r="Z137" s="65"/>
      <c r="AA137" s="65"/>
      <c r="AB137" s="65"/>
      <c r="AC137" s="65"/>
      <c r="AD137" s="65"/>
      <c r="AE137" s="247"/>
    </row>
    <row r="138" spans="1:31" x14ac:dyDescent="0.25">
      <c r="A138" s="167">
        <v>452</v>
      </c>
      <c r="B138" s="167">
        <v>452001</v>
      </c>
      <c r="C138" s="168" t="s">
        <v>2625</v>
      </c>
      <c r="D138" s="168" t="s">
        <v>2626</v>
      </c>
      <c r="E138" s="168" t="s">
        <v>2569</v>
      </c>
      <c r="F138" s="58">
        <v>42005</v>
      </c>
      <c r="G138" s="59">
        <f t="shared" ref="G138:G140" si="186">(DATE(2020,12,30)-(F138))/365</f>
        <v>6</v>
      </c>
      <c r="H138" s="63">
        <v>53197.577120000002</v>
      </c>
      <c r="I138" s="63">
        <v>54527.519999999997</v>
      </c>
      <c r="J138" s="63">
        <v>54527.516548</v>
      </c>
      <c r="K138" s="63">
        <f t="shared" ref="K138:K140" si="187">SUM(((J138*$K$3)+$K$2)+J138)</f>
        <v>54527.516548</v>
      </c>
      <c r="L138" s="63">
        <f t="shared" ref="L138:L140" si="188">SUM(K138/2080)</f>
        <v>26.215152186538461</v>
      </c>
      <c r="M138" s="63">
        <f t="shared" ref="M138:M140" si="189">SUM(K138/26)</f>
        <v>2097.2121749230769</v>
      </c>
      <c r="N138" s="63">
        <f t="shared" ref="N138:N140" si="190">IF(G138&lt;4,0,(G138-1)*$N$7)</f>
        <v>1320</v>
      </c>
      <c r="O138" s="65"/>
      <c r="P138" s="65"/>
      <c r="Q138" s="63">
        <f t="shared" ref="Q138:Q140" si="191">IF(N138+P138&gt;5000,5000,N138+P138)</f>
        <v>1320</v>
      </c>
      <c r="R138" s="63">
        <f t="shared" ref="R138:R140" si="192">Q138+K138</f>
        <v>55847.516548</v>
      </c>
      <c r="S138" s="65"/>
      <c r="T138" s="65"/>
      <c r="U138" s="65"/>
      <c r="V138" s="63">
        <f t="shared" ref="V138:V141" si="193">SUM(R138:U138)</f>
        <v>55847.516548</v>
      </c>
      <c r="W138" s="63">
        <f t="shared" ref="W138:W141" si="194">SUM(V138*$W$7)</f>
        <v>3462.5460259759998</v>
      </c>
      <c r="X138" s="63">
        <f t="shared" ref="X138:X141" si="195">SUM(V138*$X$7)</f>
        <v>809.78898994600002</v>
      </c>
      <c r="Y138" s="63">
        <f t="shared" ref="Y138:Y141" si="196">SUM(V138*$Y$7)</f>
        <v>8388.2969855095998</v>
      </c>
      <c r="Z138" s="63">
        <f t="shared" ref="Z138:Z141" si="197">SUM(V138*$Z$7)</f>
        <v>89.356026476799997</v>
      </c>
      <c r="AA138" s="82" t="s">
        <v>2420</v>
      </c>
      <c r="AB138" s="63">
        <f t="shared" ref="AB138:AB140" si="198">SUM($AB$7)</f>
        <v>335</v>
      </c>
      <c r="AC138" s="63">
        <f t="shared" ref="AC138:AC140" si="199">$AC$7</f>
        <v>10356.36</v>
      </c>
      <c r="AD138" s="63">
        <f t="shared" ref="AD138:AD140" si="200">SUM(AB138+AC138)*$AD$7</f>
        <v>106.9136</v>
      </c>
      <c r="AE138" s="178">
        <v>452</v>
      </c>
    </row>
    <row r="139" spans="1:31" x14ac:dyDescent="0.25">
      <c r="A139" s="167">
        <v>452</v>
      </c>
      <c r="B139" s="167">
        <v>452002</v>
      </c>
      <c r="C139" s="168" t="s">
        <v>2617</v>
      </c>
      <c r="D139" s="168" t="s">
        <v>2628</v>
      </c>
      <c r="E139" s="168" t="s">
        <v>2629</v>
      </c>
      <c r="F139" s="58">
        <v>37158</v>
      </c>
      <c r="G139" s="59">
        <f t="shared" si="186"/>
        <v>19.279452054794522</v>
      </c>
      <c r="H139" s="63">
        <v>30692.333840000003</v>
      </c>
      <c r="I139" s="63">
        <v>31459.64</v>
      </c>
      <c r="J139" s="63">
        <v>31459.642186000005</v>
      </c>
      <c r="K139" s="63">
        <f t="shared" si="187"/>
        <v>31459.642186000005</v>
      </c>
      <c r="L139" s="63">
        <f t="shared" si="188"/>
        <v>15.124827974038464</v>
      </c>
      <c r="M139" s="63">
        <f t="shared" si="189"/>
        <v>1209.9862379230772</v>
      </c>
      <c r="N139" s="63">
        <f t="shared" si="190"/>
        <v>4825.775342465754</v>
      </c>
      <c r="O139" s="65"/>
      <c r="P139" s="65"/>
      <c r="Q139" s="63">
        <f t="shared" si="191"/>
        <v>4825.775342465754</v>
      </c>
      <c r="R139" s="63">
        <f t="shared" si="192"/>
        <v>36285.417528465761</v>
      </c>
      <c r="S139" s="65"/>
      <c r="T139" s="65"/>
      <c r="U139" s="65"/>
      <c r="V139" s="63">
        <f t="shared" si="193"/>
        <v>36285.417528465761</v>
      </c>
      <c r="W139" s="63">
        <f t="shared" si="194"/>
        <v>2249.6958867648773</v>
      </c>
      <c r="X139" s="63">
        <f t="shared" si="195"/>
        <v>526.13855416275362</v>
      </c>
      <c r="Y139" s="63">
        <f t="shared" si="196"/>
        <v>5450.0697127755575</v>
      </c>
      <c r="Z139" s="63">
        <f t="shared" si="197"/>
        <v>58.056668045545223</v>
      </c>
      <c r="AA139" s="63">
        <f t="shared" ref="AA139:AA141" si="201">SUM(V139*$AA$7)</f>
        <v>25.399792269926031</v>
      </c>
      <c r="AB139" s="63">
        <f t="shared" si="198"/>
        <v>335</v>
      </c>
      <c r="AC139" s="63">
        <f t="shared" si="199"/>
        <v>10356.36</v>
      </c>
      <c r="AD139" s="63">
        <f t="shared" si="200"/>
        <v>106.9136</v>
      </c>
      <c r="AE139" s="178">
        <v>452</v>
      </c>
    </row>
    <row r="140" spans="1:31" x14ac:dyDescent="0.25">
      <c r="A140" s="167">
        <v>452</v>
      </c>
      <c r="B140" s="167">
        <v>452003</v>
      </c>
      <c r="C140" s="168" t="s">
        <v>3981</v>
      </c>
      <c r="D140" s="168" t="s">
        <v>2584</v>
      </c>
      <c r="E140" s="168" t="s">
        <v>2631</v>
      </c>
      <c r="F140" s="58">
        <v>39350</v>
      </c>
      <c r="G140" s="59">
        <f t="shared" si="186"/>
        <v>13.273972602739725</v>
      </c>
      <c r="H140" s="63">
        <v>30689.997039999998</v>
      </c>
      <c r="I140" s="57">
        <v>31457.25</v>
      </c>
      <c r="J140" s="63">
        <v>31457.246965999999</v>
      </c>
      <c r="K140" s="57">
        <f t="shared" si="187"/>
        <v>31457.246965999999</v>
      </c>
      <c r="L140" s="63">
        <f t="shared" si="188"/>
        <v>15.123676425961538</v>
      </c>
      <c r="M140" s="63">
        <f t="shared" si="189"/>
        <v>1209.894114076923</v>
      </c>
      <c r="N140" s="63">
        <f t="shared" si="190"/>
        <v>3240.3287671232874</v>
      </c>
      <c r="O140" s="65"/>
      <c r="P140" s="65"/>
      <c r="Q140" s="63">
        <f t="shared" si="191"/>
        <v>3240.3287671232874</v>
      </c>
      <c r="R140" s="63">
        <f t="shared" si="192"/>
        <v>34697.575733123289</v>
      </c>
      <c r="S140" s="65"/>
      <c r="T140" s="65"/>
      <c r="U140" s="65"/>
      <c r="V140" s="63">
        <f t="shared" si="193"/>
        <v>34697.575733123289</v>
      </c>
      <c r="W140" s="63">
        <f t="shared" si="194"/>
        <v>2151.2496954536441</v>
      </c>
      <c r="X140" s="63">
        <f t="shared" si="195"/>
        <v>503.11484813028773</v>
      </c>
      <c r="Y140" s="63">
        <f t="shared" si="196"/>
        <v>5211.5758751151179</v>
      </c>
      <c r="Z140" s="63">
        <f t="shared" si="197"/>
        <v>55.516121172997266</v>
      </c>
      <c r="AA140" s="63">
        <f t="shared" si="201"/>
        <v>24.288303013186301</v>
      </c>
      <c r="AB140" s="63">
        <f t="shared" si="198"/>
        <v>335</v>
      </c>
      <c r="AC140" s="63">
        <f t="shared" si="199"/>
        <v>10356.36</v>
      </c>
      <c r="AD140" s="63">
        <f t="shared" si="200"/>
        <v>106.9136</v>
      </c>
      <c r="AE140" s="178">
        <v>452</v>
      </c>
    </row>
    <row r="141" spans="1:31" x14ac:dyDescent="0.25">
      <c r="A141" s="167">
        <v>452</v>
      </c>
      <c r="B141" s="247"/>
      <c r="C141" s="168" t="s">
        <v>2495</v>
      </c>
      <c r="D141" s="247"/>
      <c r="E141" s="247"/>
      <c r="F141" s="247"/>
      <c r="G141" s="247"/>
      <c r="H141" s="172">
        <v>2500</v>
      </c>
      <c r="I141" s="173"/>
      <c r="J141" s="172">
        <v>2500</v>
      </c>
      <c r="K141" s="172">
        <v>2500</v>
      </c>
      <c r="L141" s="314"/>
      <c r="M141" s="314"/>
      <c r="N141" s="172" t="s">
        <v>27</v>
      </c>
      <c r="O141" s="314"/>
      <c r="P141" s="314"/>
      <c r="Q141" s="314"/>
      <c r="R141" s="172">
        <v>2500</v>
      </c>
      <c r="S141" s="314"/>
      <c r="T141" s="314"/>
      <c r="U141" s="314"/>
      <c r="V141" s="172">
        <f t="shared" si="193"/>
        <v>2500</v>
      </c>
      <c r="W141" s="172">
        <f t="shared" si="194"/>
        <v>155</v>
      </c>
      <c r="X141" s="172">
        <f t="shared" si="195"/>
        <v>36.25</v>
      </c>
      <c r="Y141" s="172">
        <f t="shared" si="196"/>
        <v>375.5</v>
      </c>
      <c r="Z141" s="172">
        <f t="shared" si="197"/>
        <v>4</v>
      </c>
      <c r="AA141" s="172">
        <f t="shared" si="201"/>
        <v>1.75</v>
      </c>
      <c r="AB141" s="172" t="s">
        <v>2422</v>
      </c>
      <c r="AC141" s="172" t="s">
        <v>2422</v>
      </c>
      <c r="AD141" s="172" t="s">
        <v>2422</v>
      </c>
      <c r="AE141" s="178">
        <v>452</v>
      </c>
    </row>
    <row r="142" spans="1:31" x14ac:dyDescent="0.25">
      <c r="A142" s="247"/>
      <c r="B142" s="247"/>
      <c r="C142" s="247"/>
      <c r="D142" s="247"/>
      <c r="E142" s="247"/>
      <c r="F142" s="247"/>
      <c r="G142" s="247"/>
      <c r="H142" s="175">
        <v>117079.90800000001</v>
      </c>
      <c r="I142" s="303"/>
      <c r="J142" s="175">
        <v>119944.4057</v>
      </c>
      <c r="K142" s="175">
        <f t="shared" ref="K142:AD142" si="202">SUM(K138:K141)</f>
        <v>119944.4057</v>
      </c>
      <c r="L142" s="175">
        <f t="shared" si="202"/>
        <v>56.463656586538463</v>
      </c>
      <c r="M142" s="175">
        <f t="shared" si="202"/>
        <v>4517.0925269230775</v>
      </c>
      <c r="N142" s="175">
        <f t="shared" si="202"/>
        <v>9386.1041095890414</v>
      </c>
      <c r="O142" s="175">
        <f t="shared" si="202"/>
        <v>0</v>
      </c>
      <c r="P142" s="175">
        <f t="shared" si="202"/>
        <v>0</v>
      </c>
      <c r="Q142" s="175">
        <f t="shared" si="202"/>
        <v>9386.1041095890414</v>
      </c>
      <c r="R142" s="175">
        <f t="shared" si="202"/>
        <v>129330.50980958904</v>
      </c>
      <c r="S142" s="175">
        <f t="shared" si="202"/>
        <v>0</v>
      </c>
      <c r="T142" s="175">
        <f t="shared" si="202"/>
        <v>0</v>
      </c>
      <c r="U142" s="175">
        <f t="shared" si="202"/>
        <v>0</v>
      </c>
      <c r="V142" s="175">
        <f t="shared" si="202"/>
        <v>129330.50980958904</v>
      </c>
      <c r="W142" s="175">
        <f t="shared" si="202"/>
        <v>8018.4916081945212</v>
      </c>
      <c r="X142" s="175">
        <f t="shared" si="202"/>
        <v>1875.2923922390414</v>
      </c>
      <c r="Y142" s="175">
        <f t="shared" si="202"/>
        <v>19425.442573400276</v>
      </c>
      <c r="Z142" s="175">
        <f t="shared" si="202"/>
        <v>206.92881569534248</v>
      </c>
      <c r="AA142" s="175">
        <f t="shared" si="202"/>
        <v>51.438095283112332</v>
      </c>
      <c r="AB142" s="175">
        <f t="shared" si="202"/>
        <v>1005</v>
      </c>
      <c r="AC142" s="175">
        <f t="shared" si="202"/>
        <v>31069.08</v>
      </c>
      <c r="AD142" s="175">
        <f t="shared" si="202"/>
        <v>320.74080000000004</v>
      </c>
      <c r="AE142" s="178">
        <v>452</v>
      </c>
    </row>
    <row r="143" spans="1:31" x14ac:dyDescent="0.25">
      <c r="A143" s="247"/>
      <c r="B143" s="247"/>
      <c r="C143" s="247"/>
      <c r="D143" s="247"/>
      <c r="E143" s="247"/>
      <c r="F143" s="247"/>
      <c r="G143" s="247"/>
      <c r="H143" s="65"/>
      <c r="I143" s="169"/>
      <c r="J143" s="65"/>
      <c r="K143" s="65">
        <f>SUM(K139:K140)</f>
        <v>62916.889152000003</v>
      </c>
      <c r="L143" s="65"/>
      <c r="M143" s="65"/>
      <c r="N143" s="65"/>
      <c r="O143" s="65"/>
      <c r="P143" s="65"/>
      <c r="Q143" s="65"/>
      <c r="R143" s="65"/>
      <c r="S143" s="65"/>
      <c r="T143" s="65"/>
      <c r="U143" s="65"/>
      <c r="V143" s="65"/>
      <c r="W143" s="63">
        <f>SUM(W142:X142)</f>
        <v>9893.7840004335631</v>
      </c>
      <c r="X143" s="65"/>
      <c r="Y143" s="65"/>
      <c r="Z143" s="65"/>
      <c r="AA143" s="65"/>
      <c r="AB143" s="65"/>
      <c r="AC143" s="63">
        <f>SUM(AC142:AD142)</f>
        <v>31389.820800000001</v>
      </c>
      <c r="AD143" s="65"/>
      <c r="AE143" s="247"/>
    </row>
    <row r="144" spans="1:31" x14ac:dyDescent="0.25">
      <c r="A144" s="247"/>
      <c r="B144" s="247"/>
      <c r="C144" s="247"/>
      <c r="D144" s="247"/>
      <c r="E144" s="247"/>
      <c r="F144" s="247"/>
      <c r="G144" s="247"/>
      <c r="H144" s="65"/>
      <c r="I144" s="169"/>
      <c r="J144" s="65"/>
      <c r="K144" s="65"/>
      <c r="L144" s="65"/>
      <c r="M144" s="65"/>
      <c r="N144" s="65"/>
      <c r="O144" s="65"/>
      <c r="P144" s="65"/>
      <c r="Q144" s="65"/>
      <c r="R144" s="65"/>
      <c r="S144" s="65"/>
      <c r="T144" s="65"/>
      <c r="U144" s="65"/>
      <c r="V144" s="65"/>
      <c r="W144" s="65"/>
      <c r="X144" s="65"/>
      <c r="Y144" s="65"/>
      <c r="Z144" s="65"/>
      <c r="AA144" s="65"/>
      <c r="AB144" s="65"/>
      <c r="AC144" s="65"/>
      <c r="AD144" s="65"/>
      <c r="AE144" s="247"/>
    </row>
    <row r="145" spans="1:31" x14ac:dyDescent="0.25">
      <c r="A145" s="247"/>
      <c r="B145" s="247"/>
      <c r="C145" s="247"/>
      <c r="D145" s="247"/>
      <c r="E145" s="247"/>
      <c r="F145" s="247"/>
      <c r="G145" s="247"/>
      <c r="H145" s="65"/>
      <c r="I145" s="169"/>
      <c r="J145" s="65"/>
      <c r="K145" s="65"/>
      <c r="L145" s="65"/>
      <c r="M145" s="65"/>
      <c r="N145" s="65"/>
      <c r="O145" s="65"/>
      <c r="P145" s="65"/>
      <c r="Q145" s="65"/>
      <c r="R145" s="65"/>
      <c r="S145" s="65"/>
      <c r="T145" s="65"/>
      <c r="U145" s="65"/>
      <c r="V145" s="65"/>
      <c r="W145" s="65"/>
      <c r="X145" s="65"/>
      <c r="Y145" s="65"/>
      <c r="Z145" s="65"/>
      <c r="AA145" s="65"/>
      <c r="AB145" s="65"/>
      <c r="AC145" s="65"/>
      <c r="AD145" s="65"/>
      <c r="AE145" s="247"/>
    </row>
    <row r="146" spans="1:31" x14ac:dyDescent="0.25">
      <c r="A146" s="167">
        <v>453</v>
      </c>
      <c r="B146" s="167">
        <v>453001</v>
      </c>
      <c r="C146" s="168" t="s">
        <v>2633</v>
      </c>
      <c r="D146" s="168" t="s">
        <v>2634</v>
      </c>
      <c r="E146" s="168" t="s">
        <v>2635</v>
      </c>
      <c r="F146" s="58">
        <v>42005</v>
      </c>
      <c r="G146" s="59">
        <f>(DATE(2020,12,30)-(F146))/365</f>
        <v>6</v>
      </c>
      <c r="H146" s="63">
        <v>53197.577120000002</v>
      </c>
      <c r="I146" s="63">
        <v>54527.519999999997</v>
      </c>
      <c r="J146" s="63">
        <v>54527.516548</v>
      </c>
      <c r="K146" s="63">
        <f>SUM(((J146*$K$3)+$K$2)+J146)</f>
        <v>54527.516548</v>
      </c>
      <c r="L146" s="63">
        <f>SUM(K146/2080)</f>
        <v>26.215152186538461</v>
      </c>
      <c r="M146" s="63">
        <f>SUM(K146/26)</f>
        <v>2097.2121749230769</v>
      </c>
      <c r="N146" s="63">
        <f>IF(G146&lt;4,0,(G146-1)*$N$7)</f>
        <v>1320</v>
      </c>
      <c r="O146" s="65"/>
      <c r="P146" s="65"/>
      <c r="Q146" s="63">
        <f>IF(N146+P146&gt;5000,5000,N146+P146)</f>
        <v>1320</v>
      </c>
      <c r="R146" s="63">
        <f>Q146+K146</f>
        <v>55847.516548</v>
      </c>
      <c r="S146" s="65"/>
      <c r="T146" s="65"/>
      <c r="U146" s="65"/>
      <c r="V146" s="63">
        <f t="shared" ref="V146:V148" si="203">SUM(R146:U146)</f>
        <v>55847.516548</v>
      </c>
      <c r="W146" s="63">
        <f t="shared" ref="W146:W148" si="204">SUM(V146*$W$7)</f>
        <v>3462.5460259759998</v>
      </c>
      <c r="X146" s="63">
        <f t="shared" ref="X146:X148" si="205">SUM(V146*$X$7)</f>
        <v>809.78898994600002</v>
      </c>
      <c r="Y146" s="63">
        <f t="shared" ref="Y146:Y148" si="206">SUM(V146*$Y$7)</f>
        <v>8388.2969855095998</v>
      </c>
      <c r="Z146" s="63">
        <f t="shared" ref="Z146:Z148" si="207">SUM(V146*$Z$7)</f>
        <v>89.356026476799997</v>
      </c>
      <c r="AA146" s="82" t="s">
        <v>2420</v>
      </c>
      <c r="AB146" s="63">
        <f>SUM($AB$7)</f>
        <v>335</v>
      </c>
      <c r="AC146" s="63">
        <f>$AC$7</f>
        <v>10356.36</v>
      </c>
      <c r="AD146" s="63">
        <f>SUM(AB146+AC146)*$AD$7</f>
        <v>106.9136</v>
      </c>
      <c r="AE146" s="178">
        <v>453</v>
      </c>
    </row>
    <row r="147" spans="1:31" x14ac:dyDescent="0.25">
      <c r="A147" s="247"/>
      <c r="B147" s="247"/>
      <c r="C147" s="168" t="s">
        <v>2901</v>
      </c>
      <c r="D147" s="247"/>
      <c r="E147" s="247"/>
      <c r="F147" s="247"/>
      <c r="G147" s="247"/>
      <c r="H147" s="63">
        <v>600</v>
      </c>
      <c r="I147" s="169"/>
      <c r="J147" s="63">
        <v>600</v>
      </c>
      <c r="K147" s="63">
        <v>600</v>
      </c>
      <c r="L147" s="65"/>
      <c r="M147" s="65"/>
      <c r="N147" s="65"/>
      <c r="O147" s="65"/>
      <c r="P147" s="65"/>
      <c r="Q147" s="63">
        <v>0</v>
      </c>
      <c r="R147" s="63">
        <v>600</v>
      </c>
      <c r="S147" s="65"/>
      <c r="T147" s="65"/>
      <c r="U147" s="65"/>
      <c r="V147" s="63">
        <f t="shared" si="203"/>
        <v>600</v>
      </c>
      <c r="W147" s="63">
        <f t="shared" si="204"/>
        <v>37.200000000000003</v>
      </c>
      <c r="X147" s="63">
        <f t="shared" si="205"/>
        <v>8.7000000000000011</v>
      </c>
      <c r="Y147" s="63">
        <f t="shared" si="206"/>
        <v>90.12</v>
      </c>
      <c r="Z147" s="63">
        <f t="shared" si="207"/>
        <v>0.96000000000000008</v>
      </c>
      <c r="AA147" s="82" t="s">
        <v>2420</v>
      </c>
      <c r="AB147" s="63" t="s">
        <v>2422</v>
      </c>
      <c r="AC147" s="63" t="s">
        <v>2422</v>
      </c>
      <c r="AD147" s="63" t="s">
        <v>2422</v>
      </c>
      <c r="AE147" s="178">
        <v>453</v>
      </c>
    </row>
    <row r="148" spans="1:31" x14ac:dyDescent="0.25">
      <c r="A148" s="167">
        <v>453</v>
      </c>
      <c r="B148" s="167">
        <v>453002</v>
      </c>
      <c r="C148" s="168" t="s">
        <v>2617</v>
      </c>
      <c r="D148" s="185" t="s">
        <v>2637</v>
      </c>
      <c r="E148" s="185" t="s">
        <v>2638</v>
      </c>
      <c r="F148" s="58">
        <v>35156</v>
      </c>
      <c r="G148" s="59">
        <f>(DATE(2020,12,30)-(F148))/365</f>
        <v>24.764383561643836</v>
      </c>
      <c r="H148" s="172">
        <v>30692.32704</v>
      </c>
      <c r="I148" s="172">
        <v>31461.97</v>
      </c>
      <c r="J148" s="172">
        <v>31461.965216000001</v>
      </c>
      <c r="K148" s="172">
        <v>31461.97</v>
      </c>
      <c r="L148" s="172">
        <f>SUM(K148/2080)</f>
        <v>15.125947115384616</v>
      </c>
      <c r="M148" s="172">
        <f>SUM(K148/26)</f>
        <v>1210.0757692307693</v>
      </c>
      <c r="N148" s="172">
        <f>IF(G148&lt;4,0,(G148-1)*$N$7)</f>
        <v>6273.7972602739728</v>
      </c>
      <c r="O148" s="314"/>
      <c r="P148" s="314"/>
      <c r="Q148" s="172">
        <f>IF(N148+P148&gt;5000,5000,N148+P148)</f>
        <v>5000</v>
      </c>
      <c r="R148" s="172">
        <f>Q148+K148</f>
        <v>36461.97</v>
      </c>
      <c r="S148" s="314"/>
      <c r="T148" s="314"/>
      <c r="U148" s="314"/>
      <c r="V148" s="172">
        <f t="shared" si="203"/>
        <v>36461.97</v>
      </c>
      <c r="W148" s="172">
        <f t="shared" si="204"/>
        <v>2260.6421399999999</v>
      </c>
      <c r="X148" s="172">
        <f t="shared" si="205"/>
        <v>528.69856500000003</v>
      </c>
      <c r="Y148" s="172">
        <f t="shared" si="206"/>
        <v>5476.5878940000002</v>
      </c>
      <c r="Z148" s="172">
        <f t="shared" si="207"/>
        <v>58.339152000000006</v>
      </c>
      <c r="AA148" s="172">
        <f>SUM(V148*$AA$7)</f>
        <v>25.523379000000002</v>
      </c>
      <c r="AB148" s="172">
        <f>SUM($AB$7)</f>
        <v>335</v>
      </c>
      <c r="AC148" s="172">
        <f>$AC$7</f>
        <v>10356.36</v>
      </c>
      <c r="AD148" s="172">
        <f>SUM(AB148+AC148)*$AD$7</f>
        <v>106.9136</v>
      </c>
      <c r="AE148" s="178">
        <v>453</v>
      </c>
    </row>
    <row r="149" spans="1:31" x14ac:dyDescent="0.25">
      <c r="A149" s="167">
        <v>453</v>
      </c>
      <c r="B149" s="247"/>
      <c r="C149" s="247"/>
      <c r="D149" s="247"/>
      <c r="E149" s="247"/>
      <c r="F149" s="247"/>
      <c r="G149" s="247"/>
      <c r="H149" s="175">
        <v>84489.904160000006</v>
      </c>
      <c r="I149" s="303"/>
      <c r="J149" s="175">
        <v>86589.481763999996</v>
      </c>
      <c r="K149" s="175">
        <f t="shared" ref="K149:AD149" si="208">SUM(K146:K148)</f>
        <v>86589.486548000001</v>
      </c>
      <c r="L149" s="175">
        <f t="shared" si="208"/>
        <v>41.34109930192308</v>
      </c>
      <c r="M149" s="175">
        <f t="shared" si="208"/>
        <v>3307.2879441538462</v>
      </c>
      <c r="N149" s="175">
        <f t="shared" si="208"/>
        <v>7593.7972602739728</v>
      </c>
      <c r="O149" s="175">
        <f t="shared" si="208"/>
        <v>0</v>
      </c>
      <c r="P149" s="175">
        <f t="shared" si="208"/>
        <v>0</v>
      </c>
      <c r="Q149" s="175">
        <f t="shared" si="208"/>
        <v>6320</v>
      </c>
      <c r="R149" s="175">
        <f t="shared" si="208"/>
        <v>92909.486548000001</v>
      </c>
      <c r="S149" s="175">
        <f t="shared" si="208"/>
        <v>0</v>
      </c>
      <c r="T149" s="175">
        <f t="shared" si="208"/>
        <v>0</v>
      </c>
      <c r="U149" s="175">
        <f t="shared" si="208"/>
        <v>0</v>
      </c>
      <c r="V149" s="175">
        <f t="shared" si="208"/>
        <v>92909.486548000001</v>
      </c>
      <c r="W149" s="175">
        <f t="shared" si="208"/>
        <v>5760.3881659759991</v>
      </c>
      <c r="X149" s="175">
        <f t="shared" si="208"/>
        <v>1347.1875549460001</v>
      </c>
      <c r="Y149" s="175">
        <f t="shared" si="208"/>
        <v>13955.004879509601</v>
      </c>
      <c r="Z149" s="175">
        <f t="shared" si="208"/>
        <v>148.65517847679999</v>
      </c>
      <c r="AA149" s="175">
        <f t="shared" si="208"/>
        <v>25.523379000000002</v>
      </c>
      <c r="AB149" s="175">
        <f t="shared" si="208"/>
        <v>670</v>
      </c>
      <c r="AC149" s="175">
        <f t="shared" si="208"/>
        <v>20712.72</v>
      </c>
      <c r="AD149" s="175">
        <f t="shared" si="208"/>
        <v>213.8272</v>
      </c>
      <c r="AE149" s="178">
        <v>453</v>
      </c>
    </row>
    <row r="150" spans="1:31" x14ac:dyDescent="0.25">
      <c r="A150" s="247"/>
      <c r="B150" s="247"/>
      <c r="C150" s="247"/>
      <c r="D150" s="247"/>
      <c r="E150" s="247"/>
      <c r="F150" s="247"/>
      <c r="G150" s="247"/>
      <c r="H150" s="65"/>
      <c r="I150" s="169"/>
      <c r="J150" s="65"/>
      <c r="K150" s="65"/>
      <c r="L150" s="65"/>
      <c r="M150" s="65"/>
      <c r="N150" s="65"/>
      <c r="O150" s="65"/>
      <c r="P150" s="65"/>
      <c r="Q150" s="65"/>
      <c r="R150" s="65"/>
      <c r="S150" s="65"/>
      <c r="T150" s="65"/>
      <c r="U150" s="65"/>
      <c r="V150" s="65"/>
      <c r="W150" s="63">
        <f>SUM(W149:X149)</f>
        <v>7107.5757209219992</v>
      </c>
      <c r="X150" s="65"/>
      <c r="Y150" s="65"/>
      <c r="Z150" s="65"/>
      <c r="AA150" s="65"/>
      <c r="AB150" s="65"/>
      <c r="AC150" s="63">
        <f>SUM(AC149:AD149)</f>
        <v>20926.547200000001</v>
      </c>
      <c r="AD150" s="65"/>
      <c r="AE150" s="247"/>
    </row>
    <row r="151" spans="1:31" x14ac:dyDescent="0.25">
      <c r="A151" s="247"/>
      <c r="B151" s="247"/>
      <c r="C151" s="247"/>
      <c r="D151" s="247"/>
      <c r="E151" s="247"/>
      <c r="F151" s="247"/>
      <c r="G151" s="247"/>
      <c r="H151" s="65"/>
      <c r="I151" s="169"/>
      <c r="J151" s="65"/>
      <c r="K151" s="65"/>
      <c r="L151" s="65"/>
      <c r="M151" s="65"/>
      <c r="N151" s="65"/>
      <c r="O151" s="65"/>
      <c r="P151" s="65"/>
      <c r="Q151" s="65"/>
      <c r="R151" s="65"/>
      <c r="S151" s="65"/>
      <c r="T151" s="65"/>
      <c r="U151" s="65"/>
      <c r="V151" s="65"/>
      <c r="W151" s="65"/>
      <c r="X151" s="65"/>
      <c r="Y151" s="65"/>
      <c r="Z151" s="65"/>
      <c r="AA151" s="65"/>
      <c r="AB151" s="65"/>
      <c r="AC151" s="65"/>
      <c r="AD151" s="65"/>
      <c r="AE151" s="247"/>
    </row>
    <row r="152" spans="1:31" x14ac:dyDescent="0.25">
      <c r="A152" s="247"/>
      <c r="B152" s="247"/>
      <c r="C152" s="247"/>
      <c r="D152" s="247"/>
      <c r="E152" s="247"/>
      <c r="F152" s="247"/>
      <c r="G152" s="247"/>
      <c r="H152" s="65"/>
      <c r="I152" s="169"/>
      <c r="J152" s="65"/>
      <c r="K152" s="65"/>
      <c r="L152" s="65"/>
      <c r="M152" s="65"/>
      <c r="N152" s="65"/>
      <c r="O152" s="65"/>
      <c r="P152" s="65"/>
      <c r="Q152" s="65"/>
      <c r="R152" s="65"/>
      <c r="S152" s="65"/>
      <c r="T152" s="65"/>
      <c r="U152" s="65"/>
      <c r="V152" s="65"/>
      <c r="W152" s="65"/>
      <c r="X152" s="65"/>
      <c r="Y152" s="65"/>
      <c r="Z152" s="65"/>
      <c r="AA152" s="65"/>
      <c r="AB152" s="65"/>
      <c r="AC152" s="65"/>
      <c r="AD152" s="65"/>
      <c r="AE152" s="247"/>
    </row>
    <row r="153" spans="1:31" x14ac:dyDescent="0.25">
      <c r="A153" s="247"/>
      <c r="B153" s="247"/>
      <c r="C153" s="247"/>
      <c r="D153" s="247"/>
      <c r="E153" s="247"/>
      <c r="F153" s="247"/>
      <c r="G153" s="247"/>
      <c r="H153" s="65"/>
      <c r="I153" s="169"/>
      <c r="J153" s="65"/>
      <c r="K153" s="65"/>
      <c r="L153" s="65"/>
      <c r="M153" s="65"/>
      <c r="N153" s="65"/>
      <c r="O153" s="65"/>
      <c r="P153" s="65"/>
      <c r="Q153" s="65"/>
      <c r="R153" s="65"/>
      <c r="S153" s="65"/>
      <c r="T153" s="65"/>
      <c r="U153" s="65"/>
      <c r="V153" s="65"/>
      <c r="W153" s="65"/>
      <c r="X153" s="65"/>
      <c r="Y153" s="65"/>
      <c r="Z153" s="65"/>
      <c r="AA153" s="65"/>
      <c r="AB153" s="65"/>
      <c r="AC153" s="65"/>
      <c r="AD153" s="65"/>
      <c r="AE153" s="247"/>
    </row>
    <row r="154" spans="1:31" x14ac:dyDescent="0.25">
      <c r="A154" s="167">
        <v>454</v>
      </c>
      <c r="B154" s="167">
        <v>454001</v>
      </c>
      <c r="C154" s="168" t="s">
        <v>2640</v>
      </c>
      <c r="D154" s="185" t="s">
        <v>2641</v>
      </c>
      <c r="E154" s="185" t="s">
        <v>2642</v>
      </c>
      <c r="F154" s="58">
        <v>34700</v>
      </c>
      <c r="G154" s="59">
        <f>(DATE(2020,12,30)-(F154))/365</f>
        <v>26.013698630136986</v>
      </c>
      <c r="H154" s="63">
        <v>53197.577120000002</v>
      </c>
      <c r="I154" s="63">
        <v>54527.519999999997</v>
      </c>
      <c r="J154" s="63">
        <v>54527.516548</v>
      </c>
      <c r="K154" s="63">
        <f>SUM(((J154*$K$3)+$K$2)+J154)</f>
        <v>54527.516548</v>
      </c>
      <c r="L154" s="63">
        <f>SUM(K154/2080)</f>
        <v>26.215152186538461</v>
      </c>
      <c r="M154" s="63">
        <f>SUM(K154/26)</f>
        <v>2097.2121749230769</v>
      </c>
      <c r="N154" s="63">
        <f>IF(G154&lt;4,0,(G154-1)*$N$7)</f>
        <v>6603.6164383561645</v>
      </c>
      <c r="O154" s="65"/>
      <c r="P154" s="65"/>
      <c r="Q154" s="63">
        <f>IF(N154+P154&gt;5000,5000,N154+P154)</f>
        <v>5000</v>
      </c>
      <c r="R154" s="63">
        <f t="shared" ref="R154:R156" si="209">Q154+K154</f>
        <v>59527.516548</v>
      </c>
      <c r="S154" s="65"/>
      <c r="T154" s="65"/>
      <c r="U154" s="65"/>
      <c r="V154" s="63">
        <f t="shared" ref="V154:V156" si="210">SUM(R154:U154)</f>
        <v>59527.516548</v>
      </c>
      <c r="W154" s="63">
        <f t="shared" ref="W154:W156" si="211">SUM(V154*$W$7)</f>
        <v>3690.7060259760001</v>
      </c>
      <c r="X154" s="63">
        <f t="shared" ref="X154:X156" si="212">SUM(V154*$X$7)</f>
        <v>863.14898994600003</v>
      </c>
      <c r="Y154" s="63">
        <f t="shared" ref="Y154:Y156" si="213">SUM(V154*$Y$7)</f>
        <v>8941.0329855096006</v>
      </c>
      <c r="Z154" s="63">
        <f t="shared" ref="Z154:Z156" si="214">SUM(V154*$Z$7)</f>
        <v>95.244026476800002</v>
      </c>
      <c r="AA154" s="82" t="s">
        <v>2420</v>
      </c>
      <c r="AB154" s="63">
        <f>SUM($AB$7)</f>
        <v>335</v>
      </c>
      <c r="AC154" s="63">
        <f>$AC$7</f>
        <v>10356.36</v>
      </c>
      <c r="AD154" s="63">
        <f>SUM(AB154+AC154)*$AD$7</f>
        <v>106.9136</v>
      </c>
      <c r="AE154" s="178">
        <v>454</v>
      </c>
    </row>
    <row r="155" spans="1:31" x14ac:dyDescent="0.25">
      <c r="A155" s="247"/>
      <c r="B155" s="247"/>
      <c r="C155" s="168" t="s">
        <v>2901</v>
      </c>
      <c r="D155" s="247"/>
      <c r="E155" s="247"/>
      <c r="F155" s="247"/>
      <c r="G155" s="247"/>
      <c r="H155" s="63">
        <v>600</v>
      </c>
      <c r="I155" s="169"/>
      <c r="J155" s="63">
        <v>600</v>
      </c>
      <c r="K155" s="63">
        <v>600</v>
      </c>
      <c r="L155" s="65"/>
      <c r="M155" s="65"/>
      <c r="N155" s="65"/>
      <c r="O155" s="65"/>
      <c r="P155" s="65"/>
      <c r="Q155" s="63">
        <v>0</v>
      </c>
      <c r="R155" s="63">
        <f t="shared" si="209"/>
        <v>600</v>
      </c>
      <c r="S155" s="65"/>
      <c r="T155" s="65"/>
      <c r="U155" s="65"/>
      <c r="V155" s="63">
        <f t="shared" si="210"/>
        <v>600</v>
      </c>
      <c r="W155" s="63">
        <f t="shared" si="211"/>
        <v>37.200000000000003</v>
      </c>
      <c r="X155" s="63">
        <f t="shared" si="212"/>
        <v>8.7000000000000011</v>
      </c>
      <c r="Y155" s="63">
        <f t="shared" si="213"/>
        <v>90.12</v>
      </c>
      <c r="Z155" s="63">
        <f t="shared" si="214"/>
        <v>0.96000000000000008</v>
      </c>
      <c r="AA155" s="82" t="s">
        <v>2420</v>
      </c>
      <c r="AB155" s="63" t="s">
        <v>2422</v>
      </c>
      <c r="AC155" s="63" t="s">
        <v>2422</v>
      </c>
      <c r="AD155" s="63" t="s">
        <v>2422</v>
      </c>
      <c r="AE155" s="178">
        <v>454</v>
      </c>
    </row>
    <row r="156" spans="1:31" x14ac:dyDescent="0.25">
      <c r="A156" s="167">
        <v>454</v>
      </c>
      <c r="B156" s="167">
        <v>454002</v>
      </c>
      <c r="C156" s="168" t="s">
        <v>2617</v>
      </c>
      <c r="D156" s="168" t="s">
        <v>2609</v>
      </c>
      <c r="E156" s="168" t="s">
        <v>3767</v>
      </c>
      <c r="F156" s="58">
        <v>33076</v>
      </c>
      <c r="G156" s="59">
        <f>(DATE(2020,12,30)-(F156))/365</f>
        <v>30.463013698630139</v>
      </c>
      <c r="H156" s="172">
        <v>30692.333840000003</v>
      </c>
      <c r="I156" s="172">
        <v>31459.64</v>
      </c>
      <c r="J156" s="172">
        <v>31459.642186000005</v>
      </c>
      <c r="K156" s="172">
        <f>SUM(((J156*$K$3)+$K$2)+J156)</f>
        <v>31459.642186000005</v>
      </c>
      <c r="L156" s="172">
        <f>SUM(K156/2080)</f>
        <v>15.124827974038464</v>
      </c>
      <c r="M156" s="172">
        <f>SUM(K156/26)</f>
        <v>1209.9862379230772</v>
      </c>
      <c r="N156" s="172">
        <f>IF(G156&lt;4,0,(G156-1)*$N$7)</f>
        <v>7778.2356164383564</v>
      </c>
      <c r="O156" s="314"/>
      <c r="P156" s="314"/>
      <c r="Q156" s="172">
        <f>IF(N156+P156&gt;5000,5000,N156+P156)</f>
        <v>5000</v>
      </c>
      <c r="R156" s="172">
        <f t="shared" si="209"/>
        <v>36459.642186000005</v>
      </c>
      <c r="S156" s="314"/>
      <c r="T156" s="314"/>
      <c r="U156" s="314"/>
      <c r="V156" s="172">
        <f t="shared" si="210"/>
        <v>36459.642186000005</v>
      </c>
      <c r="W156" s="172">
        <f t="shared" si="211"/>
        <v>2260.4978155320005</v>
      </c>
      <c r="X156" s="172">
        <f t="shared" si="212"/>
        <v>528.66481169700012</v>
      </c>
      <c r="Y156" s="172">
        <f t="shared" si="213"/>
        <v>5476.2382563372003</v>
      </c>
      <c r="Z156" s="172">
        <f t="shared" si="214"/>
        <v>58.335427497600008</v>
      </c>
      <c r="AA156" s="172">
        <f>SUM(V156*$AA$7)</f>
        <v>25.521749530200005</v>
      </c>
      <c r="AB156" s="172">
        <f>SUM($AB$7)</f>
        <v>335</v>
      </c>
      <c r="AC156" s="172">
        <f>$AC$7</f>
        <v>10356.36</v>
      </c>
      <c r="AD156" s="172">
        <f>SUM(AB156+AC156)*$AD$7</f>
        <v>106.9136</v>
      </c>
      <c r="AE156" s="178">
        <v>454</v>
      </c>
    </row>
    <row r="157" spans="1:31" x14ac:dyDescent="0.25">
      <c r="A157" s="167">
        <v>454</v>
      </c>
      <c r="B157" s="247"/>
      <c r="C157" s="247"/>
      <c r="D157" s="247"/>
      <c r="E157" s="247"/>
      <c r="F157" s="247"/>
      <c r="G157" s="247"/>
      <c r="H157" s="175">
        <v>84489.910960000008</v>
      </c>
      <c r="I157" s="303"/>
      <c r="J157" s="175">
        <v>86587.158733999997</v>
      </c>
      <c r="K157" s="175">
        <f t="shared" ref="K157:AD157" si="215">SUM(K154:K156)</f>
        <v>86587.158733999997</v>
      </c>
      <c r="L157" s="175">
        <f t="shared" si="215"/>
        <v>41.339980160576928</v>
      </c>
      <c r="M157" s="175">
        <f t="shared" si="215"/>
        <v>3307.198412846154</v>
      </c>
      <c r="N157" s="175">
        <f t="shared" si="215"/>
        <v>14381.852054794521</v>
      </c>
      <c r="O157" s="175">
        <f t="shared" si="215"/>
        <v>0</v>
      </c>
      <c r="P157" s="175">
        <f t="shared" si="215"/>
        <v>0</v>
      </c>
      <c r="Q157" s="175">
        <f t="shared" si="215"/>
        <v>10000</v>
      </c>
      <c r="R157" s="175">
        <f t="shared" si="215"/>
        <v>96587.158733999997</v>
      </c>
      <c r="S157" s="175">
        <f t="shared" si="215"/>
        <v>0</v>
      </c>
      <c r="T157" s="175">
        <f t="shared" si="215"/>
        <v>0</v>
      </c>
      <c r="U157" s="175">
        <f t="shared" si="215"/>
        <v>0</v>
      </c>
      <c r="V157" s="175">
        <f t="shared" si="215"/>
        <v>96587.158733999997</v>
      </c>
      <c r="W157" s="175">
        <f t="shared" si="215"/>
        <v>5988.4038415080004</v>
      </c>
      <c r="X157" s="175">
        <f t="shared" si="215"/>
        <v>1400.5138016430001</v>
      </c>
      <c r="Y157" s="175">
        <f t="shared" si="215"/>
        <v>14507.391241846803</v>
      </c>
      <c r="Z157" s="175">
        <f t="shared" si="215"/>
        <v>154.5394539744</v>
      </c>
      <c r="AA157" s="175">
        <f t="shared" si="215"/>
        <v>25.521749530200005</v>
      </c>
      <c r="AB157" s="175">
        <f t="shared" si="215"/>
        <v>670</v>
      </c>
      <c r="AC157" s="175">
        <f t="shared" si="215"/>
        <v>20712.72</v>
      </c>
      <c r="AD157" s="175">
        <f t="shared" si="215"/>
        <v>213.8272</v>
      </c>
      <c r="AE157" s="178">
        <v>454</v>
      </c>
    </row>
    <row r="158" spans="1:31" x14ac:dyDescent="0.25">
      <c r="A158" s="247"/>
      <c r="B158" s="247"/>
      <c r="C158" s="247"/>
      <c r="D158" s="247"/>
      <c r="E158" s="247"/>
      <c r="F158" s="247"/>
      <c r="G158" s="247"/>
      <c r="H158" s="65"/>
      <c r="I158" s="169"/>
      <c r="J158" s="65"/>
      <c r="K158" s="65"/>
      <c r="L158" s="65"/>
      <c r="M158" s="65"/>
      <c r="N158" s="65"/>
      <c r="O158" s="65"/>
      <c r="P158" s="65"/>
      <c r="Q158" s="65"/>
      <c r="R158" s="65"/>
      <c r="S158" s="65"/>
      <c r="T158" s="65"/>
      <c r="U158" s="65"/>
      <c r="V158" s="65"/>
      <c r="W158" s="63">
        <f>SUM(W157:X157)</f>
        <v>7388.9176431510004</v>
      </c>
      <c r="X158" s="65"/>
      <c r="Y158" s="65"/>
      <c r="Z158" s="65"/>
      <c r="AA158" s="65"/>
      <c r="AB158" s="65"/>
      <c r="AC158" s="63">
        <f>SUM(AC157:AD157)</f>
        <v>20926.547200000001</v>
      </c>
      <c r="AD158" s="65"/>
      <c r="AE158" s="247"/>
    </row>
    <row r="159" spans="1:31" x14ac:dyDescent="0.25">
      <c r="A159" s="247"/>
      <c r="B159" s="247"/>
      <c r="C159" s="247"/>
      <c r="D159" s="247"/>
      <c r="E159" s="247"/>
      <c r="F159" s="247"/>
      <c r="G159" s="247"/>
      <c r="H159" s="65"/>
      <c r="I159" s="169"/>
      <c r="J159" s="65"/>
      <c r="K159" s="65"/>
      <c r="L159" s="65"/>
      <c r="M159" s="65"/>
      <c r="N159" s="65"/>
      <c r="O159" s="65"/>
      <c r="P159" s="65"/>
      <c r="Q159" s="65"/>
      <c r="R159" s="65"/>
      <c r="S159" s="65"/>
      <c r="T159" s="65"/>
      <c r="U159" s="65"/>
      <c r="V159" s="65"/>
      <c r="W159" s="65"/>
      <c r="X159" s="65"/>
      <c r="Y159" s="65"/>
      <c r="Z159" s="65"/>
      <c r="AA159" s="65"/>
      <c r="AB159" s="65"/>
      <c r="AC159" s="65"/>
      <c r="AD159" s="65"/>
      <c r="AE159" s="247"/>
    </row>
    <row r="160" spans="1:31" x14ac:dyDescent="0.25">
      <c r="A160" s="167">
        <v>455</v>
      </c>
      <c r="B160" s="167">
        <v>455001</v>
      </c>
      <c r="C160" s="168" t="s">
        <v>2646</v>
      </c>
      <c r="D160" s="168" t="s">
        <v>2647</v>
      </c>
      <c r="E160" s="168" t="s">
        <v>2648</v>
      </c>
      <c r="F160" s="58">
        <v>42858</v>
      </c>
      <c r="G160" s="59">
        <f>(DATE(2020,12,30)-(F160))/365</f>
        <v>3.6630136986301371</v>
      </c>
      <c r="H160" s="63">
        <v>53197.577120000002</v>
      </c>
      <c r="I160" s="63">
        <v>54527.519999999997</v>
      </c>
      <c r="J160" s="63">
        <v>54527.516548</v>
      </c>
      <c r="K160" s="63">
        <f>SUM(((J160*$K$3)+$K$2)+J160)</f>
        <v>54527.516548</v>
      </c>
      <c r="L160" s="63">
        <f>SUM(K160/2080)</f>
        <v>26.215152186538461</v>
      </c>
      <c r="M160" s="63">
        <f>SUM(K160/26)</f>
        <v>2097.2121749230769</v>
      </c>
      <c r="N160" s="63">
        <f>IF(G160&lt;4,0,(G160-1)*$N$7)</f>
        <v>0</v>
      </c>
      <c r="O160" s="65"/>
      <c r="P160" s="65"/>
      <c r="Q160" s="63">
        <f>IF(N160+P160&gt;5000,5000,N160+P160)</f>
        <v>0</v>
      </c>
      <c r="R160" s="63">
        <f t="shared" ref="R160:R163" si="216">Q160+K160</f>
        <v>54527.516548</v>
      </c>
      <c r="S160" s="65"/>
      <c r="T160" s="65"/>
      <c r="U160" s="65"/>
      <c r="V160" s="63">
        <f t="shared" ref="V160:V163" si="217">SUM(R160:U160)</f>
        <v>54527.516548</v>
      </c>
      <c r="W160" s="63">
        <f t="shared" ref="W160:W163" si="218">SUM(V160*$W$7)</f>
        <v>3380.7060259760001</v>
      </c>
      <c r="X160" s="63">
        <f t="shared" ref="X160:X163" si="219">SUM(V160*$X$7)</f>
        <v>790.64898994600003</v>
      </c>
      <c r="Y160" s="63">
        <f t="shared" ref="Y160:Y163" si="220">SUM(V160*$Y$7)</f>
        <v>8190.0329855095997</v>
      </c>
      <c r="Z160" s="63">
        <f t="shared" ref="Z160:Z163" si="221">SUM(V160*$Z$7)</f>
        <v>87.244026476800002</v>
      </c>
      <c r="AA160" s="82" t="s">
        <v>2420</v>
      </c>
      <c r="AB160" s="63">
        <f>SUM($AB$7)</f>
        <v>335</v>
      </c>
      <c r="AC160" s="63">
        <f>$AC$7</f>
        <v>10356.36</v>
      </c>
      <c r="AD160" s="63">
        <f>SUM(AB160+AC160)*$AD$7</f>
        <v>106.9136</v>
      </c>
      <c r="AE160" s="178">
        <v>455</v>
      </c>
    </row>
    <row r="161" spans="1:31" x14ac:dyDescent="0.25">
      <c r="A161" s="168"/>
      <c r="B161" s="168"/>
      <c r="C161" s="168" t="s">
        <v>2901</v>
      </c>
      <c r="D161" s="247"/>
      <c r="E161" s="247"/>
      <c r="F161" s="247"/>
      <c r="G161" s="247"/>
      <c r="H161" s="63">
        <v>600</v>
      </c>
      <c r="I161" s="169"/>
      <c r="J161" s="63">
        <v>600</v>
      </c>
      <c r="K161" s="63">
        <v>600</v>
      </c>
      <c r="L161" s="65"/>
      <c r="M161" s="65"/>
      <c r="N161" s="65"/>
      <c r="O161" s="65"/>
      <c r="P161" s="65"/>
      <c r="Q161" s="63">
        <v>0</v>
      </c>
      <c r="R161" s="63">
        <f t="shared" si="216"/>
        <v>600</v>
      </c>
      <c r="S161" s="65"/>
      <c r="T161" s="65"/>
      <c r="U161" s="65"/>
      <c r="V161" s="63">
        <f t="shared" si="217"/>
        <v>600</v>
      </c>
      <c r="W161" s="63">
        <f t="shared" si="218"/>
        <v>37.200000000000003</v>
      </c>
      <c r="X161" s="63">
        <f t="shared" si="219"/>
        <v>8.7000000000000011</v>
      </c>
      <c r="Y161" s="63">
        <f t="shared" si="220"/>
        <v>90.12</v>
      </c>
      <c r="Z161" s="63">
        <f t="shared" si="221"/>
        <v>0.96000000000000008</v>
      </c>
      <c r="AA161" s="82" t="s">
        <v>2420</v>
      </c>
      <c r="AB161" s="63" t="s">
        <v>2422</v>
      </c>
      <c r="AC161" s="63" t="s">
        <v>2422</v>
      </c>
      <c r="AD161" s="63" t="s">
        <v>2422</v>
      </c>
      <c r="AE161" s="247"/>
    </row>
    <row r="162" spans="1:31" x14ac:dyDescent="0.25">
      <c r="A162" s="167">
        <v>455</v>
      </c>
      <c r="B162" s="167">
        <v>455002</v>
      </c>
      <c r="C162" s="168" t="s">
        <v>2617</v>
      </c>
      <c r="D162" s="168" t="s">
        <v>2650</v>
      </c>
      <c r="E162" s="168" t="s">
        <v>2651</v>
      </c>
      <c r="F162" s="58">
        <v>43304</v>
      </c>
      <c r="G162" s="59">
        <f t="shared" ref="G162:G163" si="222">(DATE(2020,12,30)-(F162))/365</f>
        <v>2.441095890410959</v>
      </c>
      <c r="H162" s="63">
        <v>30692.333840000003</v>
      </c>
      <c r="I162" s="63">
        <v>31459.64</v>
      </c>
      <c r="J162" s="63">
        <v>31459.642186000005</v>
      </c>
      <c r="K162" s="63">
        <f t="shared" ref="K162:K163" si="223">SUM(((J162*$K$3)+$K$2)+J162)</f>
        <v>31459.642186000005</v>
      </c>
      <c r="L162" s="63">
        <f t="shared" ref="L162:L163" si="224">SUM(K162/2080)</f>
        <v>15.124827974038464</v>
      </c>
      <c r="M162" s="63">
        <f t="shared" ref="M162:M163" si="225">SUM(K162/26)</f>
        <v>1209.9862379230772</v>
      </c>
      <c r="N162" s="63">
        <f t="shared" ref="N162:N163" si="226">IF(G162&lt;4,0,(G162-1)*$N$7)</f>
        <v>0</v>
      </c>
      <c r="O162" s="65"/>
      <c r="P162" s="65"/>
      <c r="Q162" s="63">
        <f t="shared" ref="Q162:Q163" si="227">IF(N162+P162&gt;5000,5000,N162+P162)</f>
        <v>0</v>
      </c>
      <c r="R162" s="63">
        <f t="shared" si="216"/>
        <v>31459.642186000005</v>
      </c>
      <c r="S162" s="65"/>
      <c r="T162" s="65"/>
      <c r="U162" s="65"/>
      <c r="V162" s="63">
        <f t="shared" si="217"/>
        <v>31459.642186000005</v>
      </c>
      <c r="W162" s="63">
        <f t="shared" si="218"/>
        <v>1950.4978155320002</v>
      </c>
      <c r="X162" s="63">
        <f t="shared" si="219"/>
        <v>456.16481169700006</v>
      </c>
      <c r="Y162" s="63">
        <f t="shared" si="220"/>
        <v>4725.2382563372003</v>
      </c>
      <c r="Z162" s="63">
        <f t="shared" si="221"/>
        <v>50.335427497600008</v>
      </c>
      <c r="AA162" s="63">
        <f t="shared" ref="AA162:AA163" si="228">SUM(V162*$AA$7)</f>
        <v>22.021749530200005</v>
      </c>
      <c r="AB162" s="63">
        <f t="shared" ref="AB162:AB163" si="229">SUM($AB$7)</f>
        <v>335</v>
      </c>
      <c r="AC162" s="63">
        <f t="shared" ref="AC162:AC163" si="230">$AC$7</f>
        <v>10356.36</v>
      </c>
      <c r="AD162" s="63">
        <f t="shared" ref="AD162:AD163" si="231">SUM(AB162+AC162)*$AD$7</f>
        <v>106.9136</v>
      </c>
      <c r="AE162" s="178">
        <v>455</v>
      </c>
    </row>
    <row r="163" spans="1:31" x14ac:dyDescent="0.25">
      <c r="A163" s="167">
        <v>455</v>
      </c>
      <c r="B163" s="167">
        <v>455003</v>
      </c>
      <c r="C163" s="168" t="s">
        <v>3981</v>
      </c>
      <c r="D163" s="168" t="s">
        <v>2644</v>
      </c>
      <c r="E163" s="168" t="s">
        <v>3768</v>
      </c>
      <c r="F163" s="58">
        <v>43598</v>
      </c>
      <c r="G163" s="59">
        <f t="shared" si="222"/>
        <v>1.6356164383561644</v>
      </c>
      <c r="H163" s="172">
        <v>30692.333840000003</v>
      </c>
      <c r="I163" s="172">
        <v>31459.64</v>
      </c>
      <c r="J163" s="172">
        <v>31459.642186000005</v>
      </c>
      <c r="K163" s="172">
        <f t="shared" si="223"/>
        <v>31459.642186000005</v>
      </c>
      <c r="L163" s="172">
        <f t="shared" si="224"/>
        <v>15.124827974038464</v>
      </c>
      <c r="M163" s="172">
        <f t="shared" si="225"/>
        <v>1209.9862379230772</v>
      </c>
      <c r="N163" s="172">
        <f t="shared" si="226"/>
        <v>0</v>
      </c>
      <c r="O163" s="314"/>
      <c r="P163" s="314"/>
      <c r="Q163" s="172">
        <f t="shared" si="227"/>
        <v>0</v>
      </c>
      <c r="R163" s="172">
        <f t="shared" si="216"/>
        <v>31459.642186000005</v>
      </c>
      <c r="S163" s="314"/>
      <c r="T163" s="314"/>
      <c r="U163" s="314"/>
      <c r="V163" s="172">
        <f t="shared" si="217"/>
        <v>31459.642186000005</v>
      </c>
      <c r="W163" s="172">
        <f t="shared" si="218"/>
        <v>1950.4978155320002</v>
      </c>
      <c r="X163" s="172">
        <f t="shared" si="219"/>
        <v>456.16481169700006</v>
      </c>
      <c r="Y163" s="172">
        <f t="shared" si="220"/>
        <v>4725.2382563372003</v>
      </c>
      <c r="Z163" s="172">
        <f t="shared" si="221"/>
        <v>50.335427497600008</v>
      </c>
      <c r="AA163" s="172">
        <f t="shared" si="228"/>
        <v>22.021749530200005</v>
      </c>
      <c r="AB163" s="172">
        <f t="shared" si="229"/>
        <v>335</v>
      </c>
      <c r="AC163" s="172">
        <f t="shared" si="230"/>
        <v>10356.36</v>
      </c>
      <c r="AD163" s="172">
        <f t="shared" si="231"/>
        <v>106.9136</v>
      </c>
      <c r="AE163" s="178">
        <v>455</v>
      </c>
    </row>
    <row r="164" spans="1:31" x14ac:dyDescent="0.25">
      <c r="A164" s="167">
        <v>455</v>
      </c>
      <c r="B164" s="247"/>
      <c r="C164" s="247"/>
      <c r="D164" s="247"/>
      <c r="E164" s="247"/>
      <c r="F164" s="247"/>
      <c r="G164" s="247"/>
      <c r="H164" s="175">
        <v>115182.24480000001</v>
      </c>
      <c r="I164" s="303"/>
      <c r="J164" s="175">
        <v>118046.80092000001</v>
      </c>
      <c r="K164" s="175">
        <f t="shared" ref="K164:AD164" si="232">SUM(K160:K163)</f>
        <v>118046.80092000001</v>
      </c>
      <c r="L164" s="175">
        <f t="shared" si="232"/>
        <v>56.464808134615396</v>
      </c>
      <c r="M164" s="175">
        <f t="shared" si="232"/>
        <v>4517.1846507692317</v>
      </c>
      <c r="N164" s="175">
        <f t="shared" si="232"/>
        <v>0</v>
      </c>
      <c r="O164" s="175">
        <f t="shared" si="232"/>
        <v>0</v>
      </c>
      <c r="P164" s="175">
        <f t="shared" si="232"/>
        <v>0</v>
      </c>
      <c r="Q164" s="175">
        <f t="shared" si="232"/>
        <v>0</v>
      </c>
      <c r="R164" s="175">
        <f t="shared" si="232"/>
        <v>118046.80092000001</v>
      </c>
      <c r="S164" s="175">
        <f t="shared" si="232"/>
        <v>0</v>
      </c>
      <c r="T164" s="175">
        <f t="shared" si="232"/>
        <v>0</v>
      </c>
      <c r="U164" s="175">
        <f t="shared" si="232"/>
        <v>0</v>
      </c>
      <c r="V164" s="175">
        <f t="shared" si="232"/>
        <v>118046.80092000001</v>
      </c>
      <c r="W164" s="175">
        <f t="shared" si="232"/>
        <v>7318.9016570400008</v>
      </c>
      <c r="X164" s="175">
        <f t="shared" si="232"/>
        <v>1711.6786133400001</v>
      </c>
      <c r="Y164" s="175">
        <f t="shared" si="232"/>
        <v>17730.629498184</v>
      </c>
      <c r="Z164" s="175">
        <f t="shared" si="232"/>
        <v>188.87488147200003</v>
      </c>
      <c r="AA164" s="175">
        <f t="shared" si="232"/>
        <v>44.043499060400009</v>
      </c>
      <c r="AB164" s="175">
        <f t="shared" si="232"/>
        <v>1005</v>
      </c>
      <c r="AC164" s="175">
        <f t="shared" si="232"/>
        <v>31069.08</v>
      </c>
      <c r="AD164" s="175">
        <f t="shared" si="232"/>
        <v>320.74080000000004</v>
      </c>
      <c r="AE164" s="178">
        <v>455</v>
      </c>
    </row>
    <row r="165" spans="1:31" x14ac:dyDescent="0.25">
      <c r="A165" s="247"/>
      <c r="B165" s="247"/>
      <c r="C165" s="247"/>
      <c r="D165" s="247"/>
      <c r="E165" s="247"/>
      <c r="F165" s="247"/>
      <c r="G165" s="247"/>
      <c r="H165" s="65"/>
      <c r="I165" s="169"/>
      <c r="J165" s="65"/>
      <c r="K165" s="65">
        <f>SUM(K162:K163)</f>
        <v>62919.284372000009</v>
      </c>
      <c r="L165" s="65"/>
      <c r="M165" s="65"/>
      <c r="N165" s="65"/>
      <c r="O165" s="65"/>
      <c r="P165" s="65"/>
      <c r="Q165" s="65"/>
      <c r="R165" s="65"/>
      <c r="S165" s="65"/>
      <c r="T165" s="65"/>
      <c r="U165" s="65"/>
      <c r="V165" s="65"/>
      <c r="W165" s="63">
        <f>SUM(W164:X164)</f>
        <v>9030.58027038</v>
      </c>
      <c r="X165" s="65"/>
      <c r="Y165" s="65"/>
      <c r="Z165" s="65"/>
      <c r="AA165" s="65"/>
      <c r="AB165" s="65"/>
      <c r="AC165" s="63">
        <f>SUM(AC164:AD164)</f>
        <v>31389.820800000001</v>
      </c>
      <c r="AD165" s="65"/>
      <c r="AE165" s="247"/>
    </row>
    <row r="166" spans="1:31" x14ac:dyDescent="0.25">
      <c r="A166" s="247"/>
      <c r="B166" s="247"/>
      <c r="C166" s="247"/>
      <c r="D166" s="247"/>
      <c r="E166" s="247"/>
      <c r="F166" s="247"/>
      <c r="G166" s="247"/>
      <c r="H166" s="65"/>
      <c r="I166" s="169"/>
      <c r="J166" s="65"/>
      <c r="K166" s="65"/>
      <c r="L166" s="65"/>
      <c r="M166" s="65"/>
      <c r="N166" s="65"/>
      <c r="O166" s="65"/>
      <c r="P166" s="65"/>
      <c r="Q166" s="65"/>
      <c r="R166" s="65"/>
      <c r="S166" s="65"/>
      <c r="T166" s="65"/>
      <c r="U166" s="65"/>
      <c r="V166" s="65"/>
      <c r="W166" s="65"/>
      <c r="X166" s="65"/>
      <c r="Y166" s="65"/>
      <c r="Z166" s="65"/>
      <c r="AA166" s="65"/>
      <c r="AB166" s="65"/>
      <c r="AC166" s="65"/>
      <c r="AD166" s="65"/>
      <c r="AE166" s="247"/>
    </row>
    <row r="167" spans="1:31" x14ac:dyDescent="0.25">
      <c r="A167" s="247"/>
      <c r="B167" s="247"/>
      <c r="C167" s="247"/>
      <c r="D167" s="247"/>
      <c r="E167" s="247"/>
      <c r="F167" s="247"/>
      <c r="G167" s="247"/>
      <c r="H167" s="314"/>
      <c r="I167" s="173"/>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247"/>
    </row>
    <row r="168" spans="1:31" x14ac:dyDescent="0.25">
      <c r="A168" s="167">
        <v>470</v>
      </c>
      <c r="B168" s="247"/>
      <c r="C168" s="168" t="s">
        <v>888</v>
      </c>
      <c r="D168" s="247"/>
      <c r="E168" s="247"/>
      <c r="F168" s="247"/>
      <c r="G168" s="167" t="s">
        <v>2422</v>
      </c>
      <c r="H168" s="175">
        <v>6000</v>
      </c>
      <c r="I168" s="303"/>
      <c r="J168" s="175">
        <v>6000</v>
      </c>
      <c r="K168" s="175">
        <v>6000</v>
      </c>
      <c r="L168" s="175">
        <v>0</v>
      </c>
      <c r="M168" s="175">
        <v>0</v>
      </c>
      <c r="N168" s="175">
        <v>0</v>
      </c>
      <c r="O168" s="175">
        <v>0</v>
      </c>
      <c r="P168" s="175">
        <v>0</v>
      </c>
      <c r="Q168" s="175">
        <v>0</v>
      </c>
      <c r="R168" s="175">
        <f>SUM(K168+Q168)</f>
        <v>6000</v>
      </c>
      <c r="S168" s="175">
        <v>0</v>
      </c>
      <c r="T168" s="175">
        <v>0</v>
      </c>
      <c r="U168" s="175">
        <v>0</v>
      </c>
      <c r="V168" s="175">
        <f>SUM(R168:U168)</f>
        <v>6000</v>
      </c>
      <c r="W168" s="175">
        <f>SUM(V168*$W$7)</f>
        <v>372</v>
      </c>
      <c r="X168" s="175">
        <f>SUM(V168*$X$7)</f>
        <v>87</v>
      </c>
      <c r="Y168" s="175">
        <f>SUM(V168*$Y$7)</f>
        <v>901.2</v>
      </c>
      <c r="Z168" s="175">
        <f>SUM(V168*$Z$7)</f>
        <v>9.6</v>
      </c>
      <c r="AA168" s="175">
        <f>SUM(V168*$AA$7)</f>
        <v>4.2</v>
      </c>
      <c r="AB168" s="175">
        <v>0</v>
      </c>
      <c r="AC168" s="175">
        <v>0</v>
      </c>
      <c r="AD168" s="175">
        <v>0</v>
      </c>
      <c r="AE168" s="178">
        <v>470</v>
      </c>
    </row>
    <row r="169" spans="1:31" x14ac:dyDescent="0.25">
      <c r="A169" s="247"/>
      <c r="B169" s="247"/>
      <c r="C169" s="247"/>
      <c r="D169" s="247"/>
      <c r="E169" s="247"/>
      <c r="F169" s="247"/>
      <c r="G169" s="247"/>
      <c r="H169" s="65"/>
      <c r="I169" s="169"/>
      <c r="J169" s="65"/>
      <c r="K169" s="65"/>
      <c r="L169" s="65"/>
      <c r="M169" s="65"/>
      <c r="N169" s="65"/>
      <c r="O169" s="65"/>
      <c r="P169" s="65"/>
      <c r="Q169" s="65"/>
      <c r="R169" s="65"/>
      <c r="S169" s="65"/>
      <c r="T169" s="65"/>
      <c r="U169" s="65"/>
      <c r="V169" s="65"/>
      <c r="W169" s="63">
        <f>W168+X168</f>
        <v>459</v>
      </c>
      <c r="X169" s="65"/>
      <c r="Y169" s="65"/>
      <c r="Z169" s="65"/>
      <c r="AA169" s="65"/>
      <c r="AB169" s="65"/>
      <c r="AC169" s="63">
        <f>SUM(AC168:AD168)</f>
        <v>0</v>
      </c>
      <c r="AD169" s="65"/>
      <c r="AE169" s="247"/>
    </row>
    <row r="170" spans="1:31" x14ac:dyDescent="0.25">
      <c r="A170" s="247"/>
      <c r="B170" s="247"/>
      <c r="C170" s="247"/>
      <c r="D170" s="247"/>
      <c r="E170" s="247"/>
      <c r="F170" s="247"/>
      <c r="G170" s="247"/>
      <c r="H170" s="247"/>
      <c r="I170" s="138"/>
      <c r="J170" s="247"/>
      <c r="K170" s="247"/>
      <c r="L170" s="247"/>
      <c r="M170" s="247"/>
      <c r="N170" s="247"/>
      <c r="O170" s="247"/>
      <c r="P170" s="247"/>
      <c r="Q170" s="247"/>
      <c r="R170" s="65"/>
      <c r="S170" s="65"/>
      <c r="T170" s="65"/>
      <c r="U170" s="65"/>
      <c r="V170" s="65"/>
      <c r="W170" s="65"/>
      <c r="X170" s="65"/>
      <c r="Y170" s="65"/>
      <c r="Z170" s="65"/>
      <c r="AA170" s="65"/>
      <c r="AB170" s="65"/>
      <c r="AC170" s="65"/>
      <c r="AD170" s="65"/>
      <c r="AE170" s="247"/>
    </row>
    <row r="171" spans="1:31" x14ac:dyDescent="0.25">
      <c r="A171" s="247"/>
      <c r="B171" s="247"/>
      <c r="C171" s="247"/>
      <c r="D171" s="247"/>
      <c r="E171" s="247"/>
      <c r="F171" s="247"/>
      <c r="G171" s="247"/>
      <c r="H171" s="247"/>
      <c r="I171" s="138"/>
      <c r="J171" s="247"/>
      <c r="K171" s="247"/>
      <c r="L171" s="247"/>
      <c r="M171" s="247"/>
      <c r="N171" s="247"/>
      <c r="O171" s="247"/>
      <c r="P171" s="247"/>
      <c r="Q171" s="247"/>
      <c r="R171" s="65"/>
      <c r="S171" s="65"/>
      <c r="T171" s="65"/>
      <c r="U171" s="65"/>
      <c r="V171" s="65"/>
      <c r="W171" s="65"/>
      <c r="X171" s="65"/>
      <c r="Y171" s="65"/>
      <c r="Z171" s="65"/>
      <c r="AA171" s="65"/>
      <c r="AB171" s="65"/>
      <c r="AC171" s="65"/>
      <c r="AD171" s="65"/>
      <c r="AE171" s="247"/>
    </row>
    <row r="172" spans="1:31" x14ac:dyDescent="0.25">
      <c r="A172" s="167">
        <v>475</v>
      </c>
      <c r="B172" s="167">
        <v>475001</v>
      </c>
      <c r="C172" s="168" t="s">
        <v>103</v>
      </c>
      <c r="D172" s="168" t="s">
        <v>2655</v>
      </c>
      <c r="E172" s="168" t="s">
        <v>2656</v>
      </c>
      <c r="F172" s="58">
        <v>39569</v>
      </c>
      <c r="G172" s="59">
        <f>(DATE(2020,12,30)-(F172))/365</f>
        <v>12.673972602739726</v>
      </c>
      <c r="H172" s="61">
        <v>75050.294399999999</v>
      </c>
      <c r="I172" s="63">
        <v>76926.55</v>
      </c>
      <c r="J172" s="61">
        <v>76926.551760000002</v>
      </c>
      <c r="K172" s="63">
        <v>92500</v>
      </c>
      <c r="L172" s="63">
        <f t="shared" ref="L172:L173" si="233">SUM(K172/2080)</f>
        <v>44.471153846153847</v>
      </c>
      <c r="M172" s="63">
        <f t="shared" ref="M172:M173" si="234">SUM(K172/26)</f>
        <v>3557.6923076923076</v>
      </c>
      <c r="N172" s="63">
        <f>IF(G172&lt;4,0,(G172-1)*$N$7)</f>
        <v>3081.9287671232878</v>
      </c>
      <c r="O172" s="65"/>
      <c r="P172" s="65"/>
      <c r="Q172" s="63">
        <f>IF(N172+P172&gt;5000,5000,N172+P172)</f>
        <v>3081.9287671232878</v>
      </c>
      <c r="R172" s="63">
        <f>Q172+K172</f>
        <v>95581.928767123289</v>
      </c>
      <c r="S172" s="65"/>
      <c r="T172" s="65"/>
      <c r="U172" s="65"/>
      <c r="V172" s="63">
        <f t="shared" ref="V172:V185" si="235">SUM(R172:U172)</f>
        <v>95581.928767123289</v>
      </c>
      <c r="W172" s="63">
        <f t="shared" ref="W172:W185" si="236">SUM(V172*$W$7)</f>
        <v>5926.0795835616436</v>
      </c>
      <c r="X172" s="63">
        <f t="shared" ref="X172:X185" si="237">SUM(V172*$X$7)</f>
        <v>1385.9379671232878</v>
      </c>
      <c r="Y172" s="63">
        <f t="shared" ref="Y172:Y173" si="238">SUM(V172*$Y$7)</f>
        <v>14356.405700821919</v>
      </c>
      <c r="Z172" s="63">
        <f t="shared" ref="Z172:Z173" si="239">SUM(V172*$Z$7)</f>
        <v>152.93108602739727</v>
      </c>
      <c r="AA172" s="82" t="s">
        <v>2420</v>
      </c>
      <c r="AB172" s="63">
        <f>SUM($AB$7)</f>
        <v>335</v>
      </c>
      <c r="AC172" s="63">
        <f>$AC$7</f>
        <v>10356.36</v>
      </c>
      <c r="AD172" s="63">
        <f>SUM(AB172+AC172)*$AD$7</f>
        <v>106.9136</v>
      </c>
      <c r="AE172" s="178">
        <v>475</v>
      </c>
    </row>
    <row r="173" spans="1:31" x14ac:dyDescent="0.25">
      <c r="A173" s="178">
        <v>475</v>
      </c>
      <c r="B173" s="178">
        <v>475001</v>
      </c>
      <c r="C173" s="168" t="s">
        <v>2657</v>
      </c>
      <c r="D173" s="247" t="s">
        <v>2655</v>
      </c>
      <c r="E173" s="247" t="s">
        <v>2656</v>
      </c>
      <c r="F173" s="108">
        <v>39569</v>
      </c>
      <c r="G173" s="178" t="s">
        <v>2422</v>
      </c>
      <c r="H173" s="61">
        <v>70000</v>
      </c>
      <c r="I173" s="61">
        <v>70000</v>
      </c>
      <c r="J173" s="61">
        <v>70000</v>
      </c>
      <c r="K173" s="61">
        <v>92500</v>
      </c>
      <c r="L173" s="63">
        <f t="shared" si="233"/>
        <v>44.471153846153847</v>
      </c>
      <c r="M173" s="63">
        <f t="shared" si="234"/>
        <v>3557.6923076923076</v>
      </c>
      <c r="N173" s="178" t="s">
        <v>2422</v>
      </c>
      <c r="O173" s="247"/>
      <c r="P173" s="247"/>
      <c r="Q173" s="167" t="s">
        <v>2422</v>
      </c>
      <c r="R173" s="63">
        <f>SUM(K173)</f>
        <v>92500</v>
      </c>
      <c r="S173" s="65"/>
      <c r="T173" s="65"/>
      <c r="U173" s="65"/>
      <c r="V173" s="63">
        <f t="shared" si="235"/>
        <v>92500</v>
      </c>
      <c r="W173" s="63">
        <f t="shared" si="236"/>
        <v>5735</v>
      </c>
      <c r="X173" s="63">
        <f t="shared" si="237"/>
        <v>1341.25</v>
      </c>
      <c r="Y173" s="63">
        <f t="shared" si="238"/>
        <v>13893.5</v>
      </c>
      <c r="Z173" s="63">
        <f t="shared" si="239"/>
        <v>148</v>
      </c>
      <c r="AA173" s="63" t="s">
        <v>2422</v>
      </c>
      <c r="AB173" s="63" t="s">
        <v>2422</v>
      </c>
      <c r="AC173" s="63" t="s">
        <v>2422</v>
      </c>
      <c r="AD173" s="63" t="s">
        <v>2422</v>
      </c>
      <c r="AE173" s="178">
        <v>475</v>
      </c>
    </row>
    <row r="174" spans="1:31" x14ac:dyDescent="0.25">
      <c r="A174" s="247"/>
      <c r="B174" s="247"/>
      <c r="C174" s="168" t="s">
        <v>2901</v>
      </c>
      <c r="D174" s="247"/>
      <c r="E174" s="247"/>
      <c r="F174" s="247"/>
      <c r="G174" s="247"/>
      <c r="H174" s="61">
        <v>600</v>
      </c>
      <c r="I174" s="251"/>
      <c r="J174" s="61">
        <v>600</v>
      </c>
      <c r="K174" s="61">
        <v>600</v>
      </c>
      <c r="L174" s="247"/>
      <c r="M174" s="247"/>
      <c r="N174" s="247"/>
      <c r="O174" s="247"/>
      <c r="P174" s="247"/>
      <c r="Q174" s="167">
        <v>0</v>
      </c>
      <c r="R174" s="63">
        <f>SUM(K174+Q174)</f>
        <v>600</v>
      </c>
      <c r="S174" s="65"/>
      <c r="T174" s="65"/>
      <c r="U174" s="65"/>
      <c r="V174" s="63">
        <f t="shared" si="235"/>
        <v>600</v>
      </c>
      <c r="W174" s="63">
        <f t="shared" si="236"/>
        <v>37.200000000000003</v>
      </c>
      <c r="X174" s="63">
        <f t="shared" si="237"/>
        <v>8.7000000000000011</v>
      </c>
      <c r="Y174" s="63" t="s">
        <v>2422</v>
      </c>
      <c r="Z174" s="63" t="s">
        <v>2422</v>
      </c>
      <c r="AA174" s="63" t="s">
        <v>2422</v>
      </c>
      <c r="AB174" s="63" t="s">
        <v>2422</v>
      </c>
      <c r="AC174" s="63" t="s">
        <v>2422</v>
      </c>
      <c r="AD174" s="63" t="s">
        <v>2422</v>
      </c>
      <c r="AE174" s="178">
        <v>475</v>
      </c>
    </row>
    <row r="175" spans="1:31" x14ac:dyDescent="0.25">
      <c r="A175" s="167">
        <v>475</v>
      </c>
      <c r="B175" s="167">
        <v>475002</v>
      </c>
      <c r="C175" s="168" t="s">
        <v>3982</v>
      </c>
      <c r="D175" s="168" t="s">
        <v>2678</v>
      </c>
      <c r="E175" s="168" t="s">
        <v>2679</v>
      </c>
      <c r="F175" s="58">
        <v>38810</v>
      </c>
      <c r="G175" s="59">
        <f t="shared" ref="G175:G184" si="240">(DATE(2020,12,30)-(F175))/365</f>
        <v>14.753424657534246</v>
      </c>
      <c r="H175" s="61">
        <v>77262.482000000004</v>
      </c>
      <c r="I175" s="63">
        <v>79194.039999999994</v>
      </c>
      <c r="J175" s="61">
        <v>79194.044049999997</v>
      </c>
      <c r="K175" s="63">
        <f t="shared" ref="K175:K184" si="241">SUM(((J175*$K$3)+$K$2)+J175)</f>
        <v>79194.044049999997</v>
      </c>
      <c r="L175" s="63">
        <f t="shared" ref="L175:L184" si="242">SUM(K175/2080)</f>
        <v>38.074059639423076</v>
      </c>
      <c r="M175" s="63">
        <f t="shared" ref="M175:M184" si="243">SUM(K175/26)</f>
        <v>3045.924771153846</v>
      </c>
      <c r="N175" s="63">
        <f t="shared" ref="N175:N184" si="244">IF(G175&lt;4,0,(G175-1)*$N$7)</f>
        <v>3630.9041095890411</v>
      </c>
      <c r="O175" s="69">
        <v>3803.02</v>
      </c>
      <c r="P175" s="65"/>
      <c r="Q175" s="63">
        <f t="shared" ref="Q175:Q178" si="245">IF(N175+O175&gt;10000,10000,N175+O175)</f>
        <v>7433.9241095890411</v>
      </c>
      <c r="R175" s="63">
        <f t="shared" ref="R175:R184" si="246">Q175+K175</f>
        <v>86627.968159589043</v>
      </c>
      <c r="S175" s="65"/>
      <c r="T175" s="65"/>
      <c r="U175" s="65"/>
      <c r="V175" s="63">
        <f t="shared" si="235"/>
        <v>86627.968159589043</v>
      </c>
      <c r="W175" s="63">
        <f t="shared" si="236"/>
        <v>5370.9340258945203</v>
      </c>
      <c r="X175" s="63">
        <f t="shared" si="237"/>
        <v>1256.1055383140413</v>
      </c>
      <c r="Y175" s="63">
        <f t="shared" ref="Y175:Y185" si="247">SUM(V175*$Y$7)</f>
        <v>13011.520817570274</v>
      </c>
      <c r="Z175" s="63">
        <f t="shared" ref="Z175:Z185" si="248">SUM(V175*$Z$7)</f>
        <v>138.60474905534247</v>
      </c>
      <c r="AA175" s="63">
        <f t="shared" ref="AA175:AA185" si="249">SUM(V175*$AA$7)</f>
        <v>60.639577711712327</v>
      </c>
      <c r="AB175" s="63">
        <f t="shared" ref="AB175:AB184" si="250">SUM($AB$7)</f>
        <v>335</v>
      </c>
      <c r="AC175" s="63">
        <f t="shared" ref="AC175:AC184" si="251">$AC$7</f>
        <v>10356.36</v>
      </c>
      <c r="AD175" s="63">
        <f t="shared" ref="AD175:AD184" si="252">SUM(AB175+AC175)*$AD$7</f>
        <v>106.9136</v>
      </c>
      <c r="AE175" s="178">
        <v>475</v>
      </c>
    </row>
    <row r="176" spans="1:31" x14ac:dyDescent="0.25">
      <c r="A176" s="167">
        <v>475</v>
      </c>
      <c r="B176" s="167">
        <v>475003</v>
      </c>
      <c r="C176" s="168" t="s">
        <v>3983</v>
      </c>
      <c r="D176" s="168" t="s">
        <v>2660</v>
      </c>
      <c r="E176" s="168" t="s">
        <v>2661</v>
      </c>
      <c r="F176" s="58">
        <v>39815</v>
      </c>
      <c r="G176" s="59">
        <f t="shared" si="240"/>
        <v>12</v>
      </c>
      <c r="H176" s="61">
        <v>70822.108800000002</v>
      </c>
      <c r="I176" s="63">
        <v>72592.66</v>
      </c>
      <c r="J176" s="61">
        <v>72592.661520000009</v>
      </c>
      <c r="K176" s="63">
        <f t="shared" si="241"/>
        <v>72592.661520000009</v>
      </c>
      <c r="L176" s="63">
        <f t="shared" si="242"/>
        <v>34.900318038461542</v>
      </c>
      <c r="M176" s="63">
        <f t="shared" si="243"/>
        <v>2792.0254430769232</v>
      </c>
      <c r="N176" s="63">
        <f t="shared" si="244"/>
        <v>2904</v>
      </c>
      <c r="O176" s="69">
        <v>2400.06</v>
      </c>
      <c r="P176" s="65"/>
      <c r="Q176" s="63">
        <f t="shared" si="245"/>
        <v>5304.0599999999995</v>
      </c>
      <c r="R176" s="63">
        <f t="shared" si="246"/>
        <v>77896.721520000006</v>
      </c>
      <c r="S176" s="65"/>
      <c r="T176" s="65"/>
      <c r="U176" s="65"/>
      <c r="V176" s="63">
        <f t="shared" si="235"/>
        <v>77896.721520000006</v>
      </c>
      <c r="W176" s="63">
        <f t="shared" si="236"/>
        <v>4829.5967342399999</v>
      </c>
      <c r="X176" s="63">
        <f t="shared" si="237"/>
        <v>1129.5024620400002</v>
      </c>
      <c r="Y176" s="63">
        <f t="shared" si="247"/>
        <v>11700.087572304001</v>
      </c>
      <c r="Z176" s="63">
        <f t="shared" si="248"/>
        <v>124.63475443200002</v>
      </c>
      <c r="AA176" s="63">
        <f t="shared" si="249"/>
        <v>54.527705064000003</v>
      </c>
      <c r="AB176" s="63">
        <f t="shared" si="250"/>
        <v>335</v>
      </c>
      <c r="AC176" s="63">
        <f t="shared" si="251"/>
        <v>10356.36</v>
      </c>
      <c r="AD176" s="63">
        <f t="shared" si="252"/>
        <v>106.9136</v>
      </c>
      <c r="AE176" s="178">
        <v>475</v>
      </c>
    </row>
    <row r="177" spans="1:31" x14ac:dyDescent="0.25">
      <c r="A177" s="167">
        <v>475</v>
      </c>
      <c r="B177" s="167">
        <v>475004</v>
      </c>
      <c r="C177" s="168" t="s">
        <v>3984</v>
      </c>
      <c r="D177" s="168" t="s">
        <v>2674</v>
      </c>
      <c r="E177" s="168" t="s">
        <v>2675</v>
      </c>
      <c r="F177" s="58">
        <v>41996</v>
      </c>
      <c r="G177" s="59">
        <f t="shared" si="240"/>
        <v>6.0246575342465754</v>
      </c>
      <c r="H177" s="61">
        <v>70822.108800000002</v>
      </c>
      <c r="I177" s="63">
        <v>72592.66</v>
      </c>
      <c r="J177" s="61">
        <v>72592.661520000009</v>
      </c>
      <c r="K177" s="63">
        <f t="shared" si="241"/>
        <v>72592.661520000009</v>
      </c>
      <c r="L177" s="63">
        <f t="shared" si="242"/>
        <v>34.900318038461542</v>
      </c>
      <c r="M177" s="63">
        <f t="shared" si="243"/>
        <v>2792.0254430769232</v>
      </c>
      <c r="N177" s="63">
        <f t="shared" si="244"/>
        <v>1326.509589041096</v>
      </c>
      <c r="O177" s="69">
        <v>2897.5</v>
      </c>
      <c r="P177" s="65"/>
      <c r="Q177" s="63">
        <f t="shared" si="245"/>
        <v>4224.0095890410958</v>
      </c>
      <c r="R177" s="63">
        <f t="shared" si="246"/>
        <v>76816.671109041112</v>
      </c>
      <c r="S177" s="65"/>
      <c r="T177" s="65"/>
      <c r="U177" s="65"/>
      <c r="V177" s="63">
        <f t="shared" si="235"/>
        <v>76816.671109041112</v>
      </c>
      <c r="W177" s="63">
        <f t="shared" si="236"/>
        <v>4762.6336087605487</v>
      </c>
      <c r="X177" s="63">
        <f t="shared" si="237"/>
        <v>1113.8417310810962</v>
      </c>
      <c r="Y177" s="63">
        <f t="shared" si="247"/>
        <v>11537.864000577974</v>
      </c>
      <c r="Z177" s="63">
        <f t="shared" si="248"/>
        <v>122.90667377446579</v>
      </c>
      <c r="AA177" s="63">
        <f t="shared" si="249"/>
        <v>53.771669776328778</v>
      </c>
      <c r="AB177" s="63">
        <f t="shared" si="250"/>
        <v>335</v>
      </c>
      <c r="AC177" s="63">
        <f t="shared" si="251"/>
        <v>10356.36</v>
      </c>
      <c r="AD177" s="63">
        <f t="shared" si="252"/>
        <v>106.9136</v>
      </c>
      <c r="AE177" s="178">
        <v>475</v>
      </c>
    </row>
    <row r="178" spans="1:31" x14ac:dyDescent="0.25">
      <c r="A178" s="167">
        <v>475</v>
      </c>
      <c r="B178" s="167">
        <v>475005</v>
      </c>
      <c r="C178" s="168" t="s">
        <v>3985</v>
      </c>
      <c r="D178" s="168" t="s">
        <v>2663</v>
      </c>
      <c r="E178" s="168" t="s">
        <v>2664</v>
      </c>
      <c r="F178" s="58">
        <v>42303</v>
      </c>
      <c r="G178" s="59">
        <f t="shared" si="240"/>
        <v>5.183561643835616</v>
      </c>
      <c r="H178" s="61">
        <v>70822.108800000002</v>
      </c>
      <c r="I178" s="400">
        <v>68800.42</v>
      </c>
      <c r="J178" s="61">
        <v>72592.661520000009</v>
      </c>
      <c r="K178" s="63">
        <f t="shared" si="241"/>
        <v>72592.661520000009</v>
      </c>
      <c r="L178" s="63">
        <f t="shared" si="242"/>
        <v>34.900318038461542</v>
      </c>
      <c r="M178" s="63">
        <f t="shared" si="243"/>
        <v>2792.0254430769232</v>
      </c>
      <c r="N178" s="63">
        <f t="shared" si="244"/>
        <v>1104.4602739726026</v>
      </c>
      <c r="O178" s="69">
        <v>2695.42</v>
      </c>
      <c r="P178" s="63"/>
      <c r="Q178" s="63">
        <f t="shared" si="245"/>
        <v>3799.8802739726025</v>
      </c>
      <c r="R178" s="63">
        <f t="shared" si="246"/>
        <v>76392.541793972618</v>
      </c>
      <c r="S178" s="65"/>
      <c r="T178" s="65"/>
      <c r="U178" s="65"/>
      <c r="V178" s="63">
        <f t="shared" si="235"/>
        <v>76392.541793972618</v>
      </c>
      <c r="W178" s="63">
        <f t="shared" si="236"/>
        <v>4736.3375912263018</v>
      </c>
      <c r="X178" s="63">
        <f t="shared" si="237"/>
        <v>1107.691856012603</v>
      </c>
      <c r="Y178" s="63">
        <f t="shared" si="247"/>
        <v>11474.159777454688</v>
      </c>
      <c r="Z178" s="63">
        <f t="shared" si="248"/>
        <v>122.22806687035619</v>
      </c>
      <c r="AA178" s="63">
        <f t="shared" si="249"/>
        <v>53.474779255780831</v>
      </c>
      <c r="AB178" s="63">
        <f t="shared" si="250"/>
        <v>335</v>
      </c>
      <c r="AC178" s="63">
        <f t="shared" si="251"/>
        <v>10356.36</v>
      </c>
      <c r="AD178" s="63">
        <f t="shared" si="252"/>
        <v>106.9136</v>
      </c>
      <c r="AE178" s="178">
        <v>475</v>
      </c>
    </row>
    <row r="179" spans="1:31" x14ac:dyDescent="0.25">
      <c r="A179" s="167">
        <v>475</v>
      </c>
      <c r="B179" s="167">
        <v>475010</v>
      </c>
      <c r="C179" s="181" t="s">
        <v>2681</v>
      </c>
      <c r="D179" s="185" t="s">
        <v>2682</v>
      </c>
      <c r="E179" s="185" t="s">
        <v>2683</v>
      </c>
      <c r="F179" s="87">
        <v>34470</v>
      </c>
      <c r="G179" s="59">
        <f t="shared" si="240"/>
        <v>26.643835616438356</v>
      </c>
      <c r="H179" s="61">
        <v>50608.219839999998</v>
      </c>
      <c r="I179" s="63">
        <v>51873.43</v>
      </c>
      <c r="J179" s="61">
        <v>51873.425336</v>
      </c>
      <c r="K179" s="63">
        <f t="shared" si="241"/>
        <v>51873.425336</v>
      </c>
      <c r="L179" s="63">
        <f t="shared" si="242"/>
        <v>24.939146796153846</v>
      </c>
      <c r="M179" s="63">
        <f t="shared" si="243"/>
        <v>1995.1317436923077</v>
      </c>
      <c r="N179" s="63">
        <f t="shared" si="244"/>
        <v>6769.9726027397255</v>
      </c>
      <c r="O179" s="65"/>
      <c r="P179" s="65"/>
      <c r="Q179" s="63">
        <f t="shared" ref="Q179:Q184" si="253">IF(N179+P179&gt;5000,5000,N179+P179)</f>
        <v>5000</v>
      </c>
      <c r="R179" s="63">
        <f t="shared" si="246"/>
        <v>56873.425336</v>
      </c>
      <c r="S179" s="65"/>
      <c r="T179" s="65"/>
      <c r="U179" s="65"/>
      <c r="V179" s="63">
        <f t="shared" si="235"/>
        <v>56873.425336</v>
      </c>
      <c r="W179" s="63">
        <f t="shared" si="236"/>
        <v>3526.1523708320001</v>
      </c>
      <c r="X179" s="63">
        <f t="shared" si="237"/>
        <v>824.66466737200005</v>
      </c>
      <c r="Y179" s="63">
        <f t="shared" si="247"/>
        <v>8542.3884854671996</v>
      </c>
      <c r="Z179" s="63">
        <f t="shared" si="248"/>
        <v>90.997480537599998</v>
      </c>
      <c r="AA179" s="63">
        <f t="shared" si="249"/>
        <v>39.811397735199996</v>
      </c>
      <c r="AB179" s="63">
        <f t="shared" si="250"/>
        <v>335</v>
      </c>
      <c r="AC179" s="63">
        <f t="shared" si="251"/>
        <v>10356.36</v>
      </c>
      <c r="AD179" s="63">
        <f t="shared" si="252"/>
        <v>106.9136</v>
      </c>
      <c r="AE179" s="178">
        <v>475</v>
      </c>
    </row>
    <row r="180" spans="1:31" x14ac:dyDescent="0.25">
      <c r="A180" s="167">
        <v>475</v>
      </c>
      <c r="B180" s="167">
        <v>475011</v>
      </c>
      <c r="C180" s="168" t="s">
        <v>2685</v>
      </c>
      <c r="D180" s="168" t="s">
        <v>2741</v>
      </c>
      <c r="E180" s="247" t="s">
        <v>2668</v>
      </c>
      <c r="F180" s="58">
        <v>42191</v>
      </c>
      <c r="G180" s="59">
        <f t="shared" si="240"/>
        <v>5.4904109589041097</v>
      </c>
      <c r="H180" s="61">
        <v>36763.868560000003</v>
      </c>
      <c r="I180" s="63">
        <v>37682.97</v>
      </c>
      <c r="J180" s="61">
        <v>37682.965274000002</v>
      </c>
      <c r="K180" s="63">
        <f t="shared" si="241"/>
        <v>37682.965274000002</v>
      </c>
      <c r="L180" s="63">
        <f t="shared" si="242"/>
        <v>18.116810227884617</v>
      </c>
      <c r="M180" s="63">
        <f t="shared" si="243"/>
        <v>1449.3448182307693</v>
      </c>
      <c r="N180" s="63">
        <f t="shared" si="244"/>
        <v>1185.4684931506849</v>
      </c>
      <c r="O180" s="65"/>
      <c r="P180" s="63">
        <f>13.18*26</f>
        <v>342.68</v>
      </c>
      <c r="Q180" s="63">
        <f t="shared" si="253"/>
        <v>1528.148493150685</v>
      </c>
      <c r="R180" s="63">
        <f t="shared" si="246"/>
        <v>39211.113767150688</v>
      </c>
      <c r="S180" s="65"/>
      <c r="T180" s="65"/>
      <c r="U180" s="65"/>
      <c r="V180" s="63">
        <f t="shared" si="235"/>
        <v>39211.113767150688</v>
      </c>
      <c r="W180" s="63">
        <f t="shared" si="236"/>
        <v>2431.0890535633425</v>
      </c>
      <c r="X180" s="63">
        <f t="shared" si="237"/>
        <v>568.56114962368497</v>
      </c>
      <c r="Y180" s="63">
        <f t="shared" si="247"/>
        <v>5889.509287826033</v>
      </c>
      <c r="Z180" s="63">
        <f t="shared" si="248"/>
        <v>62.737782027441106</v>
      </c>
      <c r="AA180" s="63">
        <f t="shared" si="249"/>
        <v>27.447779637005482</v>
      </c>
      <c r="AB180" s="63">
        <f t="shared" si="250"/>
        <v>335</v>
      </c>
      <c r="AC180" s="63">
        <f t="shared" si="251"/>
        <v>10356.36</v>
      </c>
      <c r="AD180" s="63">
        <f t="shared" si="252"/>
        <v>106.9136</v>
      </c>
      <c r="AE180" s="178">
        <v>475</v>
      </c>
    </row>
    <row r="181" spans="1:31" x14ac:dyDescent="0.25">
      <c r="A181" s="167">
        <v>475</v>
      </c>
      <c r="B181" s="167">
        <v>475012</v>
      </c>
      <c r="C181" s="168" t="s">
        <v>2701</v>
      </c>
      <c r="D181" s="168" t="s">
        <v>2655</v>
      </c>
      <c r="E181" s="168" t="s">
        <v>2694</v>
      </c>
      <c r="F181" s="58">
        <v>42184</v>
      </c>
      <c r="G181" s="59">
        <f t="shared" si="240"/>
        <v>5.5095890410958903</v>
      </c>
      <c r="H181" s="61">
        <v>30690.139280000003</v>
      </c>
      <c r="I181" s="63">
        <v>31457.39</v>
      </c>
      <c r="J181" s="61">
        <v>31457.392762000003</v>
      </c>
      <c r="K181" s="63">
        <f t="shared" si="241"/>
        <v>31457.392762000003</v>
      </c>
      <c r="L181" s="63">
        <f t="shared" si="242"/>
        <v>15.123746520192309</v>
      </c>
      <c r="M181" s="63">
        <f t="shared" si="243"/>
        <v>1209.8997216153848</v>
      </c>
      <c r="N181" s="63">
        <f t="shared" si="244"/>
        <v>1190.5315068493151</v>
      </c>
      <c r="O181" s="65"/>
      <c r="P181" s="65"/>
      <c r="Q181" s="63">
        <f t="shared" si="253"/>
        <v>1190.5315068493151</v>
      </c>
      <c r="R181" s="63">
        <f t="shared" si="246"/>
        <v>32647.924268849318</v>
      </c>
      <c r="S181" s="65"/>
      <c r="T181" s="65"/>
      <c r="U181" s="65"/>
      <c r="V181" s="63">
        <f t="shared" si="235"/>
        <v>32647.924268849318</v>
      </c>
      <c r="W181" s="63">
        <f t="shared" si="236"/>
        <v>2024.1713046686577</v>
      </c>
      <c r="X181" s="63">
        <f t="shared" si="237"/>
        <v>473.39490189831514</v>
      </c>
      <c r="Y181" s="63">
        <f t="shared" si="247"/>
        <v>4903.7182251811673</v>
      </c>
      <c r="Z181" s="63">
        <f t="shared" si="248"/>
        <v>52.236678830158908</v>
      </c>
      <c r="AA181" s="63">
        <f t="shared" si="249"/>
        <v>22.853546988194523</v>
      </c>
      <c r="AB181" s="63">
        <f t="shared" si="250"/>
        <v>335</v>
      </c>
      <c r="AC181" s="63">
        <f t="shared" si="251"/>
        <v>10356.36</v>
      </c>
      <c r="AD181" s="63">
        <f t="shared" si="252"/>
        <v>106.9136</v>
      </c>
      <c r="AE181" s="178">
        <v>475</v>
      </c>
    </row>
    <row r="182" spans="1:31" x14ac:dyDescent="0.25">
      <c r="A182" s="167">
        <v>475</v>
      </c>
      <c r="B182" s="167">
        <v>475013</v>
      </c>
      <c r="C182" s="168" t="s">
        <v>3484</v>
      </c>
      <c r="D182" s="168" t="s">
        <v>2699</v>
      </c>
      <c r="E182" s="168" t="s">
        <v>2683</v>
      </c>
      <c r="F182" s="58">
        <v>39314</v>
      </c>
      <c r="G182" s="59">
        <f t="shared" si="240"/>
        <v>13.372602739726027</v>
      </c>
      <c r="H182" s="61">
        <v>30690.179919999999</v>
      </c>
      <c r="I182" s="63">
        <v>31457.43</v>
      </c>
      <c r="J182" s="61">
        <v>31457.434417999997</v>
      </c>
      <c r="K182" s="63">
        <f t="shared" si="241"/>
        <v>31457.434417999997</v>
      </c>
      <c r="L182" s="63">
        <f t="shared" si="242"/>
        <v>15.123766547115384</v>
      </c>
      <c r="M182" s="63">
        <f t="shared" si="243"/>
        <v>1209.9013237692307</v>
      </c>
      <c r="N182" s="63">
        <f t="shared" si="244"/>
        <v>3266.3671232876709</v>
      </c>
      <c r="O182" s="65"/>
      <c r="P182" s="65"/>
      <c r="Q182" s="63">
        <f t="shared" si="253"/>
        <v>3266.3671232876709</v>
      </c>
      <c r="R182" s="63">
        <f t="shared" si="246"/>
        <v>34723.80154128767</v>
      </c>
      <c r="S182" s="65"/>
      <c r="T182" s="65"/>
      <c r="U182" s="65"/>
      <c r="V182" s="63">
        <f t="shared" si="235"/>
        <v>34723.80154128767</v>
      </c>
      <c r="W182" s="63">
        <f t="shared" si="236"/>
        <v>2152.8756955598355</v>
      </c>
      <c r="X182" s="63">
        <f t="shared" si="237"/>
        <v>503.49512234867126</v>
      </c>
      <c r="Y182" s="63">
        <f t="shared" si="247"/>
        <v>5215.5149915014081</v>
      </c>
      <c r="Z182" s="63">
        <f t="shared" si="248"/>
        <v>55.558082466060277</v>
      </c>
      <c r="AA182" s="63">
        <f t="shared" si="249"/>
        <v>24.306661078901367</v>
      </c>
      <c r="AB182" s="63">
        <f t="shared" si="250"/>
        <v>335</v>
      </c>
      <c r="AC182" s="63">
        <f t="shared" si="251"/>
        <v>10356.36</v>
      </c>
      <c r="AD182" s="63">
        <f t="shared" si="252"/>
        <v>106.9136</v>
      </c>
      <c r="AE182" s="178">
        <v>475</v>
      </c>
    </row>
    <row r="183" spans="1:31" x14ac:dyDescent="0.25">
      <c r="A183" s="167">
        <v>475</v>
      </c>
      <c r="B183" s="167">
        <v>475014</v>
      </c>
      <c r="C183" s="168" t="s">
        <v>3986</v>
      </c>
      <c r="D183" s="168" t="s">
        <v>3987</v>
      </c>
      <c r="E183" s="168" t="s">
        <v>2855</v>
      </c>
      <c r="F183" s="58">
        <v>40574</v>
      </c>
      <c r="G183" s="59">
        <f t="shared" si="240"/>
        <v>9.9205479452054792</v>
      </c>
      <c r="H183" s="61">
        <v>30690.179919999999</v>
      </c>
      <c r="I183" s="63">
        <v>31457.43</v>
      </c>
      <c r="J183" s="61">
        <v>31457.434417999997</v>
      </c>
      <c r="K183" s="63">
        <f t="shared" si="241"/>
        <v>31457.434417999997</v>
      </c>
      <c r="L183" s="63">
        <f t="shared" si="242"/>
        <v>15.123766547115384</v>
      </c>
      <c r="M183" s="63">
        <f t="shared" si="243"/>
        <v>1209.9013237692307</v>
      </c>
      <c r="N183" s="63">
        <f t="shared" si="244"/>
        <v>2355.0246575342467</v>
      </c>
      <c r="O183" s="65"/>
      <c r="P183" s="65"/>
      <c r="Q183" s="63">
        <f t="shared" si="253"/>
        <v>2355.0246575342467</v>
      </c>
      <c r="R183" s="63">
        <f t="shared" si="246"/>
        <v>33812.459075534243</v>
      </c>
      <c r="S183" s="65"/>
      <c r="T183" s="65"/>
      <c r="U183" s="65"/>
      <c r="V183" s="63">
        <f t="shared" si="235"/>
        <v>33812.459075534243</v>
      </c>
      <c r="W183" s="63">
        <f t="shared" si="236"/>
        <v>2096.3724626831231</v>
      </c>
      <c r="X183" s="63">
        <f t="shared" si="237"/>
        <v>490.28065659524657</v>
      </c>
      <c r="Y183" s="63">
        <f t="shared" si="247"/>
        <v>5078.6313531452433</v>
      </c>
      <c r="Z183" s="63">
        <f t="shared" si="248"/>
        <v>54.099934520854795</v>
      </c>
      <c r="AA183" s="63">
        <f t="shared" si="249"/>
        <v>23.66872135287397</v>
      </c>
      <c r="AB183" s="63">
        <f t="shared" si="250"/>
        <v>335</v>
      </c>
      <c r="AC183" s="63">
        <f t="shared" si="251"/>
        <v>10356.36</v>
      </c>
      <c r="AD183" s="63">
        <f t="shared" si="252"/>
        <v>106.9136</v>
      </c>
      <c r="AE183" s="178">
        <v>475</v>
      </c>
    </row>
    <row r="184" spans="1:31" x14ac:dyDescent="0.25">
      <c r="A184" s="167">
        <v>475</v>
      </c>
      <c r="B184" s="167">
        <v>475015</v>
      </c>
      <c r="C184" s="168" t="s">
        <v>3485</v>
      </c>
      <c r="D184" s="168" t="s">
        <v>2686</v>
      </c>
      <c r="E184" s="168" t="s">
        <v>2687</v>
      </c>
      <c r="F184" s="58">
        <v>40126</v>
      </c>
      <c r="G184" s="59">
        <f t="shared" si="240"/>
        <v>11.147945205479452</v>
      </c>
      <c r="H184" s="61">
        <v>30690.179919999999</v>
      </c>
      <c r="I184" s="63">
        <v>31457.43</v>
      </c>
      <c r="J184" s="61">
        <v>31457.434417999997</v>
      </c>
      <c r="K184" s="63">
        <f t="shared" si="241"/>
        <v>31457.434417999997</v>
      </c>
      <c r="L184" s="63">
        <f t="shared" si="242"/>
        <v>15.123766547115384</v>
      </c>
      <c r="M184" s="63">
        <f t="shared" si="243"/>
        <v>1209.9013237692307</v>
      </c>
      <c r="N184" s="63">
        <f t="shared" si="244"/>
        <v>2679.0575342465754</v>
      </c>
      <c r="O184" s="65"/>
      <c r="P184" s="65"/>
      <c r="Q184" s="63">
        <f t="shared" si="253"/>
        <v>2679.0575342465754</v>
      </c>
      <c r="R184" s="63">
        <f t="shared" si="246"/>
        <v>34136.491952246572</v>
      </c>
      <c r="S184" s="65"/>
      <c r="T184" s="65"/>
      <c r="U184" s="65"/>
      <c r="V184" s="63">
        <f t="shared" si="235"/>
        <v>34136.491952246572</v>
      </c>
      <c r="W184" s="63">
        <f t="shared" si="236"/>
        <v>2116.4625010392874</v>
      </c>
      <c r="X184" s="63">
        <f t="shared" si="237"/>
        <v>494.9791333075753</v>
      </c>
      <c r="Y184" s="63">
        <f t="shared" si="247"/>
        <v>5127.3010912274349</v>
      </c>
      <c r="Z184" s="63">
        <f t="shared" si="248"/>
        <v>54.618387123594516</v>
      </c>
      <c r="AA184" s="63">
        <f t="shared" si="249"/>
        <v>23.895544366572601</v>
      </c>
      <c r="AB184" s="63">
        <f t="shared" si="250"/>
        <v>335</v>
      </c>
      <c r="AC184" s="63">
        <f t="shared" si="251"/>
        <v>10356.36</v>
      </c>
      <c r="AD184" s="63">
        <f t="shared" si="252"/>
        <v>106.9136</v>
      </c>
      <c r="AE184" s="178">
        <v>475</v>
      </c>
    </row>
    <row r="185" spans="1:31" x14ac:dyDescent="0.25">
      <c r="A185" s="167">
        <v>475</v>
      </c>
      <c r="B185" s="167">
        <v>440006</v>
      </c>
      <c r="C185" s="168" t="s">
        <v>253</v>
      </c>
      <c r="D185" s="168" t="s">
        <v>2655</v>
      </c>
      <c r="E185" s="168" t="s">
        <v>2656</v>
      </c>
      <c r="F185" s="247"/>
      <c r="G185" s="247"/>
      <c r="H185" s="132">
        <v>9000</v>
      </c>
      <c r="I185" s="132">
        <v>9000</v>
      </c>
      <c r="J185" s="132">
        <v>9000</v>
      </c>
      <c r="K185" s="132">
        <v>9000</v>
      </c>
      <c r="L185" s="320"/>
      <c r="M185" s="320"/>
      <c r="N185" s="220" t="s">
        <v>27</v>
      </c>
      <c r="O185" s="320"/>
      <c r="P185" s="320"/>
      <c r="Q185" s="220">
        <v>0</v>
      </c>
      <c r="R185" s="172">
        <f>SUM(K185+Q185)</f>
        <v>9000</v>
      </c>
      <c r="S185" s="314"/>
      <c r="T185" s="314"/>
      <c r="U185" s="314"/>
      <c r="V185" s="172">
        <f t="shared" si="235"/>
        <v>9000</v>
      </c>
      <c r="W185" s="172">
        <f t="shared" si="236"/>
        <v>558</v>
      </c>
      <c r="X185" s="172">
        <f t="shared" si="237"/>
        <v>130.5</v>
      </c>
      <c r="Y185" s="172">
        <f t="shared" si="247"/>
        <v>1351.8</v>
      </c>
      <c r="Z185" s="172">
        <f t="shared" si="248"/>
        <v>14.4</v>
      </c>
      <c r="AA185" s="172">
        <f t="shared" si="249"/>
        <v>6.3</v>
      </c>
      <c r="AB185" s="172" t="s">
        <v>2422</v>
      </c>
      <c r="AC185" s="172" t="s">
        <v>2422</v>
      </c>
      <c r="AD185" s="172" t="s">
        <v>2422</v>
      </c>
      <c r="AE185" s="178">
        <v>475</v>
      </c>
    </row>
    <row r="186" spans="1:31" x14ac:dyDescent="0.25">
      <c r="A186" s="167">
        <v>475</v>
      </c>
      <c r="B186" s="247"/>
      <c r="C186" s="247"/>
      <c r="D186" s="247"/>
      <c r="E186" s="247"/>
      <c r="F186" s="247"/>
      <c r="G186" s="247"/>
      <c r="H186" s="223">
        <v>584511.87024000008</v>
      </c>
      <c r="I186" s="401"/>
      <c r="J186" s="223">
        <v>668884.6669960001</v>
      </c>
      <c r="K186" s="223">
        <f t="shared" ref="K186:AD186" si="254">SUM(K171:K185)</f>
        <v>706958.11523600016</v>
      </c>
      <c r="L186" s="223">
        <f t="shared" si="254"/>
        <v>335.26832463269233</v>
      </c>
      <c r="M186" s="223">
        <f t="shared" si="254"/>
        <v>26821.465970615387</v>
      </c>
      <c r="N186" s="223">
        <f t="shared" si="254"/>
        <v>29494.224657534243</v>
      </c>
      <c r="O186" s="223">
        <f t="shared" si="254"/>
        <v>11796</v>
      </c>
      <c r="P186" s="223">
        <f t="shared" si="254"/>
        <v>342.68</v>
      </c>
      <c r="Q186" s="223">
        <f t="shared" si="254"/>
        <v>39862.932054794517</v>
      </c>
      <c r="R186" s="223">
        <f t="shared" si="254"/>
        <v>746821.04729079455</v>
      </c>
      <c r="S186" s="223">
        <f t="shared" si="254"/>
        <v>0</v>
      </c>
      <c r="T186" s="223">
        <f t="shared" si="254"/>
        <v>0</v>
      </c>
      <c r="U186" s="223">
        <f t="shared" si="254"/>
        <v>0</v>
      </c>
      <c r="V186" s="223">
        <f t="shared" si="254"/>
        <v>746821.04729079455</v>
      </c>
      <c r="W186" s="223">
        <f t="shared" si="254"/>
        <v>46302.904932029262</v>
      </c>
      <c r="X186" s="223">
        <f t="shared" si="254"/>
        <v>10828.905185716521</v>
      </c>
      <c r="Y186" s="223">
        <f t="shared" si="254"/>
        <v>112082.40130307732</v>
      </c>
      <c r="Z186" s="223">
        <f t="shared" si="254"/>
        <v>1193.9536756652715</v>
      </c>
      <c r="AA186" s="223">
        <f t="shared" si="254"/>
        <v>390.69738296656988</v>
      </c>
      <c r="AB186" s="223">
        <f t="shared" si="254"/>
        <v>3685</v>
      </c>
      <c r="AC186" s="223">
        <f t="shared" si="254"/>
        <v>113919.96</v>
      </c>
      <c r="AD186" s="223">
        <f t="shared" si="254"/>
        <v>1176.0496000000001</v>
      </c>
      <c r="AE186" s="178">
        <v>475</v>
      </c>
    </row>
    <row r="187" spans="1:31" x14ac:dyDescent="0.25">
      <c r="A187" s="168"/>
      <c r="B187" s="247"/>
      <c r="C187" s="168"/>
      <c r="D187" s="247"/>
      <c r="E187" s="247"/>
      <c r="F187" s="247"/>
      <c r="G187" s="247"/>
      <c r="H187" s="100">
        <f>SUM(H175:H184)</f>
        <v>499861.57584000006</v>
      </c>
      <c r="I187" s="169"/>
      <c r="J187" s="100">
        <v>512358.11523599998</v>
      </c>
      <c r="K187" s="69">
        <f>SUM(K175+K176+K177+K178+K179+K180+K181+K182+K183+K184)</f>
        <v>512358.11523599998</v>
      </c>
      <c r="L187" s="167">
        <v>0</v>
      </c>
      <c r="M187" s="247"/>
      <c r="N187" s="247"/>
      <c r="O187" s="247"/>
      <c r="P187" s="247"/>
      <c r="Q187" s="167"/>
      <c r="R187" s="63"/>
      <c r="S187" s="65"/>
      <c r="T187" s="65"/>
      <c r="U187" s="65"/>
      <c r="V187" s="63"/>
      <c r="W187" s="63">
        <f>W186+X186</f>
        <v>57131.810117745787</v>
      </c>
      <c r="X187" s="63"/>
      <c r="Y187" s="63"/>
      <c r="Z187" s="63"/>
      <c r="AA187" s="65"/>
      <c r="AB187" s="65"/>
      <c r="AC187" s="65">
        <f>SUM(AC186:AD186)</f>
        <v>115096.0096</v>
      </c>
      <c r="AD187" s="65"/>
      <c r="AE187" s="402" t="s">
        <v>2702</v>
      </c>
    </row>
    <row r="188" spans="1:31" x14ac:dyDescent="0.25">
      <c r="A188" s="247"/>
      <c r="B188" s="247"/>
      <c r="C188" s="247"/>
      <c r="D188" s="247"/>
      <c r="E188" s="247"/>
      <c r="F188" s="247"/>
      <c r="G188" s="247"/>
      <c r="H188" s="247"/>
      <c r="I188" s="138"/>
      <c r="J188" s="247"/>
      <c r="K188" s="247"/>
      <c r="L188" s="247"/>
      <c r="M188" s="247"/>
      <c r="N188" s="247"/>
      <c r="O188" s="247"/>
      <c r="P188" s="247"/>
      <c r="Q188" s="247"/>
      <c r="R188" s="65"/>
      <c r="S188" s="65"/>
      <c r="T188" s="65"/>
      <c r="U188" s="65"/>
      <c r="V188" s="65"/>
      <c r="W188" s="63"/>
      <c r="X188" s="65"/>
      <c r="Y188" s="63"/>
      <c r="Z188" s="63"/>
      <c r="AA188" s="65"/>
      <c r="AB188" s="65"/>
      <c r="AC188" s="63"/>
      <c r="AD188" s="65"/>
      <c r="AE188" s="247"/>
    </row>
    <row r="189" spans="1:31" x14ac:dyDescent="0.25">
      <c r="A189" s="247"/>
      <c r="B189" s="247"/>
      <c r="C189" s="247"/>
      <c r="D189" s="247"/>
      <c r="E189" s="247"/>
      <c r="F189" s="247"/>
      <c r="G189" s="247"/>
      <c r="H189" s="247"/>
      <c r="I189" s="138"/>
      <c r="J189" s="247"/>
      <c r="K189" s="247"/>
      <c r="L189" s="247"/>
      <c r="M189" s="247"/>
      <c r="N189" s="247"/>
      <c r="O189" s="247"/>
      <c r="P189" s="247"/>
      <c r="Q189" s="247"/>
      <c r="R189" s="65"/>
      <c r="S189" s="65"/>
      <c r="T189" s="65"/>
      <c r="U189" s="65"/>
      <c r="V189" s="65"/>
      <c r="W189" s="65"/>
      <c r="X189" s="65"/>
      <c r="Y189" s="65"/>
      <c r="Z189" s="65"/>
      <c r="AA189" s="65"/>
      <c r="AB189" s="65"/>
      <c r="AC189" s="65"/>
      <c r="AD189" s="65"/>
      <c r="AE189" s="247"/>
    </row>
    <row r="190" spans="1:31" x14ac:dyDescent="0.25">
      <c r="A190" s="247"/>
      <c r="B190" s="247"/>
      <c r="C190" s="247"/>
      <c r="D190" s="247"/>
      <c r="E190" s="247"/>
      <c r="F190" s="247"/>
      <c r="G190" s="247"/>
      <c r="H190" s="247"/>
      <c r="I190" s="138"/>
      <c r="J190" s="247"/>
      <c r="K190" s="247"/>
      <c r="L190" s="247"/>
      <c r="M190" s="247"/>
      <c r="N190" s="247"/>
      <c r="O190" s="247"/>
      <c r="P190" s="247"/>
      <c r="Q190" s="247"/>
      <c r="R190" s="65"/>
      <c r="S190" s="65"/>
      <c r="T190" s="65"/>
      <c r="U190" s="65"/>
      <c r="V190" s="65"/>
      <c r="W190" s="65"/>
      <c r="X190" s="65"/>
      <c r="Y190" s="65"/>
      <c r="Z190" s="65"/>
      <c r="AA190" s="65"/>
      <c r="AB190" s="65"/>
      <c r="AC190" s="65"/>
      <c r="AD190" s="65"/>
      <c r="AE190" s="247"/>
    </row>
    <row r="191" spans="1:31" x14ac:dyDescent="0.25">
      <c r="A191" s="167">
        <v>476</v>
      </c>
      <c r="B191" s="167">
        <v>476003</v>
      </c>
      <c r="C191" s="168" t="s">
        <v>3988</v>
      </c>
      <c r="D191" s="168" t="s">
        <v>2710</v>
      </c>
      <c r="E191" s="168" t="s">
        <v>2711</v>
      </c>
      <c r="F191" s="58">
        <v>42849</v>
      </c>
      <c r="G191" s="59">
        <f t="shared" ref="G191:G193" si="255">(DATE(2020,12,30)-(F191))/365</f>
        <v>3.6876712328767125</v>
      </c>
      <c r="H191" s="61">
        <v>30690.179919999999</v>
      </c>
      <c r="I191" s="400">
        <v>31142.880000000001</v>
      </c>
      <c r="J191" s="61">
        <v>31457.434417999997</v>
      </c>
      <c r="K191" s="63">
        <f t="shared" ref="K191:K193" si="256">SUM(((J191*$K$3)+$K$2)+J191)</f>
        <v>31457.434417999997</v>
      </c>
      <c r="L191" s="63">
        <f t="shared" ref="L191:L194" si="257">SUM(K191/2080)</f>
        <v>15.123766547115384</v>
      </c>
      <c r="M191" s="63">
        <f t="shared" ref="M191:M194" si="258">SUM(K191/26)</f>
        <v>1209.9013237692307</v>
      </c>
      <c r="N191" s="63">
        <f t="shared" ref="N191:N193" si="259">IF(G191&lt;4,0,(G191-1)*$N$7)</f>
        <v>0</v>
      </c>
      <c r="O191" s="65"/>
      <c r="P191" s="65"/>
      <c r="Q191" s="63">
        <f t="shared" ref="Q191:Q194" si="260">IF(N191+P191&gt;5000,5000,N191+P191)</f>
        <v>0</v>
      </c>
      <c r="R191" s="63">
        <f t="shared" ref="R191:R194" si="261">Q191+K191</f>
        <v>31457.434417999997</v>
      </c>
      <c r="S191" s="65"/>
      <c r="T191" s="65"/>
      <c r="U191" s="65"/>
      <c r="V191" s="63">
        <f t="shared" ref="V191:V194" si="262">SUM(R191:U191)</f>
        <v>31457.434417999997</v>
      </c>
      <c r="W191" s="63">
        <f t="shared" ref="W191:W194" si="263">SUM(V191*$W$7)</f>
        <v>1950.3609339159998</v>
      </c>
      <c r="X191" s="63">
        <f t="shared" ref="X191:X194" si="264">SUM(V191*$X$7)</f>
        <v>456.13279906099996</v>
      </c>
      <c r="Y191" s="63">
        <f t="shared" ref="Y191:Y194" si="265">SUM(V191*$Y$7)</f>
        <v>4724.9066495835996</v>
      </c>
      <c r="Z191" s="63">
        <f t="shared" ref="Z191:Z194" si="266">SUM(V191*$Z$7)</f>
        <v>50.331895068799994</v>
      </c>
      <c r="AA191" s="63">
        <f t="shared" ref="AA191:AA194" si="267">SUM(V191*$AA$7)</f>
        <v>22.020204092599997</v>
      </c>
      <c r="AB191" s="63">
        <f t="shared" ref="AB191:AB193" si="268">SUM($AB$7)</f>
        <v>335</v>
      </c>
      <c r="AC191" s="63">
        <f t="shared" ref="AC191:AC193" si="269">$AC$7</f>
        <v>10356.36</v>
      </c>
      <c r="AD191" s="63">
        <f t="shared" ref="AD191:AD193" si="270">SUM(AB191+AC191)*$AD$7</f>
        <v>106.9136</v>
      </c>
      <c r="AE191" s="178">
        <v>476</v>
      </c>
    </row>
    <row r="192" spans="1:31" x14ac:dyDescent="0.25">
      <c r="A192" s="167">
        <v>476</v>
      </c>
      <c r="B192" s="167">
        <v>476004</v>
      </c>
      <c r="C192" s="168" t="s">
        <v>2713</v>
      </c>
      <c r="D192" s="168" t="s">
        <v>2714</v>
      </c>
      <c r="E192" s="168" t="s">
        <v>2715</v>
      </c>
      <c r="F192" s="58">
        <v>38575</v>
      </c>
      <c r="G192" s="59">
        <f t="shared" si="255"/>
        <v>15.397260273972602</v>
      </c>
      <c r="H192" s="61">
        <v>44423.157279999999</v>
      </c>
      <c r="I192" s="63">
        <v>45533.74</v>
      </c>
      <c r="J192" s="61">
        <v>45533.736211999996</v>
      </c>
      <c r="K192" s="63">
        <f t="shared" si="256"/>
        <v>45533.736211999996</v>
      </c>
      <c r="L192" s="63">
        <f t="shared" si="257"/>
        <v>21.891219332692305</v>
      </c>
      <c r="M192" s="63">
        <f t="shared" si="258"/>
        <v>1751.2975466153844</v>
      </c>
      <c r="N192" s="63">
        <f t="shared" si="259"/>
        <v>3800.8767123287671</v>
      </c>
      <c r="O192" s="65"/>
      <c r="P192" s="63">
        <f>70.46*26</f>
        <v>1831.9599999999998</v>
      </c>
      <c r="Q192" s="63">
        <f t="shared" si="260"/>
        <v>5000</v>
      </c>
      <c r="R192" s="63">
        <f t="shared" si="261"/>
        <v>50533.736211999996</v>
      </c>
      <c r="S192" s="65"/>
      <c r="T192" s="65"/>
      <c r="U192" s="63">
        <v>1000</v>
      </c>
      <c r="V192" s="63">
        <f t="shared" si="262"/>
        <v>51533.736211999996</v>
      </c>
      <c r="W192" s="63">
        <f t="shared" si="263"/>
        <v>3195.0916451439998</v>
      </c>
      <c r="X192" s="63">
        <f t="shared" si="264"/>
        <v>747.23917507399995</v>
      </c>
      <c r="Y192" s="63">
        <f t="shared" si="265"/>
        <v>7740.3671790423996</v>
      </c>
      <c r="Z192" s="63">
        <f t="shared" si="266"/>
        <v>82.453977939200001</v>
      </c>
      <c r="AA192" s="63">
        <f t="shared" si="267"/>
        <v>36.073615348399997</v>
      </c>
      <c r="AB192" s="63">
        <f t="shared" si="268"/>
        <v>335</v>
      </c>
      <c r="AC192" s="63">
        <f t="shared" si="269"/>
        <v>10356.36</v>
      </c>
      <c r="AD192" s="63">
        <f t="shared" si="270"/>
        <v>106.9136</v>
      </c>
      <c r="AE192" s="178">
        <v>476</v>
      </c>
    </row>
    <row r="193" spans="1:31" x14ac:dyDescent="0.25">
      <c r="A193" s="167">
        <v>476</v>
      </c>
      <c r="B193" s="167">
        <v>480001</v>
      </c>
      <c r="C193" s="168" t="s">
        <v>3989</v>
      </c>
      <c r="D193" s="168" t="s">
        <v>2706</v>
      </c>
      <c r="E193" s="168" t="s">
        <v>2707</v>
      </c>
      <c r="F193" s="58">
        <v>40890</v>
      </c>
      <c r="G193" s="59">
        <f t="shared" si="255"/>
        <v>9.0547945205479454</v>
      </c>
      <c r="H193" s="61">
        <v>31951.56424</v>
      </c>
      <c r="I193" s="400">
        <v>31457.4</v>
      </c>
      <c r="J193" s="61">
        <v>32750.353346</v>
      </c>
      <c r="K193" s="63">
        <f t="shared" si="256"/>
        <v>32750.353346</v>
      </c>
      <c r="L193" s="63">
        <f t="shared" si="257"/>
        <v>15.745362185576923</v>
      </c>
      <c r="M193" s="63">
        <f t="shared" si="258"/>
        <v>1259.6289748461538</v>
      </c>
      <c r="N193" s="63">
        <f t="shared" si="259"/>
        <v>2126.4657534246576</v>
      </c>
      <c r="O193" s="65"/>
      <c r="P193" s="65"/>
      <c r="Q193" s="63">
        <f t="shared" si="260"/>
        <v>2126.4657534246576</v>
      </c>
      <c r="R193" s="63">
        <f t="shared" si="261"/>
        <v>34876.819099424654</v>
      </c>
      <c r="S193" s="65"/>
      <c r="T193" s="65"/>
      <c r="U193" s="65"/>
      <c r="V193" s="63">
        <f t="shared" si="262"/>
        <v>34876.819099424654</v>
      </c>
      <c r="W193" s="63">
        <f t="shared" si="263"/>
        <v>2162.3627841643283</v>
      </c>
      <c r="X193" s="63">
        <f t="shared" si="264"/>
        <v>505.71387694165753</v>
      </c>
      <c r="Y193" s="63">
        <f t="shared" si="265"/>
        <v>5238.4982287335833</v>
      </c>
      <c r="Z193" s="63">
        <f t="shared" si="266"/>
        <v>55.80291055907945</v>
      </c>
      <c r="AA193" s="63">
        <f t="shared" si="267"/>
        <v>24.413773369597259</v>
      </c>
      <c r="AB193" s="63">
        <f t="shared" si="268"/>
        <v>335</v>
      </c>
      <c r="AC193" s="63">
        <f t="shared" si="269"/>
        <v>10356.36</v>
      </c>
      <c r="AD193" s="63">
        <f t="shared" si="270"/>
        <v>106.9136</v>
      </c>
      <c r="AE193" s="178">
        <v>476</v>
      </c>
    </row>
    <row r="194" spans="1:31" x14ac:dyDescent="0.25">
      <c r="A194" s="167">
        <v>476</v>
      </c>
      <c r="B194" s="247"/>
      <c r="C194" s="168" t="s">
        <v>1627</v>
      </c>
      <c r="D194" s="168" t="s">
        <v>2716</v>
      </c>
      <c r="E194" s="168" t="s">
        <v>2717</v>
      </c>
      <c r="F194" s="58">
        <v>41218</v>
      </c>
      <c r="G194" s="167" t="s">
        <v>2422</v>
      </c>
      <c r="H194" s="132">
        <v>44200</v>
      </c>
      <c r="I194" s="296"/>
      <c r="J194" s="132">
        <v>44200</v>
      </c>
      <c r="K194" s="132">
        <v>44200</v>
      </c>
      <c r="L194" s="172">
        <f t="shared" si="257"/>
        <v>21.25</v>
      </c>
      <c r="M194" s="172">
        <f t="shared" si="258"/>
        <v>1700</v>
      </c>
      <c r="N194" s="172">
        <v>0</v>
      </c>
      <c r="O194" s="314"/>
      <c r="P194" s="314"/>
      <c r="Q194" s="172">
        <f t="shared" si="260"/>
        <v>0</v>
      </c>
      <c r="R194" s="172">
        <f t="shared" si="261"/>
        <v>44200</v>
      </c>
      <c r="S194" s="314"/>
      <c r="T194" s="314"/>
      <c r="U194" s="314"/>
      <c r="V194" s="172">
        <f t="shared" si="262"/>
        <v>44200</v>
      </c>
      <c r="W194" s="172">
        <f t="shared" si="263"/>
        <v>2740.4</v>
      </c>
      <c r="X194" s="172">
        <f t="shared" si="264"/>
        <v>640.9</v>
      </c>
      <c r="Y194" s="172">
        <f t="shared" si="265"/>
        <v>6638.84</v>
      </c>
      <c r="Z194" s="172">
        <f t="shared" si="266"/>
        <v>70.72</v>
      </c>
      <c r="AA194" s="172">
        <f t="shared" si="267"/>
        <v>30.94</v>
      </c>
      <c r="AB194" s="172" t="s">
        <v>2422</v>
      </c>
      <c r="AC194" s="172" t="s">
        <v>2422</v>
      </c>
      <c r="AD194" s="172" t="s">
        <v>2422</v>
      </c>
      <c r="AE194" s="178">
        <v>476</v>
      </c>
    </row>
    <row r="195" spans="1:31" x14ac:dyDescent="0.25">
      <c r="A195" s="167">
        <v>476</v>
      </c>
      <c r="B195" s="247"/>
      <c r="C195" s="247"/>
      <c r="D195" s="168" t="s">
        <v>2718</v>
      </c>
      <c r="E195" s="168" t="s">
        <v>2719</v>
      </c>
      <c r="F195" s="58">
        <v>41103</v>
      </c>
      <c r="G195" s="247"/>
      <c r="H195" s="223">
        <v>151264.90143999999</v>
      </c>
      <c r="I195" s="401"/>
      <c r="J195" s="223">
        <v>153941.523976</v>
      </c>
      <c r="K195" s="223">
        <f t="shared" ref="K195:AD195" si="271">SUM(K190:K194)</f>
        <v>153941.523976</v>
      </c>
      <c r="L195" s="223">
        <f t="shared" si="271"/>
        <v>74.010348065384619</v>
      </c>
      <c r="M195" s="223">
        <f t="shared" si="271"/>
        <v>5920.8278452307686</v>
      </c>
      <c r="N195" s="223">
        <f t="shared" si="271"/>
        <v>5927.3424657534251</v>
      </c>
      <c r="O195" s="223">
        <f t="shared" si="271"/>
        <v>0</v>
      </c>
      <c r="P195" s="223">
        <f t="shared" si="271"/>
        <v>1831.9599999999998</v>
      </c>
      <c r="Q195" s="223">
        <f t="shared" si="271"/>
        <v>7126.465753424658</v>
      </c>
      <c r="R195" s="223">
        <f t="shared" si="271"/>
        <v>161067.98972942465</v>
      </c>
      <c r="S195" s="223">
        <f t="shared" si="271"/>
        <v>0</v>
      </c>
      <c r="T195" s="223">
        <f t="shared" si="271"/>
        <v>0</v>
      </c>
      <c r="U195" s="223">
        <f t="shared" si="271"/>
        <v>1000</v>
      </c>
      <c r="V195" s="223">
        <f t="shared" si="271"/>
        <v>162067.98972942465</v>
      </c>
      <c r="W195" s="223">
        <f t="shared" si="271"/>
        <v>10048.215363224328</v>
      </c>
      <c r="X195" s="223">
        <f t="shared" si="271"/>
        <v>2349.9858510766576</v>
      </c>
      <c r="Y195" s="223">
        <f t="shared" si="271"/>
        <v>24342.612057359584</v>
      </c>
      <c r="Z195" s="223">
        <f t="shared" si="271"/>
        <v>259.30878356707944</v>
      </c>
      <c r="AA195" s="223">
        <f t="shared" si="271"/>
        <v>113.44759281059726</v>
      </c>
      <c r="AB195" s="223">
        <f t="shared" si="271"/>
        <v>1005</v>
      </c>
      <c r="AC195" s="223">
        <f t="shared" si="271"/>
        <v>31069.08</v>
      </c>
      <c r="AD195" s="223">
        <f t="shared" si="271"/>
        <v>320.74080000000004</v>
      </c>
      <c r="AE195" s="178">
        <v>476</v>
      </c>
    </row>
    <row r="196" spans="1:31" x14ac:dyDescent="0.25">
      <c r="A196" s="247"/>
      <c r="B196" s="247"/>
      <c r="C196" s="247"/>
      <c r="D196" s="168" t="s">
        <v>2536</v>
      </c>
      <c r="E196" s="168" t="s">
        <v>3990</v>
      </c>
      <c r="F196" s="58">
        <v>43641</v>
      </c>
      <c r="G196" s="247"/>
      <c r="H196" s="247"/>
      <c r="I196" s="138"/>
      <c r="J196" s="247"/>
      <c r="K196" s="65">
        <f>SUM(K191:K193)</f>
        <v>109741.523976</v>
      </c>
      <c r="L196" s="247"/>
      <c r="M196" s="247"/>
      <c r="N196" s="247"/>
      <c r="O196" s="247"/>
      <c r="P196" s="247"/>
      <c r="Q196" s="247"/>
      <c r="R196" s="65"/>
      <c r="S196" s="65"/>
      <c r="T196" s="65"/>
      <c r="U196" s="65"/>
      <c r="V196" s="65"/>
      <c r="W196" s="63">
        <f>W195+X195</f>
        <v>12398.201214300985</v>
      </c>
      <c r="X196" s="65"/>
      <c r="Y196" s="65"/>
      <c r="Z196" s="65"/>
      <c r="AA196" s="65"/>
      <c r="AB196" s="65"/>
      <c r="AC196" s="63">
        <f>SUM(AC195:AD195)</f>
        <v>31389.820800000001</v>
      </c>
      <c r="AD196" s="65"/>
      <c r="AE196" s="247"/>
    </row>
    <row r="197" spans="1:31" x14ac:dyDescent="0.25">
      <c r="A197" s="247"/>
      <c r="B197" s="247"/>
      <c r="C197" s="247"/>
      <c r="D197" s="168"/>
      <c r="E197" s="168"/>
      <c r="F197" s="58"/>
      <c r="G197" s="247"/>
      <c r="H197" s="247"/>
      <c r="I197" s="138"/>
      <c r="J197" s="247"/>
      <c r="K197" s="247"/>
      <c r="L197" s="247"/>
      <c r="M197" s="247"/>
      <c r="N197" s="247"/>
      <c r="O197" s="247"/>
      <c r="P197" s="247"/>
      <c r="Q197" s="247"/>
      <c r="R197" s="65"/>
      <c r="S197" s="65"/>
      <c r="T197" s="65"/>
      <c r="U197" s="65"/>
      <c r="V197" s="65"/>
      <c r="W197" s="65"/>
      <c r="X197" s="65"/>
      <c r="Y197" s="65"/>
      <c r="Z197" s="65"/>
      <c r="AA197" s="65"/>
      <c r="AB197" s="65"/>
      <c r="AC197" s="65"/>
      <c r="AD197" s="65"/>
      <c r="AE197" s="247"/>
    </row>
    <row r="198" spans="1:31" x14ac:dyDescent="0.25">
      <c r="A198" s="247"/>
      <c r="B198" s="247"/>
      <c r="C198" s="247"/>
      <c r="D198" s="247"/>
      <c r="E198" s="247"/>
      <c r="F198" s="247"/>
      <c r="G198" s="247"/>
      <c r="H198" s="247"/>
      <c r="I198" s="138"/>
      <c r="J198" s="247"/>
      <c r="K198" s="247"/>
      <c r="L198" s="247"/>
      <c r="M198" s="247"/>
      <c r="N198" s="247"/>
      <c r="O198" s="247"/>
      <c r="P198" s="247"/>
      <c r="Q198" s="247"/>
      <c r="R198" s="65"/>
      <c r="S198" s="65"/>
      <c r="T198" s="65"/>
      <c r="U198" s="65"/>
      <c r="V198" s="65"/>
      <c r="W198" s="65"/>
      <c r="X198" s="65"/>
      <c r="Y198" s="65"/>
      <c r="Z198" s="65"/>
      <c r="AA198" s="65"/>
      <c r="AB198" s="65"/>
      <c r="AC198" s="65"/>
      <c r="AD198" s="65"/>
      <c r="AE198" s="247"/>
    </row>
    <row r="199" spans="1:31" x14ac:dyDescent="0.25">
      <c r="A199" s="167">
        <v>485</v>
      </c>
      <c r="B199" s="167">
        <v>485001</v>
      </c>
      <c r="C199" s="168" t="s">
        <v>2721</v>
      </c>
      <c r="D199" s="181" t="s">
        <v>2999</v>
      </c>
      <c r="E199" s="181" t="s">
        <v>2527</v>
      </c>
      <c r="F199" s="58">
        <v>39815</v>
      </c>
      <c r="G199" s="167" t="s">
        <v>2422</v>
      </c>
      <c r="H199" s="61">
        <v>6856.11024</v>
      </c>
      <c r="I199" s="63">
        <v>7027.51</v>
      </c>
      <c r="J199" s="61">
        <v>7027.5129960000004</v>
      </c>
      <c r="K199" s="63">
        <f>SUM(((J199*$K$3)+$K$2)+J199)</f>
        <v>7027.5129960000004</v>
      </c>
      <c r="L199" s="63">
        <f t="shared" ref="L199:L219" si="272">SUM(K199/2080)</f>
        <v>3.3786120173076926</v>
      </c>
      <c r="M199" s="63">
        <f t="shared" ref="M199:M219" si="273">SUM(K199/26)</f>
        <v>270.28896138461539</v>
      </c>
      <c r="N199" s="167" t="s">
        <v>2420</v>
      </c>
      <c r="O199" s="247"/>
      <c r="P199" s="247"/>
      <c r="Q199" s="167">
        <v>0</v>
      </c>
      <c r="R199" s="63">
        <f t="shared" ref="R199:R220" si="274">Q199+K199</f>
        <v>7027.5129960000004</v>
      </c>
      <c r="S199" s="65"/>
      <c r="T199" s="65"/>
      <c r="U199" s="65"/>
      <c r="V199" s="63">
        <f t="shared" ref="V199:V220" si="275">SUM(R199:U199)</f>
        <v>7027.5129960000004</v>
      </c>
      <c r="W199" s="63">
        <f t="shared" ref="W199:W220" si="276">SUM(V199*$W$7)</f>
        <v>435.705805752</v>
      </c>
      <c r="X199" s="63">
        <f t="shared" ref="X199:X220" si="277">SUM(V199*$X$7)</f>
        <v>101.89893844200002</v>
      </c>
      <c r="Y199" s="63">
        <f t="shared" ref="Y199:Y220" si="278">SUM(V199*$Y$7)</f>
        <v>1055.5324519992</v>
      </c>
      <c r="Z199" s="63">
        <f t="shared" ref="Z199:Z220" si="279">SUM(V199*$Z$7)</f>
        <v>11.244020793600001</v>
      </c>
      <c r="AA199" s="63" t="s">
        <v>2420</v>
      </c>
      <c r="AB199" s="63" t="s">
        <v>2422</v>
      </c>
      <c r="AC199" s="63" t="s">
        <v>2422</v>
      </c>
      <c r="AD199" s="63" t="s">
        <v>2422</v>
      </c>
      <c r="AE199" s="178">
        <v>485</v>
      </c>
    </row>
    <row r="200" spans="1:31" x14ac:dyDescent="0.25">
      <c r="A200" s="167">
        <v>485</v>
      </c>
      <c r="B200" s="167">
        <v>485001</v>
      </c>
      <c r="C200" s="168" t="s">
        <v>2723</v>
      </c>
      <c r="D200" s="181" t="s">
        <v>2999</v>
      </c>
      <c r="E200" s="181" t="s">
        <v>2527</v>
      </c>
      <c r="F200" s="58">
        <v>39815</v>
      </c>
      <c r="G200" s="167" t="s">
        <v>2422</v>
      </c>
      <c r="H200" s="61">
        <v>3500</v>
      </c>
      <c r="I200" s="88">
        <v>3500</v>
      </c>
      <c r="J200" s="61">
        <v>3500</v>
      </c>
      <c r="K200" s="88">
        <v>0</v>
      </c>
      <c r="L200" s="63">
        <f t="shared" si="272"/>
        <v>0</v>
      </c>
      <c r="M200" s="63">
        <f t="shared" si="273"/>
        <v>0</v>
      </c>
      <c r="N200" s="167" t="s">
        <v>2420</v>
      </c>
      <c r="O200" s="247"/>
      <c r="P200" s="247"/>
      <c r="Q200" s="167">
        <v>0</v>
      </c>
      <c r="R200" s="63">
        <f t="shared" si="274"/>
        <v>0</v>
      </c>
      <c r="S200" s="65"/>
      <c r="T200" s="65"/>
      <c r="U200" s="65"/>
      <c r="V200" s="63">
        <f t="shared" si="275"/>
        <v>0</v>
      </c>
      <c r="W200" s="63">
        <f t="shared" si="276"/>
        <v>0</v>
      </c>
      <c r="X200" s="63">
        <f t="shared" si="277"/>
        <v>0</v>
      </c>
      <c r="Y200" s="63">
        <f t="shared" si="278"/>
        <v>0</v>
      </c>
      <c r="Z200" s="63">
        <f t="shared" si="279"/>
        <v>0</v>
      </c>
      <c r="AA200" s="63" t="s">
        <v>2420</v>
      </c>
      <c r="AB200" s="63" t="s">
        <v>2422</v>
      </c>
      <c r="AC200" s="63" t="s">
        <v>2422</v>
      </c>
      <c r="AD200" s="63" t="s">
        <v>2422</v>
      </c>
      <c r="AE200" s="178">
        <v>485</v>
      </c>
    </row>
    <row r="201" spans="1:31" x14ac:dyDescent="0.25">
      <c r="A201" s="167">
        <v>485</v>
      </c>
      <c r="B201" s="167">
        <v>485001</v>
      </c>
      <c r="C201" s="168" t="s">
        <v>2724</v>
      </c>
      <c r="D201" s="181" t="s">
        <v>2999</v>
      </c>
      <c r="E201" s="181" t="s">
        <v>2527</v>
      </c>
      <c r="F201" s="58">
        <v>39815</v>
      </c>
      <c r="G201" s="167" t="s">
        <v>2422</v>
      </c>
      <c r="H201" s="61">
        <v>9000</v>
      </c>
      <c r="I201" s="61">
        <v>9000</v>
      </c>
      <c r="J201" s="61">
        <v>9000</v>
      </c>
      <c r="K201" s="61">
        <v>9000</v>
      </c>
      <c r="L201" s="63">
        <f t="shared" si="272"/>
        <v>4.3269230769230766</v>
      </c>
      <c r="M201" s="63">
        <f t="shared" si="273"/>
        <v>346.15384615384613</v>
      </c>
      <c r="N201" s="167" t="s">
        <v>2420</v>
      </c>
      <c r="O201" s="247"/>
      <c r="P201" s="247"/>
      <c r="Q201" s="167">
        <v>0</v>
      </c>
      <c r="R201" s="63">
        <f t="shared" si="274"/>
        <v>9000</v>
      </c>
      <c r="S201" s="65"/>
      <c r="T201" s="65"/>
      <c r="U201" s="65"/>
      <c r="V201" s="63">
        <f t="shared" si="275"/>
        <v>9000</v>
      </c>
      <c r="W201" s="63">
        <f t="shared" si="276"/>
        <v>558</v>
      </c>
      <c r="X201" s="63">
        <f t="shared" si="277"/>
        <v>130.5</v>
      </c>
      <c r="Y201" s="63">
        <f t="shared" si="278"/>
        <v>1351.8</v>
      </c>
      <c r="Z201" s="63">
        <f t="shared" si="279"/>
        <v>14.4</v>
      </c>
      <c r="AA201" s="63" t="s">
        <v>2420</v>
      </c>
      <c r="AB201" s="63" t="s">
        <v>2422</v>
      </c>
      <c r="AC201" s="63" t="s">
        <v>2422</v>
      </c>
      <c r="AD201" s="63" t="s">
        <v>2422</v>
      </c>
      <c r="AE201" s="178">
        <v>485</v>
      </c>
    </row>
    <row r="202" spans="1:31" x14ac:dyDescent="0.25">
      <c r="A202" s="247"/>
      <c r="B202" s="247"/>
      <c r="C202" s="168" t="s">
        <v>2901</v>
      </c>
      <c r="D202" s="247"/>
      <c r="E202" s="247"/>
      <c r="F202" s="247"/>
      <c r="G202" s="247"/>
      <c r="H202" s="167">
        <v>600</v>
      </c>
      <c r="I202" s="138"/>
      <c r="J202" s="167">
        <v>600</v>
      </c>
      <c r="K202" s="167">
        <v>600</v>
      </c>
      <c r="L202" s="63">
        <f t="shared" si="272"/>
        <v>0.28846153846153844</v>
      </c>
      <c r="M202" s="63">
        <f t="shared" si="273"/>
        <v>23.076923076923077</v>
      </c>
      <c r="N202" s="167">
        <v>0</v>
      </c>
      <c r="O202" s="247"/>
      <c r="P202" s="247"/>
      <c r="Q202" s="167">
        <v>0</v>
      </c>
      <c r="R202" s="63">
        <f t="shared" si="274"/>
        <v>600</v>
      </c>
      <c r="S202" s="65"/>
      <c r="T202" s="65"/>
      <c r="U202" s="65"/>
      <c r="V202" s="63">
        <f t="shared" si="275"/>
        <v>600</v>
      </c>
      <c r="W202" s="63">
        <f t="shared" si="276"/>
        <v>37.200000000000003</v>
      </c>
      <c r="X202" s="63">
        <f t="shared" si="277"/>
        <v>8.7000000000000011</v>
      </c>
      <c r="Y202" s="63">
        <f t="shared" si="278"/>
        <v>90.12</v>
      </c>
      <c r="Z202" s="63">
        <f t="shared" si="279"/>
        <v>0.96000000000000008</v>
      </c>
      <c r="AA202" s="63" t="s">
        <v>2420</v>
      </c>
      <c r="AB202" s="63" t="s">
        <v>2422</v>
      </c>
      <c r="AC202" s="63" t="s">
        <v>2422</v>
      </c>
      <c r="AD202" s="63" t="s">
        <v>2422</v>
      </c>
      <c r="AE202" s="178">
        <v>485</v>
      </c>
    </row>
    <row r="203" spans="1:31" x14ac:dyDescent="0.25">
      <c r="A203" s="167">
        <v>485</v>
      </c>
      <c r="B203" s="167">
        <v>485002</v>
      </c>
      <c r="C203" s="168" t="s">
        <v>3991</v>
      </c>
      <c r="D203" s="168" t="s">
        <v>3992</v>
      </c>
      <c r="E203" s="168" t="s">
        <v>3993</v>
      </c>
      <c r="F203" s="58">
        <v>39815</v>
      </c>
      <c r="G203" s="59">
        <f t="shared" ref="G203:G219" si="280">(DATE(2020,12,30)-(F203))/365</f>
        <v>12</v>
      </c>
      <c r="H203" s="61">
        <v>77262.482000000004</v>
      </c>
      <c r="I203" s="63">
        <v>79194.039999999994</v>
      </c>
      <c r="J203" s="61">
        <v>79194.044049999997</v>
      </c>
      <c r="K203" s="63">
        <f t="shared" ref="K203:K207" si="281">SUM(((J203*$K$3)+$K$2)+J203)</f>
        <v>79194.044049999997</v>
      </c>
      <c r="L203" s="63">
        <f t="shared" si="272"/>
        <v>38.074059639423076</v>
      </c>
      <c r="M203" s="63">
        <f t="shared" si="273"/>
        <v>3045.924771153846</v>
      </c>
      <c r="N203" s="63">
        <f t="shared" ref="N203:N219" si="282">IF(G203&lt;4,0,(G203-1)*$N$7)</f>
        <v>2904</v>
      </c>
      <c r="O203" s="69">
        <v>2400.06</v>
      </c>
      <c r="P203" s="65"/>
      <c r="Q203" s="63">
        <f t="shared" ref="Q203:Q210" si="283">IF(N203+O203&gt;10000,10000,N203+O203)</f>
        <v>5304.0599999999995</v>
      </c>
      <c r="R203" s="63">
        <f t="shared" si="274"/>
        <v>84498.104049999994</v>
      </c>
      <c r="S203" s="65"/>
      <c r="T203" s="65"/>
      <c r="U203" s="65"/>
      <c r="V203" s="63">
        <f t="shared" si="275"/>
        <v>84498.104049999994</v>
      </c>
      <c r="W203" s="63">
        <f t="shared" si="276"/>
        <v>5238.8824510999993</v>
      </c>
      <c r="X203" s="63">
        <f t="shared" si="277"/>
        <v>1225.2225087249999</v>
      </c>
      <c r="Y203" s="63">
        <f t="shared" si="278"/>
        <v>12691.61522831</v>
      </c>
      <c r="Z203" s="63">
        <f t="shared" si="279"/>
        <v>135.19696647999999</v>
      </c>
      <c r="AA203" s="63">
        <f t="shared" ref="AA203:AA220" si="284">SUM(V203*$AA$7)</f>
        <v>59.148672834999992</v>
      </c>
      <c r="AB203" s="63">
        <f t="shared" ref="AB203:AB219" si="285">SUM($AB$7)</f>
        <v>335</v>
      </c>
      <c r="AC203" s="63">
        <f t="shared" ref="AC203:AC219" si="286">$AC$7</f>
        <v>10356.36</v>
      </c>
      <c r="AD203" s="63">
        <f t="shared" ref="AD203:AD219" si="287">SUM(AB203+AC203)*$AD$7</f>
        <v>106.9136</v>
      </c>
      <c r="AE203" s="178">
        <v>485</v>
      </c>
    </row>
    <row r="204" spans="1:31" x14ac:dyDescent="0.25">
      <c r="A204" s="167">
        <v>485</v>
      </c>
      <c r="B204" s="167">
        <v>485003</v>
      </c>
      <c r="C204" s="168" t="s">
        <v>3994</v>
      </c>
      <c r="D204" s="168" t="s">
        <v>3770</v>
      </c>
      <c r="E204" s="168" t="s">
        <v>3771</v>
      </c>
      <c r="F204" s="83">
        <v>43353</v>
      </c>
      <c r="G204" s="59">
        <f t="shared" si="280"/>
        <v>2.3068493150684932</v>
      </c>
      <c r="H204" s="61">
        <v>70822.108800000002</v>
      </c>
      <c r="I204" s="63">
        <v>72592.66</v>
      </c>
      <c r="J204" s="61">
        <v>72592.661520000009</v>
      </c>
      <c r="K204" s="63">
        <f t="shared" si="281"/>
        <v>72592.661520000009</v>
      </c>
      <c r="L204" s="63">
        <f t="shared" si="272"/>
        <v>34.900318038461542</v>
      </c>
      <c r="M204" s="63">
        <f t="shared" si="273"/>
        <v>2792.0254430769232</v>
      </c>
      <c r="N204" s="63">
        <f t="shared" si="282"/>
        <v>0</v>
      </c>
      <c r="O204" s="65"/>
      <c r="P204" s="65"/>
      <c r="Q204" s="63">
        <f t="shared" si="283"/>
        <v>0</v>
      </c>
      <c r="R204" s="63">
        <f t="shared" si="274"/>
        <v>72592.661520000009</v>
      </c>
      <c r="S204" s="65"/>
      <c r="T204" s="65"/>
      <c r="U204" s="65"/>
      <c r="V204" s="63">
        <f t="shared" si="275"/>
        <v>72592.661520000009</v>
      </c>
      <c r="W204" s="63">
        <f t="shared" si="276"/>
        <v>4500.7450142400003</v>
      </c>
      <c r="X204" s="63">
        <f t="shared" si="277"/>
        <v>1052.5935920400002</v>
      </c>
      <c r="Y204" s="63">
        <f t="shared" si="278"/>
        <v>10903.417760304001</v>
      </c>
      <c r="Z204" s="63">
        <f t="shared" si="279"/>
        <v>116.14825843200002</v>
      </c>
      <c r="AA204" s="63">
        <f t="shared" si="284"/>
        <v>50.814863064000008</v>
      </c>
      <c r="AB204" s="63">
        <f t="shared" si="285"/>
        <v>335</v>
      </c>
      <c r="AC204" s="63">
        <f t="shared" si="286"/>
        <v>10356.36</v>
      </c>
      <c r="AD204" s="63">
        <f t="shared" si="287"/>
        <v>106.9136</v>
      </c>
      <c r="AE204" s="178">
        <v>485</v>
      </c>
    </row>
    <row r="205" spans="1:31" x14ac:dyDescent="0.25">
      <c r="A205" s="167">
        <v>485</v>
      </c>
      <c r="B205" s="167">
        <v>485004</v>
      </c>
      <c r="C205" s="168" t="s">
        <v>3879</v>
      </c>
      <c r="D205" s="168" t="s">
        <v>3776</v>
      </c>
      <c r="E205" s="168" t="s">
        <v>3777</v>
      </c>
      <c r="F205" s="58">
        <v>43467</v>
      </c>
      <c r="G205" s="59">
        <f t="shared" si="280"/>
        <v>1.9945205479452055</v>
      </c>
      <c r="H205" s="61">
        <v>70822.108800000002</v>
      </c>
      <c r="I205" s="63">
        <v>72592.66</v>
      </c>
      <c r="J205" s="61">
        <v>72592.661520000009</v>
      </c>
      <c r="K205" s="63">
        <f t="shared" si="281"/>
        <v>72592.661520000009</v>
      </c>
      <c r="L205" s="63">
        <f t="shared" si="272"/>
        <v>34.900318038461542</v>
      </c>
      <c r="M205" s="63">
        <f t="shared" si="273"/>
        <v>2792.0254430769232</v>
      </c>
      <c r="N205" s="63">
        <f t="shared" si="282"/>
        <v>0</v>
      </c>
      <c r="O205" s="69">
        <v>3295.37</v>
      </c>
      <c r="P205" s="65"/>
      <c r="Q205" s="63">
        <f t="shared" si="283"/>
        <v>3295.37</v>
      </c>
      <c r="R205" s="63">
        <f t="shared" si="274"/>
        <v>75888.031520000004</v>
      </c>
      <c r="S205" s="65"/>
      <c r="T205" s="65"/>
      <c r="U205" s="65"/>
      <c r="V205" s="63">
        <f t="shared" si="275"/>
        <v>75888.031520000004</v>
      </c>
      <c r="W205" s="63">
        <f t="shared" si="276"/>
        <v>4705.0579542400001</v>
      </c>
      <c r="X205" s="63">
        <f t="shared" si="277"/>
        <v>1100.3764570400001</v>
      </c>
      <c r="Y205" s="63">
        <f t="shared" si="278"/>
        <v>11398.382334304</v>
      </c>
      <c r="Z205" s="63">
        <f t="shared" si="279"/>
        <v>121.42085043200001</v>
      </c>
      <c r="AA205" s="63">
        <f t="shared" si="284"/>
        <v>53.121622064</v>
      </c>
      <c r="AB205" s="63">
        <f t="shared" si="285"/>
        <v>335</v>
      </c>
      <c r="AC205" s="63">
        <f t="shared" si="286"/>
        <v>10356.36</v>
      </c>
      <c r="AD205" s="63">
        <f t="shared" si="287"/>
        <v>106.9136</v>
      </c>
      <c r="AE205" s="178">
        <v>485</v>
      </c>
    </row>
    <row r="206" spans="1:31" x14ac:dyDescent="0.25">
      <c r="A206" s="167">
        <v>485</v>
      </c>
      <c r="B206" s="167">
        <v>485005</v>
      </c>
      <c r="C206" s="168" t="s">
        <v>3995</v>
      </c>
      <c r="D206" s="168" t="s">
        <v>3853</v>
      </c>
      <c r="E206" s="168" t="s">
        <v>2753</v>
      </c>
      <c r="F206" s="58">
        <v>42765</v>
      </c>
      <c r="G206" s="59">
        <f t="shared" si="280"/>
        <v>3.9178082191780823</v>
      </c>
      <c r="H206" s="61">
        <v>70822.108800000002</v>
      </c>
      <c r="I206" s="63">
        <v>72592.66</v>
      </c>
      <c r="J206" s="61">
        <v>72592.661520000009</v>
      </c>
      <c r="K206" s="63">
        <f t="shared" si="281"/>
        <v>72592.661520000009</v>
      </c>
      <c r="L206" s="63">
        <f t="shared" si="272"/>
        <v>34.900318038461542</v>
      </c>
      <c r="M206" s="63">
        <f t="shared" si="273"/>
        <v>2792.0254430769232</v>
      </c>
      <c r="N206" s="63">
        <f t="shared" si="282"/>
        <v>0</v>
      </c>
      <c r="O206" s="69">
        <f>IF(G206&lt;4,0,(G206-1)*240)</f>
        <v>0</v>
      </c>
      <c r="P206" s="65"/>
      <c r="Q206" s="63">
        <f t="shared" si="283"/>
        <v>0</v>
      </c>
      <c r="R206" s="63">
        <f t="shared" si="274"/>
        <v>72592.661520000009</v>
      </c>
      <c r="S206" s="65"/>
      <c r="T206" s="65"/>
      <c r="U206" s="65"/>
      <c r="V206" s="63">
        <f t="shared" si="275"/>
        <v>72592.661520000009</v>
      </c>
      <c r="W206" s="63">
        <f t="shared" si="276"/>
        <v>4500.7450142400003</v>
      </c>
      <c r="X206" s="63">
        <f t="shared" si="277"/>
        <v>1052.5935920400002</v>
      </c>
      <c r="Y206" s="63">
        <f t="shared" si="278"/>
        <v>10903.417760304001</v>
      </c>
      <c r="Z206" s="63">
        <f t="shared" si="279"/>
        <v>116.14825843200002</v>
      </c>
      <c r="AA206" s="63">
        <f t="shared" si="284"/>
        <v>50.814863064000008</v>
      </c>
      <c r="AB206" s="63">
        <f t="shared" si="285"/>
        <v>335</v>
      </c>
      <c r="AC206" s="63">
        <f t="shared" si="286"/>
        <v>10356.36</v>
      </c>
      <c r="AD206" s="63">
        <f t="shared" si="287"/>
        <v>106.9136</v>
      </c>
      <c r="AE206" s="178">
        <v>485</v>
      </c>
    </row>
    <row r="207" spans="1:31" x14ac:dyDescent="0.25">
      <c r="A207" s="167">
        <v>485</v>
      </c>
      <c r="B207" s="167">
        <v>485006</v>
      </c>
      <c r="C207" s="168" t="s">
        <v>3496</v>
      </c>
      <c r="D207" s="168" t="s">
        <v>3009</v>
      </c>
      <c r="E207" s="168" t="s">
        <v>3877</v>
      </c>
      <c r="F207" s="58">
        <v>41276</v>
      </c>
      <c r="G207" s="59">
        <f t="shared" si="280"/>
        <v>7.9972602739726026</v>
      </c>
      <c r="H207" s="61">
        <v>70822.108800000002</v>
      </c>
      <c r="I207" s="63">
        <v>72592.66</v>
      </c>
      <c r="J207" s="61">
        <v>72592.661520000009</v>
      </c>
      <c r="K207" s="63">
        <f t="shared" si="281"/>
        <v>72592.661520000009</v>
      </c>
      <c r="L207" s="63">
        <f t="shared" si="272"/>
        <v>34.900318038461542</v>
      </c>
      <c r="M207" s="63">
        <f t="shared" si="273"/>
        <v>2792.0254430769232</v>
      </c>
      <c r="N207" s="63">
        <f t="shared" si="282"/>
        <v>1847.2767123287672</v>
      </c>
      <c r="O207" s="69">
        <v>3332.29</v>
      </c>
      <c r="P207" s="65"/>
      <c r="Q207" s="63">
        <f t="shared" si="283"/>
        <v>5179.5667123287676</v>
      </c>
      <c r="R207" s="63">
        <f t="shared" si="274"/>
        <v>77772.22823232878</v>
      </c>
      <c r="S207" s="65"/>
      <c r="T207" s="65"/>
      <c r="U207" s="65"/>
      <c r="V207" s="63">
        <f t="shared" si="275"/>
        <v>77772.22823232878</v>
      </c>
      <c r="W207" s="63">
        <f t="shared" si="276"/>
        <v>4821.8781504043845</v>
      </c>
      <c r="X207" s="63">
        <f t="shared" si="277"/>
        <v>1127.6973093687673</v>
      </c>
      <c r="Y207" s="63">
        <f t="shared" si="278"/>
        <v>11681.388680495782</v>
      </c>
      <c r="Z207" s="63">
        <f t="shared" si="279"/>
        <v>124.43556517172605</v>
      </c>
      <c r="AA207" s="63">
        <f t="shared" si="284"/>
        <v>54.440559762630144</v>
      </c>
      <c r="AB207" s="63">
        <f t="shared" si="285"/>
        <v>335</v>
      </c>
      <c r="AC207" s="63">
        <f t="shared" si="286"/>
        <v>10356.36</v>
      </c>
      <c r="AD207" s="63">
        <f t="shared" si="287"/>
        <v>106.9136</v>
      </c>
      <c r="AE207" s="178">
        <v>485</v>
      </c>
    </row>
    <row r="208" spans="1:31" x14ac:dyDescent="0.25">
      <c r="A208" s="167">
        <v>485</v>
      </c>
      <c r="B208" s="167">
        <v>485006</v>
      </c>
      <c r="C208" s="168" t="s">
        <v>3774</v>
      </c>
      <c r="D208" s="192" t="s">
        <v>3051</v>
      </c>
      <c r="E208" s="168" t="s">
        <v>3996</v>
      </c>
      <c r="F208" s="58">
        <v>43395</v>
      </c>
      <c r="G208" s="59">
        <f t="shared" si="280"/>
        <v>2.1917808219178081</v>
      </c>
      <c r="H208" s="61">
        <v>0</v>
      </c>
      <c r="I208" s="63">
        <v>72592.66</v>
      </c>
      <c r="J208" s="61">
        <v>72592.662750000003</v>
      </c>
      <c r="K208" s="63">
        <v>72592.66</v>
      </c>
      <c r="L208" s="63">
        <f t="shared" si="272"/>
        <v>34.900317307692312</v>
      </c>
      <c r="M208" s="63">
        <f t="shared" si="273"/>
        <v>2792.0253846153846</v>
      </c>
      <c r="N208" s="63">
        <f t="shared" si="282"/>
        <v>0</v>
      </c>
      <c r="O208" s="69">
        <v>3332.29</v>
      </c>
      <c r="P208" s="65"/>
      <c r="Q208" s="63">
        <f t="shared" si="283"/>
        <v>3332.29</v>
      </c>
      <c r="R208" s="63">
        <f t="shared" si="274"/>
        <v>75924.95</v>
      </c>
      <c r="S208" s="65"/>
      <c r="T208" s="65"/>
      <c r="U208" s="65"/>
      <c r="V208" s="63">
        <f t="shared" si="275"/>
        <v>75924.95</v>
      </c>
      <c r="W208" s="63">
        <f t="shared" si="276"/>
        <v>4707.3468999999996</v>
      </c>
      <c r="X208" s="63">
        <f t="shared" si="277"/>
        <v>1100.911775</v>
      </c>
      <c r="Y208" s="63">
        <f t="shared" si="278"/>
        <v>11403.92749</v>
      </c>
      <c r="Z208" s="63">
        <f t="shared" si="279"/>
        <v>121.47992000000001</v>
      </c>
      <c r="AA208" s="63">
        <f t="shared" si="284"/>
        <v>53.147464999999997</v>
      </c>
      <c r="AB208" s="63">
        <f t="shared" si="285"/>
        <v>335</v>
      </c>
      <c r="AC208" s="63">
        <f t="shared" si="286"/>
        <v>10356.36</v>
      </c>
      <c r="AD208" s="63">
        <f t="shared" si="287"/>
        <v>106.9136</v>
      </c>
      <c r="AE208" s="178">
        <v>485</v>
      </c>
    </row>
    <row r="209" spans="1:31" x14ac:dyDescent="0.25">
      <c r="A209" s="167">
        <v>485</v>
      </c>
      <c r="B209" s="167">
        <v>485007</v>
      </c>
      <c r="C209" s="168" t="s">
        <v>3997</v>
      </c>
      <c r="D209" s="271" t="s">
        <v>2805</v>
      </c>
      <c r="E209" s="271" t="s">
        <v>2806</v>
      </c>
      <c r="F209" s="403">
        <v>43831</v>
      </c>
      <c r="G209" s="59">
        <f t="shared" si="280"/>
        <v>0.99726027397260275</v>
      </c>
      <c r="H209" s="61">
        <v>70822.108800000002</v>
      </c>
      <c r="I209" s="63"/>
      <c r="J209" s="61">
        <v>72592.661520000009</v>
      </c>
      <c r="K209" s="63">
        <f t="shared" ref="K209:K219" si="288">SUM(((J209*$K$3)+$K$2)+J209)</f>
        <v>72592.661520000009</v>
      </c>
      <c r="L209" s="63">
        <f t="shared" si="272"/>
        <v>34.900318038461542</v>
      </c>
      <c r="M209" s="63">
        <f t="shared" si="273"/>
        <v>2792.0254430769232</v>
      </c>
      <c r="N209" s="63">
        <f t="shared" si="282"/>
        <v>0</v>
      </c>
      <c r="O209" s="65"/>
      <c r="P209" s="65"/>
      <c r="Q209" s="63">
        <f t="shared" si="283"/>
        <v>0</v>
      </c>
      <c r="R209" s="63">
        <f t="shared" si="274"/>
        <v>72592.661520000009</v>
      </c>
      <c r="S209" s="65"/>
      <c r="T209" s="65"/>
      <c r="U209" s="65"/>
      <c r="V209" s="63">
        <f t="shared" si="275"/>
        <v>72592.661520000009</v>
      </c>
      <c r="W209" s="63">
        <f t="shared" si="276"/>
        <v>4500.7450142400003</v>
      </c>
      <c r="X209" s="63">
        <f t="shared" si="277"/>
        <v>1052.5935920400002</v>
      </c>
      <c r="Y209" s="63">
        <f t="shared" si="278"/>
        <v>10903.417760304001</v>
      </c>
      <c r="Z209" s="63">
        <f t="shared" si="279"/>
        <v>116.14825843200002</v>
      </c>
      <c r="AA209" s="63">
        <f t="shared" si="284"/>
        <v>50.814863064000008</v>
      </c>
      <c r="AB209" s="63">
        <f t="shared" si="285"/>
        <v>335</v>
      </c>
      <c r="AC209" s="63">
        <f t="shared" si="286"/>
        <v>10356.36</v>
      </c>
      <c r="AD209" s="63">
        <f t="shared" si="287"/>
        <v>106.9136</v>
      </c>
      <c r="AE209" s="178">
        <v>485</v>
      </c>
    </row>
    <row r="210" spans="1:31" x14ac:dyDescent="0.25">
      <c r="A210" s="167">
        <v>485</v>
      </c>
      <c r="B210" s="167">
        <v>485008</v>
      </c>
      <c r="C210" s="168" t="s">
        <v>3778</v>
      </c>
      <c r="D210" s="168" t="s">
        <v>2733</v>
      </c>
      <c r="E210" s="168" t="s">
        <v>2734</v>
      </c>
      <c r="F210" s="58">
        <v>43467</v>
      </c>
      <c r="G210" s="59">
        <f t="shared" si="280"/>
        <v>1.9945205479452055</v>
      </c>
      <c r="H210" s="61">
        <v>70822.108800000002</v>
      </c>
      <c r="I210" s="63">
        <v>72592.66</v>
      </c>
      <c r="J210" s="61">
        <v>72592.661520000009</v>
      </c>
      <c r="K210" s="63">
        <f t="shared" si="288"/>
        <v>72592.661520000009</v>
      </c>
      <c r="L210" s="63">
        <f t="shared" si="272"/>
        <v>34.900318038461542</v>
      </c>
      <c r="M210" s="63">
        <f t="shared" si="273"/>
        <v>2792.0254430769232</v>
      </c>
      <c r="N210" s="63">
        <f t="shared" si="282"/>
        <v>0</v>
      </c>
      <c r="O210" s="69">
        <v>1920.1</v>
      </c>
      <c r="P210" s="65"/>
      <c r="Q210" s="63">
        <f t="shared" si="283"/>
        <v>1920.1</v>
      </c>
      <c r="R210" s="63">
        <f t="shared" si="274"/>
        <v>74512.761520000015</v>
      </c>
      <c r="S210" s="65"/>
      <c r="T210" s="65"/>
      <c r="U210" s="65"/>
      <c r="V210" s="63">
        <f t="shared" si="275"/>
        <v>74512.761520000015</v>
      </c>
      <c r="W210" s="63">
        <f t="shared" si="276"/>
        <v>4619.791214240001</v>
      </c>
      <c r="X210" s="63">
        <f t="shared" si="277"/>
        <v>1080.4350420400003</v>
      </c>
      <c r="Y210" s="63">
        <f t="shared" si="278"/>
        <v>11191.816780304001</v>
      </c>
      <c r="Z210" s="63">
        <f t="shared" si="279"/>
        <v>119.22041843200003</v>
      </c>
      <c r="AA210" s="63">
        <f t="shared" si="284"/>
        <v>52.15893306400001</v>
      </c>
      <c r="AB210" s="63">
        <f t="shared" si="285"/>
        <v>335</v>
      </c>
      <c r="AC210" s="63">
        <f t="shared" si="286"/>
        <v>10356.36</v>
      </c>
      <c r="AD210" s="63">
        <f t="shared" si="287"/>
        <v>106.9136</v>
      </c>
      <c r="AE210" s="178">
        <v>485</v>
      </c>
    </row>
    <row r="211" spans="1:31" x14ac:dyDescent="0.25">
      <c r="A211" s="167">
        <v>485</v>
      </c>
      <c r="B211" s="167">
        <v>485015</v>
      </c>
      <c r="C211" s="168" t="s">
        <v>3494</v>
      </c>
      <c r="D211" s="404" t="s">
        <v>2478</v>
      </c>
      <c r="E211" s="404" t="s">
        <v>2479</v>
      </c>
      <c r="F211" s="405">
        <v>38164</v>
      </c>
      <c r="G211" s="59">
        <f t="shared" si="280"/>
        <v>16.523287671232875</v>
      </c>
      <c r="H211" s="61">
        <v>42083.97984</v>
      </c>
      <c r="I211" s="63">
        <v>43136.08</v>
      </c>
      <c r="J211" s="61">
        <v>43136.079336000003</v>
      </c>
      <c r="K211" s="63">
        <f t="shared" si="288"/>
        <v>43136.079336000003</v>
      </c>
      <c r="L211" s="63">
        <f t="shared" si="272"/>
        <v>20.73849968076923</v>
      </c>
      <c r="M211" s="63">
        <f t="shared" si="273"/>
        <v>1659.0799744615385</v>
      </c>
      <c r="N211" s="63">
        <f t="shared" si="282"/>
        <v>4098.1479452054791</v>
      </c>
      <c r="O211" s="65"/>
      <c r="P211" s="65"/>
      <c r="Q211" s="63">
        <f t="shared" ref="Q211:Q219" si="289">IF(N211+P211&gt;5000,5000,N211+P211)</f>
        <v>4098.1479452054791</v>
      </c>
      <c r="R211" s="63">
        <f t="shared" si="274"/>
        <v>47234.22728120548</v>
      </c>
      <c r="S211" s="65"/>
      <c r="T211" s="65"/>
      <c r="U211" s="65"/>
      <c r="V211" s="63">
        <f t="shared" si="275"/>
        <v>47234.22728120548</v>
      </c>
      <c r="W211" s="63">
        <f t="shared" si="276"/>
        <v>2928.5220914347397</v>
      </c>
      <c r="X211" s="63">
        <f t="shared" si="277"/>
        <v>684.89629557747946</v>
      </c>
      <c r="Y211" s="63">
        <f t="shared" si="278"/>
        <v>7094.5809376370635</v>
      </c>
      <c r="Z211" s="63">
        <f t="shared" si="279"/>
        <v>75.574763649928769</v>
      </c>
      <c r="AA211" s="63">
        <f t="shared" si="284"/>
        <v>33.063959096843838</v>
      </c>
      <c r="AB211" s="63">
        <f t="shared" si="285"/>
        <v>335</v>
      </c>
      <c r="AC211" s="63">
        <f t="shared" si="286"/>
        <v>10356.36</v>
      </c>
      <c r="AD211" s="63">
        <f t="shared" si="287"/>
        <v>106.9136</v>
      </c>
      <c r="AE211" s="178">
        <v>485</v>
      </c>
    </row>
    <row r="212" spans="1:31" x14ac:dyDescent="0.25">
      <c r="A212" s="167">
        <v>485</v>
      </c>
      <c r="B212" s="167">
        <v>485016</v>
      </c>
      <c r="C212" s="168" t="s">
        <v>2743</v>
      </c>
      <c r="D212" s="168" t="s">
        <v>3779</v>
      </c>
      <c r="E212" s="168" t="s">
        <v>2492</v>
      </c>
      <c r="F212" s="58">
        <v>41883</v>
      </c>
      <c r="G212" s="59">
        <f t="shared" si="280"/>
        <v>6.3342465753424655</v>
      </c>
      <c r="H212" s="61">
        <v>36763.868560000003</v>
      </c>
      <c r="I212" s="63">
        <v>37682.97</v>
      </c>
      <c r="J212" s="61">
        <v>37682.965274000002</v>
      </c>
      <c r="K212" s="63">
        <f t="shared" si="288"/>
        <v>37682.965274000002</v>
      </c>
      <c r="L212" s="63">
        <f t="shared" si="272"/>
        <v>18.116810227884617</v>
      </c>
      <c r="M212" s="63">
        <f t="shared" si="273"/>
        <v>1449.3448182307693</v>
      </c>
      <c r="N212" s="63">
        <f t="shared" si="282"/>
        <v>1408.2410958904109</v>
      </c>
      <c r="O212" s="65"/>
      <c r="P212" s="65"/>
      <c r="Q212" s="63">
        <f t="shared" si="289"/>
        <v>1408.2410958904109</v>
      </c>
      <c r="R212" s="63">
        <f t="shared" si="274"/>
        <v>39091.206369890409</v>
      </c>
      <c r="S212" s="65"/>
      <c r="T212" s="65"/>
      <c r="U212" s="65"/>
      <c r="V212" s="63">
        <f t="shared" si="275"/>
        <v>39091.206369890409</v>
      </c>
      <c r="W212" s="63">
        <f t="shared" si="276"/>
        <v>2423.6547949332053</v>
      </c>
      <c r="X212" s="63">
        <f t="shared" si="277"/>
        <v>566.82249236341102</v>
      </c>
      <c r="Y212" s="63">
        <f t="shared" si="278"/>
        <v>5871.4991967575397</v>
      </c>
      <c r="Z212" s="63">
        <f t="shared" si="279"/>
        <v>62.54593019182466</v>
      </c>
      <c r="AA212" s="63">
        <f t="shared" si="284"/>
        <v>27.363844458923285</v>
      </c>
      <c r="AB212" s="63">
        <f t="shared" si="285"/>
        <v>335</v>
      </c>
      <c r="AC212" s="63">
        <f t="shared" si="286"/>
        <v>10356.36</v>
      </c>
      <c r="AD212" s="63">
        <f t="shared" si="287"/>
        <v>106.9136</v>
      </c>
      <c r="AE212" s="178">
        <v>485</v>
      </c>
    </row>
    <row r="213" spans="1:31" x14ac:dyDescent="0.25">
      <c r="A213" s="167">
        <v>485</v>
      </c>
      <c r="B213" s="167">
        <v>485018</v>
      </c>
      <c r="C213" s="168" t="s">
        <v>3878</v>
      </c>
      <c r="D213" s="168" t="s">
        <v>2749</v>
      </c>
      <c r="E213" s="168" t="s">
        <v>2750</v>
      </c>
      <c r="F213" s="58">
        <v>43661</v>
      </c>
      <c r="G213" s="59">
        <f t="shared" si="280"/>
        <v>1.463013698630137</v>
      </c>
      <c r="H213" s="61">
        <v>30689.997039999998</v>
      </c>
      <c r="I213" s="63">
        <v>31457.25</v>
      </c>
      <c r="J213" s="61">
        <v>31457.246965999999</v>
      </c>
      <c r="K213" s="63">
        <f t="shared" si="288"/>
        <v>31457.246965999999</v>
      </c>
      <c r="L213" s="63">
        <f t="shared" si="272"/>
        <v>15.123676425961538</v>
      </c>
      <c r="M213" s="63">
        <f t="shared" si="273"/>
        <v>1209.894114076923</v>
      </c>
      <c r="N213" s="63">
        <f t="shared" si="282"/>
        <v>0</v>
      </c>
      <c r="O213" s="65"/>
      <c r="P213" s="65"/>
      <c r="Q213" s="63">
        <f t="shared" si="289"/>
        <v>0</v>
      </c>
      <c r="R213" s="63">
        <f t="shared" si="274"/>
        <v>31457.246965999999</v>
      </c>
      <c r="S213" s="65"/>
      <c r="T213" s="65"/>
      <c r="U213" s="65"/>
      <c r="V213" s="63">
        <f t="shared" si="275"/>
        <v>31457.246965999999</v>
      </c>
      <c r="W213" s="63">
        <f t="shared" si="276"/>
        <v>1950.3493118919998</v>
      </c>
      <c r="X213" s="63">
        <f t="shared" si="277"/>
        <v>456.130081007</v>
      </c>
      <c r="Y213" s="63">
        <f t="shared" si="278"/>
        <v>4724.8784942931998</v>
      </c>
      <c r="Z213" s="63">
        <f t="shared" si="279"/>
        <v>50.331595145599998</v>
      </c>
      <c r="AA213" s="63">
        <f t="shared" si="284"/>
        <v>22.0200728762</v>
      </c>
      <c r="AB213" s="63">
        <f t="shared" si="285"/>
        <v>335</v>
      </c>
      <c r="AC213" s="63">
        <f t="shared" si="286"/>
        <v>10356.36</v>
      </c>
      <c r="AD213" s="63">
        <f t="shared" si="287"/>
        <v>106.9136</v>
      </c>
      <c r="AE213" s="178">
        <v>485</v>
      </c>
    </row>
    <row r="214" spans="1:31" x14ac:dyDescent="0.25">
      <c r="A214" s="167">
        <v>485</v>
      </c>
      <c r="B214" s="167">
        <v>485019</v>
      </c>
      <c r="C214" s="168" t="s">
        <v>3998</v>
      </c>
      <c r="D214" s="168" t="s">
        <v>2447</v>
      </c>
      <c r="E214" s="168" t="s">
        <v>2448</v>
      </c>
      <c r="F214" s="58">
        <v>43116</v>
      </c>
      <c r="G214" s="59">
        <f t="shared" si="280"/>
        <v>2.956164383561644</v>
      </c>
      <c r="H214" s="61">
        <v>30689.997039999998</v>
      </c>
      <c r="I214" s="63">
        <v>31457.25</v>
      </c>
      <c r="J214" s="61">
        <v>31457.246965999999</v>
      </c>
      <c r="K214" s="63">
        <f t="shared" si="288"/>
        <v>31457.246965999999</v>
      </c>
      <c r="L214" s="63">
        <f t="shared" si="272"/>
        <v>15.123676425961538</v>
      </c>
      <c r="M214" s="63">
        <f t="shared" si="273"/>
        <v>1209.894114076923</v>
      </c>
      <c r="N214" s="63">
        <f t="shared" si="282"/>
        <v>0</v>
      </c>
      <c r="O214" s="65"/>
      <c r="P214" s="65"/>
      <c r="Q214" s="63">
        <f t="shared" si="289"/>
        <v>0</v>
      </c>
      <c r="R214" s="63">
        <f t="shared" si="274"/>
        <v>31457.246965999999</v>
      </c>
      <c r="S214" s="65"/>
      <c r="T214" s="65"/>
      <c r="U214" s="65"/>
      <c r="V214" s="63">
        <f t="shared" si="275"/>
        <v>31457.246965999999</v>
      </c>
      <c r="W214" s="63">
        <f t="shared" si="276"/>
        <v>1950.3493118919998</v>
      </c>
      <c r="X214" s="63">
        <f t="shared" si="277"/>
        <v>456.130081007</v>
      </c>
      <c r="Y214" s="63">
        <f t="shared" si="278"/>
        <v>4724.8784942931998</v>
      </c>
      <c r="Z214" s="63">
        <f t="shared" si="279"/>
        <v>50.331595145599998</v>
      </c>
      <c r="AA214" s="63">
        <f t="shared" si="284"/>
        <v>22.0200728762</v>
      </c>
      <c r="AB214" s="63">
        <f t="shared" si="285"/>
        <v>335</v>
      </c>
      <c r="AC214" s="63">
        <f t="shared" si="286"/>
        <v>10356.36</v>
      </c>
      <c r="AD214" s="63">
        <f t="shared" si="287"/>
        <v>106.9136</v>
      </c>
      <c r="AE214" s="178">
        <v>485</v>
      </c>
    </row>
    <row r="215" spans="1:31" x14ac:dyDescent="0.25">
      <c r="A215" s="167">
        <v>485</v>
      </c>
      <c r="B215" s="167">
        <v>485021</v>
      </c>
      <c r="C215" s="168" t="s">
        <v>3999</v>
      </c>
      <c r="D215" s="168" t="s">
        <v>3234</v>
      </c>
      <c r="E215" s="168" t="s">
        <v>3782</v>
      </c>
      <c r="F215" s="58">
        <v>40014</v>
      </c>
      <c r="G215" s="59">
        <f t="shared" si="280"/>
        <v>11.454794520547946</v>
      </c>
      <c r="H215" s="61">
        <v>30689.997039999998</v>
      </c>
      <c r="I215" s="63">
        <v>31457.25</v>
      </c>
      <c r="J215" s="61">
        <v>31457.246965999999</v>
      </c>
      <c r="K215" s="63">
        <f t="shared" si="288"/>
        <v>31457.246965999999</v>
      </c>
      <c r="L215" s="63">
        <f t="shared" si="272"/>
        <v>15.123676425961538</v>
      </c>
      <c r="M215" s="63">
        <f t="shared" si="273"/>
        <v>1209.894114076923</v>
      </c>
      <c r="N215" s="63">
        <f t="shared" si="282"/>
        <v>2760.0657534246575</v>
      </c>
      <c r="O215" s="65"/>
      <c r="P215" s="65"/>
      <c r="Q215" s="63">
        <f t="shared" si="289"/>
        <v>2760.0657534246575</v>
      </c>
      <c r="R215" s="63">
        <f t="shared" si="274"/>
        <v>34217.312719424655</v>
      </c>
      <c r="S215" s="65"/>
      <c r="T215" s="65"/>
      <c r="U215" s="65"/>
      <c r="V215" s="63">
        <f t="shared" si="275"/>
        <v>34217.312719424655</v>
      </c>
      <c r="W215" s="63">
        <f t="shared" si="276"/>
        <v>2121.4733886043286</v>
      </c>
      <c r="X215" s="63">
        <f t="shared" si="277"/>
        <v>496.15103443165754</v>
      </c>
      <c r="Y215" s="63">
        <f t="shared" si="278"/>
        <v>5139.4403704575834</v>
      </c>
      <c r="Z215" s="63">
        <f t="shared" si="279"/>
        <v>54.747700351079452</v>
      </c>
      <c r="AA215" s="63">
        <f t="shared" si="284"/>
        <v>23.95211890359726</v>
      </c>
      <c r="AB215" s="63">
        <f t="shared" si="285"/>
        <v>335</v>
      </c>
      <c r="AC215" s="63">
        <f t="shared" si="286"/>
        <v>10356.36</v>
      </c>
      <c r="AD215" s="63">
        <f t="shared" si="287"/>
        <v>106.9136</v>
      </c>
      <c r="AE215" s="178">
        <v>485</v>
      </c>
    </row>
    <row r="216" spans="1:31" x14ac:dyDescent="0.25">
      <c r="A216" s="167">
        <v>485</v>
      </c>
      <c r="B216" s="167">
        <v>485022</v>
      </c>
      <c r="C216" s="168" t="s">
        <v>4000</v>
      </c>
      <c r="D216" s="168" t="s">
        <v>2755</v>
      </c>
      <c r="E216" s="168" t="s">
        <v>2653</v>
      </c>
      <c r="F216" s="58">
        <v>43423</v>
      </c>
      <c r="G216" s="59">
        <f t="shared" si="280"/>
        <v>2.1150684931506851</v>
      </c>
      <c r="H216" s="61">
        <v>30689.997039999998</v>
      </c>
      <c r="I216" s="63">
        <v>31457.25</v>
      </c>
      <c r="J216" s="61">
        <v>31457.246965999999</v>
      </c>
      <c r="K216" s="63">
        <f t="shared" si="288"/>
        <v>31457.246965999999</v>
      </c>
      <c r="L216" s="63">
        <f t="shared" si="272"/>
        <v>15.123676425961538</v>
      </c>
      <c r="M216" s="63">
        <f t="shared" si="273"/>
        <v>1209.894114076923</v>
      </c>
      <c r="N216" s="63">
        <f t="shared" si="282"/>
        <v>0</v>
      </c>
      <c r="O216" s="65"/>
      <c r="P216" s="65"/>
      <c r="Q216" s="63">
        <f t="shared" si="289"/>
        <v>0</v>
      </c>
      <c r="R216" s="63">
        <f t="shared" si="274"/>
        <v>31457.246965999999</v>
      </c>
      <c r="S216" s="65"/>
      <c r="T216" s="65"/>
      <c r="U216" s="65"/>
      <c r="V216" s="63">
        <f t="shared" si="275"/>
        <v>31457.246965999999</v>
      </c>
      <c r="W216" s="63">
        <f t="shared" si="276"/>
        <v>1950.3493118919998</v>
      </c>
      <c r="X216" s="63">
        <f t="shared" si="277"/>
        <v>456.130081007</v>
      </c>
      <c r="Y216" s="63">
        <f t="shared" si="278"/>
        <v>4724.8784942931998</v>
      </c>
      <c r="Z216" s="63">
        <f t="shared" si="279"/>
        <v>50.331595145599998</v>
      </c>
      <c r="AA216" s="63">
        <f t="shared" si="284"/>
        <v>22.0200728762</v>
      </c>
      <c r="AB216" s="63">
        <f t="shared" si="285"/>
        <v>335</v>
      </c>
      <c r="AC216" s="63">
        <f t="shared" si="286"/>
        <v>10356.36</v>
      </c>
      <c r="AD216" s="63">
        <f t="shared" si="287"/>
        <v>106.9136</v>
      </c>
      <c r="AE216" s="178">
        <v>485</v>
      </c>
    </row>
    <row r="217" spans="1:31" x14ac:dyDescent="0.25">
      <c r="A217" s="167">
        <v>485</v>
      </c>
      <c r="B217" s="167">
        <v>485023</v>
      </c>
      <c r="C217" s="168" t="s">
        <v>4001</v>
      </c>
      <c r="D217" s="168" t="s">
        <v>2757</v>
      </c>
      <c r="E217" s="168" t="s">
        <v>2758</v>
      </c>
      <c r="F217" s="58">
        <v>43467</v>
      </c>
      <c r="G217" s="59">
        <f t="shared" si="280"/>
        <v>1.9945205479452055</v>
      </c>
      <c r="H217" s="61">
        <v>30689.997039999998</v>
      </c>
      <c r="I217" s="400">
        <v>29500</v>
      </c>
      <c r="J217" s="61">
        <v>31457.246965999999</v>
      </c>
      <c r="K217" s="63">
        <f t="shared" si="288"/>
        <v>31457.246965999999</v>
      </c>
      <c r="L217" s="63">
        <f t="shared" si="272"/>
        <v>15.123676425961538</v>
      </c>
      <c r="M217" s="63">
        <f t="shared" si="273"/>
        <v>1209.894114076923</v>
      </c>
      <c r="N217" s="63">
        <f t="shared" si="282"/>
        <v>0</v>
      </c>
      <c r="O217" s="65"/>
      <c r="P217" s="65"/>
      <c r="Q217" s="63">
        <f t="shared" si="289"/>
        <v>0</v>
      </c>
      <c r="R217" s="63">
        <f t="shared" si="274"/>
        <v>31457.246965999999</v>
      </c>
      <c r="S217" s="65"/>
      <c r="T217" s="65"/>
      <c r="U217" s="65"/>
      <c r="V217" s="63">
        <f t="shared" si="275"/>
        <v>31457.246965999999</v>
      </c>
      <c r="W217" s="63">
        <f t="shared" si="276"/>
        <v>1950.3493118919998</v>
      </c>
      <c r="X217" s="63">
        <f t="shared" si="277"/>
        <v>456.130081007</v>
      </c>
      <c r="Y217" s="63">
        <f t="shared" si="278"/>
        <v>4724.8784942931998</v>
      </c>
      <c r="Z217" s="63">
        <f t="shared" si="279"/>
        <v>50.331595145599998</v>
      </c>
      <c r="AA217" s="63">
        <f t="shared" si="284"/>
        <v>22.0200728762</v>
      </c>
      <c r="AB217" s="63">
        <f t="shared" si="285"/>
        <v>335</v>
      </c>
      <c r="AC217" s="63">
        <f t="shared" si="286"/>
        <v>10356.36</v>
      </c>
      <c r="AD217" s="63">
        <f t="shared" si="287"/>
        <v>106.9136</v>
      </c>
      <c r="AE217" s="178">
        <v>485</v>
      </c>
    </row>
    <row r="218" spans="1:31" x14ac:dyDescent="0.25">
      <c r="A218" s="167">
        <v>485</v>
      </c>
      <c r="B218" s="167">
        <v>485040</v>
      </c>
      <c r="C218" s="168" t="s">
        <v>3497</v>
      </c>
      <c r="D218" s="168" t="s">
        <v>2761</v>
      </c>
      <c r="E218" s="168" t="s">
        <v>2762</v>
      </c>
      <c r="F218" s="58">
        <v>39846</v>
      </c>
      <c r="G218" s="59">
        <f t="shared" si="280"/>
        <v>11.915068493150685</v>
      </c>
      <c r="H218" s="61">
        <v>44423.157279999999</v>
      </c>
      <c r="I218" s="63">
        <v>45533.74</v>
      </c>
      <c r="J218" s="61">
        <v>45533.736211999996</v>
      </c>
      <c r="K218" s="63">
        <f t="shared" si="288"/>
        <v>45533.736211999996</v>
      </c>
      <c r="L218" s="63">
        <f t="shared" si="272"/>
        <v>21.891219332692305</v>
      </c>
      <c r="M218" s="63">
        <f t="shared" si="273"/>
        <v>1751.2975466153844</v>
      </c>
      <c r="N218" s="63">
        <f t="shared" si="282"/>
        <v>2881.5780821917806</v>
      </c>
      <c r="O218" s="65"/>
      <c r="P218" s="65"/>
      <c r="Q218" s="63">
        <f t="shared" si="289"/>
        <v>2881.5780821917806</v>
      </c>
      <c r="R218" s="63">
        <f t="shared" si="274"/>
        <v>48415.314294191776</v>
      </c>
      <c r="S218" s="65"/>
      <c r="T218" s="65"/>
      <c r="U218" s="63">
        <v>1500</v>
      </c>
      <c r="V218" s="63">
        <f t="shared" si="275"/>
        <v>49915.314294191776</v>
      </c>
      <c r="W218" s="63">
        <f t="shared" si="276"/>
        <v>3094.7494862398903</v>
      </c>
      <c r="X218" s="63">
        <f t="shared" si="277"/>
        <v>723.77205726578075</v>
      </c>
      <c r="Y218" s="63">
        <f t="shared" si="278"/>
        <v>7497.2802069876043</v>
      </c>
      <c r="Z218" s="63">
        <f t="shared" si="279"/>
        <v>79.864502870706843</v>
      </c>
      <c r="AA218" s="63">
        <f t="shared" si="284"/>
        <v>34.940720005934246</v>
      </c>
      <c r="AB218" s="63">
        <f t="shared" si="285"/>
        <v>335</v>
      </c>
      <c r="AC218" s="63">
        <f t="shared" si="286"/>
        <v>10356.36</v>
      </c>
      <c r="AD218" s="63">
        <f t="shared" si="287"/>
        <v>106.9136</v>
      </c>
      <c r="AE218" s="178">
        <v>485</v>
      </c>
    </row>
    <row r="219" spans="1:31" x14ac:dyDescent="0.25">
      <c r="A219" s="167">
        <v>485</v>
      </c>
      <c r="B219" s="167">
        <v>485041</v>
      </c>
      <c r="C219" s="168" t="s">
        <v>2713</v>
      </c>
      <c r="D219" s="168" t="s">
        <v>3183</v>
      </c>
      <c r="E219" s="168" t="s">
        <v>2796</v>
      </c>
      <c r="F219" s="58">
        <v>41218</v>
      </c>
      <c r="G219" s="59">
        <f t="shared" si="280"/>
        <v>8.1561643835616433</v>
      </c>
      <c r="H219" s="61">
        <v>44423.157279999999</v>
      </c>
      <c r="I219" s="63">
        <v>45533.74</v>
      </c>
      <c r="J219" s="61">
        <v>45533.736211999996</v>
      </c>
      <c r="K219" s="63">
        <f t="shared" si="288"/>
        <v>45533.736211999996</v>
      </c>
      <c r="L219" s="63">
        <f t="shared" si="272"/>
        <v>21.891219332692305</v>
      </c>
      <c r="M219" s="63">
        <f t="shared" si="273"/>
        <v>1751.2975466153844</v>
      </c>
      <c r="N219" s="63">
        <f t="shared" si="282"/>
        <v>1889.2273972602738</v>
      </c>
      <c r="O219" s="65"/>
      <c r="P219" s="69">
        <f>82.24*26</f>
        <v>2138.2399999999998</v>
      </c>
      <c r="Q219" s="63">
        <f t="shared" si="289"/>
        <v>4027.4673972602736</v>
      </c>
      <c r="R219" s="63">
        <f t="shared" si="274"/>
        <v>49561.203609260272</v>
      </c>
      <c r="S219" s="65"/>
      <c r="T219" s="65"/>
      <c r="U219" s="63"/>
      <c r="V219" s="63">
        <f t="shared" si="275"/>
        <v>49561.203609260272</v>
      </c>
      <c r="W219" s="63">
        <f t="shared" si="276"/>
        <v>3072.7946237741367</v>
      </c>
      <c r="X219" s="63">
        <f t="shared" si="277"/>
        <v>718.63745233427403</v>
      </c>
      <c r="Y219" s="63">
        <f t="shared" si="278"/>
        <v>7444.0927821108926</v>
      </c>
      <c r="Z219" s="63">
        <f t="shared" si="279"/>
        <v>79.297925774816434</v>
      </c>
      <c r="AA219" s="63">
        <f t="shared" si="284"/>
        <v>34.692842526482188</v>
      </c>
      <c r="AB219" s="63">
        <f t="shared" si="285"/>
        <v>335</v>
      </c>
      <c r="AC219" s="63">
        <f t="shared" si="286"/>
        <v>10356.36</v>
      </c>
      <c r="AD219" s="63">
        <f t="shared" si="287"/>
        <v>106.9136</v>
      </c>
      <c r="AE219" s="178">
        <v>485</v>
      </c>
    </row>
    <row r="220" spans="1:31" x14ac:dyDescent="0.25">
      <c r="A220" s="167">
        <v>485</v>
      </c>
      <c r="B220" s="247"/>
      <c r="C220" s="168" t="s">
        <v>2766</v>
      </c>
      <c r="D220" s="247" t="s">
        <v>4002</v>
      </c>
      <c r="E220" s="247" t="s">
        <v>3877</v>
      </c>
      <c r="F220" s="120">
        <v>42758</v>
      </c>
      <c r="G220" s="167" t="s">
        <v>2422</v>
      </c>
      <c r="H220" s="269">
        <v>7500</v>
      </c>
      <c r="I220" s="194"/>
      <c r="J220" s="269">
        <v>7500</v>
      </c>
      <c r="K220" s="171">
        <v>7500</v>
      </c>
      <c r="L220" s="320"/>
      <c r="M220" s="320"/>
      <c r="N220" s="220" t="s">
        <v>27</v>
      </c>
      <c r="O220" s="320"/>
      <c r="P220" s="320"/>
      <c r="Q220" s="220">
        <v>0</v>
      </c>
      <c r="R220" s="172">
        <f t="shared" si="274"/>
        <v>7500</v>
      </c>
      <c r="S220" s="314"/>
      <c r="T220" s="314"/>
      <c r="U220" s="314"/>
      <c r="V220" s="172">
        <f t="shared" si="275"/>
        <v>7500</v>
      </c>
      <c r="W220" s="172">
        <f t="shared" si="276"/>
        <v>465</v>
      </c>
      <c r="X220" s="172">
        <f t="shared" si="277"/>
        <v>108.75</v>
      </c>
      <c r="Y220" s="172">
        <f t="shared" si="278"/>
        <v>1126.5</v>
      </c>
      <c r="Z220" s="172">
        <f t="shared" si="279"/>
        <v>12</v>
      </c>
      <c r="AA220" s="172">
        <f t="shared" si="284"/>
        <v>5.25</v>
      </c>
      <c r="AB220" s="172" t="s">
        <v>2422</v>
      </c>
      <c r="AC220" s="172" t="s">
        <v>2422</v>
      </c>
      <c r="AD220" s="172" t="s">
        <v>2422</v>
      </c>
      <c r="AE220" s="178">
        <v>485</v>
      </c>
    </row>
    <row r="221" spans="1:31" x14ac:dyDescent="0.25">
      <c r="A221" s="167">
        <v>485</v>
      </c>
      <c r="B221" s="247"/>
      <c r="C221" s="247"/>
      <c r="D221" s="247"/>
      <c r="E221" s="247"/>
      <c r="F221" s="247"/>
      <c r="G221" s="247"/>
      <c r="H221" s="223">
        <v>850795.39320000028</v>
      </c>
      <c r="I221" s="401"/>
      <c r="J221" s="223">
        <v>944142.94077999983</v>
      </c>
      <c r="K221" s="223">
        <f t="shared" ref="K221:AD221" si="290">SUM(K199:K220)</f>
        <v>940642.93802999973</v>
      </c>
      <c r="L221" s="223">
        <f t="shared" si="290"/>
        <v>448.62641251442312</v>
      </c>
      <c r="M221" s="223">
        <f t="shared" si="290"/>
        <v>35890.113001153855</v>
      </c>
      <c r="N221" s="223">
        <f t="shared" si="290"/>
        <v>17788.536986301369</v>
      </c>
      <c r="O221" s="223">
        <f t="shared" si="290"/>
        <v>14280.110000000002</v>
      </c>
      <c r="P221" s="223">
        <f t="shared" si="290"/>
        <v>2138.2399999999998</v>
      </c>
      <c r="Q221" s="223">
        <f t="shared" si="290"/>
        <v>34206.886986301368</v>
      </c>
      <c r="R221" s="223">
        <f t="shared" si="290"/>
        <v>974849.82501630113</v>
      </c>
      <c r="S221" s="223">
        <f t="shared" si="290"/>
        <v>0</v>
      </c>
      <c r="T221" s="223">
        <f t="shared" si="290"/>
        <v>0</v>
      </c>
      <c r="U221" s="223">
        <f t="shared" si="290"/>
        <v>1500</v>
      </c>
      <c r="V221" s="223">
        <f t="shared" si="290"/>
        <v>976349.82501630113</v>
      </c>
      <c r="W221" s="223">
        <f t="shared" si="290"/>
        <v>60533.689151010687</v>
      </c>
      <c r="X221" s="223">
        <f t="shared" si="290"/>
        <v>14157.072462736374</v>
      </c>
      <c r="Y221" s="223">
        <f t="shared" si="290"/>
        <v>146647.74371744844</v>
      </c>
      <c r="Z221" s="223">
        <f t="shared" si="290"/>
        <v>1562.1597200260821</v>
      </c>
      <c r="AA221" s="223">
        <f t="shared" si="290"/>
        <v>671.80561841421093</v>
      </c>
      <c r="AB221" s="223">
        <f t="shared" si="290"/>
        <v>5695</v>
      </c>
      <c r="AC221" s="223">
        <f t="shared" si="290"/>
        <v>176058.11999999994</v>
      </c>
      <c r="AD221" s="223">
        <f t="shared" si="290"/>
        <v>1817.5312000000006</v>
      </c>
      <c r="AE221" s="178">
        <v>485</v>
      </c>
    </row>
    <row r="222" spans="1:31" x14ac:dyDescent="0.25">
      <c r="A222" s="247"/>
      <c r="B222" s="247"/>
      <c r="C222" s="247"/>
      <c r="D222" s="247"/>
      <c r="E222" s="247"/>
      <c r="F222" s="247"/>
      <c r="G222" s="247"/>
      <c r="H222" s="178">
        <v>823339.28296000022</v>
      </c>
      <c r="I222" s="169"/>
      <c r="J222" s="178">
        <v>916515.42778399982</v>
      </c>
      <c r="K222" s="69">
        <f>SUM(K203:K219)</f>
        <v>916515.42503399984</v>
      </c>
      <c r="L222" s="247"/>
      <c r="M222" s="247"/>
      <c r="N222" s="247"/>
      <c r="O222" s="247"/>
      <c r="P222" s="247"/>
      <c r="Q222" s="247"/>
      <c r="R222" s="65"/>
      <c r="S222" s="65"/>
      <c r="T222" s="65"/>
      <c r="U222" s="65"/>
      <c r="V222" s="65"/>
      <c r="W222" s="63">
        <f>W221+X221</f>
        <v>74690.761613747061</v>
      </c>
      <c r="X222" s="65"/>
      <c r="Y222" s="65"/>
      <c r="Z222" s="65"/>
      <c r="AA222" s="65"/>
      <c r="AB222" s="65"/>
      <c r="AC222" s="63">
        <f>SUM(AC221:AD221)</f>
        <v>177875.65119999993</v>
      </c>
      <c r="AD222" s="65"/>
      <c r="AE222" s="247"/>
    </row>
    <row r="223" spans="1:31" x14ac:dyDescent="0.25">
      <c r="A223" s="247"/>
      <c r="B223" s="247"/>
      <c r="C223" s="247"/>
      <c r="D223" s="247"/>
      <c r="E223" s="247"/>
      <c r="F223" s="247"/>
      <c r="G223" s="247"/>
      <c r="H223" s="247"/>
      <c r="I223" s="138"/>
      <c r="J223" s="247"/>
      <c r="K223" s="247"/>
      <c r="L223" s="247"/>
      <c r="M223" s="247"/>
      <c r="N223" s="247"/>
      <c r="O223" s="247"/>
      <c r="P223" s="247"/>
      <c r="Q223" s="247"/>
      <c r="R223" s="65"/>
      <c r="S223" s="65"/>
      <c r="T223" s="65"/>
      <c r="U223" s="65"/>
      <c r="V223" s="65"/>
      <c r="W223" s="65"/>
      <c r="X223" s="65"/>
      <c r="Y223" s="65"/>
      <c r="Z223" s="65"/>
      <c r="AA223" s="65"/>
      <c r="AB223" s="65"/>
      <c r="AC223" s="65"/>
      <c r="AD223" s="65"/>
      <c r="AE223" s="247"/>
    </row>
    <row r="224" spans="1:31" x14ac:dyDescent="0.25">
      <c r="A224" s="168"/>
      <c r="B224" s="168"/>
      <c r="C224" s="168"/>
      <c r="D224" s="168"/>
      <c r="E224" s="168"/>
      <c r="F224" s="80"/>
      <c r="G224" s="59"/>
      <c r="H224" s="61"/>
      <c r="I224" s="169"/>
      <c r="J224" s="61"/>
      <c r="K224" s="63"/>
      <c r="L224" s="63"/>
      <c r="M224" s="63"/>
      <c r="N224" s="65"/>
      <c r="O224" s="65"/>
      <c r="P224" s="63"/>
      <c r="Q224" s="65"/>
      <c r="R224" s="65"/>
      <c r="S224" s="65"/>
      <c r="T224" s="65"/>
      <c r="U224" s="65"/>
      <c r="V224" s="65"/>
      <c r="W224" s="63"/>
      <c r="X224" s="63"/>
      <c r="Y224" s="63"/>
      <c r="Z224" s="63"/>
      <c r="AA224" s="63"/>
      <c r="AB224" s="63"/>
      <c r="AC224" s="63"/>
      <c r="AD224" s="63"/>
      <c r="AE224" s="247"/>
    </row>
    <row r="225" spans="1:31" x14ac:dyDescent="0.25">
      <c r="A225" s="168"/>
      <c r="B225" s="168"/>
      <c r="C225" s="168"/>
      <c r="D225" s="168"/>
      <c r="E225" s="168"/>
      <c r="F225" s="80"/>
      <c r="G225" s="59"/>
      <c r="H225" s="61"/>
      <c r="I225" s="169"/>
      <c r="J225" s="61"/>
      <c r="K225" s="63"/>
      <c r="L225" s="63"/>
      <c r="M225" s="63"/>
      <c r="N225" s="65"/>
      <c r="O225" s="65"/>
      <c r="P225" s="63"/>
      <c r="Q225" s="65"/>
      <c r="R225" s="65"/>
      <c r="S225" s="65"/>
      <c r="T225" s="65"/>
      <c r="U225" s="65"/>
      <c r="V225" s="65"/>
      <c r="W225" s="63"/>
      <c r="X225" s="63"/>
      <c r="Y225" s="63"/>
      <c r="Z225" s="63"/>
      <c r="AA225" s="63"/>
      <c r="AB225" s="63"/>
      <c r="AC225" s="63"/>
      <c r="AD225" s="63"/>
      <c r="AE225" s="247"/>
    </row>
    <row r="226" spans="1:31" x14ac:dyDescent="0.25">
      <c r="A226" s="167">
        <v>495</v>
      </c>
      <c r="B226" s="167">
        <v>495001</v>
      </c>
      <c r="C226" s="168" t="s">
        <v>1024</v>
      </c>
      <c r="D226" s="185" t="s">
        <v>2768</v>
      </c>
      <c r="E226" s="185" t="s">
        <v>2769</v>
      </c>
      <c r="F226" s="58">
        <v>38897</v>
      </c>
      <c r="G226" s="59">
        <f t="shared" ref="G226:G234" si="291">(DATE(2020,12,30)-(F226))/365</f>
        <v>14.515068493150684</v>
      </c>
      <c r="H226" s="61">
        <v>123166.41863999999</v>
      </c>
      <c r="I226" s="63">
        <v>126245.58</v>
      </c>
      <c r="J226" s="61">
        <v>126245.57910599999</v>
      </c>
      <c r="K226" s="63">
        <f t="shared" ref="K226:K227" si="292">SUM(((J226*$K$3)+$K$2)+J226)</f>
        <v>126245.57910599999</v>
      </c>
      <c r="L226" s="63">
        <f t="shared" ref="L226:L234" si="293">SUM(K226/2080)</f>
        <v>60.694989954807689</v>
      </c>
      <c r="M226" s="63">
        <f t="shared" ref="M226:M234" si="294">SUM(K226/26)</f>
        <v>4855.5991963846154</v>
      </c>
      <c r="N226" s="63">
        <f t="shared" ref="N226:N234" si="295">IF(G226&lt;4,0,(G226-1)*$N$7)</f>
        <v>3567.9780821917807</v>
      </c>
      <c r="O226" s="65"/>
      <c r="P226" s="63">
        <v>1238.9000000000001</v>
      </c>
      <c r="Q226" s="63">
        <f t="shared" ref="Q226:Q234" si="296">IF(N226+P226&gt;5000,5000,N226+P226)</f>
        <v>4806.8780821917808</v>
      </c>
      <c r="R226" s="63">
        <f t="shared" ref="R226:R236" si="297">Q226+K226</f>
        <v>131052.45718819177</v>
      </c>
      <c r="S226" s="65"/>
      <c r="T226" s="65"/>
      <c r="U226" s="65"/>
      <c r="V226" s="63">
        <f t="shared" ref="V226:V236" si="298">SUM(R226:U226)</f>
        <v>131052.45718819177</v>
      </c>
      <c r="W226" s="63">
        <f t="shared" ref="W226:W236" si="299">SUM(V226*$W$7)</f>
        <v>8125.2523456678891</v>
      </c>
      <c r="X226" s="63">
        <f t="shared" ref="X226:X236" si="300">SUM(V226*$X$7)</f>
        <v>1900.2606292287808</v>
      </c>
      <c r="Y226" s="63">
        <f t="shared" ref="Y226:Y236" si="301">SUM(V226*$Y$7)</f>
        <v>19684.079069666404</v>
      </c>
      <c r="Z226" s="63">
        <f t="shared" ref="Z226:Z236" si="302">SUM(V226*$Z$7)</f>
        <v>209.68393150110683</v>
      </c>
      <c r="AA226" s="63">
        <f t="shared" ref="AA226:AA236" si="303">SUM(V226*$AA$7)</f>
        <v>91.736720031734237</v>
      </c>
      <c r="AB226" s="63">
        <f t="shared" ref="AB226:AB234" si="304">SUM($AB$7)</f>
        <v>335</v>
      </c>
      <c r="AC226" s="63">
        <f t="shared" ref="AC226:AC234" si="305">$AC$7</f>
        <v>10356.36</v>
      </c>
      <c r="AD226" s="63">
        <f t="shared" ref="AD226:AD234" si="306">SUM(AB226+AC226)*$AD$7</f>
        <v>106.9136</v>
      </c>
      <c r="AE226" s="178">
        <v>495</v>
      </c>
    </row>
    <row r="227" spans="1:31" x14ac:dyDescent="0.25">
      <c r="A227" s="167">
        <v>495</v>
      </c>
      <c r="B227" s="167">
        <v>495002</v>
      </c>
      <c r="C227" s="168" t="s">
        <v>2771</v>
      </c>
      <c r="D227" s="168" t="s">
        <v>2772</v>
      </c>
      <c r="E227" s="168" t="s">
        <v>2773</v>
      </c>
      <c r="F227" s="58">
        <v>42086</v>
      </c>
      <c r="G227" s="59">
        <f t="shared" si="291"/>
        <v>5.7780821917808218</v>
      </c>
      <c r="H227" s="61">
        <v>60913.873599999999</v>
      </c>
      <c r="I227" s="63">
        <v>62436.72</v>
      </c>
      <c r="J227" s="61">
        <v>62436.720439999997</v>
      </c>
      <c r="K227" s="63">
        <f t="shared" si="292"/>
        <v>62436.720439999997</v>
      </c>
      <c r="L227" s="63">
        <f t="shared" si="293"/>
        <v>30.017654057692308</v>
      </c>
      <c r="M227" s="63">
        <f t="shared" si="294"/>
        <v>2401.4123246153845</v>
      </c>
      <c r="N227" s="63">
        <f t="shared" si="295"/>
        <v>1261.4136986301369</v>
      </c>
      <c r="O227" s="65"/>
      <c r="P227" s="65"/>
      <c r="Q227" s="63">
        <f t="shared" si="296"/>
        <v>1261.4136986301369</v>
      </c>
      <c r="R227" s="63">
        <f t="shared" si="297"/>
        <v>63698.134138630136</v>
      </c>
      <c r="S227" s="65"/>
      <c r="T227" s="65"/>
      <c r="U227" s="65"/>
      <c r="V227" s="63">
        <f t="shared" si="298"/>
        <v>63698.134138630136</v>
      </c>
      <c r="W227" s="63">
        <f t="shared" si="299"/>
        <v>3949.2843165950685</v>
      </c>
      <c r="X227" s="63">
        <f t="shared" si="300"/>
        <v>923.62294501013696</v>
      </c>
      <c r="Y227" s="63">
        <f t="shared" si="301"/>
        <v>9567.4597476222461</v>
      </c>
      <c r="Z227" s="63">
        <f t="shared" si="302"/>
        <v>101.91701462180822</v>
      </c>
      <c r="AA227" s="63">
        <f t="shared" si="303"/>
        <v>44.588693897041097</v>
      </c>
      <c r="AB227" s="63">
        <f t="shared" si="304"/>
        <v>335</v>
      </c>
      <c r="AC227" s="63">
        <f t="shared" si="305"/>
        <v>10356.36</v>
      </c>
      <c r="AD227" s="63">
        <f t="shared" si="306"/>
        <v>106.9136</v>
      </c>
      <c r="AE227" s="178">
        <v>495</v>
      </c>
    </row>
    <row r="228" spans="1:31" x14ac:dyDescent="0.25">
      <c r="A228" s="167">
        <v>495</v>
      </c>
      <c r="B228" s="167">
        <v>495003</v>
      </c>
      <c r="C228" s="168" t="s">
        <v>4003</v>
      </c>
      <c r="D228" s="168" t="s">
        <v>2785</v>
      </c>
      <c r="E228" s="168" t="s">
        <v>2661</v>
      </c>
      <c r="F228" s="58">
        <v>43102</v>
      </c>
      <c r="G228" s="59">
        <f t="shared" si="291"/>
        <v>2.9945205479452053</v>
      </c>
      <c r="H228" s="61">
        <v>39544.082240000003</v>
      </c>
      <c r="I228" s="63">
        <v>40532.699999999997</v>
      </c>
      <c r="J228" s="61">
        <v>40533.904296000008</v>
      </c>
      <c r="K228" s="63">
        <v>40533.9</v>
      </c>
      <c r="L228" s="63">
        <f t="shared" si="293"/>
        <v>19.487451923076925</v>
      </c>
      <c r="M228" s="63">
        <f t="shared" si="294"/>
        <v>1558.9961538461539</v>
      </c>
      <c r="N228" s="63">
        <f t="shared" si="295"/>
        <v>0</v>
      </c>
      <c r="O228" s="65"/>
      <c r="P228" s="65"/>
      <c r="Q228" s="63">
        <f t="shared" si="296"/>
        <v>0</v>
      </c>
      <c r="R228" s="63">
        <f t="shared" si="297"/>
        <v>40533.9</v>
      </c>
      <c r="S228" s="65"/>
      <c r="T228" s="65"/>
      <c r="U228" s="65"/>
      <c r="V228" s="63">
        <f t="shared" si="298"/>
        <v>40533.9</v>
      </c>
      <c r="W228" s="63">
        <f t="shared" si="299"/>
        <v>2513.1017999999999</v>
      </c>
      <c r="X228" s="63">
        <f t="shared" si="300"/>
        <v>587.74155000000007</v>
      </c>
      <c r="Y228" s="63">
        <f t="shared" si="301"/>
        <v>6088.1917800000001</v>
      </c>
      <c r="Z228" s="63">
        <f t="shared" si="302"/>
        <v>64.854240000000004</v>
      </c>
      <c r="AA228" s="63">
        <f t="shared" si="303"/>
        <v>28.373730000000002</v>
      </c>
      <c r="AB228" s="63">
        <f t="shared" si="304"/>
        <v>335</v>
      </c>
      <c r="AC228" s="63">
        <f t="shared" si="305"/>
        <v>10356.36</v>
      </c>
      <c r="AD228" s="63">
        <f t="shared" si="306"/>
        <v>106.9136</v>
      </c>
      <c r="AE228" s="178">
        <v>495</v>
      </c>
    </row>
    <row r="229" spans="1:31" x14ac:dyDescent="0.25">
      <c r="A229" s="167">
        <v>495</v>
      </c>
      <c r="B229" s="167">
        <v>495004</v>
      </c>
      <c r="C229" s="168" t="s">
        <v>4004</v>
      </c>
      <c r="D229" s="168" t="s">
        <v>2791</v>
      </c>
      <c r="E229" s="168" t="s">
        <v>2792</v>
      </c>
      <c r="F229" s="58">
        <v>38404</v>
      </c>
      <c r="G229" s="59">
        <f t="shared" si="291"/>
        <v>15.865753424657534</v>
      </c>
      <c r="H229" s="61">
        <v>43950.705999999998</v>
      </c>
      <c r="I229" s="63">
        <v>45049.54</v>
      </c>
      <c r="J229" s="61">
        <v>45049.54365</v>
      </c>
      <c r="K229" s="63">
        <v>45049.54</v>
      </c>
      <c r="L229" s="63">
        <f t="shared" si="293"/>
        <v>21.658432692307692</v>
      </c>
      <c r="M229" s="63">
        <f t="shared" si="294"/>
        <v>1732.6746153846154</v>
      </c>
      <c r="N229" s="63">
        <f t="shared" si="295"/>
        <v>3924.5589041095891</v>
      </c>
      <c r="O229" s="65"/>
      <c r="P229" s="65"/>
      <c r="Q229" s="63">
        <f t="shared" si="296"/>
        <v>3924.5589041095891</v>
      </c>
      <c r="R229" s="63">
        <f t="shared" si="297"/>
        <v>48974.098904109589</v>
      </c>
      <c r="S229" s="65"/>
      <c r="T229" s="65"/>
      <c r="U229" s="65"/>
      <c r="V229" s="63">
        <f t="shared" si="298"/>
        <v>48974.098904109589</v>
      </c>
      <c r="W229" s="63">
        <f t="shared" si="299"/>
        <v>3036.3941320547947</v>
      </c>
      <c r="X229" s="63">
        <f t="shared" si="300"/>
        <v>710.12443410958906</v>
      </c>
      <c r="Y229" s="63">
        <f t="shared" si="301"/>
        <v>7355.9096553972604</v>
      </c>
      <c r="Z229" s="63">
        <f t="shared" si="302"/>
        <v>78.358558246575342</v>
      </c>
      <c r="AA229" s="63">
        <f t="shared" si="303"/>
        <v>34.281869232876709</v>
      </c>
      <c r="AB229" s="63">
        <f t="shared" si="304"/>
        <v>335</v>
      </c>
      <c r="AC229" s="63">
        <f t="shared" si="305"/>
        <v>10356.36</v>
      </c>
      <c r="AD229" s="63">
        <f t="shared" si="306"/>
        <v>106.9136</v>
      </c>
      <c r="AE229" s="178">
        <v>495</v>
      </c>
    </row>
    <row r="230" spans="1:31" x14ac:dyDescent="0.25">
      <c r="A230" s="167">
        <v>495</v>
      </c>
      <c r="B230" s="167">
        <v>495005</v>
      </c>
      <c r="C230" s="168" t="s">
        <v>4005</v>
      </c>
      <c r="D230" s="185" t="s">
        <v>4006</v>
      </c>
      <c r="E230" s="185" t="s">
        <v>4007</v>
      </c>
      <c r="F230" s="87">
        <v>35045</v>
      </c>
      <c r="G230" s="59">
        <f t="shared" si="291"/>
        <v>25.068493150684933</v>
      </c>
      <c r="H230" s="61">
        <v>43950.705999999998</v>
      </c>
      <c r="I230" s="63">
        <v>45049.54</v>
      </c>
      <c r="J230" s="61">
        <v>45049.54365</v>
      </c>
      <c r="K230" s="63">
        <v>45049.54</v>
      </c>
      <c r="L230" s="63">
        <f t="shared" si="293"/>
        <v>21.658432692307692</v>
      </c>
      <c r="M230" s="63">
        <f t="shared" si="294"/>
        <v>1732.6746153846154</v>
      </c>
      <c r="N230" s="63">
        <f t="shared" si="295"/>
        <v>6354.0821917808225</v>
      </c>
      <c r="O230" s="65"/>
      <c r="P230" s="65"/>
      <c r="Q230" s="63">
        <f t="shared" si="296"/>
        <v>5000</v>
      </c>
      <c r="R230" s="63">
        <f t="shared" si="297"/>
        <v>50049.54</v>
      </c>
      <c r="S230" s="65"/>
      <c r="T230" s="65"/>
      <c r="U230" s="65"/>
      <c r="V230" s="63">
        <f t="shared" si="298"/>
        <v>50049.54</v>
      </c>
      <c r="W230" s="63">
        <f t="shared" si="299"/>
        <v>3103.0714800000001</v>
      </c>
      <c r="X230" s="63">
        <f t="shared" si="300"/>
        <v>725.71833000000004</v>
      </c>
      <c r="Y230" s="63">
        <f t="shared" si="301"/>
        <v>7517.4409080000005</v>
      </c>
      <c r="Z230" s="63">
        <f t="shared" si="302"/>
        <v>80.079264000000009</v>
      </c>
      <c r="AA230" s="63">
        <f t="shared" si="303"/>
        <v>35.034678</v>
      </c>
      <c r="AB230" s="63">
        <f t="shared" si="304"/>
        <v>335</v>
      </c>
      <c r="AC230" s="63">
        <f t="shared" si="305"/>
        <v>10356.36</v>
      </c>
      <c r="AD230" s="63">
        <f t="shared" si="306"/>
        <v>106.9136</v>
      </c>
      <c r="AE230" s="178">
        <v>495</v>
      </c>
    </row>
    <row r="231" spans="1:31" x14ac:dyDescent="0.25">
      <c r="A231" s="167">
        <v>495</v>
      </c>
      <c r="B231" s="167">
        <v>495006</v>
      </c>
      <c r="C231" s="168" t="s">
        <v>4008</v>
      </c>
      <c r="D231" s="168" t="s">
        <v>2787</v>
      </c>
      <c r="E231" s="168" t="s">
        <v>2788</v>
      </c>
      <c r="F231" s="58">
        <v>42086</v>
      </c>
      <c r="G231" s="59">
        <f t="shared" si="291"/>
        <v>5.7780821917808218</v>
      </c>
      <c r="H231" s="61">
        <v>34508.775280000002</v>
      </c>
      <c r="I231" s="57">
        <v>35371.49</v>
      </c>
      <c r="J231" s="61">
        <v>35371.494662000005</v>
      </c>
      <c r="K231" s="63">
        <f>SUM(((J231*$K$3)+$K$2)+J231)</f>
        <v>35371.494662000005</v>
      </c>
      <c r="L231" s="63">
        <f t="shared" si="293"/>
        <v>17.005526279807693</v>
      </c>
      <c r="M231" s="63">
        <f t="shared" si="294"/>
        <v>1360.4421023846155</v>
      </c>
      <c r="N231" s="63">
        <f t="shared" si="295"/>
        <v>1261.4136986301369</v>
      </c>
      <c r="O231" s="65"/>
      <c r="P231" s="65"/>
      <c r="Q231" s="63">
        <f t="shared" si="296"/>
        <v>1261.4136986301369</v>
      </c>
      <c r="R231" s="63">
        <f t="shared" si="297"/>
        <v>36632.908360630143</v>
      </c>
      <c r="S231" s="65"/>
      <c r="T231" s="65"/>
      <c r="U231" s="65"/>
      <c r="V231" s="63">
        <f t="shared" si="298"/>
        <v>36632.908360630143</v>
      </c>
      <c r="W231" s="63">
        <f t="shared" si="299"/>
        <v>2271.2403183590686</v>
      </c>
      <c r="X231" s="63">
        <f t="shared" si="300"/>
        <v>531.17717122913712</v>
      </c>
      <c r="Y231" s="63">
        <f t="shared" si="301"/>
        <v>5502.2628357666472</v>
      </c>
      <c r="Z231" s="63">
        <f t="shared" si="302"/>
        <v>58.612653377008229</v>
      </c>
      <c r="AA231" s="63">
        <f t="shared" si="303"/>
        <v>25.643035852441098</v>
      </c>
      <c r="AB231" s="63">
        <f t="shared" si="304"/>
        <v>335</v>
      </c>
      <c r="AC231" s="63">
        <f t="shared" si="305"/>
        <v>10356.36</v>
      </c>
      <c r="AD231" s="63">
        <f t="shared" si="306"/>
        <v>106.9136</v>
      </c>
      <c r="AE231" s="178">
        <v>495</v>
      </c>
    </row>
    <row r="232" spans="1:31" x14ac:dyDescent="0.25">
      <c r="A232" s="167">
        <v>495</v>
      </c>
      <c r="B232" s="167">
        <v>495007</v>
      </c>
      <c r="C232" s="168" t="s">
        <v>4009</v>
      </c>
      <c r="D232" s="181" t="s">
        <v>2782</v>
      </c>
      <c r="E232" s="181" t="s">
        <v>2783</v>
      </c>
      <c r="F232" s="87">
        <v>42772</v>
      </c>
      <c r="G232" s="59">
        <f t="shared" si="291"/>
        <v>3.8986301369863012</v>
      </c>
      <c r="H232" s="61">
        <v>43950.705999999998</v>
      </c>
      <c r="I232" s="400">
        <v>40533.9</v>
      </c>
      <c r="J232" s="61">
        <v>45049.54365</v>
      </c>
      <c r="K232" s="63">
        <v>45049.54</v>
      </c>
      <c r="L232" s="63">
        <f t="shared" si="293"/>
        <v>21.658432692307692</v>
      </c>
      <c r="M232" s="63">
        <f t="shared" si="294"/>
        <v>1732.6746153846154</v>
      </c>
      <c r="N232" s="63">
        <f t="shared" si="295"/>
        <v>0</v>
      </c>
      <c r="O232" s="65"/>
      <c r="P232" s="65"/>
      <c r="Q232" s="63">
        <f t="shared" si="296"/>
        <v>0</v>
      </c>
      <c r="R232" s="63">
        <f t="shared" si="297"/>
        <v>45049.54</v>
      </c>
      <c r="S232" s="65"/>
      <c r="T232" s="65"/>
      <c r="U232" s="65"/>
      <c r="V232" s="63">
        <f t="shared" si="298"/>
        <v>45049.54</v>
      </c>
      <c r="W232" s="63">
        <f t="shared" si="299"/>
        <v>2793.0714800000001</v>
      </c>
      <c r="X232" s="63">
        <f t="shared" si="300"/>
        <v>653.21833000000004</v>
      </c>
      <c r="Y232" s="63">
        <f t="shared" si="301"/>
        <v>6766.4409080000005</v>
      </c>
      <c r="Z232" s="63">
        <f t="shared" si="302"/>
        <v>72.079264000000009</v>
      </c>
      <c r="AA232" s="63">
        <f t="shared" si="303"/>
        <v>31.534678</v>
      </c>
      <c r="AB232" s="63">
        <f t="shared" si="304"/>
        <v>335</v>
      </c>
      <c r="AC232" s="63">
        <f t="shared" si="305"/>
        <v>10356.36</v>
      </c>
      <c r="AD232" s="63">
        <f t="shared" si="306"/>
        <v>106.9136</v>
      </c>
      <c r="AE232" s="178">
        <v>495</v>
      </c>
    </row>
    <row r="233" spans="1:31" x14ac:dyDescent="0.25">
      <c r="A233" s="167">
        <v>495</v>
      </c>
      <c r="B233" s="167">
        <v>495008</v>
      </c>
      <c r="C233" s="168" t="s">
        <v>4010</v>
      </c>
      <c r="D233" s="168" t="s">
        <v>3158</v>
      </c>
      <c r="E233" s="168" t="s">
        <v>2442</v>
      </c>
      <c r="F233" s="58">
        <v>43584</v>
      </c>
      <c r="G233" s="59">
        <f t="shared" si="291"/>
        <v>1.6739726027397259</v>
      </c>
      <c r="H233" s="61">
        <v>34892.173040000001</v>
      </c>
      <c r="I233" s="400">
        <v>32800.04</v>
      </c>
      <c r="J233" s="61">
        <v>35764.477365999999</v>
      </c>
      <c r="K233" s="63">
        <f>SUM(((J233*$K$3)+$K$2)+J233)</f>
        <v>35764.477365999999</v>
      </c>
      <c r="L233" s="63">
        <f t="shared" si="293"/>
        <v>17.194460272115386</v>
      </c>
      <c r="M233" s="63">
        <f t="shared" si="294"/>
        <v>1375.5568217692307</v>
      </c>
      <c r="N233" s="63">
        <f t="shared" si="295"/>
        <v>0</v>
      </c>
      <c r="O233" s="65"/>
      <c r="P233" s="65"/>
      <c r="Q233" s="63">
        <f t="shared" si="296"/>
        <v>0</v>
      </c>
      <c r="R233" s="63">
        <f t="shared" si="297"/>
        <v>35764.477365999999</v>
      </c>
      <c r="S233" s="65"/>
      <c r="T233" s="65"/>
      <c r="U233" s="65"/>
      <c r="V233" s="63">
        <f t="shared" si="298"/>
        <v>35764.477365999999</v>
      </c>
      <c r="W233" s="63">
        <f t="shared" si="299"/>
        <v>2217.3975966919998</v>
      </c>
      <c r="X233" s="63">
        <f t="shared" si="300"/>
        <v>518.584921807</v>
      </c>
      <c r="Y233" s="63">
        <f t="shared" si="301"/>
        <v>5371.8245003732</v>
      </c>
      <c r="Z233" s="63">
        <f t="shared" si="302"/>
        <v>57.223163785600001</v>
      </c>
      <c r="AA233" s="63">
        <f t="shared" si="303"/>
        <v>25.035134156199998</v>
      </c>
      <c r="AB233" s="63">
        <f t="shared" si="304"/>
        <v>335</v>
      </c>
      <c r="AC233" s="63">
        <f t="shared" si="305"/>
        <v>10356.36</v>
      </c>
      <c r="AD233" s="63">
        <f t="shared" si="306"/>
        <v>106.9136</v>
      </c>
      <c r="AE233" s="178">
        <v>495</v>
      </c>
    </row>
    <row r="234" spans="1:31" x14ac:dyDescent="0.25">
      <c r="A234" s="167">
        <v>495</v>
      </c>
      <c r="B234" s="167">
        <v>495009</v>
      </c>
      <c r="C234" s="168" t="s">
        <v>4011</v>
      </c>
      <c r="D234" s="168" t="s">
        <v>2733</v>
      </c>
      <c r="E234" s="168" t="s">
        <v>2780</v>
      </c>
      <c r="F234" s="58">
        <v>36955</v>
      </c>
      <c r="G234" s="59">
        <f t="shared" si="291"/>
        <v>19.835616438356166</v>
      </c>
      <c r="H234" s="61">
        <v>34882.531199999998</v>
      </c>
      <c r="I234" s="63">
        <v>37542.33</v>
      </c>
      <c r="J234" s="61">
        <v>37542.326500000003</v>
      </c>
      <c r="K234" s="63">
        <v>37542.33</v>
      </c>
      <c r="L234" s="63">
        <f t="shared" si="293"/>
        <v>18.049197115384615</v>
      </c>
      <c r="M234" s="63">
        <f t="shared" si="294"/>
        <v>1443.9357692307692</v>
      </c>
      <c r="N234" s="63">
        <f t="shared" si="295"/>
        <v>4972.6027397260277</v>
      </c>
      <c r="O234" s="65"/>
      <c r="P234" s="65"/>
      <c r="Q234" s="63">
        <f t="shared" si="296"/>
        <v>4972.6027397260277</v>
      </c>
      <c r="R234" s="63">
        <f t="shared" si="297"/>
        <v>42514.932739726028</v>
      </c>
      <c r="S234" s="65"/>
      <c r="T234" s="65"/>
      <c r="U234" s="65"/>
      <c r="V234" s="63">
        <f t="shared" si="298"/>
        <v>42514.932739726028</v>
      </c>
      <c r="W234" s="63">
        <f t="shared" si="299"/>
        <v>2635.9258298630139</v>
      </c>
      <c r="X234" s="63">
        <f t="shared" si="300"/>
        <v>616.46652472602739</v>
      </c>
      <c r="Y234" s="63">
        <f t="shared" si="301"/>
        <v>6385.7428975068497</v>
      </c>
      <c r="Z234" s="63">
        <f t="shared" si="302"/>
        <v>68.023892383561645</v>
      </c>
      <c r="AA234" s="63">
        <f t="shared" si="303"/>
        <v>29.76045291780822</v>
      </c>
      <c r="AB234" s="63">
        <f t="shared" si="304"/>
        <v>335</v>
      </c>
      <c r="AC234" s="63">
        <f t="shared" si="305"/>
        <v>10356.36</v>
      </c>
      <c r="AD234" s="63">
        <f t="shared" si="306"/>
        <v>106.9136</v>
      </c>
      <c r="AE234" s="178">
        <v>495</v>
      </c>
    </row>
    <row r="235" spans="1:31" x14ac:dyDescent="0.25">
      <c r="A235" s="167">
        <v>495</v>
      </c>
      <c r="B235" s="247"/>
      <c r="C235" s="168" t="s">
        <v>1627</v>
      </c>
      <c r="D235" s="247"/>
      <c r="E235" s="247"/>
      <c r="F235" s="80"/>
      <c r="G235" s="167" t="s">
        <v>2422</v>
      </c>
      <c r="H235" s="167">
        <v>0</v>
      </c>
      <c r="I235" s="251"/>
      <c r="J235" s="167">
        <v>0</v>
      </c>
      <c r="K235" s="167">
        <v>0</v>
      </c>
      <c r="L235" s="247"/>
      <c r="M235" s="247"/>
      <c r="N235" s="167" t="s">
        <v>27</v>
      </c>
      <c r="O235" s="247"/>
      <c r="P235" s="247"/>
      <c r="Q235" s="167">
        <v>0</v>
      </c>
      <c r="R235" s="63">
        <f t="shared" si="297"/>
        <v>0</v>
      </c>
      <c r="S235" s="65"/>
      <c r="T235" s="65"/>
      <c r="U235" s="65"/>
      <c r="V235" s="63">
        <f t="shared" si="298"/>
        <v>0</v>
      </c>
      <c r="W235" s="63">
        <f t="shared" si="299"/>
        <v>0</v>
      </c>
      <c r="X235" s="63">
        <f t="shared" si="300"/>
        <v>0</v>
      </c>
      <c r="Y235" s="63">
        <f t="shared" si="301"/>
        <v>0</v>
      </c>
      <c r="Z235" s="63">
        <f t="shared" si="302"/>
        <v>0</v>
      </c>
      <c r="AA235" s="63">
        <f t="shared" si="303"/>
        <v>0</v>
      </c>
      <c r="AB235" s="63" t="s">
        <v>2422</v>
      </c>
      <c r="AC235" s="63" t="s">
        <v>2422</v>
      </c>
      <c r="AD235" s="63" t="s">
        <v>2422</v>
      </c>
      <c r="AE235" s="178">
        <v>495</v>
      </c>
    </row>
    <row r="236" spans="1:31" x14ac:dyDescent="0.25">
      <c r="A236" s="167">
        <v>495</v>
      </c>
      <c r="B236" s="247"/>
      <c r="C236" s="168" t="s">
        <v>2495</v>
      </c>
      <c r="D236" s="247"/>
      <c r="E236" s="247"/>
      <c r="F236" s="247"/>
      <c r="G236" s="167" t="s">
        <v>2422</v>
      </c>
      <c r="H236" s="220">
        <v>500</v>
      </c>
      <c r="I236" s="219"/>
      <c r="J236" s="220">
        <v>500</v>
      </c>
      <c r="K236" s="220">
        <v>500</v>
      </c>
      <c r="L236" s="320"/>
      <c r="M236" s="320"/>
      <c r="N236" s="220" t="s">
        <v>27</v>
      </c>
      <c r="O236" s="320"/>
      <c r="P236" s="320"/>
      <c r="Q236" s="220">
        <v>0</v>
      </c>
      <c r="R236" s="172">
        <f t="shared" si="297"/>
        <v>500</v>
      </c>
      <c r="S236" s="314"/>
      <c r="T236" s="314"/>
      <c r="U236" s="314"/>
      <c r="V236" s="172">
        <f t="shared" si="298"/>
        <v>500</v>
      </c>
      <c r="W236" s="172">
        <f t="shared" si="299"/>
        <v>31</v>
      </c>
      <c r="X236" s="172">
        <f t="shared" si="300"/>
        <v>7.25</v>
      </c>
      <c r="Y236" s="172">
        <f t="shared" si="301"/>
        <v>75.099999999999994</v>
      </c>
      <c r="Z236" s="172">
        <f t="shared" si="302"/>
        <v>0.8</v>
      </c>
      <c r="AA236" s="172">
        <f t="shared" si="303"/>
        <v>0.35</v>
      </c>
      <c r="AB236" s="172" t="s">
        <v>2422</v>
      </c>
      <c r="AC236" s="172" t="s">
        <v>2422</v>
      </c>
      <c r="AD236" s="172" t="s">
        <v>2422</v>
      </c>
      <c r="AE236" s="178">
        <v>495</v>
      </c>
    </row>
    <row r="237" spans="1:31" x14ac:dyDescent="0.25">
      <c r="A237" s="167">
        <v>495</v>
      </c>
      <c r="B237" s="247"/>
      <c r="C237" s="247"/>
      <c r="D237" s="247"/>
      <c r="E237" s="247"/>
      <c r="F237" s="247"/>
      <c r="G237" s="247"/>
      <c r="H237" s="223">
        <v>460259.97200000007</v>
      </c>
      <c r="I237" s="401"/>
      <c r="J237" s="223">
        <v>473543.13332000002</v>
      </c>
      <c r="K237" s="223">
        <f t="shared" ref="K237:AD237" si="307">SUM(K223:K236)</f>
        <v>473543.12157399993</v>
      </c>
      <c r="L237" s="223">
        <f t="shared" si="307"/>
        <v>227.42457767980767</v>
      </c>
      <c r="M237" s="223">
        <f t="shared" si="307"/>
        <v>18193.966214384614</v>
      </c>
      <c r="N237" s="223">
        <f t="shared" si="307"/>
        <v>21342.049315068492</v>
      </c>
      <c r="O237" s="223">
        <f t="shared" si="307"/>
        <v>0</v>
      </c>
      <c r="P237" s="223">
        <f t="shared" si="307"/>
        <v>1238.9000000000001</v>
      </c>
      <c r="Q237" s="223">
        <f t="shared" si="307"/>
        <v>21226.86712328767</v>
      </c>
      <c r="R237" s="223">
        <f t="shared" si="307"/>
        <v>494769.98869728763</v>
      </c>
      <c r="S237" s="223">
        <f t="shared" si="307"/>
        <v>0</v>
      </c>
      <c r="T237" s="223">
        <f t="shared" si="307"/>
        <v>0</v>
      </c>
      <c r="U237" s="223">
        <f t="shared" si="307"/>
        <v>0</v>
      </c>
      <c r="V237" s="223">
        <f t="shared" si="307"/>
        <v>494769.98869728763</v>
      </c>
      <c r="W237" s="223">
        <f t="shared" si="307"/>
        <v>30675.739299231835</v>
      </c>
      <c r="X237" s="223">
        <f t="shared" si="307"/>
        <v>7174.1648361106709</v>
      </c>
      <c r="Y237" s="223">
        <f t="shared" si="307"/>
        <v>74314.452302332618</v>
      </c>
      <c r="Z237" s="223">
        <f t="shared" si="307"/>
        <v>791.63198191566016</v>
      </c>
      <c r="AA237" s="223">
        <f t="shared" si="307"/>
        <v>346.33899208810135</v>
      </c>
      <c r="AB237" s="223">
        <f t="shared" si="307"/>
        <v>3015</v>
      </c>
      <c r="AC237" s="223">
        <f t="shared" si="307"/>
        <v>93207.24</v>
      </c>
      <c r="AD237" s="223">
        <f t="shared" si="307"/>
        <v>962.22239999999988</v>
      </c>
      <c r="AE237" s="178">
        <v>495</v>
      </c>
    </row>
    <row r="238" spans="1:31" x14ac:dyDescent="0.25">
      <c r="A238" s="247"/>
      <c r="B238" s="247"/>
      <c r="C238" s="247"/>
      <c r="D238" s="247"/>
      <c r="E238" s="247"/>
      <c r="F238" s="247"/>
      <c r="G238" s="247"/>
      <c r="H238" s="247"/>
      <c r="I238" s="169"/>
      <c r="J238" s="247">
        <v>473043.13332000002</v>
      </c>
      <c r="K238" s="69">
        <f>SUM(K226:K234)</f>
        <v>473043.12157399993</v>
      </c>
      <c r="L238" s="247"/>
      <c r="M238" s="247"/>
      <c r="N238" s="247"/>
      <c r="O238" s="247"/>
      <c r="P238" s="247"/>
      <c r="Q238" s="247"/>
      <c r="R238" s="65"/>
      <c r="S238" s="65"/>
      <c r="T238" s="65"/>
      <c r="U238" s="65"/>
      <c r="V238" s="65"/>
      <c r="W238" s="63">
        <f>W237+X237</f>
        <v>37849.904135342505</v>
      </c>
      <c r="X238" s="65"/>
      <c r="Y238" s="65"/>
      <c r="Z238" s="65"/>
      <c r="AA238" s="65"/>
      <c r="AB238" s="65"/>
      <c r="AC238" s="63">
        <f>SUM(AC237:AD237)</f>
        <v>94169.462400000004</v>
      </c>
      <c r="AD238" s="65"/>
      <c r="AE238" s="247"/>
    </row>
    <row r="239" spans="1:31" x14ac:dyDescent="0.25">
      <c r="A239" s="247"/>
      <c r="B239" s="247"/>
      <c r="C239" s="247"/>
      <c r="D239" s="247"/>
      <c r="E239" s="247"/>
      <c r="F239" s="247"/>
      <c r="G239" s="247"/>
      <c r="H239" s="247"/>
      <c r="I239" s="138"/>
      <c r="J239" s="247"/>
      <c r="K239" s="247"/>
      <c r="L239" s="247"/>
      <c r="M239" s="247"/>
      <c r="N239" s="247"/>
      <c r="O239" s="247"/>
      <c r="P239" s="247"/>
      <c r="Q239" s="247"/>
      <c r="R239" s="65"/>
      <c r="S239" s="65"/>
      <c r="T239" s="65"/>
      <c r="U239" s="65"/>
      <c r="V239" s="65"/>
      <c r="W239" s="65"/>
      <c r="X239" s="65"/>
      <c r="Y239" s="65"/>
      <c r="Z239" s="65"/>
      <c r="AA239" s="65"/>
      <c r="AB239" s="65"/>
      <c r="AC239" s="65"/>
      <c r="AD239" s="65"/>
      <c r="AE239" s="247"/>
    </row>
    <row r="240" spans="1:31" x14ac:dyDescent="0.25">
      <c r="A240" s="247"/>
      <c r="B240" s="247"/>
      <c r="C240" s="247"/>
      <c r="D240" s="247"/>
      <c r="E240" s="247"/>
      <c r="F240" s="247"/>
      <c r="G240" s="247"/>
      <c r="H240" s="247"/>
      <c r="I240" s="138"/>
      <c r="J240" s="247"/>
      <c r="K240" s="247"/>
      <c r="L240" s="247"/>
      <c r="M240" s="247"/>
      <c r="N240" s="247"/>
      <c r="O240" s="247"/>
      <c r="P240" s="247"/>
      <c r="Q240" s="247"/>
      <c r="R240" s="65"/>
      <c r="S240" s="65"/>
      <c r="T240" s="65"/>
      <c r="U240" s="65"/>
      <c r="V240" s="65"/>
      <c r="W240" s="65"/>
      <c r="X240" s="65"/>
      <c r="Y240" s="65"/>
      <c r="Z240" s="65"/>
      <c r="AA240" s="65"/>
      <c r="AB240" s="65"/>
      <c r="AC240" s="65"/>
      <c r="AD240" s="65"/>
      <c r="AE240" s="247"/>
    </row>
    <row r="241" spans="1:31" x14ac:dyDescent="0.25">
      <c r="A241" s="167">
        <v>496</v>
      </c>
      <c r="B241" s="167">
        <v>496001</v>
      </c>
      <c r="C241" s="168" t="s">
        <v>2794</v>
      </c>
      <c r="D241" s="168" t="s">
        <v>2795</v>
      </c>
      <c r="E241" s="168" t="s">
        <v>2796</v>
      </c>
      <c r="F241" s="58">
        <v>38635</v>
      </c>
      <c r="G241" s="59">
        <f t="shared" ref="G241:G244" si="308">(DATE(2020,12,30)-(F241))/365</f>
        <v>15.232876712328768</v>
      </c>
      <c r="H241" s="61">
        <v>71964.102960000004</v>
      </c>
      <c r="I241" s="63">
        <v>73763.210000000006</v>
      </c>
      <c r="J241" s="61">
        <v>73763.205534000008</v>
      </c>
      <c r="K241" s="63">
        <f t="shared" ref="K241:K244" si="309">SUM(((J241*$K$3)+$K$2)+J241)</f>
        <v>73763.205534000008</v>
      </c>
      <c r="L241" s="63">
        <f t="shared" ref="L241:L244" si="310">SUM(K241/2080)</f>
        <v>35.463079583653851</v>
      </c>
      <c r="M241" s="63">
        <f t="shared" ref="M241:M244" si="311">SUM(K241/26)</f>
        <v>2837.0463666923079</v>
      </c>
      <c r="N241" s="63">
        <f t="shared" ref="N241:N244" si="312">IF(G241&lt;4,0,(G241-1)*$N$7)</f>
        <v>3757.4794520547948</v>
      </c>
      <c r="O241" s="65"/>
      <c r="P241" s="65"/>
      <c r="Q241" s="63">
        <f t="shared" ref="Q241:Q244" si="313">IF(N241+P241&gt;5000,5000,N241+P241)</f>
        <v>3757.4794520547948</v>
      </c>
      <c r="R241" s="63">
        <f t="shared" ref="R241:R244" si="314">Q241+K241</f>
        <v>77520.68498605481</v>
      </c>
      <c r="S241" s="65"/>
      <c r="T241" s="65"/>
      <c r="U241" s="65"/>
      <c r="V241" s="63">
        <f t="shared" ref="V241:V245" si="315">SUM(R241:U241)</f>
        <v>77520.68498605481</v>
      </c>
      <c r="W241" s="63">
        <f t="shared" ref="W241:W245" si="316">SUM(V241*$W$7)</f>
        <v>4806.2824691353981</v>
      </c>
      <c r="X241" s="63">
        <f t="shared" ref="X241:X245" si="317">SUM(V241*$X$7)</f>
        <v>1124.0499322977948</v>
      </c>
      <c r="Y241" s="63">
        <f t="shared" ref="Y241:Y245" si="318">SUM(V241*$Y$7)</f>
        <v>11643.606884905432</v>
      </c>
      <c r="Z241" s="63">
        <f t="shared" ref="Z241:Z245" si="319">SUM(V241*$Z$7)</f>
        <v>124.03309597768771</v>
      </c>
      <c r="AA241" s="63">
        <f t="shared" ref="AA241:AA245" si="320">SUM(V241*$AA$7)</f>
        <v>54.264479490238365</v>
      </c>
      <c r="AB241" s="63">
        <f t="shared" ref="AB241:AB244" si="321">SUM($AB$7)</f>
        <v>335</v>
      </c>
      <c r="AC241" s="63">
        <f t="shared" ref="AC241:AC244" si="322">$AC$7</f>
        <v>10356.36</v>
      </c>
      <c r="AD241" s="63">
        <f t="shared" ref="AD241:AD244" si="323">SUM(AB241+AC241)*$AD$7</f>
        <v>106.9136</v>
      </c>
      <c r="AE241" s="178">
        <v>496</v>
      </c>
    </row>
    <row r="242" spans="1:31" x14ac:dyDescent="0.25">
      <c r="A242" s="167">
        <v>496</v>
      </c>
      <c r="B242" s="167">
        <v>496002</v>
      </c>
      <c r="C242" s="168" t="s">
        <v>2798</v>
      </c>
      <c r="D242" s="168" t="s">
        <v>2799</v>
      </c>
      <c r="E242" s="168" t="s">
        <v>2800</v>
      </c>
      <c r="F242" s="58">
        <v>39580</v>
      </c>
      <c r="G242" s="59">
        <f t="shared" si="308"/>
        <v>12.643835616438356</v>
      </c>
      <c r="H242" s="61">
        <v>53888.639999999999</v>
      </c>
      <c r="I242" s="400">
        <v>49236.72</v>
      </c>
      <c r="J242" s="61">
        <v>55235.856</v>
      </c>
      <c r="K242" s="63">
        <f t="shared" si="309"/>
        <v>55235.856</v>
      </c>
      <c r="L242" s="63">
        <f t="shared" si="310"/>
        <v>26.555700000000002</v>
      </c>
      <c r="M242" s="63">
        <f t="shared" si="311"/>
        <v>2124.4560000000001</v>
      </c>
      <c r="N242" s="63">
        <f t="shared" si="312"/>
        <v>3073.972602739726</v>
      </c>
      <c r="O242" s="65"/>
      <c r="P242" s="65"/>
      <c r="Q242" s="63">
        <f t="shared" si="313"/>
        <v>3073.972602739726</v>
      </c>
      <c r="R242" s="63">
        <f t="shared" si="314"/>
        <v>58309.828602739726</v>
      </c>
      <c r="S242" s="65"/>
      <c r="T242" s="65"/>
      <c r="U242" s="65"/>
      <c r="V242" s="63">
        <f t="shared" si="315"/>
        <v>58309.828602739726</v>
      </c>
      <c r="W242" s="63">
        <f t="shared" si="316"/>
        <v>3615.209373369863</v>
      </c>
      <c r="X242" s="63">
        <f t="shared" si="317"/>
        <v>845.49251473972606</v>
      </c>
      <c r="Y242" s="63">
        <f t="shared" si="318"/>
        <v>8758.1362561315073</v>
      </c>
      <c r="Z242" s="63">
        <f t="shared" si="319"/>
        <v>93.295725764383562</v>
      </c>
      <c r="AA242" s="63">
        <f t="shared" si="320"/>
        <v>40.816880021917811</v>
      </c>
      <c r="AB242" s="63">
        <f t="shared" si="321"/>
        <v>335</v>
      </c>
      <c r="AC242" s="63">
        <f t="shared" si="322"/>
        <v>10356.36</v>
      </c>
      <c r="AD242" s="63">
        <f t="shared" si="323"/>
        <v>106.9136</v>
      </c>
      <c r="AE242" s="178">
        <v>496</v>
      </c>
    </row>
    <row r="243" spans="1:31" x14ac:dyDescent="0.25">
      <c r="A243" s="167">
        <v>496</v>
      </c>
      <c r="B243" s="167">
        <v>496003</v>
      </c>
      <c r="C243" s="168" t="s">
        <v>2802</v>
      </c>
      <c r="D243" s="185" t="s">
        <v>3784</v>
      </c>
      <c r="E243" s="185" t="s">
        <v>3227</v>
      </c>
      <c r="F243" s="58">
        <v>34516</v>
      </c>
      <c r="G243" s="59">
        <f t="shared" si="308"/>
        <v>26.517808219178082</v>
      </c>
      <c r="H243" s="61">
        <v>41452.800000000003</v>
      </c>
      <c r="I243" s="400">
        <v>37157.379999999997</v>
      </c>
      <c r="J243" s="61">
        <v>42489.120000000003</v>
      </c>
      <c r="K243" s="63">
        <f t="shared" si="309"/>
        <v>42489.120000000003</v>
      </c>
      <c r="L243" s="63">
        <f t="shared" si="310"/>
        <v>20.427461538461539</v>
      </c>
      <c r="M243" s="63">
        <f t="shared" si="311"/>
        <v>1634.1969230769232</v>
      </c>
      <c r="N243" s="63">
        <f t="shared" si="312"/>
        <v>6736.7013698630135</v>
      </c>
      <c r="O243" s="65"/>
      <c r="P243" s="65"/>
      <c r="Q243" s="63">
        <f t="shared" si="313"/>
        <v>5000</v>
      </c>
      <c r="R243" s="63">
        <f t="shared" si="314"/>
        <v>47489.120000000003</v>
      </c>
      <c r="S243" s="65"/>
      <c r="T243" s="65"/>
      <c r="U243" s="65"/>
      <c r="V243" s="63">
        <f t="shared" si="315"/>
        <v>47489.120000000003</v>
      </c>
      <c r="W243" s="63">
        <f t="shared" si="316"/>
        <v>2944.3254400000001</v>
      </c>
      <c r="X243" s="63">
        <f t="shared" si="317"/>
        <v>688.59224000000006</v>
      </c>
      <c r="Y243" s="63">
        <f t="shared" si="318"/>
        <v>7132.8658240000004</v>
      </c>
      <c r="Z243" s="63">
        <f t="shared" si="319"/>
        <v>75.982592000000011</v>
      </c>
      <c r="AA243" s="63">
        <f t="shared" si="320"/>
        <v>33.242384000000001</v>
      </c>
      <c r="AB243" s="63">
        <f t="shared" si="321"/>
        <v>335</v>
      </c>
      <c r="AC243" s="63">
        <f t="shared" si="322"/>
        <v>10356.36</v>
      </c>
      <c r="AD243" s="63">
        <f t="shared" si="323"/>
        <v>106.9136</v>
      </c>
      <c r="AE243" s="178">
        <v>496</v>
      </c>
    </row>
    <row r="244" spans="1:31" x14ac:dyDescent="0.25">
      <c r="A244" s="167">
        <v>496</v>
      </c>
      <c r="B244" s="167">
        <v>496004</v>
      </c>
      <c r="C244" s="168" t="s">
        <v>2808</v>
      </c>
      <c r="D244" s="168" t="s">
        <v>2803</v>
      </c>
      <c r="E244" s="168" t="s">
        <v>2804</v>
      </c>
      <c r="F244" s="58">
        <v>39472</v>
      </c>
      <c r="G244" s="59">
        <f t="shared" si="308"/>
        <v>12.93972602739726</v>
      </c>
      <c r="H244" s="61">
        <v>30480</v>
      </c>
      <c r="I244" s="63">
        <v>31242</v>
      </c>
      <c r="J244" s="61">
        <v>31242</v>
      </c>
      <c r="K244" s="63">
        <f t="shared" si="309"/>
        <v>31242</v>
      </c>
      <c r="L244" s="63">
        <f t="shared" si="310"/>
        <v>15.020192307692307</v>
      </c>
      <c r="M244" s="63">
        <f t="shared" si="311"/>
        <v>1201.6153846153845</v>
      </c>
      <c r="N244" s="63">
        <f t="shared" si="312"/>
        <v>3152.0876712328768</v>
      </c>
      <c r="O244" s="65"/>
      <c r="P244" s="65"/>
      <c r="Q244" s="63">
        <f t="shared" si="313"/>
        <v>3152.0876712328768</v>
      </c>
      <c r="R244" s="63">
        <f t="shared" si="314"/>
        <v>34394.087671232875</v>
      </c>
      <c r="S244" s="65"/>
      <c r="T244" s="65"/>
      <c r="U244" s="65"/>
      <c r="V244" s="63">
        <f t="shared" si="315"/>
        <v>34394.087671232875</v>
      </c>
      <c r="W244" s="63">
        <f t="shared" si="316"/>
        <v>2132.4334356164381</v>
      </c>
      <c r="X244" s="63">
        <f t="shared" si="317"/>
        <v>498.71427123287674</v>
      </c>
      <c r="Y244" s="63">
        <f t="shared" si="318"/>
        <v>5165.9919682191776</v>
      </c>
      <c r="Z244" s="63">
        <f t="shared" si="319"/>
        <v>55.030540273972605</v>
      </c>
      <c r="AA244" s="63">
        <f t="shared" si="320"/>
        <v>24.075861369863013</v>
      </c>
      <c r="AB244" s="63">
        <f t="shared" si="321"/>
        <v>335</v>
      </c>
      <c r="AC244" s="63">
        <f t="shared" si="322"/>
        <v>10356.36</v>
      </c>
      <c r="AD244" s="63">
        <f t="shared" si="323"/>
        <v>106.9136</v>
      </c>
      <c r="AE244" s="178">
        <v>496</v>
      </c>
    </row>
    <row r="245" spans="1:31" x14ac:dyDescent="0.25">
      <c r="A245" s="167">
        <v>496</v>
      </c>
      <c r="B245" s="247"/>
      <c r="C245" s="168" t="s">
        <v>2495</v>
      </c>
      <c r="D245" s="247"/>
      <c r="E245" s="247"/>
      <c r="F245" s="247"/>
      <c r="G245" s="167" t="s">
        <v>2422</v>
      </c>
      <c r="H245" s="132">
        <v>7273</v>
      </c>
      <c r="I245" s="296"/>
      <c r="J245" s="132">
        <v>7273</v>
      </c>
      <c r="K245" s="132">
        <v>7273</v>
      </c>
      <c r="L245" s="320"/>
      <c r="M245" s="220">
        <v>279.73</v>
      </c>
      <c r="N245" s="220" t="s">
        <v>27</v>
      </c>
      <c r="O245" s="320"/>
      <c r="P245" s="320"/>
      <c r="Q245" s="220">
        <v>0</v>
      </c>
      <c r="R245" s="172">
        <v>7273</v>
      </c>
      <c r="S245" s="314"/>
      <c r="T245" s="314"/>
      <c r="U245" s="314"/>
      <c r="V245" s="172">
        <f t="shared" si="315"/>
        <v>7273</v>
      </c>
      <c r="W245" s="172">
        <f t="shared" si="316"/>
        <v>450.92599999999999</v>
      </c>
      <c r="X245" s="172">
        <f t="shared" si="317"/>
        <v>105.4585</v>
      </c>
      <c r="Y245" s="172">
        <f t="shared" si="318"/>
        <v>1092.4046000000001</v>
      </c>
      <c r="Z245" s="172">
        <f t="shared" si="319"/>
        <v>11.636800000000001</v>
      </c>
      <c r="AA245" s="172">
        <f t="shared" si="320"/>
        <v>5.0911</v>
      </c>
      <c r="AB245" s="172" t="s">
        <v>2422</v>
      </c>
      <c r="AC245" s="172" t="s">
        <v>2422</v>
      </c>
      <c r="AD245" s="172" t="s">
        <v>2422</v>
      </c>
      <c r="AE245" s="178">
        <v>496</v>
      </c>
    </row>
    <row r="246" spans="1:31" x14ac:dyDescent="0.25">
      <c r="A246" s="167">
        <v>496</v>
      </c>
      <c r="B246" s="247"/>
      <c r="C246" s="247"/>
      <c r="D246" s="247"/>
      <c r="E246" s="247"/>
      <c r="F246" s="247"/>
      <c r="G246" s="247"/>
      <c r="H246" s="223">
        <v>205058.54295999999</v>
      </c>
      <c r="I246" s="401"/>
      <c r="J246" s="223">
        <v>210003.181534</v>
      </c>
      <c r="K246" s="223">
        <f t="shared" ref="K246:AD246" si="324">SUM(K240:K245)</f>
        <v>210003.181534</v>
      </c>
      <c r="L246" s="223">
        <f t="shared" si="324"/>
        <v>97.466433429807708</v>
      </c>
      <c r="M246" s="223">
        <f t="shared" si="324"/>
        <v>8077.0446743846151</v>
      </c>
      <c r="N246" s="223">
        <f t="shared" si="324"/>
        <v>16720.241095890411</v>
      </c>
      <c r="O246" s="223">
        <f t="shared" si="324"/>
        <v>0</v>
      </c>
      <c r="P246" s="223">
        <f t="shared" si="324"/>
        <v>0</v>
      </c>
      <c r="Q246" s="223">
        <f t="shared" si="324"/>
        <v>14983.539726027399</v>
      </c>
      <c r="R246" s="223">
        <f t="shared" si="324"/>
        <v>224986.72126002741</v>
      </c>
      <c r="S246" s="223">
        <f t="shared" si="324"/>
        <v>0</v>
      </c>
      <c r="T246" s="223">
        <f t="shared" si="324"/>
        <v>0</v>
      </c>
      <c r="U246" s="223">
        <f t="shared" si="324"/>
        <v>0</v>
      </c>
      <c r="V246" s="223">
        <f t="shared" si="324"/>
        <v>224986.72126002741</v>
      </c>
      <c r="W246" s="223">
        <f t="shared" si="324"/>
        <v>13949.176718121698</v>
      </c>
      <c r="X246" s="223">
        <f t="shared" si="324"/>
        <v>3262.307458270398</v>
      </c>
      <c r="Y246" s="223">
        <f t="shared" si="324"/>
        <v>33793.005533256117</v>
      </c>
      <c r="Z246" s="223">
        <f t="shared" si="324"/>
        <v>359.97875401604392</v>
      </c>
      <c r="AA246" s="223">
        <f t="shared" si="324"/>
        <v>157.4907048820192</v>
      </c>
      <c r="AB246" s="223">
        <f t="shared" si="324"/>
        <v>1340</v>
      </c>
      <c r="AC246" s="223">
        <f t="shared" si="324"/>
        <v>41425.440000000002</v>
      </c>
      <c r="AD246" s="223">
        <f t="shared" si="324"/>
        <v>427.65440000000001</v>
      </c>
      <c r="AE246" s="178">
        <v>496</v>
      </c>
    </row>
    <row r="247" spans="1:31" x14ac:dyDescent="0.25">
      <c r="A247" s="247"/>
      <c r="B247" s="247"/>
      <c r="C247" s="247"/>
      <c r="D247" s="247"/>
      <c r="E247" s="247"/>
      <c r="F247" s="247"/>
      <c r="G247" s="247"/>
      <c r="H247" s="247"/>
      <c r="I247" s="169"/>
      <c r="J247" s="247">
        <v>202730.181534</v>
      </c>
      <c r="K247" s="69">
        <f>SUM(K241:K244)</f>
        <v>202730.181534</v>
      </c>
      <c r="L247" s="247"/>
      <c r="M247" s="247"/>
      <c r="N247" s="247"/>
      <c r="O247" s="247"/>
      <c r="P247" s="247"/>
      <c r="Q247" s="247"/>
      <c r="R247" s="65"/>
      <c r="S247" s="65"/>
      <c r="T247" s="65"/>
      <c r="U247" s="65"/>
      <c r="V247" s="65"/>
      <c r="W247" s="63">
        <f>W246+X246</f>
        <v>17211.484176392096</v>
      </c>
      <c r="X247" s="65"/>
      <c r="Y247" s="65"/>
      <c r="Z247" s="65"/>
      <c r="AA247" s="65"/>
      <c r="AB247" s="65"/>
      <c r="AC247" s="63">
        <f>SUM(AC246:AD246)</f>
        <v>41853.094400000002</v>
      </c>
      <c r="AD247" s="65"/>
      <c r="AE247" s="247"/>
    </row>
    <row r="248" spans="1:31" x14ac:dyDescent="0.25">
      <c r="A248" s="247"/>
      <c r="B248" s="247"/>
      <c r="C248" s="247"/>
      <c r="D248" s="247"/>
      <c r="E248" s="247"/>
      <c r="F248" s="247"/>
      <c r="G248" s="247"/>
      <c r="H248" s="247"/>
      <c r="I248" s="138"/>
      <c r="J248" s="247"/>
      <c r="K248" s="247"/>
      <c r="L248" s="247"/>
      <c r="M248" s="247"/>
      <c r="N248" s="247"/>
      <c r="O248" s="247"/>
      <c r="P248" s="247"/>
      <c r="Q248" s="247"/>
      <c r="R248" s="65"/>
      <c r="S248" s="65"/>
      <c r="T248" s="65"/>
      <c r="U248" s="65"/>
      <c r="V248" s="65"/>
      <c r="W248" s="65"/>
      <c r="X248" s="65"/>
      <c r="Y248" s="65"/>
      <c r="Z248" s="65"/>
      <c r="AA248" s="65"/>
      <c r="AB248" s="65"/>
      <c r="AC248" s="65"/>
      <c r="AD248" s="65"/>
      <c r="AE248" s="247"/>
    </row>
    <row r="249" spans="1:31" x14ac:dyDescent="0.25">
      <c r="A249" s="167">
        <v>497</v>
      </c>
      <c r="B249" s="167">
        <v>497001</v>
      </c>
      <c r="C249" s="168" t="s">
        <v>1069</v>
      </c>
      <c r="D249" s="168" t="s">
        <v>2810</v>
      </c>
      <c r="E249" s="168" t="s">
        <v>2486</v>
      </c>
      <c r="F249" s="58">
        <v>39234</v>
      </c>
      <c r="G249" s="59">
        <f t="shared" ref="G249:G251" si="325">(DATE(2020,12,30)-(F249))/365</f>
        <v>13.591780821917808</v>
      </c>
      <c r="H249" s="61">
        <v>53197.577120000002</v>
      </c>
      <c r="I249" s="63">
        <v>54527.519999999997</v>
      </c>
      <c r="J249" s="61">
        <v>54527.516548</v>
      </c>
      <c r="K249" s="63">
        <f t="shared" ref="K249:K251" si="326">SUM(((J249*$K$3)+$K$2)+J249)</f>
        <v>54527.516548</v>
      </c>
      <c r="L249" s="63">
        <f t="shared" ref="L249:L251" si="327">SUM(K249/2080)</f>
        <v>26.215152186538461</v>
      </c>
      <c r="M249" s="63">
        <f t="shared" ref="M249:M251" si="328">SUM(K249/26)</f>
        <v>2097.2121749230769</v>
      </c>
      <c r="N249" s="63">
        <f t="shared" ref="N249:N251" si="329">IF(G249&lt;4,0,(G249-1)*$N$7)</f>
        <v>3324.2301369863017</v>
      </c>
      <c r="O249" s="65"/>
      <c r="P249" s="65"/>
      <c r="Q249" s="63">
        <f t="shared" ref="Q249:Q251" si="330">IF(N249+P249&gt;5000,5000,N249+P249)</f>
        <v>3324.2301369863017</v>
      </c>
      <c r="R249" s="63">
        <f t="shared" ref="R249:R251" si="331">Q249+K249</f>
        <v>57851.746684986298</v>
      </c>
      <c r="S249" s="65"/>
      <c r="T249" s="65"/>
      <c r="U249" s="65"/>
      <c r="V249" s="63">
        <f t="shared" ref="V249:V252" si="332">SUM(R249:U249)</f>
        <v>57851.746684986298</v>
      </c>
      <c r="W249" s="63">
        <f t="shared" ref="W249:W252" si="333">SUM(V249*$W$7)</f>
        <v>3586.8082944691505</v>
      </c>
      <c r="X249" s="63">
        <f t="shared" ref="X249:X252" si="334">SUM(V249*$X$7)</f>
        <v>838.85032693230141</v>
      </c>
      <c r="Y249" s="63">
        <f t="shared" ref="Y249:Y252" si="335">SUM(V249*$Y$7)</f>
        <v>8689.3323520849426</v>
      </c>
      <c r="Z249" s="63">
        <f t="shared" ref="Z249:Z252" si="336">SUM(V249*$Z$7)</f>
        <v>92.562794695978084</v>
      </c>
      <c r="AA249" s="63">
        <f t="shared" ref="AA249:AA252" si="337">SUM(V249*$AA$7)</f>
        <v>40.496222679490408</v>
      </c>
      <c r="AB249" s="63">
        <f t="shared" ref="AB249:AB251" si="338">SUM($AB$7)</f>
        <v>335</v>
      </c>
      <c r="AC249" s="63">
        <f t="shared" ref="AC249:AC251" si="339">$AC$7</f>
        <v>10356.36</v>
      </c>
      <c r="AD249" s="63">
        <f t="shared" ref="AD249:AD251" si="340">SUM(AB249+AC249)*$AD$7</f>
        <v>106.9136</v>
      </c>
      <c r="AE249" s="178">
        <v>497</v>
      </c>
    </row>
    <row r="250" spans="1:31" x14ac:dyDescent="0.25">
      <c r="A250" s="167">
        <v>497</v>
      </c>
      <c r="B250" s="167">
        <v>497002</v>
      </c>
      <c r="C250" s="168" t="s">
        <v>4012</v>
      </c>
      <c r="D250" s="168" t="s">
        <v>2609</v>
      </c>
      <c r="E250" s="168" t="s">
        <v>2817</v>
      </c>
      <c r="F250" s="58">
        <v>37643</v>
      </c>
      <c r="G250" s="59">
        <f t="shared" si="325"/>
        <v>17.950684931506849</v>
      </c>
      <c r="H250" s="61">
        <v>43248.976239999996</v>
      </c>
      <c r="I250" s="63">
        <v>44330.2</v>
      </c>
      <c r="J250" s="61">
        <v>44330.200645999998</v>
      </c>
      <c r="K250" s="63">
        <f t="shared" si="326"/>
        <v>44330.200645999998</v>
      </c>
      <c r="L250" s="63">
        <f t="shared" si="327"/>
        <v>21.312596464423077</v>
      </c>
      <c r="M250" s="63">
        <f t="shared" si="328"/>
        <v>1705.007717153846</v>
      </c>
      <c r="N250" s="63">
        <f t="shared" si="329"/>
        <v>4474.9808219178085</v>
      </c>
      <c r="O250" s="65"/>
      <c r="P250" s="65"/>
      <c r="Q250" s="63">
        <f t="shared" si="330"/>
        <v>4474.9808219178085</v>
      </c>
      <c r="R250" s="63">
        <f t="shared" si="331"/>
        <v>48805.181467917806</v>
      </c>
      <c r="S250" s="65"/>
      <c r="T250" s="65"/>
      <c r="U250" s="65"/>
      <c r="V250" s="63">
        <f t="shared" si="332"/>
        <v>48805.181467917806</v>
      </c>
      <c r="W250" s="63">
        <f t="shared" si="333"/>
        <v>3025.9212510109041</v>
      </c>
      <c r="X250" s="63">
        <f t="shared" si="334"/>
        <v>707.67513128480823</v>
      </c>
      <c r="Y250" s="63">
        <f t="shared" si="335"/>
        <v>7330.5382564812544</v>
      </c>
      <c r="Z250" s="63">
        <f t="shared" si="336"/>
        <v>78.088290348668494</v>
      </c>
      <c r="AA250" s="63">
        <f t="shared" si="337"/>
        <v>34.163627027542461</v>
      </c>
      <c r="AB250" s="63">
        <f t="shared" si="338"/>
        <v>335</v>
      </c>
      <c r="AC250" s="63">
        <f t="shared" si="339"/>
        <v>10356.36</v>
      </c>
      <c r="AD250" s="63">
        <f t="shared" si="340"/>
        <v>106.9136</v>
      </c>
      <c r="AE250" s="178">
        <v>497</v>
      </c>
    </row>
    <row r="251" spans="1:31" x14ac:dyDescent="0.25">
      <c r="A251" s="167">
        <v>497</v>
      </c>
      <c r="B251" s="167">
        <v>497003</v>
      </c>
      <c r="C251" s="168" t="s">
        <v>4013</v>
      </c>
      <c r="D251" s="168" t="s">
        <v>2979</v>
      </c>
      <c r="E251" s="168" t="s">
        <v>3785</v>
      </c>
      <c r="F251" s="58">
        <v>36703</v>
      </c>
      <c r="G251" s="59">
        <f t="shared" si="325"/>
        <v>20.526027397260275</v>
      </c>
      <c r="H251" s="61">
        <v>34519.646479999996</v>
      </c>
      <c r="I251" s="63">
        <v>35382.639999999999</v>
      </c>
      <c r="J251" s="61">
        <v>35382.637641999994</v>
      </c>
      <c r="K251" s="63">
        <f t="shared" si="326"/>
        <v>35382.637641999994</v>
      </c>
      <c r="L251" s="63">
        <f t="shared" si="327"/>
        <v>17.010883481730765</v>
      </c>
      <c r="M251" s="63">
        <f t="shared" si="328"/>
        <v>1360.8706785384613</v>
      </c>
      <c r="N251" s="63">
        <f t="shared" si="329"/>
        <v>5154.8712328767124</v>
      </c>
      <c r="O251" s="65"/>
      <c r="P251" s="65"/>
      <c r="Q251" s="63">
        <f t="shared" si="330"/>
        <v>5000</v>
      </c>
      <c r="R251" s="63">
        <f t="shared" si="331"/>
        <v>40382.637641999994</v>
      </c>
      <c r="S251" s="65"/>
      <c r="T251" s="65"/>
      <c r="U251" s="65"/>
      <c r="V251" s="63">
        <f t="shared" si="332"/>
        <v>40382.637641999994</v>
      </c>
      <c r="W251" s="63">
        <f t="shared" si="333"/>
        <v>2503.7235338039995</v>
      </c>
      <c r="X251" s="63">
        <f t="shared" si="334"/>
        <v>585.54824580899992</v>
      </c>
      <c r="Y251" s="63">
        <f t="shared" si="335"/>
        <v>6065.4721738283988</v>
      </c>
      <c r="Z251" s="63">
        <f t="shared" si="336"/>
        <v>64.612220227199998</v>
      </c>
      <c r="AA251" s="63">
        <f t="shared" si="337"/>
        <v>28.267846349399996</v>
      </c>
      <c r="AB251" s="63">
        <f t="shared" si="338"/>
        <v>335</v>
      </c>
      <c r="AC251" s="63">
        <f t="shared" si="339"/>
        <v>10356.36</v>
      </c>
      <c r="AD251" s="63">
        <f t="shared" si="340"/>
        <v>106.9136</v>
      </c>
      <c r="AE251" s="178">
        <v>497</v>
      </c>
    </row>
    <row r="252" spans="1:31" x14ac:dyDescent="0.25">
      <c r="A252" s="167">
        <v>497</v>
      </c>
      <c r="B252" s="247"/>
      <c r="C252" s="168" t="s">
        <v>2495</v>
      </c>
      <c r="D252" s="247"/>
      <c r="E252" s="247"/>
      <c r="F252" s="247"/>
      <c r="G252" s="167" t="s">
        <v>2422</v>
      </c>
      <c r="H252" s="132">
        <v>4000</v>
      </c>
      <c r="I252" s="296"/>
      <c r="J252" s="132">
        <v>4000</v>
      </c>
      <c r="K252" s="132">
        <v>4000</v>
      </c>
      <c r="L252" s="320"/>
      <c r="M252" s="320"/>
      <c r="N252" s="220" t="s">
        <v>27</v>
      </c>
      <c r="O252" s="320"/>
      <c r="P252" s="320"/>
      <c r="Q252" s="220">
        <v>0</v>
      </c>
      <c r="R252" s="172">
        <v>4000</v>
      </c>
      <c r="S252" s="314"/>
      <c r="T252" s="314"/>
      <c r="U252" s="314"/>
      <c r="V252" s="172">
        <f t="shared" si="332"/>
        <v>4000</v>
      </c>
      <c r="W252" s="172">
        <f t="shared" si="333"/>
        <v>248</v>
      </c>
      <c r="X252" s="172">
        <f t="shared" si="334"/>
        <v>58</v>
      </c>
      <c r="Y252" s="172">
        <f t="shared" si="335"/>
        <v>600.79999999999995</v>
      </c>
      <c r="Z252" s="172">
        <f t="shared" si="336"/>
        <v>6.4</v>
      </c>
      <c r="AA252" s="172">
        <f t="shared" si="337"/>
        <v>2.8</v>
      </c>
      <c r="AB252" s="172" t="s">
        <v>2422</v>
      </c>
      <c r="AC252" s="172" t="s">
        <v>2422</v>
      </c>
      <c r="AD252" s="172" t="s">
        <v>2422</v>
      </c>
      <c r="AE252" s="178">
        <v>497</v>
      </c>
    </row>
    <row r="253" spans="1:31" x14ac:dyDescent="0.25">
      <c r="A253" s="167">
        <v>497</v>
      </c>
      <c r="B253" s="247"/>
      <c r="C253" s="247"/>
      <c r="D253" s="247"/>
      <c r="E253" s="247"/>
      <c r="F253" s="247"/>
      <c r="G253" s="247"/>
      <c r="H253" s="223">
        <v>134966.19983999999</v>
      </c>
      <c r="I253" s="401"/>
      <c r="J253" s="223">
        <v>138240.35483599998</v>
      </c>
      <c r="K253" s="223">
        <f t="shared" ref="K253:AD253" si="341">SUM(K248:K252)</f>
        <v>138240.35483599998</v>
      </c>
      <c r="L253" s="223">
        <f t="shared" si="341"/>
        <v>64.5386321326923</v>
      </c>
      <c r="M253" s="223">
        <f t="shared" si="341"/>
        <v>5163.0905706153844</v>
      </c>
      <c r="N253" s="223">
        <f t="shared" si="341"/>
        <v>12954.082191780823</v>
      </c>
      <c r="O253" s="223">
        <f t="shared" si="341"/>
        <v>0</v>
      </c>
      <c r="P253" s="223">
        <f t="shared" si="341"/>
        <v>0</v>
      </c>
      <c r="Q253" s="223">
        <f t="shared" si="341"/>
        <v>12799.21095890411</v>
      </c>
      <c r="R253" s="223">
        <f t="shared" si="341"/>
        <v>151039.56579490411</v>
      </c>
      <c r="S253" s="223">
        <f t="shared" si="341"/>
        <v>0</v>
      </c>
      <c r="T253" s="223">
        <f t="shared" si="341"/>
        <v>0</v>
      </c>
      <c r="U253" s="223">
        <f t="shared" si="341"/>
        <v>0</v>
      </c>
      <c r="V253" s="223">
        <f t="shared" si="341"/>
        <v>151039.56579490411</v>
      </c>
      <c r="W253" s="223">
        <f t="shared" si="341"/>
        <v>9364.4530792840542</v>
      </c>
      <c r="X253" s="223">
        <f t="shared" si="341"/>
        <v>2190.0737040261097</v>
      </c>
      <c r="Y253" s="223">
        <f t="shared" si="341"/>
        <v>22686.142782394596</v>
      </c>
      <c r="Z253" s="223">
        <f t="shared" si="341"/>
        <v>241.66330527184658</v>
      </c>
      <c r="AA253" s="223">
        <f t="shared" si="341"/>
        <v>105.72769605643286</v>
      </c>
      <c r="AB253" s="223">
        <f t="shared" si="341"/>
        <v>1005</v>
      </c>
      <c r="AC253" s="223">
        <f t="shared" si="341"/>
        <v>31069.08</v>
      </c>
      <c r="AD253" s="223">
        <f t="shared" si="341"/>
        <v>320.74080000000004</v>
      </c>
      <c r="AE253" s="178">
        <v>497</v>
      </c>
    </row>
    <row r="254" spans="1:31" x14ac:dyDescent="0.25">
      <c r="A254" s="247"/>
      <c r="B254" s="247"/>
      <c r="C254" s="247"/>
      <c r="D254" s="247"/>
      <c r="E254" s="247"/>
      <c r="F254" s="247"/>
      <c r="G254" s="247"/>
      <c r="H254" s="247"/>
      <c r="I254" s="169"/>
      <c r="J254" s="247">
        <v>134240.35483599998</v>
      </c>
      <c r="K254" s="69">
        <f>SUM(K250:K251)</f>
        <v>79712.838287999999</v>
      </c>
      <c r="L254" s="247"/>
      <c r="M254" s="247"/>
      <c r="N254" s="247"/>
      <c r="O254" s="247"/>
      <c r="P254" s="247"/>
      <c r="Q254" s="247"/>
      <c r="R254" s="65"/>
      <c r="S254" s="65"/>
      <c r="T254" s="65"/>
      <c r="U254" s="65"/>
      <c r="V254" s="65"/>
      <c r="W254" s="63">
        <f>W253+X253</f>
        <v>11554.526783310164</v>
      </c>
      <c r="X254" s="65"/>
      <c r="Y254" s="65"/>
      <c r="Z254" s="65"/>
      <c r="AA254" s="65"/>
      <c r="AB254" s="65"/>
      <c r="AC254" s="63">
        <f>SUM(AC253:AD253)</f>
        <v>31389.820800000001</v>
      </c>
      <c r="AD254" s="65"/>
      <c r="AE254" s="247"/>
    </row>
    <row r="255" spans="1:31" x14ac:dyDescent="0.25">
      <c r="A255" s="247"/>
      <c r="B255" s="247"/>
      <c r="C255" s="247"/>
      <c r="D255" s="247"/>
      <c r="E255" s="247"/>
      <c r="F255" s="247"/>
      <c r="G255" s="247"/>
      <c r="H255" s="320"/>
      <c r="I255" s="229"/>
      <c r="J255" s="320"/>
      <c r="K255" s="320"/>
      <c r="L255" s="320"/>
      <c r="M255" s="320"/>
      <c r="N255" s="320"/>
      <c r="O255" s="320"/>
      <c r="P255" s="320"/>
      <c r="Q255" s="320"/>
      <c r="R255" s="314"/>
      <c r="S255" s="314"/>
      <c r="T255" s="314"/>
      <c r="U255" s="314"/>
      <c r="V255" s="314"/>
      <c r="W255" s="314"/>
      <c r="X255" s="314"/>
      <c r="Y255" s="314"/>
      <c r="Z255" s="314"/>
      <c r="AA255" s="314"/>
      <c r="AB255" s="314"/>
      <c r="AC255" s="314"/>
      <c r="AD255" s="314"/>
      <c r="AE255" s="247"/>
    </row>
    <row r="256" spans="1:31" x14ac:dyDescent="0.25">
      <c r="A256" s="167">
        <v>498</v>
      </c>
      <c r="B256" s="167">
        <v>498001</v>
      </c>
      <c r="C256" s="168" t="s">
        <v>2819</v>
      </c>
      <c r="D256" s="168" t="s">
        <v>2820</v>
      </c>
      <c r="E256" s="168" t="s">
        <v>2821</v>
      </c>
      <c r="F256" s="58">
        <v>43570</v>
      </c>
      <c r="G256" s="59">
        <f>(DATE(2020,12,30)-(F256))/365</f>
        <v>1.7123287671232876</v>
      </c>
      <c r="H256" s="223">
        <v>0</v>
      </c>
      <c r="I256" s="406">
        <v>55000</v>
      </c>
      <c r="J256" s="223">
        <v>55000</v>
      </c>
      <c r="K256" s="68">
        <f>SUM(((J256*$K$3)+$K$2)+J256)</f>
        <v>55000</v>
      </c>
      <c r="L256" s="175">
        <f>SUM(K256/2080)</f>
        <v>26.442307692307693</v>
      </c>
      <c r="M256" s="175">
        <f>SUM(K256/26)</f>
        <v>2115.3846153846152</v>
      </c>
      <c r="N256" s="175">
        <f>IF(G256&lt;4,0,(G256-1)*$N$7)</f>
        <v>0</v>
      </c>
      <c r="O256" s="407"/>
      <c r="P256" s="407"/>
      <c r="Q256" s="175">
        <f>IF(N256+P256&gt;5000,5000,N256+P256)</f>
        <v>0</v>
      </c>
      <c r="R256" s="175">
        <f>Q256+K256</f>
        <v>55000</v>
      </c>
      <c r="S256" s="407"/>
      <c r="T256" s="407"/>
      <c r="U256" s="407"/>
      <c r="V256" s="175">
        <f>SUM(R256:U256)</f>
        <v>55000</v>
      </c>
      <c r="W256" s="175">
        <f>SUM(V256*$W$7)</f>
        <v>3410</v>
      </c>
      <c r="X256" s="175">
        <f>SUM(V256*$X$7)</f>
        <v>797.5</v>
      </c>
      <c r="Y256" s="175">
        <f>SUM(V256*$Y$7)</f>
        <v>8261</v>
      </c>
      <c r="Z256" s="175">
        <f>SUM(V256*$Z$7)</f>
        <v>88</v>
      </c>
      <c r="AA256" s="175">
        <f>SUM(V256*$AA$7)</f>
        <v>38.5</v>
      </c>
      <c r="AB256" s="175">
        <f>SUM($AB$7)</f>
        <v>335</v>
      </c>
      <c r="AC256" s="175">
        <f>$AC$7</f>
        <v>10356.36</v>
      </c>
      <c r="AD256" s="175">
        <f>SUM(AB256+AC256)*$AD$7</f>
        <v>106.9136</v>
      </c>
      <c r="AE256" s="178">
        <v>498</v>
      </c>
    </row>
    <row r="257" spans="1:31" x14ac:dyDescent="0.25">
      <c r="A257" s="247"/>
      <c r="B257" s="247"/>
      <c r="C257" s="247"/>
      <c r="D257" s="247"/>
      <c r="E257" s="247"/>
      <c r="F257" s="247"/>
      <c r="G257" s="247"/>
      <c r="H257" s="247"/>
      <c r="I257" s="138"/>
      <c r="J257" s="247"/>
      <c r="K257" s="247"/>
      <c r="L257" s="247"/>
      <c r="M257" s="247"/>
      <c r="N257" s="247"/>
      <c r="O257" s="247"/>
      <c r="P257" s="247"/>
      <c r="Q257" s="247"/>
      <c r="R257" s="65"/>
      <c r="S257" s="65"/>
      <c r="T257" s="65"/>
      <c r="U257" s="65"/>
      <c r="V257" s="65"/>
      <c r="W257" s="69">
        <f>W256+X256</f>
        <v>4207.5</v>
      </c>
      <c r="X257" s="65"/>
      <c r="Y257" s="65"/>
      <c r="Z257" s="65"/>
      <c r="AA257" s="65"/>
      <c r="AB257" s="65"/>
      <c r="AC257" s="65">
        <f>SUM(AC256:AD256)</f>
        <v>10463.2736</v>
      </c>
      <c r="AD257" s="65"/>
      <c r="AE257" s="247"/>
    </row>
    <row r="258" spans="1:31" x14ac:dyDescent="0.25">
      <c r="A258" s="247"/>
      <c r="B258" s="247"/>
      <c r="C258" s="247"/>
      <c r="D258" s="247"/>
      <c r="E258" s="247"/>
      <c r="F258" s="247"/>
      <c r="G258" s="247"/>
      <c r="H258" s="247"/>
      <c r="I258" s="138"/>
      <c r="J258" s="247"/>
      <c r="K258" s="247"/>
      <c r="L258" s="247"/>
      <c r="M258" s="247"/>
      <c r="N258" s="247"/>
      <c r="O258" s="247"/>
      <c r="P258" s="247"/>
      <c r="Q258" s="247"/>
      <c r="R258" s="65"/>
      <c r="S258" s="65"/>
      <c r="T258" s="65"/>
      <c r="U258" s="65"/>
      <c r="V258" s="65"/>
      <c r="W258" s="65"/>
      <c r="X258" s="65"/>
      <c r="Y258" s="65"/>
      <c r="Z258" s="65"/>
      <c r="AA258" s="65"/>
      <c r="AB258" s="65"/>
      <c r="AC258" s="65"/>
      <c r="AD258" s="65"/>
      <c r="AE258" s="247"/>
    </row>
    <row r="259" spans="1:31" x14ac:dyDescent="0.25">
      <c r="A259" s="167">
        <v>499</v>
      </c>
      <c r="B259" s="167">
        <v>499001</v>
      </c>
      <c r="C259" s="168" t="s">
        <v>2825</v>
      </c>
      <c r="D259" s="185" t="s">
        <v>2826</v>
      </c>
      <c r="E259" s="185" t="s">
        <v>2827</v>
      </c>
      <c r="F259" s="58">
        <v>34960</v>
      </c>
      <c r="G259" s="59">
        <f t="shared" ref="G259:G272" si="342">(DATE(2020,12,30)-(F259))/365</f>
        <v>25.301369863013697</v>
      </c>
      <c r="H259" s="61">
        <v>53197.577120000002</v>
      </c>
      <c r="I259" s="63">
        <v>54527.519999999997</v>
      </c>
      <c r="J259" s="61">
        <v>54527.516548</v>
      </c>
      <c r="K259" s="63">
        <f t="shared" ref="K259:K272" si="343">SUM(((J259*$K$3)+$K$2)+J259)</f>
        <v>54527.516548</v>
      </c>
      <c r="L259" s="63">
        <f t="shared" ref="L259:L272" si="344">SUM(K259/2080)</f>
        <v>26.215152186538461</v>
      </c>
      <c r="M259" s="63">
        <f t="shared" ref="M259:M272" si="345">SUM(K259/26)</f>
        <v>2097.2121749230769</v>
      </c>
      <c r="N259" s="63">
        <f t="shared" ref="N259:N272" si="346">IF(G259&lt;4,0,(G259-1)*$N$7)</f>
        <v>6415.5616438356165</v>
      </c>
      <c r="O259" s="65"/>
      <c r="P259" s="65"/>
      <c r="Q259" s="63">
        <f t="shared" ref="Q259:Q272" si="347">IF(N259+P259&gt;5000,5000,N259+P259)</f>
        <v>5000</v>
      </c>
      <c r="R259" s="63">
        <f t="shared" ref="R259:R274" si="348">Q259+K259</f>
        <v>59527.516548</v>
      </c>
      <c r="S259" s="65"/>
      <c r="T259" s="65"/>
      <c r="U259" s="65"/>
      <c r="V259" s="63">
        <f t="shared" ref="V259:V274" si="349">SUM(R259:U259)</f>
        <v>59527.516548</v>
      </c>
      <c r="W259" s="63">
        <f t="shared" ref="W259:W274" si="350">SUM(V259*$W$7)</f>
        <v>3690.7060259760001</v>
      </c>
      <c r="X259" s="63">
        <f t="shared" ref="X259:X274" si="351">SUM(V259*$X$7)</f>
        <v>863.14898994600003</v>
      </c>
      <c r="Y259" s="63">
        <f t="shared" ref="Y259:Y274" si="352">SUM(V259*$Y$7)</f>
        <v>8941.0329855096006</v>
      </c>
      <c r="Z259" s="63">
        <f t="shared" ref="Z259:Z274" si="353">SUM(V259*$Z$7)</f>
        <v>95.244026476800002</v>
      </c>
      <c r="AA259" s="63">
        <f t="shared" ref="AA259:AA274" si="354">SUM(V259*$AA$7)</f>
        <v>41.669261583599997</v>
      </c>
      <c r="AB259" s="63">
        <f t="shared" ref="AB259:AB272" si="355">SUM($AB$7)</f>
        <v>335</v>
      </c>
      <c r="AC259" s="63">
        <f t="shared" ref="AC259:AC272" si="356">$AC$7</f>
        <v>10356.36</v>
      </c>
      <c r="AD259" s="63">
        <f t="shared" ref="AD259:AD272" si="357">SUM(AB259+AC259)*$AD$7</f>
        <v>106.9136</v>
      </c>
      <c r="AE259" s="178">
        <v>499</v>
      </c>
    </row>
    <row r="260" spans="1:31" x14ac:dyDescent="0.25">
      <c r="A260" s="167">
        <v>499</v>
      </c>
      <c r="B260" s="167">
        <v>499002</v>
      </c>
      <c r="C260" s="168" t="s">
        <v>4014</v>
      </c>
      <c r="D260" s="168" t="s">
        <v>2830</v>
      </c>
      <c r="E260" s="168" t="s">
        <v>2831</v>
      </c>
      <c r="F260" s="58">
        <v>38880</v>
      </c>
      <c r="G260" s="59">
        <f t="shared" si="342"/>
        <v>14.561643835616438</v>
      </c>
      <c r="H260" s="61">
        <v>37483.836640000001</v>
      </c>
      <c r="I260" s="63">
        <v>38420.93</v>
      </c>
      <c r="J260" s="61">
        <v>38420.932556</v>
      </c>
      <c r="K260" s="63">
        <f t="shared" si="343"/>
        <v>38420.932556</v>
      </c>
      <c r="L260" s="63">
        <f t="shared" si="344"/>
        <v>18.471602190384615</v>
      </c>
      <c r="M260" s="63">
        <f t="shared" si="345"/>
        <v>1477.7281752307692</v>
      </c>
      <c r="N260" s="63">
        <f t="shared" si="346"/>
        <v>3580.2739726027398</v>
      </c>
      <c r="O260" s="65"/>
      <c r="P260" s="65"/>
      <c r="Q260" s="63">
        <f t="shared" si="347"/>
        <v>3580.2739726027398</v>
      </c>
      <c r="R260" s="63">
        <f t="shared" si="348"/>
        <v>42001.206528602743</v>
      </c>
      <c r="S260" s="65"/>
      <c r="T260" s="65"/>
      <c r="U260" s="65"/>
      <c r="V260" s="63">
        <f t="shared" si="349"/>
        <v>42001.206528602743</v>
      </c>
      <c r="W260" s="63">
        <f t="shared" si="350"/>
        <v>2604.07480477337</v>
      </c>
      <c r="X260" s="63">
        <f t="shared" si="351"/>
        <v>609.01749466473984</v>
      </c>
      <c r="Y260" s="63">
        <f t="shared" si="352"/>
        <v>6308.581220596132</v>
      </c>
      <c r="Z260" s="63">
        <f t="shared" si="353"/>
        <v>67.20193044576439</v>
      </c>
      <c r="AA260" s="63">
        <f t="shared" si="354"/>
        <v>29.400844570021921</v>
      </c>
      <c r="AB260" s="63">
        <f t="shared" si="355"/>
        <v>335</v>
      </c>
      <c r="AC260" s="63">
        <f t="shared" si="356"/>
        <v>10356.36</v>
      </c>
      <c r="AD260" s="63">
        <f t="shared" si="357"/>
        <v>106.9136</v>
      </c>
      <c r="AE260" s="178">
        <v>499</v>
      </c>
    </row>
    <row r="261" spans="1:31" x14ac:dyDescent="0.25">
      <c r="A261" s="167">
        <v>499</v>
      </c>
      <c r="B261" s="167">
        <v>499003</v>
      </c>
      <c r="C261" s="168" t="s">
        <v>4015</v>
      </c>
      <c r="D261" s="168" t="s">
        <v>2834</v>
      </c>
      <c r="E261" s="168" t="s">
        <v>2835</v>
      </c>
      <c r="F261" s="58">
        <v>38516</v>
      </c>
      <c r="G261" s="59">
        <f t="shared" si="342"/>
        <v>15.558904109589042</v>
      </c>
      <c r="H261" s="61">
        <v>37525.269119999997</v>
      </c>
      <c r="I261" s="63">
        <v>38463.4</v>
      </c>
      <c r="J261" s="61">
        <v>38463.400847999997</v>
      </c>
      <c r="K261" s="63">
        <f t="shared" si="343"/>
        <v>38463.400847999997</v>
      </c>
      <c r="L261" s="63">
        <f t="shared" si="344"/>
        <v>18.492019638461539</v>
      </c>
      <c r="M261" s="63">
        <f t="shared" si="345"/>
        <v>1479.3615710769229</v>
      </c>
      <c r="N261" s="63">
        <f t="shared" si="346"/>
        <v>3843.550684931507</v>
      </c>
      <c r="O261" s="65"/>
      <c r="P261" s="65"/>
      <c r="Q261" s="63">
        <f t="shared" si="347"/>
        <v>3843.550684931507</v>
      </c>
      <c r="R261" s="63">
        <f t="shared" si="348"/>
        <v>42306.951532931504</v>
      </c>
      <c r="S261" s="65"/>
      <c r="T261" s="65"/>
      <c r="U261" s="65"/>
      <c r="V261" s="63">
        <f t="shared" si="349"/>
        <v>42306.951532931504</v>
      </c>
      <c r="W261" s="63">
        <f t="shared" si="350"/>
        <v>2623.0309950417532</v>
      </c>
      <c r="X261" s="63">
        <f t="shared" si="351"/>
        <v>613.45079722750688</v>
      </c>
      <c r="Y261" s="63">
        <f t="shared" si="352"/>
        <v>6354.5041202463117</v>
      </c>
      <c r="Z261" s="63">
        <f t="shared" si="353"/>
        <v>67.691122452690408</v>
      </c>
      <c r="AA261" s="63">
        <f t="shared" si="354"/>
        <v>29.614866073052053</v>
      </c>
      <c r="AB261" s="63">
        <f t="shared" si="355"/>
        <v>335</v>
      </c>
      <c r="AC261" s="63">
        <f t="shared" si="356"/>
        <v>10356.36</v>
      </c>
      <c r="AD261" s="63">
        <f t="shared" si="357"/>
        <v>106.9136</v>
      </c>
      <c r="AE261" s="178">
        <v>499</v>
      </c>
    </row>
    <row r="262" spans="1:31" x14ac:dyDescent="0.25">
      <c r="A262" s="167">
        <v>499</v>
      </c>
      <c r="B262" s="167">
        <v>499010</v>
      </c>
      <c r="C262" s="168" t="s">
        <v>4016</v>
      </c>
      <c r="D262" s="168" t="s">
        <v>2838</v>
      </c>
      <c r="E262" s="168" t="s">
        <v>2839</v>
      </c>
      <c r="F262" s="58">
        <v>42282</v>
      </c>
      <c r="G262" s="59">
        <f t="shared" si="342"/>
        <v>5.2410958904109588</v>
      </c>
      <c r="H262" s="61">
        <v>31474.491280000002</v>
      </c>
      <c r="I262" s="63">
        <v>31457.14</v>
      </c>
      <c r="J262" s="61">
        <v>32261.353562000004</v>
      </c>
      <c r="K262" s="63">
        <f t="shared" si="343"/>
        <v>32261.353562000004</v>
      </c>
      <c r="L262" s="63">
        <f t="shared" si="344"/>
        <v>15.510266135576925</v>
      </c>
      <c r="M262" s="63">
        <f t="shared" si="345"/>
        <v>1240.8212908461539</v>
      </c>
      <c r="N262" s="63">
        <f t="shared" si="346"/>
        <v>1119.649315068493</v>
      </c>
      <c r="O262" s="65"/>
      <c r="P262" s="65"/>
      <c r="Q262" s="63">
        <f t="shared" si="347"/>
        <v>1119.649315068493</v>
      </c>
      <c r="R262" s="63">
        <f t="shared" si="348"/>
        <v>33381.002877068495</v>
      </c>
      <c r="S262" s="65"/>
      <c r="T262" s="65"/>
      <c r="U262" s="65"/>
      <c r="V262" s="63">
        <f t="shared" si="349"/>
        <v>33381.002877068495</v>
      </c>
      <c r="W262" s="63">
        <f t="shared" si="350"/>
        <v>2069.6221783782466</v>
      </c>
      <c r="X262" s="63">
        <f t="shared" si="351"/>
        <v>484.02454171749321</v>
      </c>
      <c r="Y262" s="63">
        <f t="shared" si="352"/>
        <v>5013.8266321356878</v>
      </c>
      <c r="Z262" s="63">
        <f t="shared" si="353"/>
        <v>53.409604603309596</v>
      </c>
      <c r="AA262" s="63">
        <f t="shared" si="354"/>
        <v>23.366702013947947</v>
      </c>
      <c r="AB262" s="63">
        <f t="shared" si="355"/>
        <v>335</v>
      </c>
      <c r="AC262" s="63">
        <f t="shared" si="356"/>
        <v>10356.36</v>
      </c>
      <c r="AD262" s="63">
        <f t="shared" si="357"/>
        <v>106.9136</v>
      </c>
      <c r="AE262" s="178">
        <v>499</v>
      </c>
    </row>
    <row r="263" spans="1:31" x14ac:dyDescent="0.25">
      <c r="A263" s="167">
        <v>499</v>
      </c>
      <c r="B263" s="167">
        <v>499011</v>
      </c>
      <c r="C263" s="168" t="s">
        <v>4017</v>
      </c>
      <c r="D263" s="168" t="s">
        <v>3786</v>
      </c>
      <c r="E263" s="168" t="s">
        <v>2469</v>
      </c>
      <c r="F263" s="58">
        <v>36696</v>
      </c>
      <c r="G263" s="59">
        <f t="shared" si="342"/>
        <v>20.545205479452054</v>
      </c>
      <c r="H263" s="61">
        <v>37525.269119999997</v>
      </c>
      <c r="I263" s="63">
        <v>38463.4</v>
      </c>
      <c r="J263" s="61">
        <v>38463.400847999997</v>
      </c>
      <c r="K263" s="63">
        <f t="shared" si="343"/>
        <v>38463.400847999997</v>
      </c>
      <c r="L263" s="63">
        <f t="shared" si="344"/>
        <v>18.492019638461539</v>
      </c>
      <c r="M263" s="63">
        <f t="shared" si="345"/>
        <v>1479.3615710769229</v>
      </c>
      <c r="N263" s="63">
        <f t="shared" si="346"/>
        <v>5159.9342465753425</v>
      </c>
      <c r="O263" s="65"/>
      <c r="P263" s="65"/>
      <c r="Q263" s="63">
        <f t="shared" si="347"/>
        <v>5000</v>
      </c>
      <c r="R263" s="63">
        <f t="shared" si="348"/>
        <v>43463.400847999997</v>
      </c>
      <c r="S263" s="65"/>
      <c r="T263" s="65"/>
      <c r="U263" s="65"/>
      <c r="V263" s="63">
        <f t="shared" si="349"/>
        <v>43463.400847999997</v>
      </c>
      <c r="W263" s="63">
        <f t="shared" si="350"/>
        <v>2694.730852576</v>
      </c>
      <c r="X263" s="63">
        <f t="shared" si="351"/>
        <v>630.219312296</v>
      </c>
      <c r="Y263" s="63">
        <f t="shared" si="352"/>
        <v>6528.2028073695992</v>
      </c>
      <c r="Z263" s="63">
        <f t="shared" si="353"/>
        <v>69.541441356799993</v>
      </c>
      <c r="AA263" s="63">
        <f t="shared" si="354"/>
        <v>30.424380593599999</v>
      </c>
      <c r="AB263" s="63">
        <f t="shared" si="355"/>
        <v>335</v>
      </c>
      <c r="AC263" s="63">
        <f t="shared" si="356"/>
        <v>10356.36</v>
      </c>
      <c r="AD263" s="63">
        <f t="shared" si="357"/>
        <v>106.9136</v>
      </c>
      <c r="AE263" s="178">
        <v>499</v>
      </c>
    </row>
    <row r="264" spans="1:31" x14ac:dyDescent="0.25">
      <c r="A264" s="167">
        <v>499</v>
      </c>
      <c r="B264" s="167">
        <v>499020</v>
      </c>
      <c r="C264" s="168" t="s">
        <v>4018</v>
      </c>
      <c r="D264" s="168" t="s">
        <v>2845</v>
      </c>
      <c r="E264" s="168" t="s">
        <v>2846</v>
      </c>
      <c r="F264" s="58">
        <v>42499</v>
      </c>
      <c r="G264" s="59">
        <f t="shared" si="342"/>
        <v>4.646575342465753</v>
      </c>
      <c r="H264" s="61">
        <v>30689.997039999998</v>
      </c>
      <c r="I264" s="63">
        <v>31457.25</v>
      </c>
      <c r="J264" s="61">
        <v>31457.246965999999</v>
      </c>
      <c r="K264" s="63">
        <f t="shared" si="343"/>
        <v>31457.246965999999</v>
      </c>
      <c r="L264" s="63">
        <f t="shared" si="344"/>
        <v>15.123676425961538</v>
      </c>
      <c r="M264" s="63">
        <f t="shared" si="345"/>
        <v>1209.894114076923</v>
      </c>
      <c r="N264" s="63">
        <f t="shared" si="346"/>
        <v>962.69589041095878</v>
      </c>
      <c r="O264" s="65"/>
      <c r="P264" s="65"/>
      <c r="Q264" s="63">
        <f t="shared" si="347"/>
        <v>962.69589041095878</v>
      </c>
      <c r="R264" s="63">
        <f t="shared" si="348"/>
        <v>32419.942856410958</v>
      </c>
      <c r="S264" s="65"/>
      <c r="T264" s="65"/>
      <c r="U264" s="65"/>
      <c r="V264" s="63">
        <f t="shared" si="349"/>
        <v>32419.942856410958</v>
      </c>
      <c r="W264" s="63">
        <f t="shared" si="350"/>
        <v>2010.0364570974793</v>
      </c>
      <c r="X264" s="63">
        <f t="shared" si="351"/>
        <v>470.08917141795894</v>
      </c>
      <c r="Y264" s="63">
        <f t="shared" si="352"/>
        <v>4869.4754170329261</v>
      </c>
      <c r="Z264" s="63">
        <f t="shared" si="353"/>
        <v>51.871908570257538</v>
      </c>
      <c r="AA264" s="63">
        <f t="shared" si="354"/>
        <v>22.693959999487671</v>
      </c>
      <c r="AB264" s="63">
        <f t="shared" si="355"/>
        <v>335</v>
      </c>
      <c r="AC264" s="63">
        <f t="shared" si="356"/>
        <v>10356.36</v>
      </c>
      <c r="AD264" s="63">
        <f t="shared" si="357"/>
        <v>106.9136</v>
      </c>
      <c r="AE264" s="178">
        <v>499</v>
      </c>
    </row>
    <row r="265" spans="1:31" x14ac:dyDescent="0.25">
      <c r="A265" s="167">
        <v>499</v>
      </c>
      <c r="B265" s="167">
        <v>499021</v>
      </c>
      <c r="C265" s="168" t="s">
        <v>4019</v>
      </c>
      <c r="D265" s="185" t="s">
        <v>2848</v>
      </c>
      <c r="E265" s="185" t="s">
        <v>2849</v>
      </c>
      <c r="F265" s="58">
        <v>36514</v>
      </c>
      <c r="G265" s="59">
        <f t="shared" si="342"/>
        <v>21.043835616438358</v>
      </c>
      <c r="H265" s="61">
        <v>30689.997039999998</v>
      </c>
      <c r="I265" s="63">
        <v>31457.25</v>
      </c>
      <c r="J265" s="61">
        <v>31457.246965999999</v>
      </c>
      <c r="K265" s="63">
        <f t="shared" si="343"/>
        <v>31457.246965999999</v>
      </c>
      <c r="L265" s="63">
        <f t="shared" si="344"/>
        <v>15.123676425961538</v>
      </c>
      <c r="M265" s="63">
        <f t="shared" si="345"/>
        <v>1209.894114076923</v>
      </c>
      <c r="N265" s="63">
        <f t="shared" si="346"/>
        <v>5291.5726027397268</v>
      </c>
      <c r="O265" s="65"/>
      <c r="P265" s="65"/>
      <c r="Q265" s="63">
        <f t="shared" si="347"/>
        <v>5000</v>
      </c>
      <c r="R265" s="63">
        <f t="shared" si="348"/>
        <v>36457.246965999999</v>
      </c>
      <c r="S265" s="65"/>
      <c r="T265" s="65"/>
      <c r="U265" s="65"/>
      <c r="V265" s="63">
        <f t="shared" si="349"/>
        <v>36457.246965999999</v>
      </c>
      <c r="W265" s="63">
        <f t="shared" si="350"/>
        <v>2260.3493118920001</v>
      </c>
      <c r="X265" s="63">
        <f t="shared" si="351"/>
        <v>528.63008100700006</v>
      </c>
      <c r="Y265" s="63">
        <f t="shared" si="352"/>
        <v>5475.8784942931998</v>
      </c>
      <c r="Z265" s="63">
        <f t="shared" si="353"/>
        <v>58.331595145599998</v>
      </c>
      <c r="AA265" s="63">
        <f t="shared" si="354"/>
        <v>25.5200728762</v>
      </c>
      <c r="AB265" s="63">
        <f t="shared" si="355"/>
        <v>335</v>
      </c>
      <c r="AC265" s="63">
        <f t="shared" si="356"/>
        <v>10356.36</v>
      </c>
      <c r="AD265" s="63">
        <f t="shared" si="357"/>
        <v>106.9136</v>
      </c>
      <c r="AE265" s="178">
        <v>499</v>
      </c>
    </row>
    <row r="266" spans="1:31" x14ac:dyDescent="0.25">
      <c r="A266" s="167">
        <v>499</v>
      </c>
      <c r="B266" s="167">
        <v>499022</v>
      </c>
      <c r="C266" s="168" t="s">
        <v>4020</v>
      </c>
      <c r="D266" s="168" t="s">
        <v>2852</v>
      </c>
      <c r="E266" s="168" t="s">
        <v>2445</v>
      </c>
      <c r="F266" s="58">
        <v>43194</v>
      </c>
      <c r="G266" s="59">
        <f t="shared" si="342"/>
        <v>2.7424657534246575</v>
      </c>
      <c r="H266" s="61">
        <v>30689.997039999998</v>
      </c>
      <c r="I266" s="63">
        <v>31457.25</v>
      </c>
      <c r="J266" s="61">
        <v>31457.246965999999</v>
      </c>
      <c r="K266" s="63">
        <f t="shared" si="343"/>
        <v>31457.246965999999</v>
      </c>
      <c r="L266" s="63">
        <f t="shared" si="344"/>
        <v>15.123676425961538</v>
      </c>
      <c r="M266" s="63">
        <f t="shared" si="345"/>
        <v>1209.894114076923</v>
      </c>
      <c r="N266" s="63">
        <f t="shared" si="346"/>
        <v>0</v>
      </c>
      <c r="O266" s="65"/>
      <c r="P266" s="65"/>
      <c r="Q266" s="63">
        <f t="shared" si="347"/>
        <v>0</v>
      </c>
      <c r="R266" s="63">
        <f t="shared" si="348"/>
        <v>31457.246965999999</v>
      </c>
      <c r="S266" s="65"/>
      <c r="T266" s="65"/>
      <c r="U266" s="65"/>
      <c r="V266" s="63">
        <f t="shared" si="349"/>
        <v>31457.246965999999</v>
      </c>
      <c r="W266" s="63">
        <f t="shared" si="350"/>
        <v>1950.3493118919998</v>
      </c>
      <c r="X266" s="63">
        <f t="shared" si="351"/>
        <v>456.130081007</v>
      </c>
      <c r="Y266" s="63">
        <f t="shared" si="352"/>
        <v>4724.8784942931998</v>
      </c>
      <c r="Z266" s="63">
        <f t="shared" si="353"/>
        <v>50.331595145599998</v>
      </c>
      <c r="AA266" s="63">
        <f t="shared" si="354"/>
        <v>22.0200728762</v>
      </c>
      <c r="AB266" s="63">
        <f t="shared" si="355"/>
        <v>335</v>
      </c>
      <c r="AC266" s="63">
        <f t="shared" si="356"/>
        <v>10356.36</v>
      </c>
      <c r="AD266" s="63">
        <f t="shared" si="357"/>
        <v>106.9136</v>
      </c>
      <c r="AE266" s="178">
        <v>499</v>
      </c>
    </row>
    <row r="267" spans="1:31" x14ac:dyDescent="0.25">
      <c r="A267" s="167">
        <v>499</v>
      </c>
      <c r="B267" s="167">
        <v>499029</v>
      </c>
      <c r="C267" s="168" t="s">
        <v>4021</v>
      </c>
      <c r="D267" s="168" t="s">
        <v>2842</v>
      </c>
      <c r="E267" s="168" t="s">
        <v>2707</v>
      </c>
      <c r="F267" s="58">
        <v>40413</v>
      </c>
      <c r="G267" s="59">
        <f t="shared" si="342"/>
        <v>10.361643835616439</v>
      </c>
      <c r="H267" s="61">
        <v>31474.491280000002</v>
      </c>
      <c r="I267" s="63">
        <v>32261.35</v>
      </c>
      <c r="J267" s="61">
        <v>32261.353562000004</v>
      </c>
      <c r="K267" s="63">
        <f t="shared" si="343"/>
        <v>32261.353562000004</v>
      </c>
      <c r="L267" s="63">
        <f t="shared" si="344"/>
        <v>15.510266135576925</v>
      </c>
      <c r="M267" s="63">
        <f t="shared" si="345"/>
        <v>1240.8212908461539</v>
      </c>
      <c r="N267" s="63">
        <f t="shared" si="346"/>
        <v>2471.4739726027401</v>
      </c>
      <c r="O267" s="65"/>
      <c r="P267" s="65"/>
      <c r="Q267" s="63">
        <f t="shared" si="347"/>
        <v>2471.4739726027401</v>
      </c>
      <c r="R267" s="63">
        <f t="shared" si="348"/>
        <v>34732.827534602744</v>
      </c>
      <c r="S267" s="65"/>
      <c r="T267" s="65"/>
      <c r="U267" s="65"/>
      <c r="V267" s="63">
        <f t="shared" si="349"/>
        <v>34732.827534602744</v>
      </c>
      <c r="W267" s="63">
        <f t="shared" si="350"/>
        <v>2153.4353071453702</v>
      </c>
      <c r="X267" s="63">
        <f t="shared" si="351"/>
        <v>503.62599925173981</v>
      </c>
      <c r="Y267" s="63">
        <f t="shared" si="352"/>
        <v>5216.8706956973319</v>
      </c>
      <c r="Z267" s="63">
        <f t="shared" si="353"/>
        <v>55.57252405536439</v>
      </c>
      <c r="AA267" s="63">
        <f t="shared" si="354"/>
        <v>24.31297927422192</v>
      </c>
      <c r="AB267" s="63">
        <f t="shared" si="355"/>
        <v>335</v>
      </c>
      <c r="AC267" s="63">
        <f t="shared" si="356"/>
        <v>10356.36</v>
      </c>
      <c r="AD267" s="63">
        <f t="shared" si="357"/>
        <v>106.9136</v>
      </c>
      <c r="AE267" s="178">
        <v>499</v>
      </c>
    </row>
    <row r="268" spans="1:31" x14ac:dyDescent="0.25">
      <c r="A268" s="167">
        <v>499</v>
      </c>
      <c r="B268" s="167">
        <v>499031</v>
      </c>
      <c r="C268" s="168" t="s">
        <v>4022</v>
      </c>
      <c r="D268" s="247" t="s">
        <v>4023</v>
      </c>
      <c r="E268" s="247" t="s">
        <v>2855</v>
      </c>
      <c r="F268" s="84">
        <v>43333</v>
      </c>
      <c r="G268" s="59">
        <f t="shared" si="342"/>
        <v>2.3616438356164382</v>
      </c>
      <c r="H268" s="61">
        <v>30689.997039999998</v>
      </c>
      <c r="I268" s="63">
        <v>31457.25</v>
      </c>
      <c r="J268" s="61">
        <v>31457.246965999999</v>
      </c>
      <c r="K268" s="63">
        <f t="shared" si="343"/>
        <v>31457.246965999999</v>
      </c>
      <c r="L268" s="63">
        <f t="shared" si="344"/>
        <v>15.123676425961538</v>
      </c>
      <c r="M268" s="63">
        <f t="shared" si="345"/>
        <v>1209.894114076923</v>
      </c>
      <c r="N268" s="63">
        <f t="shared" si="346"/>
        <v>0</v>
      </c>
      <c r="O268" s="65"/>
      <c r="P268" s="65"/>
      <c r="Q268" s="63">
        <f t="shared" si="347"/>
        <v>0</v>
      </c>
      <c r="R268" s="63">
        <f t="shared" si="348"/>
        <v>31457.246965999999</v>
      </c>
      <c r="S268" s="65"/>
      <c r="T268" s="65"/>
      <c r="U268" s="65"/>
      <c r="V268" s="63">
        <f t="shared" si="349"/>
        <v>31457.246965999999</v>
      </c>
      <c r="W268" s="63">
        <f t="shared" si="350"/>
        <v>1950.3493118919998</v>
      </c>
      <c r="X268" s="63">
        <f t="shared" si="351"/>
        <v>456.130081007</v>
      </c>
      <c r="Y268" s="63">
        <f t="shared" si="352"/>
        <v>4724.8784942931998</v>
      </c>
      <c r="Z268" s="63">
        <f t="shared" si="353"/>
        <v>50.331595145599998</v>
      </c>
      <c r="AA268" s="63">
        <f t="shared" si="354"/>
        <v>22.0200728762</v>
      </c>
      <c r="AB268" s="63">
        <f t="shared" si="355"/>
        <v>335</v>
      </c>
      <c r="AC268" s="63">
        <f t="shared" si="356"/>
        <v>10356.36</v>
      </c>
      <c r="AD268" s="63">
        <f t="shared" si="357"/>
        <v>106.9136</v>
      </c>
      <c r="AE268" s="178">
        <v>499</v>
      </c>
    </row>
    <row r="269" spans="1:31" x14ac:dyDescent="0.25">
      <c r="A269" s="167">
        <v>499</v>
      </c>
      <c r="B269" s="167">
        <v>499032</v>
      </c>
      <c r="C269" s="168" t="s">
        <v>4024</v>
      </c>
      <c r="D269" s="168" t="s">
        <v>2557</v>
      </c>
      <c r="E269" s="168" t="s">
        <v>2857</v>
      </c>
      <c r="F269" s="58">
        <v>41064</v>
      </c>
      <c r="G269" s="59">
        <f t="shared" si="342"/>
        <v>8.5780821917808225</v>
      </c>
      <c r="H269" s="61">
        <v>30689.997039999998</v>
      </c>
      <c r="I269" s="63">
        <v>31457.25</v>
      </c>
      <c r="J269" s="61">
        <v>31457.246965999999</v>
      </c>
      <c r="K269" s="63">
        <f t="shared" si="343"/>
        <v>31457.246965999999</v>
      </c>
      <c r="L269" s="63">
        <f t="shared" si="344"/>
        <v>15.123676425961538</v>
      </c>
      <c r="M269" s="63">
        <f t="shared" si="345"/>
        <v>1209.894114076923</v>
      </c>
      <c r="N269" s="63">
        <f t="shared" si="346"/>
        <v>2000.6136986301372</v>
      </c>
      <c r="O269" s="65"/>
      <c r="P269" s="65"/>
      <c r="Q269" s="63">
        <f t="shared" si="347"/>
        <v>2000.6136986301372</v>
      </c>
      <c r="R269" s="63">
        <f t="shared" si="348"/>
        <v>33457.860664630134</v>
      </c>
      <c r="S269" s="65"/>
      <c r="T269" s="65"/>
      <c r="U269" s="65"/>
      <c r="V269" s="63">
        <f t="shared" si="349"/>
        <v>33457.860664630134</v>
      </c>
      <c r="W269" s="63">
        <f t="shared" si="350"/>
        <v>2074.3873612070684</v>
      </c>
      <c r="X269" s="63">
        <f t="shared" si="351"/>
        <v>485.13897963713697</v>
      </c>
      <c r="Y269" s="63">
        <f t="shared" si="352"/>
        <v>5025.3706718274461</v>
      </c>
      <c r="Z269" s="63">
        <f t="shared" si="353"/>
        <v>53.532577063408219</v>
      </c>
      <c r="AA269" s="63">
        <f t="shared" si="354"/>
        <v>23.420502465241093</v>
      </c>
      <c r="AB269" s="63">
        <f t="shared" si="355"/>
        <v>335</v>
      </c>
      <c r="AC269" s="63">
        <f t="shared" si="356"/>
        <v>10356.36</v>
      </c>
      <c r="AD269" s="63">
        <f t="shared" si="357"/>
        <v>106.9136</v>
      </c>
      <c r="AE269" s="178">
        <v>499</v>
      </c>
    </row>
    <row r="270" spans="1:31" x14ac:dyDescent="0.25">
      <c r="A270" s="167">
        <v>499</v>
      </c>
      <c r="B270" s="167">
        <v>499040</v>
      </c>
      <c r="C270" s="168" t="s">
        <v>4025</v>
      </c>
      <c r="D270" s="168" t="s">
        <v>3787</v>
      </c>
      <c r="E270" s="168" t="s">
        <v>3262</v>
      </c>
      <c r="F270" s="58">
        <v>39395</v>
      </c>
      <c r="G270" s="59">
        <f t="shared" si="342"/>
        <v>13.150684931506849</v>
      </c>
      <c r="H270" s="61">
        <v>30689.997039999998</v>
      </c>
      <c r="I270" s="63">
        <v>31457.25</v>
      </c>
      <c r="J270" s="61">
        <v>31457.246965999999</v>
      </c>
      <c r="K270" s="63">
        <f t="shared" si="343"/>
        <v>31457.246965999999</v>
      </c>
      <c r="L270" s="63">
        <f t="shared" si="344"/>
        <v>15.123676425961538</v>
      </c>
      <c r="M270" s="63">
        <f t="shared" si="345"/>
        <v>1209.894114076923</v>
      </c>
      <c r="N270" s="63">
        <f t="shared" si="346"/>
        <v>3207.7808219178082</v>
      </c>
      <c r="O270" s="65"/>
      <c r="P270" s="65"/>
      <c r="Q270" s="63">
        <f t="shared" si="347"/>
        <v>3207.7808219178082</v>
      </c>
      <c r="R270" s="63">
        <f t="shared" si="348"/>
        <v>34665.02778791781</v>
      </c>
      <c r="S270" s="65"/>
      <c r="T270" s="65"/>
      <c r="U270" s="65"/>
      <c r="V270" s="63">
        <f t="shared" si="349"/>
        <v>34665.02778791781</v>
      </c>
      <c r="W270" s="63">
        <f t="shared" si="350"/>
        <v>2149.2317228509041</v>
      </c>
      <c r="X270" s="63">
        <f t="shared" si="351"/>
        <v>502.64290292480825</v>
      </c>
      <c r="Y270" s="63">
        <f t="shared" si="352"/>
        <v>5206.6871737452548</v>
      </c>
      <c r="Z270" s="63">
        <f t="shared" si="353"/>
        <v>55.464044460668497</v>
      </c>
      <c r="AA270" s="63">
        <f t="shared" si="354"/>
        <v>24.265519451542467</v>
      </c>
      <c r="AB270" s="63">
        <f t="shared" si="355"/>
        <v>335</v>
      </c>
      <c r="AC270" s="63">
        <f t="shared" si="356"/>
        <v>10356.36</v>
      </c>
      <c r="AD270" s="63">
        <f t="shared" si="357"/>
        <v>106.9136</v>
      </c>
      <c r="AE270" s="178">
        <v>499</v>
      </c>
    </row>
    <row r="271" spans="1:31" x14ac:dyDescent="0.25">
      <c r="A271" s="167">
        <v>499</v>
      </c>
      <c r="B271" s="167">
        <v>499041</v>
      </c>
      <c r="C271" s="168" t="s">
        <v>4026</v>
      </c>
      <c r="D271" s="168" t="s">
        <v>2864</v>
      </c>
      <c r="E271" s="168" t="s">
        <v>2865</v>
      </c>
      <c r="F271" s="58">
        <v>39428</v>
      </c>
      <c r="G271" s="59">
        <f t="shared" si="342"/>
        <v>13.06027397260274</v>
      </c>
      <c r="H271" s="61">
        <v>30689.997039999998</v>
      </c>
      <c r="I271" s="63">
        <v>31457.25</v>
      </c>
      <c r="J271" s="61">
        <v>31457.246965999999</v>
      </c>
      <c r="K271" s="63">
        <f t="shared" si="343"/>
        <v>31457.246965999999</v>
      </c>
      <c r="L271" s="63">
        <f t="shared" si="344"/>
        <v>15.123676425961538</v>
      </c>
      <c r="M271" s="63">
        <f t="shared" si="345"/>
        <v>1209.894114076923</v>
      </c>
      <c r="N271" s="63">
        <f t="shared" si="346"/>
        <v>3183.9123287671232</v>
      </c>
      <c r="O271" s="65"/>
      <c r="P271" s="65"/>
      <c r="Q271" s="63">
        <f t="shared" si="347"/>
        <v>3183.9123287671232</v>
      </c>
      <c r="R271" s="63">
        <f t="shared" si="348"/>
        <v>34641.159294767123</v>
      </c>
      <c r="S271" s="65"/>
      <c r="T271" s="65"/>
      <c r="U271" s="65"/>
      <c r="V271" s="63">
        <f t="shared" si="349"/>
        <v>34641.159294767123</v>
      </c>
      <c r="W271" s="63">
        <f t="shared" si="350"/>
        <v>2147.7518762755617</v>
      </c>
      <c r="X271" s="63">
        <f t="shared" si="351"/>
        <v>502.29680977412329</v>
      </c>
      <c r="Y271" s="63">
        <f t="shared" si="352"/>
        <v>5203.1021260740217</v>
      </c>
      <c r="Z271" s="63">
        <f t="shared" si="353"/>
        <v>55.425854871627401</v>
      </c>
      <c r="AA271" s="63">
        <f t="shared" si="354"/>
        <v>24.248811506336985</v>
      </c>
      <c r="AB271" s="63">
        <f t="shared" si="355"/>
        <v>335</v>
      </c>
      <c r="AC271" s="63">
        <f t="shared" si="356"/>
        <v>10356.36</v>
      </c>
      <c r="AD271" s="63">
        <f t="shared" si="357"/>
        <v>106.9136</v>
      </c>
      <c r="AE271" s="178">
        <v>499</v>
      </c>
    </row>
    <row r="272" spans="1:31" x14ac:dyDescent="0.25">
      <c r="A272" s="167">
        <v>499</v>
      </c>
      <c r="B272" s="167">
        <v>499050</v>
      </c>
      <c r="C272" s="168" t="s">
        <v>4027</v>
      </c>
      <c r="D272" s="185" t="s">
        <v>2867</v>
      </c>
      <c r="E272" s="185" t="s">
        <v>2868</v>
      </c>
      <c r="F272" s="58">
        <v>35870</v>
      </c>
      <c r="G272" s="59">
        <f t="shared" si="342"/>
        <v>22.80821917808219</v>
      </c>
      <c r="H272" s="61">
        <v>30689.997039999998</v>
      </c>
      <c r="I272" s="63">
        <v>31457.25</v>
      </c>
      <c r="J272" s="61">
        <v>31457.246965999999</v>
      </c>
      <c r="K272" s="63">
        <f t="shared" si="343"/>
        <v>31457.246965999999</v>
      </c>
      <c r="L272" s="63">
        <f t="shared" si="344"/>
        <v>15.123676425961538</v>
      </c>
      <c r="M272" s="63">
        <f t="shared" si="345"/>
        <v>1209.894114076923</v>
      </c>
      <c r="N272" s="63">
        <f t="shared" si="346"/>
        <v>5757.3698630136978</v>
      </c>
      <c r="O272" s="65"/>
      <c r="P272" s="65"/>
      <c r="Q272" s="63">
        <f t="shared" si="347"/>
        <v>5000</v>
      </c>
      <c r="R272" s="63">
        <f t="shared" si="348"/>
        <v>36457.246965999999</v>
      </c>
      <c r="S272" s="65"/>
      <c r="T272" s="65"/>
      <c r="U272" s="65"/>
      <c r="V272" s="63">
        <f t="shared" si="349"/>
        <v>36457.246965999999</v>
      </c>
      <c r="W272" s="63">
        <f t="shared" si="350"/>
        <v>2260.3493118920001</v>
      </c>
      <c r="X272" s="63">
        <f t="shared" si="351"/>
        <v>528.63008100700006</v>
      </c>
      <c r="Y272" s="63">
        <f t="shared" si="352"/>
        <v>5475.8784942931998</v>
      </c>
      <c r="Z272" s="63">
        <f t="shared" si="353"/>
        <v>58.331595145599998</v>
      </c>
      <c r="AA272" s="63">
        <f t="shared" si="354"/>
        <v>25.5200728762</v>
      </c>
      <c r="AB272" s="63">
        <f t="shared" si="355"/>
        <v>335</v>
      </c>
      <c r="AC272" s="63">
        <f t="shared" si="356"/>
        <v>10356.36</v>
      </c>
      <c r="AD272" s="63">
        <f t="shared" si="357"/>
        <v>106.9136</v>
      </c>
      <c r="AE272" s="178">
        <v>499</v>
      </c>
    </row>
    <row r="273" spans="1:31" x14ac:dyDescent="0.25">
      <c r="A273" s="167">
        <v>499</v>
      </c>
      <c r="B273" s="247"/>
      <c r="C273" s="168" t="s">
        <v>2611</v>
      </c>
      <c r="D273" s="168" t="s">
        <v>2860</v>
      </c>
      <c r="E273" s="168" t="s">
        <v>2604</v>
      </c>
      <c r="F273" s="58">
        <v>43242</v>
      </c>
      <c r="G273" s="167" t="s">
        <v>2422</v>
      </c>
      <c r="H273" s="61">
        <v>15600</v>
      </c>
      <c r="I273" s="251"/>
      <c r="J273" s="61">
        <v>15600</v>
      </c>
      <c r="K273" s="61">
        <v>15600</v>
      </c>
      <c r="L273" s="247"/>
      <c r="M273" s="247"/>
      <c r="N273" s="167" t="s">
        <v>27</v>
      </c>
      <c r="O273" s="247"/>
      <c r="P273" s="247"/>
      <c r="Q273" s="167">
        <v>0</v>
      </c>
      <c r="R273" s="63">
        <f t="shared" si="348"/>
        <v>15600</v>
      </c>
      <c r="S273" s="65"/>
      <c r="T273" s="65"/>
      <c r="U273" s="65"/>
      <c r="V273" s="63">
        <f t="shared" si="349"/>
        <v>15600</v>
      </c>
      <c r="W273" s="63">
        <f t="shared" si="350"/>
        <v>967.2</v>
      </c>
      <c r="X273" s="63">
        <f t="shared" si="351"/>
        <v>226.20000000000002</v>
      </c>
      <c r="Y273" s="63">
        <f t="shared" si="352"/>
        <v>2343.12</v>
      </c>
      <c r="Z273" s="63">
        <f t="shared" si="353"/>
        <v>24.96</v>
      </c>
      <c r="AA273" s="63">
        <f t="shared" si="354"/>
        <v>10.92</v>
      </c>
      <c r="AB273" s="63" t="s">
        <v>2422</v>
      </c>
      <c r="AC273" s="63" t="s">
        <v>2422</v>
      </c>
      <c r="AD273" s="63" t="s">
        <v>2422</v>
      </c>
      <c r="AE273" s="178">
        <v>499</v>
      </c>
    </row>
    <row r="274" spans="1:31" x14ac:dyDescent="0.25">
      <c r="A274" s="167">
        <v>499</v>
      </c>
      <c r="B274" s="247"/>
      <c r="C274" s="168" t="s">
        <v>2495</v>
      </c>
      <c r="D274" s="247"/>
      <c r="E274" s="247"/>
      <c r="F274" s="247"/>
      <c r="G274" s="167" t="s">
        <v>2422</v>
      </c>
      <c r="H274" s="132">
        <v>1000</v>
      </c>
      <c r="I274" s="296"/>
      <c r="J274" s="132">
        <v>1000</v>
      </c>
      <c r="K274" s="132">
        <v>1000</v>
      </c>
      <c r="L274" s="320"/>
      <c r="M274" s="320"/>
      <c r="N274" s="220" t="s">
        <v>27</v>
      </c>
      <c r="O274" s="320"/>
      <c r="P274" s="320"/>
      <c r="Q274" s="220">
        <v>0</v>
      </c>
      <c r="R274" s="172">
        <f t="shared" si="348"/>
        <v>1000</v>
      </c>
      <c r="S274" s="314"/>
      <c r="T274" s="314"/>
      <c r="U274" s="314"/>
      <c r="V274" s="172">
        <f t="shared" si="349"/>
        <v>1000</v>
      </c>
      <c r="W274" s="172">
        <f t="shared" si="350"/>
        <v>62</v>
      </c>
      <c r="X274" s="172">
        <f t="shared" si="351"/>
        <v>14.5</v>
      </c>
      <c r="Y274" s="172">
        <f t="shared" si="352"/>
        <v>150.19999999999999</v>
      </c>
      <c r="Z274" s="172">
        <f t="shared" si="353"/>
        <v>1.6</v>
      </c>
      <c r="AA274" s="172">
        <f t="shared" si="354"/>
        <v>0.7</v>
      </c>
      <c r="AB274" s="172" t="s">
        <v>2422</v>
      </c>
      <c r="AC274" s="172" t="s">
        <v>2422</v>
      </c>
      <c r="AD274" s="172" t="s">
        <v>2422</v>
      </c>
      <c r="AE274" s="178">
        <v>499</v>
      </c>
    </row>
    <row r="275" spans="1:31" x14ac:dyDescent="0.25">
      <c r="A275" s="167">
        <v>499</v>
      </c>
      <c r="B275" s="247"/>
      <c r="C275" s="247"/>
      <c r="D275" s="247"/>
      <c r="E275" s="247"/>
      <c r="F275" s="247"/>
      <c r="G275" s="247"/>
      <c r="H275" s="223">
        <v>490800.91087999992</v>
      </c>
      <c r="I275" s="401"/>
      <c r="J275" s="223">
        <v>502655.93365199998</v>
      </c>
      <c r="K275" s="223">
        <f t="shared" ref="K275:AD275" si="358">SUM(K258:K274)</f>
        <v>502655.93365199998</v>
      </c>
      <c r="L275" s="223">
        <f t="shared" si="358"/>
        <v>233.68073733269236</v>
      </c>
      <c r="M275" s="223">
        <f t="shared" si="358"/>
        <v>18694.458986615387</v>
      </c>
      <c r="N275" s="223">
        <f t="shared" si="358"/>
        <v>42994.389041095899</v>
      </c>
      <c r="O275" s="223">
        <f t="shared" si="358"/>
        <v>0</v>
      </c>
      <c r="P275" s="223">
        <f t="shared" si="358"/>
        <v>0</v>
      </c>
      <c r="Q275" s="223">
        <f t="shared" si="358"/>
        <v>40369.950684931508</v>
      </c>
      <c r="R275" s="223">
        <f t="shared" si="358"/>
        <v>543025.88433693151</v>
      </c>
      <c r="S275" s="223">
        <f t="shared" si="358"/>
        <v>0</v>
      </c>
      <c r="T275" s="223">
        <f t="shared" si="358"/>
        <v>0</v>
      </c>
      <c r="U275" s="223">
        <f t="shared" si="358"/>
        <v>0</v>
      </c>
      <c r="V275" s="223">
        <f t="shared" si="358"/>
        <v>543025.88433693151</v>
      </c>
      <c r="W275" s="223">
        <f t="shared" si="358"/>
        <v>33667.604828889758</v>
      </c>
      <c r="X275" s="223">
        <f t="shared" si="358"/>
        <v>7873.8753228855057</v>
      </c>
      <c r="Y275" s="223">
        <f t="shared" si="358"/>
        <v>81562.487827407094</v>
      </c>
      <c r="Z275" s="223">
        <f t="shared" si="358"/>
        <v>868.84141493909044</v>
      </c>
      <c r="AA275" s="223">
        <f t="shared" si="358"/>
        <v>380.11811903585209</v>
      </c>
      <c r="AB275" s="223">
        <f t="shared" si="358"/>
        <v>4690</v>
      </c>
      <c r="AC275" s="223">
        <f t="shared" si="358"/>
        <v>144989.03999999998</v>
      </c>
      <c r="AD275" s="223">
        <f t="shared" si="358"/>
        <v>1496.7904000000003</v>
      </c>
      <c r="AE275" s="178">
        <v>499</v>
      </c>
    </row>
    <row r="276" spans="1:31" x14ac:dyDescent="0.25">
      <c r="A276" s="247"/>
      <c r="B276" s="247"/>
      <c r="C276" s="247"/>
      <c r="D276" s="247"/>
      <c r="E276" s="247"/>
      <c r="F276" s="247"/>
      <c r="G276" s="247"/>
      <c r="H276" s="247"/>
      <c r="I276" s="169"/>
      <c r="J276" s="247">
        <v>431528.41710400005</v>
      </c>
      <c r="K276" s="69">
        <f>SUM(K260:K272)</f>
        <v>431528.41710400005</v>
      </c>
      <c r="L276" s="247"/>
      <c r="M276" s="247"/>
      <c r="N276" s="247"/>
      <c r="O276" s="247"/>
      <c r="P276" s="247"/>
      <c r="Q276" s="247"/>
      <c r="R276" s="65"/>
      <c r="S276" s="65"/>
      <c r="T276" s="65"/>
      <c r="U276" s="65"/>
      <c r="V276" s="65"/>
      <c r="W276" s="63">
        <f>W275+X275</f>
        <v>41541.480151775264</v>
      </c>
      <c r="X276" s="65"/>
      <c r="Y276" s="65"/>
      <c r="Z276" s="65"/>
      <c r="AA276" s="65"/>
      <c r="AB276" s="65"/>
      <c r="AC276" s="63">
        <f>SUM(AC275:AD275)</f>
        <v>146485.83039999998</v>
      </c>
      <c r="AD276" s="65"/>
      <c r="AE276" s="247"/>
    </row>
    <row r="277" spans="1:31" x14ac:dyDescent="0.25">
      <c r="A277" s="247"/>
      <c r="B277" s="247"/>
      <c r="C277" s="247"/>
      <c r="D277" s="247"/>
      <c r="E277" s="247"/>
      <c r="F277" s="247"/>
      <c r="G277" s="247"/>
      <c r="H277" s="247"/>
      <c r="I277" s="138"/>
      <c r="J277" s="247"/>
      <c r="K277" s="247"/>
      <c r="L277" s="247"/>
      <c r="M277" s="247"/>
      <c r="N277" s="247"/>
      <c r="O277" s="247"/>
      <c r="P277" s="247"/>
      <c r="Q277" s="247"/>
      <c r="R277" s="65"/>
      <c r="S277" s="65"/>
      <c r="T277" s="65"/>
      <c r="U277" s="65"/>
      <c r="V277" s="65"/>
      <c r="W277" s="65"/>
      <c r="X277" s="65"/>
      <c r="Y277" s="65"/>
      <c r="Z277" s="65"/>
      <c r="AA277" s="65"/>
      <c r="AB277" s="65"/>
      <c r="AC277" s="65"/>
      <c r="AD277" s="65"/>
      <c r="AE277" s="247"/>
    </row>
    <row r="278" spans="1:31" x14ac:dyDescent="0.25">
      <c r="A278" s="247"/>
      <c r="B278" s="247"/>
      <c r="C278" s="247"/>
      <c r="D278" s="247"/>
      <c r="E278" s="247"/>
      <c r="F278" s="247"/>
      <c r="G278" s="247"/>
      <c r="H278" s="247"/>
      <c r="I278" s="138"/>
      <c r="J278" s="247"/>
      <c r="K278" s="247"/>
      <c r="L278" s="247"/>
      <c r="M278" s="247"/>
      <c r="N278" s="247"/>
      <c r="O278" s="247"/>
      <c r="P278" s="247"/>
      <c r="Q278" s="247"/>
      <c r="R278" s="65"/>
      <c r="S278" s="65"/>
      <c r="T278" s="65"/>
      <c r="U278" s="65"/>
      <c r="V278" s="65"/>
      <c r="W278" s="65"/>
      <c r="X278" s="65"/>
      <c r="Y278" s="65"/>
      <c r="Z278" s="65"/>
      <c r="AA278" s="65"/>
      <c r="AB278" s="65"/>
      <c r="AC278" s="65"/>
      <c r="AD278" s="65"/>
      <c r="AE278" s="247"/>
    </row>
    <row r="279" spans="1:31" x14ac:dyDescent="0.25">
      <c r="A279" s="247"/>
      <c r="B279" s="247"/>
      <c r="C279" s="247"/>
      <c r="D279" s="247"/>
      <c r="E279" s="247"/>
      <c r="F279" s="247"/>
      <c r="G279" s="247"/>
      <c r="H279" s="247"/>
      <c r="I279" s="138"/>
      <c r="J279" s="247"/>
      <c r="K279" s="247"/>
      <c r="L279" s="247"/>
      <c r="M279" s="247"/>
      <c r="N279" s="247"/>
      <c r="O279" s="247"/>
      <c r="P279" s="247"/>
      <c r="Q279" s="247"/>
      <c r="R279" s="65"/>
      <c r="S279" s="65"/>
      <c r="T279" s="65"/>
      <c r="U279" s="65"/>
      <c r="V279" s="65"/>
      <c r="W279" s="65"/>
      <c r="X279" s="65"/>
      <c r="Y279" s="65"/>
      <c r="Z279" s="65"/>
      <c r="AA279" s="65"/>
      <c r="AB279" s="65"/>
      <c r="AC279" s="65"/>
      <c r="AD279" s="65"/>
      <c r="AE279" s="247"/>
    </row>
    <row r="280" spans="1:31" x14ac:dyDescent="0.25">
      <c r="A280" s="167">
        <v>510</v>
      </c>
      <c r="B280" s="167">
        <v>510001</v>
      </c>
      <c r="C280" s="168" t="s">
        <v>4028</v>
      </c>
      <c r="D280" s="168" t="s">
        <v>2875</v>
      </c>
      <c r="E280" s="168" t="s">
        <v>2486</v>
      </c>
      <c r="F280" s="58">
        <v>41771</v>
      </c>
      <c r="G280" s="59">
        <f t="shared" ref="G280:G289" si="359">(DATE(2020,12,30)-(F280))/365</f>
        <v>6.6410958904109592</v>
      </c>
      <c r="H280" s="61">
        <v>36566.459759999998</v>
      </c>
      <c r="I280" s="63">
        <v>37480.620000000003</v>
      </c>
      <c r="J280" s="61">
        <v>37480.621253999998</v>
      </c>
      <c r="K280" s="63">
        <f t="shared" ref="K280:K289" si="360">SUM(((J280*$K$3)+$K$2)+J280)</f>
        <v>37480.621253999998</v>
      </c>
      <c r="L280" s="63">
        <f t="shared" ref="L280:L289" si="361">SUM(K280/2080)</f>
        <v>18.019529449038462</v>
      </c>
      <c r="M280" s="63">
        <f t="shared" ref="M280:M289" si="362">SUM(K280/26)</f>
        <v>1441.5623559230769</v>
      </c>
      <c r="N280" s="63">
        <f t="shared" ref="N280:N289" si="363">IF(G280&lt;4,0,(G280-1)*$N$7)</f>
        <v>1489.2493150684932</v>
      </c>
      <c r="O280" s="65"/>
      <c r="P280" s="65"/>
      <c r="Q280" s="63">
        <f t="shared" ref="Q280:Q287" si="364">IF(N280+P280&gt;5000,5000,N280+P280)</f>
        <v>1489.2493150684932</v>
      </c>
      <c r="R280" s="63">
        <f t="shared" ref="R280:R291" si="365">Q280+K280</f>
        <v>38969.870569068487</v>
      </c>
      <c r="S280" s="65"/>
      <c r="T280" s="65"/>
      <c r="U280" s="65"/>
      <c r="V280" s="63">
        <f t="shared" ref="V280:V291" si="366">SUM(R280:U280)</f>
        <v>38969.870569068487</v>
      </c>
      <c r="W280" s="63">
        <f t="shared" ref="W280:W291" si="367">SUM(V280*$W$7)</f>
        <v>2416.131975282246</v>
      </c>
      <c r="X280" s="63">
        <f t="shared" ref="X280:X291" si="368">SUM(V280*$X$7)</f>
        <v>565.06312325149315</v>
      </c>
      <c r="Y280" s="63">
        <f t="shared" ref="Y280:Y291" si="369">SUM(V280*$Y$7)</f>
        <v>5853.2745594740873</v>
      </c>
      <c r="Z280" s="63">
        <f t="shared" ref="Z280:Z291" si="370">SUM(V280*$Z$7)</f>
        <v>62.35179291050958</v>
      </c>
      <c r="AA280" s="63">
        <f t="shared" ref="AA280:AA291" si="371">SUM(V280*$AA$7)</f>
        <v>27.278909398347942</v>
      </c>
      <c r="AB280" s="63">
        <f t="shared" ref="AB280:AB289" si="372">SUM($AB$7)</f>
        <v>335</v>
      </c>
      <c r="AC280" s="63">
        <f t="shared" ref="AC280:AC289" si="373">$AC$7</f>
        <v>10356.36</v>
      </c>
      <c r="AD280" s="63">
        <f t="shared" ref="AD280:AD289" si="374">SUM(AB280+AC280)*$AD$7</f>
        <v>106.9136</v>
      </c>
      <c r="AE280" s="178">
        <v>510</v>
      </c>
    </row>
    <row r="281" spans="1:31" x14ac:dyDescent="0.25">
      <c r="A281" s="167">
        <v>510</v>
      </c>
      <c r="B281" s="167">
        <v>510002</v>
      </c>
      <c r="C281" s="168" t="s">
        <v>2870</v>
      </c>
      <c r="D281" s="168" t="s">
        <v>2871</v>
      </c>
      <c r="E281" s="168" t="s">
        <v>2872</v>
      </c>
      <c r="F281" s="58">
        <v>39090</v>
      </c>
      <c r="G281" s="59">
        <f t="shared" si="359"/>
        <v>13.986301369863014</v>
      </c>
      <c r="H281" s="61">
        <v>40117.775999999998</v>
      </c>
      <c r="I281" s="63">
        <v>41120.720000000001</v>
      </c>
      <c r="J281" s="61">
        <v>41120.720399999998</v>
      </c>
      <c r="K281" s="63">
        <f t="shared" si="360"/>
        <v>41120.720399999998</v>
      </c>
      <c r="L281" s="63">
        <f t="shared" si="361"/>
        <v>19.769577115384614</v>
      </c>
      <c r="M281" s="63">
        <f t="shared" si="362"/>
        <v>1581.5661692307692</v>
      </c>
      <c r="N281" s="63">
        <f t="shared" si="363"/>
        <v>3428.3835616438355</v>
      </c>
      <c r="O281" s="65"/>
      <c r="P281" s="65"/>
      <c r="Q281" s="63">
        <f t="shared" si="364"/>
        <v>3428.3835616438355</v>
      </c>
      <c r="R281" s="63">
        <f t="shared" si="365"/>
        <v>44549.103961643836</v>
      </c>
      <c r="S281" s="65"/>
      <c r="T281" s="65"/>
      <c r="U281" s="65"/>
      <c r="V281" s="63">
        <f t="shared" si="366"/>
        <v>44549.103961643836</v>
      </c>
      <c r="W281" s="63">
        <f t="shared" si="367"/>
        <v>2762.0444456219179</v>
      </c>
      <c r="X281" s="63">
        <f t="shared" si="368"/>
        <v>645.96200744383566</v>
      </c>
      <c r="Y281" s="63">
        <f t="shared" si="369"/>
        <v>6691.2754150389037</v>
      </c>
      <c r="Z281" s="63">
        <f t="shared" si="370"/>
        <v>71.278566338630142</v>
      </c>
      <c r="AA281" s="63">
        <f t="shared" si="371"/>
        <v>31.184372773150685</v>
      </c>
      <c r="AB281" s="63">
        <f t="shared" si="372"/>
        <v>335</v>
      </c>
      <c r="AC281" s="63">
        <f t="shared" si="373"/>
        <v>10356.36</v>
      </c>
      <c r="AD281" s="63">
        <f t="shared" si="374"/>
        <v>106.9136</v>
      </c>
      <c r="AE281" s="178">
        <v>510</v>
      </c>
    </row>
    <row r="282" spans="1:31" x14ac:dyDescent="0.25">
      <c r="A282" s="167">
        <v>510</v>
      </c>
      <c r="B282" s="167">
        <v>510003</v>
      </c>
      <c r="C282" s="168" t="s">
        <v>4029</v>
      </c>
      <c r="D282" s="168" t="s">
        <v>2880</v>
      </c>
      <c r="E282" s="168" t="s">
        <v>2881</v>
      </c>
      <c r="F282" s="58">
        <v>42471</v>
      </c>
      <c r="G282" s="59">
        <f t="shared" si="359"/>
        <v>4.7232876712328764</v>
      </c>
      <c r="H282" s="61">
        <v>25554.87904</v>
      </c>
      <c r="I282" s="63">
        <v>26193.75</v>
      </c>
      <c r="J282" s="61">
        <v>26193.751015999998</v>
      </c>
      <c r="K282" s="63">
        <f t="shared" si="360"/>
        <v>26193.751015999998</v>
      </c>
      <c r="L282" s="63">
        <f t="shared" si="361"/>
        <v>12.593149526923076</v>
      </c>
      <c r="M282" s="63">
        <f t="shared" si="362"/>
        <v>1007.4519621538461</v>
      </c>
      <c r="N282" s="63">
        <f t="shared" si="363"/>
        <v>982.94794520547941</v>
      </c>
      <c r="O282" s="65"/>
      <c r="P282" s="65"/>
      <c r="Q282" s="63">
        <f t="shared" si="364"/>
        <v>982.94794520547941</v>
      </c>
      <c r="R282" s="63">
        <f t="shared" si="365"/>
        <v>27176.698961205479</v>
      </c>
      <c r="S282" s="65"/>
      <c r="T282" s="65"/>
      <c r="U282" s="65"/>
      <c r="V282" s="63">
        <f t="shared" si="366"/>
        <v>27176.698961205479</v>
      </c>
      <c r="W282" s="63">
        <f t="shared" si="367"/>
        <v>1684.9553355947396</v>
      </c>
      <c r="X282" s="63">
        <f t="shared" si="368"/>
        <v>394.06213493747947</v>
      </c>
      <c r="Y282" s="63">
        <f t="shared" si="369"/>
        <v>4081.9401839730631</v>
      </c>
      <c r="Z282" s="63">
        <f t="shared" si="370"/>
        <v>43.482718337928766</v>
      </c>
      <c r="AA282" s="63">
        <f t="shared" si="371"/>
        <v>19.023689272843836</v>
      </c>
      <c r="AB282" s="63">
        <f t="shared" si="372"/>
        <v>335</v>
      </c>
      <c r="AC282" s="63">
        <f t="shared" si="373"/>
        <v>10356.36</v>
      </c>
      <c r="AD282" s="63">
        <f t="shared" si="374"/>
        <v>106.9136</v>
      </c>
      <c r="AE282" s="178">
        <v>510</v>
      </c>
    </row>
    <row r="283" spans="1:31" x14ac:dyDescent="0.25">
      <c r="A283" s="167">
        <v>510</v>
      </c>
      <c r="B283" s="167">
        <v>510004</v>
      </c>
      <c r="C283" s="168" t="s">
        <v>4030</v>
      </c>
      <c r="D283" s="181" t="s">
        <v>2883</v>
      </c>
      <c r="E283" s="181" t="s">
        <v>2758</v>
      </c>
      <c r="F283" s="58">
        <v>43258</v>
      </c>
      <c r="G283" s="59">
        <f t="shared" si="359"/>
        <v>2.5671232876712327</v>
      </c>
      <c r="H283" s="61">
        <v>25554.87904</v>
      </c>
      <c r="I283" s="63">
        <v>26193.75</v>
      </c>
      <c r="J283" s="61">
        <v>26193.751015999998</v>
      </c>
      <c r="K283" s="63">
        <f t="shared" si="360"/>
        <v>26193.751015999998</v>
      </c>
      <c r="L283" s="63">
        <f t="shared" si="361"/>
        <v>12.593149526923076</v>
      </c>
      <c r="M283" s="63">
        <f t="shared" si="362"/>
        <v>1007.4519621538461</v>
      </c>
      <c r="N283" s="63">
        <f t="shared" si="363"/>
        <v>0</v>
      </c>
      <c r="O283" s="65"/>
      <c r="P283" s="65"/>
      <c r="Q283" s="63">
        <f t="shared" si="364"/>
        <v>0</v>
      </c>
      <c r="R283" s="63">
        <f t="shared" si="365"/>
        <v>26193.751015999998</v>
      </c>
      <c r="S283" s="65"/>
      <c r="T283" s="65"/>
      <c r="U283" s="65"/>
      <c r="V283" s="63">
        <f t="shared" si="366"/>
        <v>26193.751015999998</v>
      </c>
      <c r="W283" s="63">
        <f t="shared" si="367"/>
        <v>1624.0125629919999</v>
      </c>
      <c r="X283" s="63">
        <f t="shared" si="368"/>
        <v>379.809389732</v>
      </c>
      <c r="Y283" s="63">
        <f t="shared" si="369"/>
        <v>3934.3014026031997</v>
      </c>
      <c r="Z283" s="63">
        <f t="shared" si="370"/>
        <v>41.910001625599996</v>
      </c>
      <c r="AA283" s="63">
        <f t="shared" si="371"/>
        <v>18.335625711199999</v>
      </c>
      <c r="AB283" s="63">
        <f t="shared" si="372"/>
        <v>335</v>
      </c>
      <c r="AC283" s="63">
        <f t="shared" si="373"/>
        <v>10356.36</v>
      </c>
      <c r="AD283" s="63">
        <f t="shared" si="374"/>
        <v>106.9136</v>
      </c>
      <c r="AE283" s="178">
        <v>510</v>
      </c>
    </row>
    <row r="284" spans="1:31" x14ac:dyDescent="0.25">
      <c r="A284" s="167">
        <v>510</v>
      </c>
      <c r="B284" s="167">
        <v>510005</v>
      </c>
      <c r="C284" s="168" t="s">
        <v>4031</v>
      </c>
      <c r="D284" s="185" t="s">
        <v>3788</v>
      </c>
      <c r="E284" s="185" t="s">
        <v>3789</v>
      </c>
      <c r="F284" s="87">
        <v>33833</v>
      </c>
      <c r="G284" s="59">
        <f t="shared" si="359"/>
        <v>28.389041095890413</v>
      </c>
      <c r="H284" s="61">
        <v>25554.87904</v>
      </c>
      <c r="I284" s="63">
        <v>26193.75</v>
      </c>
      <c r="J284" s="61">
        <v>26193.751015999998</v>
      </c>
      <c r="K284" s="63">
        <f t="shared" si="360"/>
        <v>26193.751015999998</v>
      </c>
      <c r="L284" s="63">
        <f t="shared" si="361"/>
        <v>12.593149526923076</v>
      </c>
      <c r="M284" s="63">
        <f t="shared" si="362"/>
        <v>1007.4519621538461</v>
      </c>
      <c r="N284" s="63">
        <f t="shared" si="363"/>
        <v>7230.7068493150691</v>
      </c>
      <c r="O284" s="65"/>
      <c r="P284" s="65"/>
      <c r="Q284" s="63">
        <f t="shared" si="364"/>
        <v>5000</v>
      </c>
      <c r="R284" s="63">
        <f t="shared" si="365"/>
        <v>31193.751015999998</v>
      </c>
      <c r="S284" s="65"/>
      <c r="T284" s="65"/>
      <c r="U284" s="65"/>
      <c r="V284" s="63">
        <f t="shared" si="366"/>
        <v>31193.751015999998</v>
      </c>
      <c r="W284" s="63">
        <f t="shared" si="367"/>
        <v>1934.0125629919999</v>
      </c>
      <c r="X284" s="63">
        <f t="shared" si="368"/>
        <v>452.309389732</v>
      </c>
      <c r="Y284" s="63">
        <f t="shared" si="369"/>
        <v>4685.3014026031997</v>
      </c>
      <c r="Z284" s="63">
        <f t="shared" si="370"/>
        <v>49.910001625600003</v>
      </c>
      <c r="AA284" s="63">
        <f t="shared" si="371"/>
        <v>21.835625711199999</v>
      </c>
      <c r="AB284" s="63">
        <f t="shared" si="372"/>
        <v>335</v>
      </c>
      <c r="AC284" s="63">
        <f t="shared" si="373"/>
        <v>10356.36</v>
      </c>
      <c r="AD284" s="63">
        <f t="shared" si="374"/>
        <v>106.9136</v>
      </c>
      <c r="AE284" s="178">
        <v>510</v>
      </c>
    </row>
    <row r="285" spans="1:31" x14ac:dyDescent="0.25">
      <c r="A285" s="167">
        <v>510</v>
      </c>
      <c r="B285" s="167">
        <v>510006</v>
      </c>
      <c r="C285" s="168" t="s">
        <v>4032</v>
      </c>
      <c r="D285" s="408" t="s">
        <v>2805</v>
      </c>
      <c r="E285" s="408" t="s">
        <v>3790</v>
      </c>
      <c r="F285" s="403">
        <v>43466</v>
      </c>
      <c r="G285" s="59">
        <f t="shared" si="359"/>
        <v>1.9972602739726026</v>
      </c>
      <c r="H285" s="61">
        <v>25554.87904</v>
      </c>
      <c r="I285" s="169"/>
      <c r="J285" s="61">
        <v>26193.751015999998</v>
      </c>
      <c r="K285" s="63">
        <f t="shared" si="360"/>
        <v>26193.751015999998</v>
      </c>
      <c r="L285" s="63">
        <f t="shared" si="361"/>
        <v>12.593149526923076</v>
      </c>
      <c r="M285" s="63">
        <f t="shared" si="362"/>
        <v>1007.4519621538461</v>
      </c>
      <c r="N285" s="63">
        <f t="shared" si="363"/>
        <v>0</v>
      </c>
      <c r="O285" s="65"/>
      <c r="P285" s="65"/>
      <c r="Q285" s="63">
        <f t="shared" si="364"/>
        <v>0</v>
      </c>
      <c r="R285" s="63">
        <f t="shared" si="365"/>
        <v>26193.751015999998</v>
      </c>
      <c r="S285" s="65"/>
      <c r="T285" s="65"/>
      <c r="U285" s="65"/>
      <c r="V285" s="63">
        <f t="shared" si="366"/>
        <v>26193.751015999998</v>
      </c>
      <c r="W285" s="63">
        <f t="shared" si="367"/>
        <v>1624.0125629919999</v>
      </c>
      <c r="X285" s="63">
        <f t="shared" si="368"/>
        <v>379.809389732</v>
      </c>
      <c r="Y285" s="63">
        <f t="shared" si="369"/>
        <v>3934.3014026031997</v>
      </c>
      <c r="Z285" s="63">
        <f t="shared" si="370"/>
        <v>41.910001625599996</v>
      </c>
      <c r="AA285" s="63">
        <f t="shared" si="371"/>
        <v>18.335625711199999</v>
      </c>
      <c r="AB285" s="63">
        <f t="shared" si="372"/>
        <v>335</v>
      </c>
      <c r="AC285" s="63">
        <f t="shared" si="373"/>
        <v>10356.36</v>
      </c>
      <c r="AD285" s="63">
        <f t="shared" si="374"/>
        <v>106.9136</v>
      </c>
      <c r="AE285" s="178">
        <v>510</v>
      </c>
    </row>
    <row r="286" spans="1:31" x14ac:dyDescent="0.25">
      <c r="A286" s="167">
        <v>510</v>
      </c>
      <c r="B286" s="167">
        <v>510007</v>
      </c>
      <c r="C286" s="168" t="s">
        <v>4033</v>
      </c>
      <c r="D286" s="168" t="s">
        <v>2885</v>
      </c>
      <c r="E286" s="168" t="s">
        <v>2886</v>
      </c>
      <c r="F286" s="58">
        <v>43283</v>
      </c>
      <c r="G286" s="59">
        <f t="shared" si="359"/>
        <v>2.4986301369863013</v>
      </c>
      <c r="H286" s="61">
        <v>25554.87904</v>
      </c>
      <c r="I286" s="63">
        <v>26193.75</v>
      </c>
      <c r="J286" s="61">
        <v>26193.751015999998</v>
      </c>
      <c r="K286" s="63">
        <f t="shared" si="360"/>
        <v>26193.751015999998</v>
      </c>
      <c r="L286" s="63">
        <f t="shared" si="361"/>
        <v>12.593149526923076</v>
      </c>
      <c r="M286" s="63">
        <f t="shared" si="362"/>
        <v>1007.4519621538461</v>
      </c>
      <c r="N286" s="63">
        <f t="shared" si="363"/>
        <v>0</v>
      </c>
      <c r="O286" s="65"/>
      <c r="P286" s="65"/>
      <c r="Q286" s="63">
        <f t="shared" si="364"/>
        <v>0</v>
      </c>
      <c r="R286" s="63">
        <f t="shared" si="365"/>
        <v>26193.751015999998</v>
      </c>
      <c r="S286" s="65"/>
      <c r="T286" s="65"/>
      <c r="U286" s="65"/>
      <c r="V286" s="63">
        <f t="shared" si="366"/>
        <v>26193.751015999998</v>
      </c>
      <c r="W286" s="63">
        <f t="shared" si="367"/>
        <v>1624.0125629919999</v>
      </c>
      <c r="X286" s="63">
        <f t="shared" si="368"/>
        <v>379.809389732</v>
      </c>
      <c r="Y286" s="63">
        <f t="shared" si="369"/>
        <v>3934.3014026031997</v>
      </c>
      <c r="Z286" s="63">
        <f t="shared" si="370"/>
        <v>41.910001625599996</v>
      </c>
      <c r="AA286" s="63">
        <f t="shared" si="371"/>
        <v>18.335625711199999</v>
      </c>
      <c r="AB286" s="63">
        <f t="shared" si="372"/>
        <v>335</v>
      </c>
      <c r="AC286" s="63">
        <f t="shared" si="373"/>
        <v>10356.36</v>
      </c>
      <c r="AD286" s="63">
        <f t="shared" si="374"/>
        <v>106.9136</v>
      </c>
      <c r="AE286" s="178">
        <v>510</v>
      </c>
    </row>
    <row r="287" spans="1:31" x14ac:dyDescent="0.25">
      <c r="A287" s="167">
        <v>510</v>
      </c>
      <c r="B287" s="167">
        <v>510008</v>
      </c>
      <c r="C287" s="168" t="s">
        <v>3291</v>
      </c>
      <c r="D287" s="168" t="s">
        <v>3292</v>
      </c>
      <c r="E287" s="168" t="s">
        <v>3293</v>
      </c>
      <c r="F287" s="58">
        <v>38839</v>
      </c>
      <c r="G287" s="59">
        <f t="shared" si="359"/>
        <v>14.673972602739726</v>
      </c>
      <c r="H287" s="61">
        <v>37341.46456</v>
      </c>
      <c r="I287" s="63">
        <v>38275</v>
      </c>
      <c r="J287" s="61">
        <v>38275.001173999997</v>
      </c>
      <c r="K287" s="63">
        <f t="shared" si="360"/>
        <v>38275.001173999997</v>
      </c>
      <c r="L287" s="63">
        <f t="shared" si="361"/>
        <v>18.401442872115382</v>
      </c>
      <c r="M287" s="63">
        <f t="shared" si="362"/>
        <v>1472.1154297692306</v>
      </c>
      <c r="N287" s="63">
        <f t="shared" si="363"/>
        <v>3609.9287671232878</v>
      </c>
      <c r="O287" s="65"/>
      <c r="P287" s="65"/>
      <c r="Q287" s="63">
        <f t="shared" si="364"/>
        <v>3609.9287671232878</v>
      </c>
      <c r="R287" s="63">
        <f t="shared" si="365"/>
        <v>41884.929941123286</v>
      </c>
      <c r="S287" s="65"/>
      <c r="T287" s="65"/>
      <c r="U287" s="65"/>
      <c r="V287" s="63">
        <f t="shared" si="366"/>
        <v>41884.929941123286</v>
      </c>
      <c r="W287" s="63">
        <f t="shared" si="367"/>
        <v>2596.8656563496438</v>
      </c>
      <c r="X287" s="63">
        <f t="shared" si="368"/>
        <v>607.33148414628772</v>
      </c>
      <c r="Y287" s="63">
        <f t="shared" si="369"/>
        <v>6291.1164771567173</v>
      </c>
      <c r="Z287" s="63">
        <f t="shared" si="370"/>
        <v>67.015887905797257</v>
      </c>
      <c r="AA287" s="63">
        <f t="shared" si="371"/>
        <v>29.319450958786298</v>
      </c>
      <c r="AB287" s="63">
        <f t="shared" si="372"/>
        <v>335</v>
      </c>
      <c r="AC287" s="63">
        <f t="shared" si="373"/>
        <v>10356.36</v>
      </c>
      <c r="AD287" s="63">
        <f t="shared" si="374"/>
        <v>106.9136</v>
      </c>
      <c r="AE287" s="178">
        <v>510</v>
      </c>
    </row>
    <row r="288" spans="1:31" x14ac:dyDescent="0.25">
      <c r="A288" s="167">
        <v>510</v>
      </c>
      <c r="B288" s="167">
        <v>510009</v>
      </c>
      <c r="C288" s="168" t="s">
        <v>4034</v>
      </c>
      <c r="D288" s="168" t="s">
        <v>3288</v>
      </c>
      <c r="E288" s="168" t="s">
        <v>3289</v>
      </c>
      <c r="F288" s="58">
        <v>43178</v>
      </c>
      <c r="G288" s="59">
        <f t="shared" si="359"/>
        <v>2.7863013698630139</v>
      </c>
      <c r="H288" s="61">
        <v>36566.459759999998</v>
      </c>
      <c r="I288" s="63">
        <v>37480.620000000003</v>
      </c>
      <c r="J288" s="61">
        <v>37480.621253999998</v>
      </c>
      <c r="K288" s="63">
        <f t="shared" si="360"/>
        <v>37480.621253999998</v>
      </c>
      <c r="L288" s="63">
        <f t="shared" si="361"/>
        <v>18.019529449038462</v>
      </c>
      <c r="M288" s="63">
        <f t="shared" si="362"/>
        <v>1441.5623559230769</v>
      </c>
      <c r="N288" s="63">
        <f t="shared" si="363"/>
        <v>0</v>
      </c>
      <c r="O288" s="65"/>
      <c r="P288" s="65"/>
      <c r="Q288" s="63">
        <v>1314.22</v>
      </c>
      <c r="R288" s="63">
        <f t="shared" si="365"/>
        <v>38794.841253999999</v>
      </c>
      <c r="S288" s="65"/>
      <c r="T288" s="65"/>
      <c r="U288" s="65"/>
      <c r="V288" s="63">
        <f t="shared" si="366"/>
        <v>38794.841253999999</v>
      </c>
      <c r="W288" s="63">
        <f t="shared" si="367"/>
        <v>2405.280157748</v>
      </c>
      <c r="X288" s="63">
        <f t="shared" si="368"/>
        <v>562.52519818300004</v>
      </c>
      <c r="Y288" s="63">
        <f t="shared" si="369"/>
        <v>5826.9851563508</v>
      </c>
      <c r="Z288" s="63">
        <f t="shared" si="370"/>
        <v>62.071746006399998</v>
      </c>
      <c r="AA288" s="63">
        <f t="shared" si="371"/>
        <v>27.156388877799998</v>
      </c>
      <c r="AB288" s="63">
        <f t="shared" si="372"/>
        <v>335</v>
      </c>
      <c r="AC288" s="63">
        <f t="shared" si="373"/>
        <v>10356.36</v>
      </c>
      <c r="AD288" s="63">
        <f t="shared" si="374"/>
        <v>106.9136</v>
      </c>
      <c r="AE288" s="178">
        <v>510</v>
      </c>
    </row>
    <row r="289" spans="1:31" x14ac:dyDescent="0.25">
      <c r="A289" s="167">
        <v>510</v>
      </c>
      <c r="B289" s="167">
        <v>510010</v>
      </c>
      <c r="C289" s="168" t="s">
        <v>3791</v>
      </c>
      <c r="D289" s="168" t="s">
        <v>2893</v>
      </c>
      <c r="E289" s="168" t="s">
        <v>2635</v>
      </c>
      <c r="F289" s="58">
        <v>43199</v>
      </c>
      <c r="G289" s="59">
        <f t="shared" si="359"/>
        <v>2.7287671232876711</v>
      </c>
      <c r="H289" s="61">
        <v>33487.227920000005</v>
      </c>
      <c r="I289" s="63">
        <v>34324.410000000003</v>
      </c>
      <c r="J289" s="61">
        <v>34324.408618000001</v>
      </c>
      <c r="K289" s="63">
        <f t="shared" si="360"/>
        <v>34324.408618000001</v>
      </c>
      <c r="L289" s="63">
        <f t="shared" si="361"/>
        <v>16.502119527884616</v>
      </c>
      <c r="M289" s="63">
        <f t="shared" si="362"/>
        <v>1320.1695622307693</v>
      </c>
      <c r="N289" s="63">
        <f t="shared" si="363"/>
        <v>0</v>
      </c>
      <c r="O289" s="65"/>
      <c r="P289" s="65"/>
      <c r="Q289" s="63">
        <f>IF(N289+P289&gt;5000,5000,N289+P289)</f>
        <v>0</v>
      </c>
      <c r="R289" s="63">
        <f t="shared" si="365"/>
        <v>34324.408618000001</v>
      </c>
      <c r="S289" s="65"/>
      <c r="T289" s="65"/>
      <c r="U289" s="65"/>
      <c r="V289" s="63">
        <f t="shared" si="366"/>
        <v>34324.408618000001</v>
      </c>
      <c r="W289" s="63">
        <f t="shared" si="367"/>
        <v>2128.113334316</v>
      </c>
      <c r="X289" s="63">
        <f t="shared" si="368"/>
        <v>497.70392496100004</v>
      </c>
      <c r="Y289" s="63">
        <f t="shared" si="369"/>
        <v>5155.5261744236004</v>
      </c>
      <c r="Z289" s="63">
        <f t="shared" si="370"/>
        <v>54.919053788800007</v>
      </c>
      <c r="AA289" s="63">
        <f t="shared" si="371"/>
        <v>24.0270860326</v>
      </c>
      <c r="AB289" s="63">
        <f t="shared" si="372"/>
        <v>335</v>
      </c>
      <c r="AC289" s="63">
        <f t="shared" si="373"/>
        <v>10356.36</v>
      </c>
      <c r="AD289" s="63">
        <f t="shared" si="374"/>
        <v>106.9136</v>
      </c>
      <c r="AE289" s="178">
        <v>510</v>
      </c>
    </row>
    <row r="290" spans="1:31" x14ac:dyDescent="0.25">
      <c r="A290" s="167">
        <v>510</v>
      </c>
      <c r="B290" s="247"/>
      <c r="C290" s="168" t="s">
        <v>2894</v>
      </c>
      <c r="D290" s="168" t="s">
        <v>2634</v>
      </c>
      <c r="E290" s="168" t="s">
        <v>2895</v>
      </c>
      <c r="F290" s="247"/>
      <c r="G290" s="167" t="s">
        <v>2422</v>
      </c>
      <c r="H290" s="61">
        <v>5855.2</v>
      </c>
      <c r="I290" s="251"/>
      <c r="J290" s="61">
        <v>5855.2</v>
      </c>
      <c r="K290" s="61">
        <v>5855.2</v>
      </c>
      <c r="L290" s="247"/>
      <c r="M290" s="247"/>
      <c r="N290" s="167" t="s">
        <v>27</v>
      </c>
      <c r="O290" s="247"/>
      <c r="P290" s="247"/>
      <c r="Q290" s="167">
        <v>0</v>
      </c>
      <c r="R290" s="63">
        <f t="shared" si="365"/>
        <v>5855.2</v>
      </c>
      <c r="S290" s="65"/>
      <c r="T290" s="65"/>
      <c r="U290" s="65"/>
      <c r="V290" s="63">
        <f t="shared" si="366"/>
        <v>5855.2</v>
      </c>
      <c r="W290" s="63">
        <f t="shared" si="367"/>
        <v>363.0224</v>
      </c>
      <c r="X290" s="63">
        <f t="shared" si="368"/>
        <v>84.900400000000005</v>
      </c>
      <c r="Y290" s="63">
        <f t="shared" si="369"/>
        <v>879.45103999999992</v>
      </c>
      <c r="Z290" s="63">
        <f t="shared" si="370"/>
        <v>9.3683200000000006</v>
      </c>
      <c r="AA290" s="63">
        <f t="shared" si="371"/>
        <v>4.0986399999999996</v>
      </c>
      <c r="AB290" s="63" t="s">
        <v>2422</v>
      </c>
      <c r="AC290" s="63" t="s">
        <v>2422</v>
      </c>
      <c r="AD290" s="63" t="s">
        <v>2422</v>
      </c>
      <c r="AE290" s="178">
        <v>510</v>
      </c>
    </row>
    <row r="291" spans="1:31" x14ac:dyDescent="0.25">
      <c r="A291" s="167">
        <v>510</v>
      </c>
      <c r="B291" s="247"/>
      <c r="C291" s="168" t="s">
        <v>2495</v>
      </c>
      <c r="D291" s="247"/>
      <c r="E291" s="247"/>
      <c r="F291" s="247"/>
      <c r="G291" s="167" t="s">
        <v>2422</v>
      </c>
      <c r="H291" s="132">
        <v>20000</v>
      </c>
      <c r="I291" s="296"/>
      <c r="J291" s="132">
        <v>20000</v>
      </c>
      <c r="K291" s="132">
        <v>20000</v>
      </c>
      <c r="L291" s="320"/>
      <c r="M291" s="320"/>
      <c r="N291" s="220" t="s">
        <v>27</v>
      </c>
      <c r="O291" s="320"/>
      <c r="P291" s="320"/>
      <c r="Q291" s="220">
        <v>0</v>
      </c>
      <c r="R291" s="172">
        <f t="shared" si="365"/>
        <v>20000</v>
      </c>
      <c r="S291" s="314"/>
      <c r="T291" s="314"/>
      <c r="U291" s="314"/>
      <c r="V291" s="172">
        <f t="shared" si="366"/>
        <v>20000</v>
      </c>
      <c r="W291" s="172">
        <f t="shared" si="367"/>
        <v>1240</v>
      </c>
      <c r="X291" s="172">
        <f t="shared" si="368"/>
        <v>290</v>
      </c>
      <c r="Y291" s="172">
        <f t="shared" si="369"/>
        <v>3004</v>
      </c>
      <c r="Z291" s="172">
        <f t="shared" si="370"/>
        <v>32</v>
      </c>
      <c r="AA291" s="172">
        <f t="shared" si="371"/>
        <v>14</v>
      </c>
      <c r="AB291" s="172" t="s">
        <v>2422</v>
      </c>
      <c r="AC291" s="172" t="s">
        <v>2422</v>
      </c>
      <c r="AD291" s="172" t="s">
        <v>2422</v>
      </c>
      <c r="AE291" s="178">
        <v>510</v>
      </c>
    </row>
    <row r="292" spans="1:31" x14ac:dyDescent="0.25">
      <c r="A292" s="167">
        <v>510</v>
      </c>
      <c r="B292" s="247"/>
      <c r="C292" s="247"/>
      <c r="D292" s="247"/>
      <c r="E292" s="247"/>
      <c r="F292" s="247"/>
      <c r="G292" s="247"/>
      <c r="H292" s="223">
        <v>337708.98319999996</v>
      </c>
      <c r="I292" s="401"/>
      <c r="J292" s="223">
        <v>345505.32777999999</v>
      </c>
      <c r="K292" s="223">
        <f t="shared" ref="K292:AD292" si="375">SUM(K279:K291)</f>
        <v>345505.32777999999</v>
      </c>
      <c r="L292" s="223">
        <f t="shared" si="375"/>
        <v>153.6779460480769</v>
      </c>
      <c r="M292" s="223">
        <f t="shared" si="375"/>
        <v>12294.235683846151</v>
      </c>
      <c r="N292" s="223">
        <f t="shared" si="375"/>
        <v>16741.216438356165</v>
      </c>
      <c r="O292" s="223">
        <f t="shared" si="375"/>
        <v>0</v>
      </c>
      <c r="P292" s="223">
        <f t="shared" si="375"/>
        <v>0</v>
      </c>
      <c r="Q292" s="223">
        <f t="shared" si="375"/>
        <v>15824.729589041095</v>
      </c>
      <c r="R292" s="223">
        <f t="shared" si="375"/>
        <v>361330.05736904108</v>
      </c>
      <c r="S292" s="223">
        <f t="shared" si="375"/>
        <v>0</v>
      </c>
      <c r="T292" s="223">
        <f t="shared" si="375"/>
        <v>0</v>
      </c>
      <c r="U292" s="223">
        <f t="shared" si="375"/>
        <v>0</v>
      </c>
      <c r="V292" s="223">
        <f t="shared" si="375"/>
        <v>361330.05736904108</v>
      </c>
      <c r="W292" s="223">
        <f t="shared" si="375"/>
        <v>22402.46355688055</v>
      </c>
      <c r="X292" s="223">
        <f t="shared" si="375"/>
        <v>5239.2858318510962</v>
      </c>
      <c r="Y292" s="223">
        <f t="shared" si="375"/>
        <v>54271.774616829964</v>
      </c>
      <c r="Z292" s="223">
        <f t="shared" si="375"/>
        <v>578.12809179046576</v>
      </c>
      <c r="AA292" s="223">
        <f t="shared" si="375"/>
        <v>252.93104015832876</v>
      </c>
      <c r="AB292" s="223">
        <f t="shared" si="375"/>
        <v>3350</v>
      </c>
      <c r="AC292" s="223">
        <f t="shared" si="375"/>
        <v>103563.6</v>
      </c>
      <c r="AD292" s="223">
        <f t="shared" si="375"/>
        <v>1069.136</v>
      </c>
      <c r="AE292" s="178">
        <v>510</v>
      </c>
    </row>
    <row r="293" spans="1:31" x14ac:dyDescent="0.25">
      <c r="A293" s="247"/>
      <c r="B293" s="247"/>
      <c r="C293" s="247"/>
      <c r="D293" s="247"/>
      <c r="E293" s="247"/>
      <c r="F293" s="247"/>
      <c r="G293" s="247"/>
      <c r="H293" s="247"/>
      <c r="I293" s="169"/>
      <c r="J293" s="247">
        <v>319650.12777999998</v>
      </c>
      <c r="K293" s="69">
        <f>SUM(K280:K289)</f>
        <v>319650.12777999998</v>
      </c>
      <c r="L293" s="247"/>
      <c r="M293" s="247"/>
      <c r="N293" s="247"/>
      <c r="O293" s="247"/>
      <c r="P293" s="247"/>
      <c r="Q293" s="247"/>
      <c r="R293" s="65"/>
      <c r="S293" s="65"/>
      <c r="T293" s="65"/>
      <c r="U293" s="65"/>
      <c r="V293" s="65"/>
      <c r="W293" s="63">
        <f>W292+X292</f>
        <v>27641.749388731645</v>
      </c>
      <c r="X293" s="65"/>
      <c r="Y293" s="65"/>
      <c r="Z293" s="65"/>
      <c r="AA293" s="65"/>
      <c r="AB293" s="65"/>
      <c r="AC293" s="63">
        <f>SUM(AC292:AD292)</f>
        <v>104632.736</v>
      </c>
      <c r="AD293" s="65"/>
      <c r="AE293" s="247"/>
    </row>
    <row r="294" spans="1:31" x14ac:dyDescent="0.25">
      <c r="A294" s="247"/>
      <c r="B294" s="247"/>
      <c r="C294" s="247"/>
      <c r="D294" s="247"/>
      <c r="E294" s="247"/>
      <c r="F294" s="247"/>
      <c r="G294" s="247"/>
      <c r="H294" s="247"/>
      <c r="I294" s="138"/>
      <c r="J294" s="247"/>
      <c r="K294" s="247"/>
      <c r="L294" s="247"/>
      <c r="M294" s="247"/>
      <c r="N294" s="247"/>
      <c r="O294" s="247"/>
      <c r="P294" s="247"/>
      <c r="Q294" s="247"/>
      <c r="R294" s="65"/>
      <c r="S294" s="65"/>
      <c r="T294" s="65"/>
      <c r="U294" s="65"/>
      <c r="V294" s="65"/>
      <c r="W294" s="65"/>
      <c r="X294" s="65"/>
      <c r="Y294" s="65"/>
      <c r="Z294" s="65"/>
      <c r="AA294" s="65"/>
      <c r="AB294" s="65"/>
      <c r="AC294" s="65"/>
      <c r="AD294" s="65"/>
      <c r="AE294" s="247"/>
    </row>
    <row r="295" spans="1:31" x14ac:dyDescent="0.25">
      <c r="A295" s="247"/>
      <c r="B295" s="247"/>
      <c r="C295" s="247"/>
      <c r="D295" s="247"/>
      <c r="E295" s="247"/>
      <c r="F295" s="247"/>
      <c r="G295" s="247"/>
      <c r="H295" s="247"/>
      <c r="I295" s="138"/>
      <c r="J295" s="247"/>
      <c r="K295" s="247"/>
      <c r="L295" s="247"/>
      <c r="M295" s="247"/>
      <c r="N295" s="247"/>
      <c r="O295" s="247"/>
      <c r="P295" s="247"/>
      <c r="Q295" s="247"/>
      <c r="R295" s="65"/>
      <c r="S295" s="65"/>
      <c r="T295" s="65"/>
      <c r="U295" s="65"/>
      <c r="V295" s="65"/>
      <c r="W295" s="65"/>
      <c r="X295" s="65"/>
      <c r="Y295" s="65"/>
      <c r="Z295" s="65"/>
      <c r="AA295" s="65"/>
      <c r="AB295" s="65"/>
      <c r="AC295" s="65"/>
      <c r="AD295" s="65"/>
      <c r="AE295" s="247"/>
    </row>
    <row r="296" spans="1:31" x14ac:dyDescent="0.25">
      <c r="A296" s="167">
        <v>511</v>
      </c>
      <c r="B296" s="167">
        <v>560521</v>
      </c>
      <c r="C296" s="168" t="s">
        <v>2896</v>
      </c>
      <c r="D296" s="168" t="s">
        <v>2805</v>
      </c>
      <c r="E296" s="247"/>
      <c r="F296" s="247"/>
      <c r="G296" s="167" t="s">
        <v>2422</v>
      </c>
      <c r="H296" s="132">
        <v>0</v>
      </c>
      <c r="I296" s="286"/>
      <c r="J296" s="132">
        <v>0</v>
      </c>
      <c r="K296" s="218">
        <v>0</v>
      </c>
      <c r="L296" s="172">
        <f>SUM(K296/2080)</f>
        <v>0</v>
      </c>
      <c r="M296" s="172">
        <f>SUM(K296/26)</f>
        <v>0</v>
      </c>
      <c r="N296" s="220" t="s">
        <v>27</v>
      </c>
      <c r="O296" s="320"/>
      <c r="P296" s="320"/>
      <c r="Q296" s="172">
        <v>0</v>
      </c>
      <c r="R296" s="172">
        <f>Q296+K296</f>
        <v>0</v>
      </c>
      <c r="S296" s="314"/>
      <c r="T296" s="314"/>
      <c r="U296" s="314"/>
      <c r="V296" s="172">
        <f>SUM(R296:U296)</f>
        <v>0</v>
      </c>
      <c r="W296" s="172">
        <f>SUM(V296*$W$7)</f>
        <v>0</v>
      </c>
      <c r="X296" s="172">
        <f>SUM(V296*$X$7)</f>
        <v>0</v>
      </c>
      <c r="Y296" s="172">
        <f>SUM(V296*$Y$7)</f>
        <v>0</v>
      </c>
      <c r="Z296" s="172">
        <f>SUM(V296*$Z$7)</f>
        <v>0</v>
      </c>
      <c r="AA296" s="172">
        <f>SUM(V296*$AA$7)</f>
        <v>0</v>
      </c>
      <c r="AB296" s="172" t="s">
        <v>2422</v>
      </c>
      <c r="AC296" s="172" t="s">
        <v>2422</v>
      </c>
      <c r="AD296" s="172" t="s">
        <v>2422</v>
      </c>
      <c r="AE296" s="178">
        <v>511</v>
      </c>
    </row>
    <row r="297" spans="1:31" x14ac:dyDescent="0.25">
      <c r="A297" s="167">
        <v>511</v>
      </c>
      <c r="B297" s="247"/>
      <c r="C297" s="247"/>
      <c r="D297" s="247"/>
      <c r="E297" s="247"/>
      <c r="F297" s="247"/>
      <c r="G297" s="247"/>
      <c r="H297" s="223">
        <v>0</v>
      </c>
      <c r="I297" s="401"/>
      <c r="J297" s="223">
        <v>0</v>
      </c>
      <c r="K297" s="223">
        <f t="shared" ref="K297:AD297" si="376">SUM(K295:K296)</f>
        <v>0</v>
      </c>
      <c r="L297" s="223">
        <f t="shared" si="376"/>
        <v>0</v>
      </c>
      <c r="M297" s="223">
        <f t="shared" si="376"/>
        <v>0</v>
      </c>
      <c r="N297" s="223">
        <f t="shared" si="376"/>
        <v>0</v>
      </c>
      <c r="O297" s="223">
        <f t="shared" si="376"/>
        <v>0</v>
      </c>
      <c r="P297" s="223">
        <f t="shared" si="376"/>
        <v>0</v>
      </c>
      <c r="Q297" s="223">
        <f t="shared" si="376"/>
        <v>0</v>
      </c>
      <c r="R297" s="223">
        <f t="shared" si="376"/>
        <v>0</v>
      </c>
      <c r="S297" s="223">
        <f t="shared" si="376"/>
        <v>0</v>
      </c>
      <c r="T297" s="223">
        <f t="shared" si="376"/>
        <v>0</v>
      </c>
      <c r="U297" s="223">
        <f t="shared" si="376"/>
        <v>0</v>
      </c>
      <c r="V297" s="223">
        <f t="shared" si="376"/>
        <v>0</v>
      </c>
      <c r="W297" s="223">
        <f t="shared" si="376"/>
        <v>0</v>
      </c>
      <c r="X297" s="223">
        <f t="shared" si="376"/>
        <v>0</v>
      </c>
      <c r="Y297" s="223">
        <f t="shared" si="376"/>
        <v>0</v>
      </c>
      <c r="Z297" s="223">
        <f t="shared" si="376"/>
        <v>0</v>
      </c>
      <c r="AA297" s="223">
        <f t="shared" si="376"/>
        <v>0</v>
      </c>
      <c r="AB297" s="223">
        <f t="shared" si="376"/>
        <v>0</v>
      </c>
      <c r="AC297" s="223">
        <f t="shared" si="376"/>
        <v>0</v>
      </c>
      <c r="AD297" s="223">
        <f t="shared" si="376"/>
        <v>0</v>
      </c>
      <c r="AE297" s="178">
        <v>511</v>
      </c>
    </row>
    <row r="298" spans="1:31" x14ac:dyDescent="0.25">
      <c r="A298" s="247"/>
      <c r="B298" s="247"/>
      <c r="C298" s="247"/>
      <c r="D298" s="247"/>
      <c r="E298" s="247"/>
      <c r="F298" s="247"/>
      <c r="G298" s="247"/>
      <c r="H298" s="247"/>
      <c r="I298" s="251"/>
      <c r="J298" s="247"/>
      <c r="K298" s="247"/>
      <c r="L298" s="247"/>
      <c r="M298" s="247"/>
      <c r="N298" s="247"/>
      <c r="O298" s="247"/>
      <c r="P298" s="247"/>
      <c r="Q298" s="247"/>
      <c r="R298" s="65"/>
      <c r="S298" s="65"/>
      <c r="T298" s="65"/>
      <c r="U298" s="65"/>
      <c r="V298" s="65"/>
      <c r="W298" s="63">
        <f>W297+X297</f>
        <v>0</v>
      </c>
      <c r="X298" s="65"/>
      <c r="Y298" s="65"/>
      <c r="Z298" s="65"/>
      <c r="AA298" s="65"/>
      <c r="AB298" s="65"/>
      <c r="AC298" s="63">
        <f>SUM(AC297:AD297)</f>
        <v>0</v>
      </c>
      <c r="AD298" s="65"/>
      <c r="AE298" s="247"/>
    </row>
    <row r="299" spans="1:31" x14ac:dyDescent="0.25">
      <c r="A299" s="247"/>
      <c r="B299" s="247"/>
      <c r="C299" s="247"/>
      <c r="D299" s="247"/>
      <c r="E299" s="247"/>
      <c r="F299" s="247"/>
      <c r="G299" s="247"/>
      <c r="H299" s="247"/>
      <c r="I299" s="138"/>
      <c r="J299" s="247"/>
      <c r="K299" s="247"/>
      <c r="L299" s="247"/>
      <c r="M299" s="247"/>
      <c r="N299" s="247"/>
      <c r="O299" s="247"/>
      <c r="P299" s="247"/>
      <c r="Q299" s="247"/>
      <c r="R299" s="65"/>
      <c r="S299" s="65"/>
      <c r="T299" s="65"/>
      <c r="U299" s="65"/>
      <c r="V299" s="65"/>
      <c r="W299" s="65"/>
      <c r="X299" s="65"/>
      <c r="Y299" s="65"/>
      <c r="Z299" s="65"/>
      <c r="AA299" s="65"/>
      <c r="AB299" s="65"/>
      <c r="AC299" s="65"/>
      <c r="AD299" s="65"/>
      <c r="AE299" s="247"/>
    </row>
    <row r="300" spans="1:31" x14ac:dyDescent="0.25">
      <c r="A300" s="247"/>
      <c r="B300" s="247"/>
      <c r="C300" s="247"/>
      <c r="D300" s="247"/>
      <c r="E300" s="247"/>
      <c r="F300" s="247"/>
      <c r="G300" s="247"/>
      <c r="H300" s="247"/>
      <c r="I300" s="138"/>
      <c r="J300" s="247"/>
      <c r="K300" s="247"/>
      <c r="L300" s="247"/>
      <c r="M300" s="247"/>
      <c r="N300" s="247"/>
      <c r="O300" s="247"/>
      <c r="P300" s="247"/>
      <c r="Q300" s="247"/>
      <c r="R300" s="65"/>
      <c r="S300" s="65"/>
      <c r="T300" s="65"/>
      <c r="U300" s="65"/>
      <c r="V300" s="65"/>
      <c r="W300" s="65"/>
      <c r="X300" s="65"/>
      <c r="Y300" s="65"/>
      <c r="Z300" s="65"/>
      <c r="AA300" s="65"/>
      <c r="AB300" s="65"/>
      <c r="AC300" s="65"/>
      <c r="AD300" s="65"/>
      <c r="AE300" s="247"/>
    </row>
    <row r="301" spans="1:31" x14ac:dyDescent="0.25">
      <c r="A301" s="167">
        <v>541</v>
      </c>
      <c r="B301" s="167">
        <v>541001</v>
      </c>
      <c r="C301" s="168" t="s">
        <v>2898</v>
      </c>
      <c r="D301" s="168" t="s">
        <v>3792</v>
      </c>
      <c r="E301" s="168" t="s">
        <v>2835</v>
      </c>
      <c r="F301" s="58">
        <v>32712</v>
      </c>
      <c r="G301" s="59">
        <f>(DATE(2020,12,30)-(F301))/365</f>
        <v>31.460273972602739</v>
      </c>
      <c r="H301" s="61">
        <v>42224.502800000002</v>
      </c>
      <c r="I301" s="63">
        <v>43280.12</v>
      </c>
      <c r="J301" s="61">
        <v>43280.11537</v>
      </c>
      <c r="K301" s="63">
        <f>SUM(((J301*$K$3)+$K$2)+J301)</f>
        <v>43280.11537</v>
      </c>
      <c r="L301" s="63">
        <f>SUM(K301/2080)</f>
        <v>20.807747774038461</v>
      </c>
      <c r="M301" s="63">
        <f>SUM(K301/26)</f>
        <v>1664.6198219230769</v>
      </c>
      <c r="N301" s="63">
        <f>IF(G301&lt;4,0,(G301-1)*$N$7)</f>
        <v>8041.5123287671231</v>
      </c>
      <c r="O301" s="65"/>
      <c r="P301" s="65"/>
      <c r="Q301" s="63">
        <f>IF(N301+P301&gt;5000,5000,N301+P301)</f>
        <v>5000</v>
      </c>
      <c r="R301" s="63">
        <f>Q301+K301</f>
        <v>48280.11537</v>
      </c>
      <c r="S301" s="65"/>
      <c r="T301" s="63">
        <v>1200</v>
      </c>
      <c r="U301" s="65"/>
      <c r="V301" s="63">
        <f t="shared" ref="V301:V302" si="377">SUM(R301:U301)</f>
        <v>49480.11537</v>
      </c>
      <c r="W301" s="63">
        <f t="shared" ref="W301:W302" si="378">SUM(V301*$W$7)</f>
        <v>3067.76715294</v>
      </c>
      <c r="X301" s="63">
        <f t="shared" ref="X301:X302" si="379">SUM(V301*$X$7)</f>
        <v>717.46167286500008</v>
      </c>
      <c r="Y301" s="63">
        <f>SUM(V301*$Y$7)</f>
        <v>7431.9133285739999</v>
      </c>
      <c r="Z301" s="63">
        <f>SUM(V301*$Z$7)</f>
        <v>79.168184592000003</v>
      </c>
      <c r="AA301" s="63">
        <f>SUM(V301*$AA$7)</f>
        <v>34.636080759000002</v>
      </c>
      <c r="AB301" s="63">
        <f>SUM($AB$7)</f>
        <v>335</v>
      </c>
      <c r="AC301" s="63">
        <f>$AC$7</f>
        <v>10356.36</v>
      </c>
      <c r="AD301" s="63">
        <f>SUM(AB301+AC301)*$AD$7</f>
        <v>106.9136</v>
      </c>
      <c r="AE301" s="178">
        <v>541</v>
      </c>
    </row>
    <row r="302" spans="1:31" x14ac:dyDescent="0.25">
      <c r="A302" s="247"/>
      <c r="B302" s="247"/>
      <c r="C302" s="168" t="s">
        <v>2901</v>
      </c>
      <c r="D302" s="247"/>
      <c r="E302" s="247"/>
      <c r="F302" s="247"/>
      <c r="G302" s="247"/>
      <c r="H302" s="220">
        <v>600</v>
      </c>
      <c r="I302" s="296"/>
      <c r="J302" s="220">
        <v>600</v>
      </c>
      <c r="K302" s="220">
        <v>600</v>
      </c>
      <c r="L302" s="320"/>
      <c r="M302" s="320"/>
      <c r="N302" s="320"/>
      <c r="O302" s="320"/>
      <c r="P302" s="320"/>
      <c r="Q302" s="320"/>
      <c r="R302" s="172">
        <v>600</v>
      </c>
      <c r="S302" s="314"/>
      <c r="T302" s="314"/>
      <c r="U302" s="314"/>
      <c r="V302" s="172">
        <f t="shared" si="377"/>
        <v>600</v>
      </c>
      <c r="W302" s="172">
        <f t="shared" si="378"/>
        <v>37.200000000000003</v>
      </c>
      <c r="X302" s="172">
        <f t="shared" si="379"/>
        <v>8.7000000000000011</v>
      </c>
      <c r="Y302" s="172" t="s">
        <v>2422</v>
      </c>
      <c r="Z302" s="172" t="s">
        <v>2422</v>
      </c>
      <c r="AA302" s="172" t="s">
        <v>2422</v>
      </c>
      <c r="AB302" s="172" t="s">
        <v>2422</v>
      </c>
      <c r="AC302" s="172" t="s">
        <v>2422</v>
      </c>
      <c r="AD302" s="172" t="s">
        <v>2422</v>
      </c>
      <c r="AE302" s="247"/>
    </row>
    <row r="303" spans="1:31" x14ac:dyDescent="0.25">
      <c r="A303" s="247"/>
      <c r="B303" s="247"/>
      <c r="C303" s="247"/>
      <c r="D303" s="247"/>
      <c r="E303" s="247"/>
      <c r="F303" s="247"/>
      <c r="G303" s="247"/>
      <c r="H303" s="223">
        <v>42824.502800000002</v>
      </c>
      <c r="I303" s="401"/>
      <c r="J303" s="223">
        <v>43880.11537</v>
      </c>
      <c r="K303" s="223">
        <f t="shared" ref="K303:AD303" si="380">SUM(K300:K302)</f>
        <v>43880.11537</v>
      </c>
      <c r="L303" s="223">
        <f t="shared" si="380"/>
        <v>20.807747774038461</v>
      </c>
      <c r="M303" s="223">
        <f t="shared" si="380"/>
        <v>1664.6198219230769</v>
      </c>
      <c r="N303" s="223">
        <f t="shared" si="380"/>
        <v>8041.5123287671231</v>
      </c>
      <c r="O303" s="223">
        <f t="shared" si="380"/>
        <v>0</v>
      </c>
      <c r="P303" s="223">
        <f t="shared" si="380"/>
        <v>0</v>
      </c>
      <c r="Q303" s="223">
        <f t="shared" si="380"/>
        <v>5000</v>
      </c>
      <c r="R303" s="223">
        <f t="shared" si="380"/>
        <v>48880.11537</v>
      </c>
      <c r="S303" s="223">
        <f t="shared" si="380"/>
        <v>0</v>
      </c>
      <c r="T303" s="223">
        <f t="shared" si="380"/>
        <v>1200</v>
      </c>
      <c r="U303" s="223">
        <f t="shared" si="380"/>
        <v>0</v>
      </c>
      <c r="V303" s="223">
        <f t="shared" si="380"/>
        <v>50080.11537</v>
      </c>
      <c r="W303" s="223">
        <f t="shared" si="380"/>
        <v>3104.9671529399998</v>
      </c>
      <c r="X303" s="223">
        <f t="shared" si="380"/>
        <v>726.16167286500013</v>
      </c>
      <c r="Y303" s="223">
        <f t="shared" si="380"/>
        <v>7431.9133285739999</v>
      </c>
      <c r="Z303" s="223">
        <f t="shared" si="380"/>
        <v>79.168184592000003</v>
      </c>
      <c r="AA303" s="223">
        <f t="shared" si="380"/>
        <v>34.636080759000002</v>
      </c>
      <c r="AB303" s="223">
        <f t="shared" si="380"/>
        <v>335</v>
      </c>
      <c r="AC303" s="223">
        <f t="shared" si="380"/>
        <v>10356.36</v>
      </c>
      <c r="AD303" s="223">
        <f t="shared" si="380"/>
        <v>106.9136</v>
      </c>
      <c r="AE303" s="178">
        <v>541</v>
      </c>
    </row>
    <row r="304" spans="1:31" x14ac:dyDescent="0.25">
      <c r="A304" s="247"/>
      <c r="B304" s="247"/>
      <c r="C304" s="247"/>
      <c r="D304" s="247"/>
      <c r="E304" s="247"/>
      <c r="F304" s="247"/>
      <c r="G304" s="247"/>
      <c r="H304" s="247"/>
      <c r="I304" s="251"/>
      <c r="J304" s="247"/>
      <c r="K304" s="247"/>
      <c r="L304" s="247"/>
      <c r="M304" s="247"/>
      <c r="N304" s="247"/>
      <c r="O304" s="247"/>
      <c r="P304" s="247"/>
      <c r="Q304" s="247"/>
      <c r="R304" s="65"/>
      <c r="S304" s="65"/>
      <c r="T304" s="65"/>
      <c r="U304" s="65"/>
      <c r="V304" s="65"/>
      <c r="W304" s="63">
        <f>W303+X303</f>
        <v>3831.1288258049999</v>
      </c>
      <c r="X304" s="65"/>
      <c r="Y304" s="65"/>
      <c r="Z304" s="65"/>
      <c r="AA304" s="65"/>
      <c r="AB304" s="65"/>
      <c r="AC304" s="63">
        <f>SUM(AC303:AD303)</f>
        <v>10463.2736</v>
      </c>
      <c r="AD304" s="65"/>
      <c r="AE304" s="247"/>
    </row>
    <row r="305" spans="1:31" x14ac:dyDescent="0.25">
      <c r="A305" s="247"/>
      <c r="B305" s="247"/>
      <c r="C305" s="247"/>
      <c r="D305" s="247"/>
      <c r="E305" s="247"/>
      <c r="F305" s="247"/>
      <c r="G305" s="247"/>
      <c r="H305" s="247"/>
      <c r="I305" s="138"/>
      <c r="J305" s="247"/>
      <c r="K305" s="247"/>
      <c r="L305" s="247"/>
      <c r="M305" s="247"/>
      <c r="N305" s="247"/>
      <c r="O305" s="247"/>
      <c r="P305" s="247"/>
      <c r="Q305" s="247"/>
      <c r="R305" s="65"/>
      <c r="S305" s="65"/>
      <c r="T305" s="65"/>
      <c r="U305" s="65"/>
      <c r="V305" s="65"/>
      <c r="W305" s="65"/>
      <c r="X305" s="65"/>
      <c r="Y305" s="65"/>
      <c r="Z305" s="65"/>
      <c r="AA305" s="65"/>
      <c r="AB305" s="65"/>
      <c r="AC305" s="65"/>
      <c r="AD305" s="65"/>
      <c r="AE305" s="247"/>
    </row>
    <row r="306" spans="1:31" x14ac:dyDescent="0.25">
      <c r="A306" s="247"/>
      <c r="B306" s="247"/>
      <c r="C306" s="247"/>
      <c r="D306" s="247"/>
      <c r="E306" s="247"/>
      <c r="F306" s="247"/>
      <c r="G306" s="247"/>
      <c r="H306" s="247"/>
      <c r="I306" s="138"/>
      <c r="J306" s="247"/>
      <c r="K306" s="247"/>
      <c r="L306" s="247"/>
      <c r="M306" s="247"/>
      <c r="N306" s="247"/>
      <c r="O306" s="247"/>
      <c r="P306" s="247"/>
      <c r="Q306" s="247"/>
      <c r="R306" s="65"/>
      <c r="S306" s="65"/>
      <c r="T306" s="65"/>
      <c r="U306" s="65"/>
      <c r="V306" s="65"/>
      <c r="W306" s="65"/>
      <c r="X306" s="65"/>
      <c r="Y306" s="65"/>
      <c r="Z306" s="65"/>
      <c r="AA306" s="65"/>
      <c r="AB306" s="65"/>
      <c r="AC306" s="65"/>
      <c r="AD306" s="65"/>
      <c r="AE306" s="247"/>
    </row>
    <row r="307" spans="1:31" x14ac:dyDescent="0.25">
      <c r="A307" s="167">
        <v>542</v>
      </c>
      <c r="B307" s="167">
        <v>542001</v>
      </c>
      <c r="C307" s="168" t="s">
        <v>2903</v>
      </c>
      <c r="D307" s="185" t="s">
        <v>2904</v>
      </c>
      <c r="E307" s="185" t="s">
        <v>2905</v>
      </c>
      <c r="F307" s="58">
        <v>36023</v>
      </c>
      <c r="G307" s="59">
        <f>(DATE(2020,12,30)-(F307))/365</f>
        <v>22.389041095890413</v>
      </c>
      <c r="H307" s="61">
        <v>42224.502800000002</v>
      </c>
      <c r="I307" s="63">
        <v>43280.12</v>
      </c>
      <c r="J307" s="61">
        <v>43280.11537</v>
      </c>
      <c r="K307" s="63">
        <f>SUM(((J307*$K$3)+$K$2)+J307)</f>
        <v>43280.11537</v>
      </c>
      <c r="L307" s="63">
        <f>SUM(K307/2080)</f>
        <v>20.807747774038461</v>
      </c>
      <c r="M307" s="63">
        <f>SUM(K307/26)</f>
        <v>1664.6198219230769</v>
      </c>
      <c r="N307" s="63">
        <f>IF(G307&lt;4,0,(G307-1)*$N$7)</f>
        <v>5646.7068493150691</v>
      </c>
      <c r="O307" s="65"/>
      <c r="P307" s="65"/>
      <c r="Q307" s="63">
        <f>IF(N307+P307&gt;5000,5000,N307+P307)</f>
        <v>5000</v>
      </c>
      <c r="R307" s="63">
        <f>Q307+K307</f>
        <v>48280.11537</v>
      </c>
      <c r="S307" s="65"/>
      <c r="T307" s="63">
        <v>1200</v>
      </c>
      <c r="U307" s="65"/>
      <c r="V307" s="63">
        <f t="shared" ref="V307:V308" si="381">SUM(R307:U307)</f>
        <v>49480.11537</v>
      </c>
      <c r="W307" s="63">
        <f t="shared" ref="W307:W308" si="382">SUM(V307*$W$7)</f>
        <v>3067.76715294</v>
      </c>
      <c r="X307" s="63">
        <f t="shared" ref="X307:X308" si="383">SUM(V307*$X$7)</f>
        <v>717.46167286500008</v>
      </c>
      <c r="Y307" s="63">
        <f>SUM(V307*$Y$7)</f>
        <v>7431.9133285739999</v>
      </c>
      <c r="Z307" s="63">
        <f>SUM(V307*$Z$7)</f>
        <v>79.168184592000003</v>
      </c>
      <c r="AA307" s="63">
        <f>SUM(V307*$AA$7)</f>
        <v>34.636080759000002</v>
      </c>
      <c r="AB307" s="63">
        <f>SUM($AB$7)</f>
        <v>335</v>
      </c>
      <c r="AC307" s="63">
        <f>$AC$7</f>
        <v>10356.36</v>
      </c>
      <c r="AD307" s="63">
        <f>SUM(AB307+AC307)*$AD$7</f>
        <v>106.9136</v>
      </c>
      <c r="AE307" s="178">
        <v>542</v>
      </c>
    </row>
    <row r="308" spans="1:31" x14ac:dyDescent="0.25">
      <c r="A308" s="247"/>
      <c r="B308" s="247"/>
      <c r="C308" s="168" t="s">
        <v>2901</v>
      </c>
      <c r="D308" s="247"/>
      <c r="E308" s="247"/>
      <c r="F308" s="247"/>
      <c r="G308" s="247"/>
      <c r="H308" s="220">
        <v>600</v>
      </c>
      <c r="I308" s="296"/>
      <c r="J308" s="220">
        <v>600</v>
      </c>
      <c r="K308" s="220">
        <v>600</v>
      </c>
      <c r="L308" s="320"/>
      <c r="M308" s="320"/>
      <c r="N308" s="320"/>
      <c r="O308" s="320"/>
      <c r="P308" s="320"/>
      <c r="Q308" s="320"/>
      <c r="R308" s="172">
        <v>600</v>
      </c>
      <c r="S308" s="314"/>
      <c r="T308" s="314"/>
      <c r="U308" s="314"/>
      <c r="V308" s="172">
        <f t="shared" si="381"/>
        <v>600</v>
      </c>
      <c r="W308" s="172">
        <f t="shared" si="382"/>
        <v>37.200000000000003</v>
      </c>
      <c r="X308" s="172">
        <f t="shared" si="383"/>
        <v>8.7000000000000011</v>
      </c>
      <c r="Y308" s="172" t="s">
        <v>2422</v>
      </c>
      <c r="Z308" s="172" t="s">
        <v>2422</v>
      </c>
      <c r="AA308" s="172" t="s">
        <v>2422</v>
      </c>
      <c r="AB308" s="172" t="s">
        <v>2422</v>
      </c>
      <c r="AC308" s="172" t="s">
        <v>2422</v>
      </c>
      <c r="AD308" s="172" t="s">
        <v>2422</v>
      </c>
      <c r="AE308" s="247"/>
    </row>
    <row r="309" spans="1:31" x14ac:dyDescent="0.25">
      <c r="A309" s="247"/>
      <c r="B309" s="247"/>
      <c r="C309" s="247"/>
      <c r="D309" s="247"/>
      <c r="E309" s="247"/>
      <c r="F309" s="247"/>
      <c r="G309" s="247"/>
      <c r="H309" s="223">
        <v>42824.502800000002</v>
      </c>
      <c r="I309" s="401"/>
      <c r="J309" s="223">
        <v>43880.11537</v>
      </c>
      <c r="K309" s="223">
        <f t="shared" ref="K309:AD309" si="384">SUM(K306:K308)</f>
        <v>43880.11537</v>
      </c>
      <c r="L309" s="223">
        <f t="shared" si="384"/>
        <v>20.807747774038461</v>
      </c>
      <c r="M309" s="223">
        <f t="shared" si="384"/>
        <v>1664.6198219230769</v>
      </c>
      <c r="N309" s="223">
        <f t="shared" si="384"/>
        <v>5646.7068493150691</v>
      </c>
      <c r="O309" s="223">
        <f t="shared" si="384"/>
        <v>0</v>
      </c>
      <c r="P309" s="223">
        <f t="shared" si="384"/>
        <v>0</v>
      </c>
      <c r="Q309" s="223">
        <f t="shared" si="384"/>
        <v>5000</v>
      </c>
      <c r="R309" s="223">
        <f t="shared" si="384"/>
        <v>48880.11537</v>
      </c>
      <c r="S309" s="223">
        <f t="shared" si="384"/>
        <v>0</v>
      </c>
      <c r="T309" s="223">
        <f t="shared" si="384"/>
        <v>1200</v>
      </c>
      <c r="U309" s="223">
        <f t="shared" si="384"/>
        <v>0</v>
      </c>
      <c r="V309" s="223">
        <f t="shared" si="384"/>
        <v>50080.11537</v>
      </c>
      <c r="W309" s="223">
        <f t="shared" si="384"/>
        <v>3104.9671529399998</v>
      </c>
      <c r="X309" s="223">
        <f t="shared" si="384"/>
        <v>726.16167286500013</v>
      </c>
      <c r="Y309" s="223">
        <f t="shared" si="384"/>
        <v>7431.9133285739999</v>
      </c>
      <c r="Z309" s="223">
        <f t="shared" si="384"/>
        <v>79.168184592000003</v>
      </c>
      <c r="AA309" s="223">
        <f t="shared" si="384"/>
        <v>34.636080759000002</v>
      </c>
      <c r="AB309" s="223">
        <f t="shared" si="384"/>
        <v>335</v>
      </c>
      <c r="AC309" s="223">
        <f t="shared" si="384"/>
        <v>10356.36</v>
      </c>
      <c r="AD309" s="223">
        <f t="shared" si="384"/>
        <v>106.9136</v>
      </c>
      <c r="AE309" s="247"/>
    </row>
    <row r="310" spans="1:31" x14ac:dyDescent="0.25">
      <c r="A310" s="247"/>
      <c r="B310" s="247"/>
      <c r="C310" s="247"/>
      <c r="D310" s="247"/>
      <c r="E310" s="247"/>
      <c r="F310" s="247"/>
      <c r="G310" s="247"/>
      <c r="H310" s="247"/>
      <c r="I310" s="251"/>
      <c r="J310" s="247"/>
      <c r="K310" s="247"/>
      <c r="L310" s="247"/>
      <c r="M310" s="247"/>
      <c r="N310" s="247"/>
      <c r="O310" s="247"/>
      <c r="P310" s="247"/>
      <c r="Q310" s="247"/>
      <c r="R310" s="65"/>
      <c r="S310" s="65"/>
      <c r="T310" s="65"/>
      <c r="U310" s="65"/>
      <c r="V310" s="65"/>
      <c r="W310" s="63">
        <f>W309+X309</f>
        <v>3831.1288258049999</v>
      </c>
      <c r="X310" s="65"/>
      <c r="Y310" s="65"/>
      <c r="Z310" s="65"/>
      <c r="AA310" s="65"/>
      <c r="AB310" s="65"/>
      <c r="AC310" s="63">
        <f>SUM(AC309:AD309)</f>
        <v>10463.2736</v>
      </c>
      <c r="AD310" s="65"/>
      <c r="AE310" s="247"/>
    </row>
    <row r="311" spans="1:31" x14ac:dyDescent="0.25">
      <c r="A311" s="247"/>
      <c r="B311" s="247"/>
      <c r="C311" s="247"/>
      <c r="D311" s="247"/>
      <c r="E311" s="247"/>
      <c r="F311" s="247"/>
      <c r="G311" s="247"/>
      <c r="H311" s="247"/>
      <c r="I311" s="138"/>
      <c r="J311" s="247"/>
      <c r="K311" s="247"/>
      <c r="L311" s="247"/>
      <c r="M311" s="247"/>
      <c r="N311" s="247"/>
      <c r="O311" s="247"/>
      <c r="P311" s="247"/>
      <c r="Q311" s="247"/>
      <c r="R311" s="65"/>
      <c r="S311" s="65"/>
      <c r="T311" s="65"/>
      <c r="U311" s="65"/>
      <c r="V311" s="65"/>
      <c r="W311" s="65"/>
      <c r="X311" s="65"/>
      <c r="Y311" s="65"/>
      <c r="Z311" s="65"/>
      <c r="AA311" s="65"/>
      <c r="AB311" s="65"/>
      <c r="AC311" s="65"/>
      <c r="AD311" s="65"/>
      <c r="AE311" s="247"/>
    </row>
    <row r="312" spans="1:31" x14ac:dyDescent="0.25">
      <c r="A312" s="247"/>
      <c r="B312" s="247"/>
      <c r="C312" s="247"/>
      <c r="D312" s="247"/>
      <c r="E312" s="247"/>
      <c r="F312" s="247"/>
      <c r="G312" s="247"/>
      <c r="H312" s="247"/>
      <c r="I312" s="138"/>
      <c r="J312" s="247"/>
      <c r="K312" s="247"/>
      <c r="L312" s="247"/>
      <c r="M312" s="247"/>
      <c r="N312" s="247"/>
      <c r="O312" s="247"/>
      <c r="P312" s="247"/>
      <c r="Q312" s="247"/>
      <c r="R312" s="65"/>
      <c r="S312" s="65"/>
      <c r="T312" s="65"/>
      <c r="U312" s="65"/>
      <c r="V312" s="65"/>
      <c r="W312" s="65"/>
      <c r="X312" s="65"/>
      <c r="Y312" s="65"/>
      <c r="Z312" s="65"/>
      <c r="AA312" s="65"/>
      <c r="AB312" s="65"/>
      <c r="AC312" s="65"/>
      <c r="AD312" s="65"/>
      <c r="AE312" s="247"/>
    </row>
    <row r="313" spans="1:31" x14ac:dyDescent="0.25">
      <c r="A313" s="167">
        <v>543</v>
      </c>
      <c r="B313" s="167">
        <v>543001</v>
      </c>
      <c r="C313" s="168" t="s">
        <v>2907</v>
      </c>
      <c r="D313" s="168" t="s">
        <v>2908</v>
      </c>
      <c r="E313" s="168" t="s">
        <v>2909</v>
      </c>
      <c r="F313" s="58">
        <v>38353</v>
      </c>
      <c r="G313" s="59">
        <f>(DATE(2020,12,30)-(F313))/365</f>
        <v>16.005479452054793</v>
      </c>
      <c r="H313" s="61">
        <v>42224.502800000002</v>
      </c>
      <c r="I313" s="63">
        <v>43280.12</v>
      </c>
      <c r="J313" s="61">
        <v>43280.11537</v>
      </c>
      <c r="K313" s="63">
        <f>SUM(((J313*$K$3)+$K$2)+J313)</f>
        <v>43280.11537</v>
      </c>
      <c r="L313" s="63">
        <f>SUM(K313/2080)</f>
        <v>20.807747774038461</v>
      </c>
      <c r="M313" s="63">
        <f>SUM(K313/26)</f>
        <v>1664.6198219230769</v>
      </c>
      <c r="N313" s="63">
        <f>IF(G313&lt;4,0,(G313-1)*$N$7)</f>
        <v>3961.4465753424652</v>
      </c>
      <c r="O313" s="65"/>
      <c r="P313" s="65"/>
      <c r="Q313" s="63">
        <f>IF(N313+P313&gt;5000,5000,N313+P313)</f>
        <v>3961.4465753424652</v>
      </c>
      <c r="R313" s="63">
        <f>Q313+K313</f>
        <v>47241.561945342466</v>
      </c>
      <c r="S313" s="65"/>
      <c r="T313" s="63">
        <v>1200</v>
      </c>
      <c r="U313" s="65"/>
      <c r="V313" s="63">
        <f t="shared" ref="V313:V314" si="385">SUM(R313:U313)</f>
        <v>48441.561945342466</v>
      </c>
      <c r="W313" s="63">
        <f t="shared" ref="W313:W314" si="386">SUM(V313*$W$7)</f>
        <v>3003.3768406112331</v>
      </c>
      <c r="X313" s="63">
        <f t="shared" ref="X313:X314" si="387">SUM(V313*$X$7)</f>
        <v>702.40264820746575</v>
      </c>
      <c r="Y313" s="63">
        <f>SUM(V313*$Y$7)</f>
        <v>7275.9226041904385</v>
      </c>
      <c r="Z313" s="63">
        <f>SUM(V313*$Z$7)</f>
        <v>77.506499112547942</v>
      </c>
      <c r="AA313" s="63">
        <f>SUM(V313*$AA$7)</f>
        <v>33.909093361739728</v>
      </c>
      <c r="AB313" s="63">
        <f>SUM($AB$7)</f>
        <v>335</v>
      </c>
      <c r="AC313" s="63">
        <f>$AC$7</f>
        <v>10356.36</v>
      </c>
      <c r="AD313" s="63">
        <f>SUM(AB313+AC313)*$AD$7</f>
        <v>106.9136</v>
      </c>
      <c r="AE313" s="178">
        <v>543</v>
      </c>
    </row>
    <row r="314" spans="1:31" x14ac:dyDescent="0.25">
      <c r="A314" s="247"/>
      <c r="B314" s="247"/>
      <c r="C314" s="168" t="s">
        <v>2901</v>
      </c>
      <c r="D314" s="247"/>
      <c r="E314" s="247"/>
      <c r="F314" s="247"/>
      <c r="G314" s="247"/>
      <c r="H314" s="220">
        <v>600</v>
      </c>
      <c r="I314" s="296"/>
      <c r="J314" s="220">
        <v>600</v>
      </c>
      <c r="K314" s="220">
        <v>600</v>
      </c>
      <c r="L314" s="320"/>
      <c r="M314" s="320"/>
      <c r="N314" s="320"/>
      <c r="O314" s="320"/>
      <c r="P314" s="320"/>
      <c r="Q314" s="320"/>
      <c r="R314" s="172">
        <v>600</v>
      </c>
      <c r="S314" s="314"/>
      <c r="T314" s="314"/>
      <c r="U314" s="314"/>
      <c r="V314" s="172">
        <f t="shared" si="385"/>
        <v>600</v>
      </c>
      <c r="W314" s="172">
        <f t="shared" si="386"/>
        <v>37.200000000000003</v>
      </c>
      <c r="X314" s="172">
        <f t="shared" si="387"/>
        <v>8.7000000000000011</v>
      </c>
      <c r="Y314" s="172" t="s">
        <v>2422</v>
      </c>
      <c r="Z314" s="172" t="s">
        <v>2422</v>
      </c>
      <c r="AA314" s="172" t="s">
        <v>2422</v>
      </c>
      <c r="AB314" s="172" t="s">
        <v>2422</v>
      </c>
      <c r="AC314" s="172" t="s">
        <v>2422</v>
      </c>
      <c r="AD314" s="172" t="s">
        <v>2422</v>
      </c>
      <c r="AE314" s="247"/>
    </row>
    <row r="315" spans="1:31" x14ac:dyDescent="0.25">
      <c r="A315" s="247"/>
      <c r="B315" s="247"/>
      <c r="C315" s="247"/>
      <c r="D315" s="247"/>
      <c r="E315" s="247"/>
      <c r="F315" s="247"/>
      <c r="G315" s="247"/>
      <c r="H315" s="223">
        <v>42824.502800000002</v>
      </c>
      <c r="I315" s="401"/>
      <c r="J315" s="223">
        <v>43880.11537</v>
      </c>
      <c r="K315" s="223">
        <f t="shared" ref="K315:AD315" si="388">SUM(K312:K314)</f>
        <v>43880.11537</v>
      </c>
      <c r="L315" s="223">
        <f t="shared" si="388"/>
        <v>20.807747774038461</v>
      </c>
      <c r="M315" s="223">
        <f t="shared" si="388"/>
        <v>1664.6198219230769</v>
      </c>
      <c r="N315" s="223">
        <f t="shared" si="388"/>
        <v>3961.4465753424652</v>
      </c>
      <c r="O315" s="223">
        <f t="shared" si="388"/>
        <v>0</v>
      </c>
      <c r="P315" s="223">
        <f t="shared" si="388"/>
        <v>0</v>
      </c>
      <c r="Q315" s="223">
        <f t="shared" si="388"/>
        <v>3961.4465753424652</v>
      </c>
      <c r="R315" s="223">
        <f t="shared" si="388"/>
        <v>47841.561945342466</v>
      </c>
      <c r="S315" s="223">
        <f t="shared" si="388"/>
        <v>0</v>
      </c>
      <c r="T315" s="223">
        <f t="shared" si="388"/>
        <v>1200</v>
      </c>
      <c r="U315" s="223">
        <f t="shared" si="388"/>
        <v>0</v>
      </c>
      <c r="V315" s="223">
        <f t="shared" si="388"/>
        <v>49041.561945342466</v>
      </c>
      <c r="W315" s="223">
        <f t="shared" si="388"/>
        <v>3040.5768406112329</v>
      </c>
      <c r="X315" s="223">
        <f t="shared" si="388"/>
        <v>711.10264820746579</v>
      </c>
      <c r="Y315" s="223">
        <f t="shared" si="388"/>
        <v>7275.9226041904385</v>
      </c>
      <c r="Z315" s="223">
        <f t="shared" si="388"/>
        <v>77.506499112547942</v>
      </c>
      <c r="AA315" s="223">
        <f t="shared" si="388"/>
        <v>33.909093361739728</v>
      </c>
      <c r="AB315" s="223">
        <f t="shared" si="388"/>
        <v>335</v>
      </c>
      <c r="AC315" s="223">
        <f t="shared" si="388"/>
        <v>10356.36</v>
      </c>
      <c r="AD315" s="223">
        <f t="shared" si="388"/>
        <v>106.9136</v>
      </c>
      <c r="AE315" s="178">
        <v>543</v>
      </c>
    </row>
    <row r="316" spans="1:31" x14ac:dyDescent="0.25">
      <c r="A316" s="247"/>
      <c r="B316" s="247"/>
      <c r="C316" s="247"/>
      <c r="D316" s="247"/>
      <c r="E316" s="247"/>
      <c r="F316" s="247"/>
      <c r="G316" s="247"/>
      <c r="H316" s="247"/>
      <c r="I316" s="251"/>
      <c r="J316" s="247"/>
      <c r="K316" s="247"/>
      <c r="L316" s="247"/>
      <c r="M316" s="247"/>
      <c r="N316" s="247"/>
      <c r="O316" s="247"/>
      <c r="P316" s="247"/>
      <c r="Q316" s="247"/>
      <c r="R316" s="65"/>
      <c r="S316" s="65"/>
      <c r="T316" s="65"/>
      <c r="U316" s="65"/>
      <c r="V316" s="65"/>
      <c r="W316" s="63">
        <f>W315+X315</f>
        <v>3751.6794888186987</v>
      </c>
      <c r="X316" s="65"/>
      <c r="Y316" s="65"/>
      <c r="Z316" s="65"/>
      <c r="AA316" s="65"/>
      <c r="AB316" s="65"/>
      <c r="AC316" s="63">
        <f>SUM(AC315:AD315)</f>
        <v>10463.2736</v>
      </c>
      <c r="AD316" s="65"/>
      <c r="AE316" s="247"/>
    </row>
    <row r="317" spans="1:31" x14ac:dyDescent="0.25">
      <c r="A317" s="168"/>
      <c r="B317" s="168"/>
      <c r="C317" s="168"/>
      <c r="D317" s="181"/>
      <c r="E317" s="181"/>
      <c r="F317" s="80"/>
      <c r="G317" s="59"/>
      <c r="H317" s="61"/>
      <c r="I317" s="169"/>
      <c r="J317" s="61"/>
      <c r="K317" s="63"/>
      <c r="L317" s="167"/>
      <c r="M317" s="61"/>
      <c r="N317" s="61"/>
      <c r="O317" s="247"/>
      <c r="P317" s="247"/>
      <c r="Q317" s="61"/>
      <c r="R317" s="63"/>
      <c r="S317" s="65"/>
      <c r="T317" s="63"/>
      <c r="U317" s="65"/>
      <c r="V317" s="63"/>
      <c r="W317" s="63"/>
      <c r="X317" s="63"/>
      <c r="Y317" s="63"/>
      <c r="Z317" s="63"/>
      <c r="AA317" s="63"/>
      <c r="AB317" s="63"/>
      <c r="AC317" s="63"/>
      <c r="AD317" s="63"/>
      <c r="AE317" s="247"/>
    </row>
    <row r="318" spans="1:31" x14ac:dyDescent="0.25">
      <c r="A318" s="167">
        <v>544</v>
      </c>
      <c r="B318" s="167">
        <v>544001</v>
      </c>
      <c r="C318" s="168" t="s">
        <v>2912</v>
      </c>
      <c r="D318" s="181" t="s">
        <v>2913</v>
      </c>
      <c r="E318" s="181" t="s">
        <v>2914</v>
      </c>
      <c r="F318" s="58">
        <v>42736</v>
      </c>
      <c r="G318" s="59">
        <f>(DATE(2020,12,30)-(F318))/365</f>
        <v>3.9972602739726026</v>
      </c>
      <c r="H318" s="61">
        <v>42224.502800000002</v>
      </c>
      <c r="I318" s="63">
        <v>43280.12</v>
      </c>
      <c r="J318" s="61">
        <v>43280.11537</v>
      </c>
      <c r="K318" s="63">
        <f>SUM(((J318*$K$3)+$K$2)+J318)</f>
        <v>43280.11537</v>
      </c>
      <c r="L318" s="63">
        <f>SUM(K318/2080)</f>
        <v>20.807747774038461</v>
      </c>
      <c r="M318" s="63">
        <f>SUM(K318/26)</f>
        <v>1664.6198219230769</v>
      </c>
      <c r="N318" s="63">
        <f>IF(G318&lt;4,0,(G318-1)*$N$7)</f>
        <v>0</v>
      </c>
      <c r="O318" s="65"/>
      <c r="P318" s="65"/>
      <c r="Q318" s="63">
        <f>IF(N318+P318&gt;5000,5000,N318+P318)</f>
        <v>0</v>
      </c>
      <c r="R318" s="63">
        <f>Q318+K318</f>
        <v>43280.11537</v>
      </c>
      <c r="S318" s="65"/>
      <c r="T318" s="63">
        <v>1200</v>
      </c>
      <c r="U318" s="65"/>
      <c r="V318" s="63">
        <f t="shared" ref="V318:V319" si="389">SUM(R318:U318)</f>
        <v>44480.11537</v>
      </c>
      <c r="W318" s="63">
        <f t="shared" ref="W318:W319" si="390">SUM(V318*$W$7)</f>
        <v>2757.76715294</v>
      </c>
      <c r="X318" s="63">
        <f t="shared" ref="X318:X319" si="391">SUM(V318*$X$7)</f>
        <v>644.96167286500008</v>
      </c>
      <c r="Y318" s="63">
        <f>SUM(V318*$Y$7)</f>
        <v>6680.9133285739999</v>
      </c>
      <c r="Z318" s="63">
        <f>SUM(V318*$Z$7)</f>
        <v>71.168184592000003</v>
      </c>
      <c r="AA318" s="63">
        <f>SUM(V318*$AA$7)</f>
        <v>31.136080758999999</v>
      </c>
      <c r="AB318" s="63">
        <f>SUM($AB$7)</f>
        <v>335</v>
      </c>
      <c r="AC318" s="63">
        <f>$AC$7</f>
        <v>10356.36</v>
      </c>
      <c r="AD318" s="63">
        <f>SUM(AB318+AC318)*$AD$7</f>
        <v>106.9136</v>
      </c>
      <c r="AE318" s="178">
        <v>544</v>
      </c>
    </row>
    <row r="319" spans="1:31" x14ac:dyDescent="0.25">
      <c r="A319" s="247"/>
      <c r="B319" s="247"/>
      <c r="C319" s="168" t="s">
        <v>2901</v>
      </c>
      <c r="D319" s="247"/>
      <c r="E319" s="247"/>
      <c r="F319" s="247"/>
      <c r="G319" s="247"/>
      <c r="H319" s="220">
        <v>600</v>
      </c>
      <c r="I319" s="296"/>
      <c r="J319" s="220">
        <v>600</v>
      </c>
      <c r="K319" s="220">
        <v>600</v>
      </c>
      <c r="L319" s="320"/>
      <c r="M319" s="320"/>
      <c r="N319" s="320"/>
      <c r="O319" s="320"/>
      <c r="P319" s="320"/>
      <c r="Q319" s="320"/>
      <c r="R319" s="172">
        <v>600</v>
      </c>
      <c r="S319" s="314"/>
      <c r="T319" s="314"/>
      <c r="U319" s="314"/>
      <c r="V319" s="172">
        <f t="shared" si="389"/>
        <v>600</v>
      </c>
      <c r="W319" s="172">
        <f t="shared" si="390"/>
        <v>37.200000000000003</v>
      </c>
      <c r="X319" s="172">
        <f t="shared" si="391"/>
        <v>8.7000000000000011</v>
      </c>
      <c r="Y319" s="172" t="s">
        <v>2422</v>
      </c>
      <c r="Z319" s="172" t="s">
        <v>2422</v>
      </c>
      <c r="AA319" s="172" t="s">
        <v>2422</v>
      </c>
      <c r="AB319" s="172" t="s">
        <v>2422</v>
      </c>
      <c r="AC319" s="172" t="s">
        <v>2422</v>
      </c>
      <c r="AD319" s="172" t="s">
        <v>2422</v>
      </c>
      <c r="AE319" s="247"/>
    </row>
    <row r="320" spans="1:31" x14ac:dyDescent="0.25">
      <c r="A320" s="247"/>
      <c r="B320" s="247"/>
      <c r="C320" s="247"/>
      <c r="D320" s="247"/>
      <c r="E320" s="247"/>
      <c r="F320" s="247"/>
      <c r="G320" s="247"/>
      <c r="H320" s="223">
        <v>42824.502800000002</v>
      </c>
      <c r="I320" s="401"/>
      <c r="J320" s="223">
        <v>43880.11537</v>
      </c>
      <c r="K320" s="223">
        <f t="shared" ref="K320:AD320" si="392">SUM(K317:K319)</f>
        <v>43880.11537</v>
      </c>
      <c r="L320" s="223">
        <f t="shared" si="392"/>
        <v>20.807747774038461</v>
      </c>
      <c r="M320" s="223">
        <f t="shared" si="392"/>
        <v>1664.6198219230769</v>
      </c>
      <c r="N320" s="223">
        <f t="shared" si="392"/>
        <v>0</v>
      </c>
      <c r="O320" s="223">
        <f t="shared" si="392"/>
        <v>0</v>
      </c>
      <c r="P320" s="223">
        <f t="shared" si="392"/>
        <v>0</v>
      </c>
      <c r="Q320" s="223">
        <f t="shared" si="392"/>
        <v>0</v>
      </c>
      <c r="R320" s="223">
        <f t="shared" si="392"/>
        <v>43880.11537</v>
      </c>
      <c r="S320" s="223">
        <f t="shared" si="392"/>
        <v>0</v>
      </c>
      <c r="T320" s="223">
        <f t="shared" si="392"/>
        <v>1200</v>
      </c>
      <c r="U320" s="223">
        <f t="shared" si="392"/>
        <v>0</v>
      </c>
      <c r="V320" s="223">
        <f t="shared" si="392"/>
        <v>45080.11537</v>
      </c>
      <c r="W320" s="223">
        <f t="shared" si="392"/>
        <v>2794.9671529399998</v>
      </c>
      <c r="X320" s="223">
        <f t="shared" si="392"/>
        <v>653.66167286500013</v>
      </c>
      <c r="Y320" s="223">
        <f t="shared" si="392"/>
        <v>6680.9133285739999</v>
      </c>
      <c r="Z320" s="223">
        <f t="shared" si="392"/>
        <v>71.168184592000003</v>
      </c>
      <c r="AA320" s="223">
        <f t="shared" si="392"/>
        <v>31.136080758999999</v>
      </c>
      <c r="AB320" s="223">
        <f t="shared" si="392"/>
        <v>335</v>
      </c>
      <c r="AC320" s="223">
        <f t="shared" si="392"/>
        <v>10356.36</v>
      </c>
      <c r="AD320" s="223">
        <f t="shared" si="392"/>
        <v>106.9136</v>
      </c>
      <c r="AE320" s="178">
        <v>544</v>
      </c>
    </row>
    <row r="321" spans="1:31" x14ac:dyDescent="0.25">
      <c r="A321" s="247"/>
      <c r="B321" s="247"/>
      <c r="C321" s="247"/>
      <c r="D321" s="247"/>
      <c r="E321" s="247"/>
      <c r="F321" s="247"/>
      <c r="G321" s="247"/>
      <c r="H321" s="247"/>
      <c r="I321" s="251"/>
      <c r="J321" s="247"/>
      <c r="K321" s="247"/>
      <c r="L321" s="247"/>
      <c r="M321" s="247"/>
      <c r="N321" s="247"/>
      <c r="O321" s="247"/>
      <c r="P321" s="247"/>
      <c r="Q321" s="247"/>
      <c r="R321" s="65"/>
      <c r="S321" s="65"/>
      <c r="T321" s="65"/>
      <c r="U321" s="65"/>
      <c r="V321" s="65"/>
      <c r="W321" s="63">
        <f>W320+X320</f>
        <v>3448.6288258049999</v>
      </c>
      <c r="X321" s="65"/>
      <c r="Y321" s="65"/>
      <c r="Z321" s="65"/>
      <c r="AA321" s="65"/>
      <c r="AB321" s="65"/>
      <c r="AC321" s="63">
        <f>SUM(AC320:AD320)</f>
        <v>10463.2736</v>
      </c>
      <c r="AD321" s="65"/>
      <c r="AE321" s="247"/>
    </row>
    <row r="322" spans="1:31" x14ac:dyDescent="0.25">
      <c r="A322" s="247"/>
      <c r="B322" s="247"/>
      <c r="C322" s="247"/>
      <c r="D322" s="247"/>
      <c r="E322" s="247"/>
      <c r="F322" s="247"/>
      <c r="G322" s="247"/>
      <c r="H322" s="247"/>
      <c r="I322" s="138"/>
      <c r="J322" s="247"/>
      <c r="K322" s="247"/>
      <c r="L322" s="247"/>
      <c r="M322" s="247"/>
      <c r="N322" s="247"/>
      <c r="O322" s="247"/>
      <c r="P322" s="247"/>
      <c r="Q322" s="247"/>
      <c r="R322" s="65"/>
      <c r="S322" s="65"/>
      <c r="T322" s="65"/>
      <c r="U322" s="65"/>
      <c r="V322" s="65"/>
      <c r="W322" s="65"/>
      <c r="X322" s="65"/>
      <c r="Y322" s="65"/>
      <c r="Z322" s="65"/>
      <c r="AA322" s="65"/>
      <c r="AB322" s="65"/>
      <c r="AC322" s="65"/>
      <c r="AD322" s="65"/>
      <c r="AE322" s="247"/>
    </row>
    <row r="323" spans="1:31" x14ac:dyDescent="0.25">
      <c r="A323" s="247"/>
      <c r="B323" s="247"/>
      <c r="C323" s="247"/>
      <c r="D323" s="247"/>
      <c r="E323" s="247"/>
      <c r="F323" s="247"/>
      <c r="G323" s="247"/>
      <c r="H323" s="247"/>
      <c r="I323" s="138"/>
      <c r="J323" s="247"/>
      <c r="K323" s="247"/>
      <c r="L323" s="247"/>
      <c r="M323" s="247"/>
      <c r="N323" s="247"/>
      <c r="O323" s="247"/>
      <c r="P323" s="247"/>
      <c r="Q323" s="247"/>
      <c r="R323" s="65"/>
      <c r="S323" s="65"/>
      <c r="T323" s="65"/>
      <c r="U323" s="65"/>
      <c r="V323" s="65"/>
      <c r="W323" s="65"/>
      <c r="X323" s="65"/>
      <c r="Y323" s="65"/>
      <c r="Z323" s="65"/>
      <c r="AA323" s="65"/>
      <c r="AB323" s="65"/>
      <c r="AC323" s="65"/>
      <c r="AD323" s="65"/>
      <c r="AE323" s="247"/>
    </row>
    <row r="324" spans="1:31" x14ac:dyDescent="0.25">
      <c r="A324" s="167">
        <v>545</v>
      </c>
      <c r="B324" s="167">
        <v>545001</v>
      </c>
      <c r="C324" s="168" t="s">
        <v>2916</v>
      </c>
      <c r="D324" s="168" t="s">
        <v>2917</v>
      </c>
      <c r="E324" s="168" t="s">
        <v>2715</v>
      </c>
      <c r="F324" s="58">
        <v>38353</v>
      </c>
      <c r="G324" s="59">
        <f>(DATE(2020,12,30)-(F324))/365</f>
        <v>16.005479452054793</v>
      </c>
      <c r="H324" s="61">
        <v>42224.502800000002</v>
      </c>
      <c r="I324" s="63">
        <v>43280.12</v>
      </c>
      <c r="J324" s="61">
        <v>43280.11537</v>
      </c>
      <c r="K324" s="63">
        <f>SUM(((J324*$K$3)+$K$2)+J324)</f>
        <v>43280.11537</v>
      </c>
      <c r="L324" s="63">
        <f>SUM(K324/2080)</f>
        <v>20.807747774038461</v>
      </c>
      <c r="M324" s="63">
        <f>SUM(K324/26)</f>
        <v>1664.6198219230769</v>
      </c>
      <c r="N324" s="63">
        <f>IF(G324&lt;4,0,(G324-1)*$N$7)</f>
        <v>3961.4465753424652</v>
      </c>
      <c r="O324" s="65"/>
      <c r="P324" s="65"/>
      <c r="Q324" s="63">
        <f>IF(N324+P324&gt;5000,5000,N324+P324)</f>
        <v>3961.4465753424652</v>
      </c>
      <c r="R324" s="63">
        <f>Q324+K324</f>
        <v>47241.561945342466</v>
      </c>
      <c r="S324" s="65"/>
      <c r="T324" s="63">
        <v>1200</v>
      </c>
      <c r="U324" s="65"/>
      <c r="V324" s="63">
        <f t="shared" ref="V324:V325" si="393">SUM(R324:U324)</f>
        <v>48441.561945342466</v>
      </c>
      <c r="W324" s="63">
        <f t="shared" ref="W324:W325" si="394">SUM(V324*$W$7)</f>
        <v>3003.3768406112331</v>
      </c>
      <c r="X324" s="63">
        <f t="shared" ref="X324:X325" si="395">SUM(V324*$X$7)</f>
        <v>702.40264820746575</v>
      </c>
      <c r="Y324" s="63">
        <f>SUM(V324*$Y$7)</f>
        <v>7275.9226041904385</v>
      </c>
      <c r="Z324" s="63">
        <f>SUM(V324*$Z$7)</f>
        <v>77.506499112547942</v>
      </c>
      <c r="AA324" s="63">
        <f>SUM(V324*$AA$7)</f>
        <v>33.909093361739728</v>
      </c>
      <c r="AB324" s="63">
        <f>SUM($AB$7)</f>
        <v>335</v>
      </c>
      <c r="AC324" s="63">
        <f>$AC$7</f>
        <v>10356.36</v>
      </c>
      <c r="AD324" s="63">
        <f>SUM(AB324+AC324)*$AD$7</f>
        <v>106.9136</v>
      </c>
      <c r="AE324" s="178">
        <v>545</v>
      </c>
    </row>
    <row r="325" spans="1:31" x14ac:dyDescent="0.25">
      <c r="A325" s="247"/>
      <c r="B325" s="247"/>
      <c r="C325" s="168" t="s">
        <v>2901</v>
      </c>
      <c r="D325" s="247"/>
      <c r="E325" s="247"/>
      <c r="F325" s="247"/>
      <c r="G325" s="247"/>
      <c r="H325" s="220">
        <v>600</v>
      </c>
      <c r="I325" s="296"/>
      <c r="J325" s="220">
        <v>600</v>
      </c>
      <c r="K325" s="220">
        <v>600</v>
      </c>
      <c r="L325" s="320"/>
      <c r="M325" s="320"/>
      <c r="N325" s="320"/>
      <c r="O325" s="320"/>
      <c r="P325" s="320"/>
      <c r="Q325" s="320"/>
      <c r="R325" s="172">
        <v>600</v>
      </c>
      <c r="S325" s="314"/>
      <c r="T325" s="314"/>
      <c r="U325" s="314"/>
      <c r="V325" s="172">
        <f t="shared" si="393"/>
        <v>600</v>
      </c>
      <c r="W325" s="172">
        <f t="shared" si="394"/>
        <v>37.200000000000003</v>
      </c>
      <c r="X325" s="172">
        <f t="shared" si="395"/>
        <v>8.7000000000000011</v>
      </c>
      <c r="Y325" s="172" t="s">
        <v>2422</v>
      </c>
      <c r="Z325" s="172" t="s">
        <v>2422</v>
      </c>
      <c r="AA325" s="172" t="s">
        <v>2422</v>
      </c>
      <c r="AB325" s="172" t="s">
        <v>2422</v>
      </c>
      <c r="AC325" s="172" t="s">
        <v>2422</v>
      </c>
      <c r="AD325" s="172" t="s">
        <v>2422</v>
      </c>
      <c r="AE325" s="247"/>
    </row>
    <row r="326" spans="1:31" x14ac:dyDescent="0.25">
      <c r="A326" s="247"/>
      <c r="B326" s="247"/>
      <c r="C326" s="247"/>
      <c r="D326" s="247"/>
      <c r="E326" s="247"/>
      <c r="F326" s="247"/>
      <c r="G326" s="247"/>
      <c r="H326" s="223">
        <v>42824.502800000002</v>
      </c>
      <c r="I326" s="401"/>
      <c r="J326" s="223">
        <v>43880.11537</v>
      </c>
      <c r="K326" s="223">
        <f t="shared" ref="K326:AD326" si="396">SUM(K323:K325)</f>
        <v>43880.11537</v>
      </c>
      <c r="L326" s="223">
        <f t="shared" si="396"/>
        <v>20.807747774038461</v>
      </c>
      <c r="M326" s="223">
        <f t="shared" si="396"/>
        <v>1664.6198219230769</v>
      </c>
      <c r="N326" s="223">
        <f t="shared" si="396"/>
        <v>3961.4465753424652</v>
      </c>
      <c r="O326" s="223">
        <f t="shared" si="396"/>
        <v>0</v>
      </c>
      <c r="P326" s="223">
        <f t="shared" si="396"/>
        <v>0</v>
      </c>
      <c r="Q326" s="223">
        <f t="shared" si="396"/>
        <v>3961.4465753424652</v>
      </c>
      <c r="R326" s="223">
        <f t="shared" si="396"/>
        <v>47841.561945342466</v>
      </c>
      <c r="S326" s="223">
        <f t="shared" si="396"/>
        <v>0</v>
      </c>
      <c r="T326" s="223">
        <f t="shared" si="396"/>
        <v>1200</v>
      </c>
      <c r="U326" s="223">
        <f t="shared" si="396"/>
        <v>0</v>
      </c>
      <c r="V326" s="223">
        <f t="shared" si="396"/>
        <v>49041.561945342466</v>
      </c>
      <c r="W326" s="223">
        <f t="shared" si="396"/>
        <v>3040.5768406112329</v>
      </c>
      <c r="X326" s="223">
        <f t="shared" si="396"/>
        <v>711.10264820746579</v>
      </c>
      <c r="Y326" s="223">
        <f t="shared" si="396"/>
        <v>7275.9226041904385</v>
      </c>
      <c r="Z326" s="223">
        <f t="shared" si="396"/>
        <v>77.506499112547942</v>
      </c>
      <c r="AA326" s="223">
        <f t="shared" si="396"/>
        <v>33.909093361739728</v>
      </c>
      <c r="AB326" s="223">
        <f t="shared" si="396"/>
        <v>335</v>
      </c>
      <c r="AC326" s="223">
        <f t="shared" si="396"/>
        <v>10356.36</v>
      </c>
      <c r="AD326" s="223">
        <f t="shared" si="396"/>
        <v>106.9136</v>
      </c>
      <c r="AE326" s="178">
        <v>545</v>
      </c>
    </row>
    <row r="327" spans="1:31" x14ac:dyDescent="0.25">
      <c r="A327" s="247"/>
      <c r="B327" s="247"/>
      <c r="C327" s="247"/>
      <c r="D327" s="247"/>
      <c r="E327" s="247"/>
      <c r="F327" s="247"/>
      <c r="G327" s="247"/>
      <c r="H327" s="247"/>
      <c r="I327" s="251"/>
      <c r="J327" s="247"/>
      <c r="K327" s="247"/>
      <c r="L327" s="247"/>
      <c r="M327" s="247"/>
      <c r="N327" s="247"/>
      <c r="O327" s="247"/>
      <c r="P327" s="247"/>
      <c r="Q327" s="247"/>
      <c r="R327" s="65"/>
      <c r="S327" s="65"/>
      <c r="T327" s="65"/>
      <c r="U327" s="65"/>
      <c r="V327" s="65"/>
      <c r="W327" s="63">
        <f>W326+X326</f>
        <v>3751.6794888186987</v>
      </c>
      <c r="X327" s="65"/>
      <c r="Y327" s="65"/>
      <c r="Z327" s="65"/>
      <c r="AA327" s="65"/>
      <c r="AB327" s="65"/>
      <c r="AC327" s="63">
        <f>SUM(AC326:AD326)</f>
        <v>10463.2736</v>
      </c>
      <c r="AD327" s="65"/>
      <c r="AE327" s="247"/>
    </row>
    <row r="328" spans="1:31" x14ac:dyDescent="0.25">
      <c r="A328" s="247"/>
      <c r="B328" s="247"/>
      <c r="C328" s="247"/>
      <c r="D328" s="247"/>
      <c r="E328" s="247"/>
      <c r="F328" s="247"/>
      <c r="G328" s="247"/>
      <c r="H328" s="247"/>
      <c r="I328" s="138"/>
      <c r="J328" s="247"/>
      <c r="K328" s="247"/>
      <c r="L328" s="247"/>
      <c r="M328" s="247"/>
      <c r="N328" s="247"/>
      <c r="O328" s="247"/>
      <c r="P328" s="247"/>
      <c r="Q328" s="247"/>
      <c r="R328" s="65"/>
      <c r="S328" s="65"/>
      <c r="T328" s="65"/>
      <c r="U328" s="65"/>
      <c r="V328" s="65"/>
      <c r="W328" s="65"/>
      <c r="X328" s="65"/>
      <c r="Y328" s="65"/>
      <c r="Z328" s="65"/>
      <c r="AA328" s="65"/>
      <c r="AB328" s="65"/>
      <c r="AC328" s="65"/>
      <c r="AD328" s="65"/>
      <c r="AE328" s="247"/>
    </row>
    <row r="329" spans="1:31" x14ac:dyDescent="0.25">
      <c r="A329" s="247"/>
      <c r="B329" s="247"/>
      <c r="C329" s="247"/>
      <c r="D329" s="247"/>
      <c r="E329" s="247"/>
      <c r="F329" s="247"/>
      <c r="G329" s="247"/>
      <c r="H329" s="247"/>
      <c r="I329" s="138"/>
      <c r="J329" s="247"/>
      <c r="K329" s="247"/>
      <c r="L329" s="247"/>
      <c r="M329" s="247"/>
      <c r="N329" s="247"/>
      <c r="O329" s="247"/>
      <c r="P329" s="247"/>
      <c r="Q329" s="247"/>
      <c r="R329" s="65"/>
      <c r="S329" s="65"/>
      <c r="T329" s="65"/>
      <c r="U329" s="65"/>
      <c r="V329" s="65"/>
      <c r="W329" s="65"/>
      <c r="X329" s="65"/>
      <c r="Y329" s="65"/>
      <c r="Z329" s="65"/>
      <c r="AA329" s="65"/>
      <c r="AB329" s="65"/>
      <c r="AC329" s="65"/>
      <c r="AD329" s="65"/>
      <c r="AE329" s="247"/>
    </row>
    <row r="330" spans="1:31" x14ac:dyDescent="0.25">
      <c r="A330" s="167">
        <v>560</v>
      </c>
      <c r="B330" s="167">
        <v>560001</v>
      </c>
      <c r="C330" s="168" t="s">
        <v>97</v>
      </c>
      <c r="D330" s="168" t="s">
        <v>2919</v>
      </c>
      <c r="E330" s="168" t="s">
        <v>2920</v>
      </c>
      <c r="F330" s="58">
        <v>35962</v>
      </c>
      <c r="G330" s="59">
        <f t="shared" ref="G330:G398" si="397">(DATE(2020,12,30)-(F330))/365</f>
        <v>22.556164383561644</v>
      </c>
      <c r="H330" s="61">
        <v>67192.895840000012</v>
      </c>
      <c r="I330" s="63">
        <v>68872.72</v>
      </c>
      <c r="J330" s="61">
        <v>68872.718236000015</v>
      </c>
      <c r="K330" s="63">
        <f t="shared" ref="K330:K332" si="398">SUM(((J330*$K$3)+$K$2)+J330)</f>
        <v>68872.718236000015</v>
      </c>
      <c r="L330" s="63">
        <f t="shared" ref="L330:L398" si="399">SUM(K330/2080)</f>
        <v>33.111883767307702</v>
      </c>
      <c r="M330" s="63">
        <f t="shared" ref="M330:M398" si="400">SUM(K330/26)</f>
        <v>2648.950701384616</v>
      </c>
      <c r="N330" s="63">
        <f t="shared" ref="N330:N398" si="401">IF(G330&lt;4,0,(G330-1)*$N$7)</f>
        <v>5690.8273972602738</v>
      </c>
      <c r="O330" s="65"/>
      <c r="P330" s="65"/>
      <c r="Q330" s="63">
        <f t="shared" ref="Q330:Q398" si="402">IF(N330+P330&gt;5000,5000,N330+P330)</f>
        <v>5000</v>
      </c>
      <c r="R330" s="63">
        <f t="shared" ref="R330:R400" si="403">Q330+K330</f>
        <v>73872.718236000015</v>
      </c>
      <c r="S330" s="63">
        <v>4200</v>
      </c>
      <c r="T330" s="63" t="s">
        <v>2420</v>
      </c>
      <c r="U330" s="63" t="s">
        <v>2420</v>
      </c>
      <c r="V330" s="63">
        <f t="shared" ref="V330:V400" si="404">SUM(R330:U330)</f>
        <v>78072.718236000015</v>
      </c>
      <c r="W330" s="63">
        <f t="shared" ref="W330:W400" si="405">SUM(V330*$W$7)</f>
        <v>4840.5085306320007</v>
      </c>
      <c r="X330" s="63">
        <f t="shared" ref="X330:X400" si="406">SUM(V330*$X$7)</f>
        <v>1132.0544144220003</v>
      </c>
      <c r="Y330" s="63">
        <f t="shared" ref="Y330:Y400" si="407">SUM(V330*$Y$7)</f>
        <v>11726.522279047202</v>
      </c>
      <c r="Z330" s="63">
        <f t="shared" ref="Z330:Z400" si="408">SUM(V330*$Z$7)</f>
        <v>124.91634917760003</v>
      </c>
      <c r="AA330" s="82" t="s">
        <v>2420</v>
      </c>
      <c r="AB330" s="63">
        <f t="shared" ref="AB330:AB398" si="409">SUM($AB$7)</f>
        <v>335</v>
      </c>
      <c r="AC330" s="63">
        <f t="shared" ref="AC330:AC398" si="410">$AC$7</f>
        <v>10356.36</v>
      </c>
      <c r="AD330" s="63">
        <f t="shared" ref="AD330:AD398" si="411">SUM(AB330+AC330)*$AD$7</f>
        <v>106.9136</v>
      </c>
      <c r="AE330" s="178">
        <v>560</v>
      </c>
    </row>
    <row r="331" spans="1:31" x14ac:dyDescent="0.25">
      <c r="A331" s="167">
        <v>560</v>
      </c>
      <c r="B331" s="167">
        <v>560002</v>
      </c>
      <c r="C331" s="168" t="s">
        <v>2579</v>
      </c>
      <c r="D331" s="168" t="s">
        <v>2565</v>
      </c>
      <c r="E331" s="168" t="s">
        <v>2569</v>
      </c>
      <c r="F331" s="58">
        <v>42583</v>
      </c>
      <c r="G331" s="59">
        <f t="shared" si="397"/>
        <v>4.4164383561643836</v>
      </c>
      <c r="H331" s="61">
        <v>54344.092479999999</v>
      </c>
      <c r="I331" s="63">
        <v>55702.69</v>
      </c>
      <c r="J331" s="61">
        <v>55702.694792000002</v>
      </c>
      <c r="K331" s="63">
        <f t="shared" si="398"/>
        <v>55702.694792000002</v>
      </c>
      <c r="L331" s="63">
        <f t="shared" si="399"/>
        <v>26.780141726923077</v>
      </c>
      <c r="M331" s="63">
        <f t="shared" si="400"/>
        <v>2142.4113381538464</v>
      </c>
      <c r="N331" s="63">
        <f t="shared" si="401"/>
        <v>901.93972602739723</v>
      </c>
      <c r="O331" s="65"/>
      <c r="P331" s="65"/>
      <c r="Q331" s="63">
        <f t="shared" si="402"/>
        <v>901.93972602739723</v>
      </c>
      <c r="R331" s="63">
        <f t="shared" si="403"/>
        <v>56604.6345180274</v>
      </c>
      <c r="S331" s="65"/>
      <c r="T331" s="63">
        <v>1200</v>
      </c>
      <c r="U331" s="63" t="s">
        <v>2420</v>
      </c>
      <c r="V331" s="63">
        <f t="shared" si="404"/>
        <v>57804.6345180274</v>
      </c>
      <c r="W331" s="63">
        <f t="shared" si="405"/>
        <v>3583.8873401176988</v>
      </c>
      <c r="X331" s="63">
        <f t="shared" si="406"/>
        <v>838.16720051139737</v>
      </c>
      <c r="Y331" s="63">
        <f t="shared" si="407"/>
        <v>8682.2561046077153</v>
      </c>
      <c r="Z331" s="63">
        <f t="shared" si="408"/>
        <v>92.487415228843844</v>
      </c>
      <c r="AA331" s="63">
        <f t="shared" ref="AA331:AA400" si="412">SUM(V331*$AA$7)</f>
        <v>40.463244162619176</v>
      </c>
      <c r="AB331" s="63">
        <f t="shared" si="409"/>
        <v>335</v>
      </c>
      <c r="AC331" s="63">
        <f t="shared" si="410"/>
        <v>10356.36</v>
      </c>
      <c r="AD331" s="63">
        <f t="shared" si="411"/>
        <v>106.9136</v>
      </c>
      <c r="AE331" s="178">
        <v>560</v>
      </c>
    </row>
    <row r="332" spans="1:31" x14ac:dyDescent="0.25">
      <c r="A332" s="167">
        <v>560</v>
      </c>
      <c r="B332" s="167">
        <v>560003</v>
      </c>
      <c r="C332" s="168" t="s">
        <v>2923</v>
      </c>
      <c r="D332" s="181" t="s">
        <v>2714</v>
      </c>
      <c r="E332" s="181" t="s">
        <v>2674</v>
      </c>
      <c r="F332" s="58">
        <v>40653</v>
      </c>
      <c r="G332" s="59">
        <f t="shared" si="397"/>
        <v>9.7041095890410958</v>
      </c>
      <c r="H332" s="61">
        <v>48051.750480000002</v>
      </c>
      <c r="I332" s="63">
        <v>49253.04</v>
      </c>
      <c r="J332" s="61">
        <v>49253.044242000004</v>
      </c>
      <c r="K332" s="63">
        <f t="shared" si="398"/>
        <v>49253.044242000004</v>
      </c>
      <c r="L332" s="63">
        <f t="shared" si="399"/>
        <v>23.679348193269231</v>
      </c>
      <c r="M332" s="63">
        <f t="shared" si="400"/>
        <v>1894.3478554615385</v>
      </c>
      <c r="N332" s="63">
        <f t="shared" si="401"/>
        <v>2297.8849315068492</v>
      </c>
      <c r="O332" s="65"/>
      <c r="P332" s="65"/>
      <c r="Q332" s="63">
        <f t="shared" si="402"/>
        <v>2297.8849315068492</v>
      </c>
      <c r="R332" s="63">
        <f t="shared" si="403"/>
        <v>51550.929173506855</v>
      </c>
      <c r="S332" s="65"/>
      <c r="T332" s="63">
        <v>1200</v>
      </c>
      <c r="U332" s="63">
        <v>1500</v>
      </c>
      <c r="V332" s="63">
        <f t="shared" si="404"/>
        <v>54250.929173506855</v>
      </c>
      <c r="W332" s="63">
        <f t="shared" si="405"/>
        <v>3363.557608757425</v>
      </c>
      <c r="X332" s="63">
        <f t="shared" si="406"/>
        <v>786.6384730158494</v>
      </c>
      <c r="Y332" s="63">
        <f t="shared" si="407"/>
        <v>8148.4895618607297</v>
      </c>
      <c r="Z332" s="63">
        <f t="shared" si="408"/>
        <v>86.801486677610967</v>
      </c>
      <c r="AA332" s="63">
        <f t="shared" si="412"/>
        <v>37.975650421454795</v>
      </c>
      <c r="AB332" s="63">
        <f t="shared" si="409"/>
        <v>335</v>
      </c>
      <c r="AC332" s="63">
        <f t="shared" si="410"/>
        <v>10356.36</v>
      </c>
      <c r="AD332" s="63">
        <f t="shared" si="411"/>
        <v>106.9136</v>
      </c>
      <c r="AE332" s="178">
        <v>560</v>
      </c>
    </row>
    <row r="333" spans="1:31" x14ac:dyDescent="0.25">
      <c r="A333" s="167">
        <v>560</v>
      </c>
      <c r="B333" s="167">
        <v>560004</v>
      </c>
      <c r="C333" s="181" t="s">
        <v>4035</v>
      </c>
      <c r="D333" s="168" t="s">
        <v>2932</v>
      </c>
      <c r="E333" s="168" t="s">
        <v>2933</v>
      </c>
      <c r="F333" s="58">
        <v>41533</v>
      </c>
      <c r="G333" s="59">
        <f t="shared" si="397"/>
        <v>7.2931506849315069</v>
      </c>
      <c r="H333" s="61">
        <v>44423.157279999999</v>
      </c>
      <c r="I333" s="63">
        <v>45533.74</v>
      </c>
      <c r="J333" s="61">
        <v>45533.736211999996</v>
      </c>
      <c r="K333" s="63">
        <f t="shared" ref="K333:K367" si="413">SUM(((J333*$L$3)+$L$2)+J333)</f>
        <v>45533.736211999996</v>
      </c>
      <c r="L333" s="63">
        <f t="shared" si="399"/>
        <v>21.891219332692305</v>
      </c>
      <c r="M333" s="63">
        <f t="shared" si="400"/>
        <v>1751.2975466153844</v>
      </c>
      <c r="N333" s="63">
        <f t="shared" si="401"/>
        <v>1661.3917808219178</v>
      </c>
      <c r="O333" s="65"/>
      <c r="P333" s="65"/>
      <c r="Q333" s="63">
        <f t="shared" si="402"/>
        <v>1661.3917808219178</v>
      </c>
      <c r="R333" s="63">
        <f t="shared" si="403"/>
        <v>47195.127992821916</v>
      </c>
      <c r="S333" s="65"/>
      <c r="T333" s="63">
        <v>1200</v>
      </c>
      <c r="U333" s="63">
        <v>1000</v>
      </c>
      <c r="V333" s="63">
        <f t="shared" si="404"/>
        <v>49395.127992821916</v>
      </c>
      <c r="W333" s="63">
        <f t="shared" si="405"/>
        <v>3062.4979355549585</v>
      </c>
      <c r="X333" s="63">
        <f t="shared" si="406"/>
        <v>716.22935589591782</v>
      </c>
      <c r="Y333" s="63">
        <f t="shared" si="407"/>
        <v>7419.1482245218522</v>
      </c>
      <c r="Z333" s="63">
        <f t="shared" si="408"/>
        <v>79.032204788515074</v>
      </c>
      <c r="AA333" s="63">
        <f t="shared" si="412"/>
        <v>34.576589594975339</v>
      </c>
      <c r="AB333" s="63">
        <f t="shared" si="409"/>
        <v>335</v>
      </c>
      <c r="AC333" s="63">
        <f t="shared" si="410"/>
        <v>10356.36</v>
      </c>
      <c r="AD333" s="63">
        <f t="shared" si="411"/>
        <v>106.9136</v>
      </c>
      <c r="AE333" s="178">
        <v>560</v>
      </c>
    </row>
    <row r="334" spans="1:31" x14ac:dyDescent="0.25">
      <c r="A334" s="167">
        <v>560</v>
      </c>
      <c r="B334" s="167">
        <v>560005</v>
      </c>
      <c r="C334" s="181" t="s">
        <v>4036</v>
      </c>
      <c r="D334" s="168" t="s">
        <v>2717</v>
      </c>
      <c r="E334" s="168" t="s">
        <v>3793</v>
      </c>
      <c r="F334" s="58">
        <v>39308</v>
      </c>
      <c r="G334" s="59">
        <f t="shared" si="397"/>
        <v>13.389041095890411</v>
      </c>
      <c r="H334" s="61">
        <v>44423.157279999999</v>
      </c>
      <c r="I334" s="63">
        <v>45533.74</v>
      </c>
      <c r="J334" s="61">
        <v>45533.736211999996</v>
      </c>
      <c r="K334" s="63">
        <f t="shared" si="413"/>
        <v>45533.736211999996</v>
      </c>
      <c r="L334" s="63">
        <f t="shared" si="399"/>
        <v>21.891219332692305</v>
      </c>
      <c r="M334" s="63">
        <f t="shared" si="400"/>
        <v>1751.2975466153844</v>
      </c>
      <c r="N334" s="63">
        <f t="shared" si="401"/>
        <v>3270.7068493150687</v>
      </c>
      <c r="O334" s="65"/>
      <c r="P334" s="65"/>
      <c r="Q334" s="63">
        <f t="shared" si="402"/>
        <v>3270.7068493150687</v>
      </c>
      <c r="R334" s="63">
        <f t="shared" si="403"/>
        <v>48804.443061315062</v>
      </c>
      <c r="S334" s="65"/>
      <c r="T334" s="63">
        <v>1200</v>
      </c>
      <c r="U334" s="63">
        <v>1000</v>
      </c>
      <c r="V334" s="63">
        <f t="shared" si="404"/>
        <v>51004.443061315062</v>
      </c>
      <c r="W334" s="63">
        <f t="shared" si="405"/>
        <v>3162.2754698015337</v>
      </c>
      <c r="X334" s="63">
        <f t="shared" si="406"/>
        <v>739.56442438906845</v>
      </c>
      <c r="Y334" s="63">
        <f t="shared" si="407"/>
        <v>7660.8673478095225</v>
      </c>
      <c r="Z334" s="63">
        <f t="shared" si="408"/>
        <v>81.607108898104102</v>
      </c>
      <c r="AA334" s="63">
        <f t="shared" si="412"/>
        <v>35.703110142920544</v>
      </c>
      <c r="AB334" s="63">
        <f t="shared" si="409"/>
        <v>335</v>
      </c>
      <c r="AC334" s="63">
        <f t="shared" si="410"/>
        <v>10356.36</v>
      </c>
      <c r="AD334" s="63">
        <f t="shared" si="411"/>
        <v>106.9136</v>
      </c>
      <c r="AE334" s="178">
        <v>560</v>
      </c>
    </row>
    <row r="335" spans="1:31" x14ac:dyDescent="0.25">
      <c r="A335" s="167">
        <v>560</v>
      </c>
      <c r="B335" s="167">
        <v>560006</v>
      </c>
      <c r="C335" s="181" t="s">
        <v>4037</v>
      </c>
      <c r="D335" s="185" t="s">
        <v>2899</v>
      </c>
      <c r="E335" s="185" t="s">
        <v>2900</v>
      </c>
      <c r="F335" s="87">
        <v>35491</v>
      </c>
      <c r="G335" s="59">
        <f t="shared" si="397"/>
        <v>23.846575342465755</v>
      </c>
      <c r="H335" s="61">
        <v>44423.157279999999</v>
      </c>
      <c r="I335" s="63">
        <v>45533.74</v>
      </c>
      <c r="J335" s="61">
        <v>45533.736211999996</v>
      </c>
      <c r="K335" s="63">
        <f t="shared" si="413"/>
        <v>45533.736211999996</v>
      </c>
      <c r="L335" s="63">
        <f t="shared" si="399"/>
        <v>21.891219332692305</v>
      </c>
      <c r="M335" s="63">
        <f t="shared" si="400"/>
        <v>1751.2975466153844</v>
      </c>
      <c r="N335" s="63">
        <f t="shared" si="401"/>
        <v>6031.495890410959</v>
      </c>
      <c r="O335" s="65"/>
      <c r="P335" s="65"/>
      <c r="Q335" s="63">
        <f t="shared" si="402"/>
        <v>5000</v>
      </c>
      <c r="R335" s="63">
        <f t="shared" si="403"/>
        <v>50533.736211999996</v>
      </c>
      <c r="S335" s="65"/>
      <c r="T335" s="63">
        <v>1200</v>
      </c>
      <c r="U335" s="63">
        <v>1500</v>
      </c>
      <c r="V335" s="63">
        <f t="shared" si="404"/>
        <v>53233.736211999996</v>
      </c>
      <c r="W335" s="63">
        <f t="shared" si="405"/>
        <v>3300.4916451439999</v>
      </c>
      <c r="X335" s="63">
        <f t="shared" si="406"/>
        <v>771.88917507400004</v>
      </c>
      <c r="Y335" s="63">
        <f t="shared" si="407"/>
        <v>7995.7071790423997</v>
      </c>
      <c r="Z335" s="63">
        <f t="shared" si="408"/>
        <v>85.1739779392</v>
      </c>
      <c r="AA335" s="63">
        <f t="shared" si="412"/>
        <v>37.263615348399995</v>
      </c>
      <c r="AB335" s="63">
        <f t="shared" si="409"/>
        <v>335</v>
      </c>
      <c r="AC335" s="63">
        <f t="shared" si="410"/>
        <v>10356.36</v>
      </c>
      <c r="AD335" s="63">
        <f t="shared" si="411"/>
        <v>106.9136</v>
      </c>
      <c r="AE335" s="178">
        <v>560</v>
      </c>
    </row>
    <row r="336" spans="1:31" x14ac:dyDescent="0.25">
      <c r="A336" s="167">
        <v>560</v>
      </c>
      <c r="B336" s="167">
        <v>560007</v>
      </c>
      <c r="C336" s="181" t="s">
        <v>4038</v>
      </c>
      <c r="D336" s="168" t="s">
        <v>2441</v>
      </c>
      <c r="E336" s="168" t="s">
        <v>2930</v>
      </c>
      <c r="F336" s="58">
        <v>42857</v>
      </c>
      <c r="G336" s="59">
        <f t="shared" si="397"/>
        <v>3.6657534246575341</v>
      </c>
      <c r="H336" s="61">
        <v>44423.157279999999</v>
      </c>
      <c r="I336" s="63">
        <v>45533.74</v>
      </c>
      <c r="J336" s="61">
        <v>45533.736211999996</v>
      </c>
      <c r="K336" s="63">
        <f t="shared" si="413"/>
        <v>45533.736211999996</v>
      </c>
      <c r="L336" s="63">
        <f t="shared" si="399"/>
        <v>21.891219332692305</v>
      </c>
      <c r="M336" s="63">
        <f t="shared" si="400"/>
        <v>1751.2975466153844</v>
      </c>
      <c r="N336" s="63">
        <f t="shared" si="401"/>
        <v>0</v>
      </c>
      <c r="O336" s="65"/>
      <c r="P336" s="65"/>
      <c r="Q336" s="63">
        <f t="shared" si="402"/>
        <v>0</v>
      </c>
      <c r="R336" s="63">
        <f t="shared" si="403"/>
        <v>45533.736211999996</v>
      </c>
      <c r="S336" s="65"/>
      <c r="T336" s="63">
        <v>1200</v>
      </c>
      <c r="U336" s="63">
        <v>1000</v>
      </c>
      <c r="V336" s="63">
        <f t="shared" si="404"/>
        <v>47733.736211999996</v>
      </c>
      <c r="W336" s="63">
        <f t="shared" si="405"/>
        <v>2959.4916451439999</v>
      </c>
      <c r="X336" s="63">
        <f t="shared" si="406"/>
        <v>692.13917507400004</v>
      </c>
      <c r="Y336" s="63">
        <f t="shared" si="407"/>
        <v>7169.6071790423994</v>
      </c>
      <c r="Z336" s="63">
        <f t="shared" si="408"/>
        <v>76.373977939200003</v>
      </c>
      <c r="AA336" s="63">
        <f t="shared" si="412"/>
        <v>33.4136153484</v>
      </c>
      <c r="AB336" s="63">
        <f t="shared" si="409"/>
        <v>335</v>
      </c>
      <c r="AC336" s="63">
        <f t="shared" si="410"/>
        <v>10356.36</v>
      </c>
      <c r="AD336" s="63">
        <f t="shared" si="411"/>
        <v>106.9136</v>
      </c>
      <c r="AE336" s="178">
        <v>560</v>
      </c>
    </row>
    <row r="337" spans="1:31" x14ac:dyDescent="0.25">
      <c r="A337" s="167">
        <v>560</v>
      </c>
      <c r="B337" s="167">
        <v>560015</v>
      </c>
      <c r="C337" s="181" t="s">
        <v>3948</v>
      </c>
      <c r="D337" s="168" t="s">
        <v>2973</v>
      </c>
      <c r="E337" s="168" t="s">
        <v>2974</v>
      </c>
      <c r="F337" s="58">
        <v>42611</v>
      </c>
      <c r="G337" s="59">
        <f t="shared" si="397"/>
        <v>4.3397260273972602</v>
      </c>
      <c r="H337" s="61">
        <v>41252.698800000006</v>
      </c>
      <c r="I337" s="63">
        <v>42284.02</v>
      </c>
      <c r="J337" s="61">
        <v>42284.016270000007</v>
      </c>
      <c r="K337" s="63">
        <f t="shared" si="413"/>
        <v>42284.016270000007</v>
      </c>
      <c r="L337" s="63">
        <f t="shared" si="399"/>
        <v>20.328853975961543</v>
      </c>
      <c r="M337" s="63">
        <f t="shared" si="400"/>
        <v>1626.3083180769233</v>
      </c>
      <c r="N337" s="63">
        <f t="shared" si="401"/>
        <v>881.68767123287671</v>
      </c>
      <c r="O337" s="65"/>
      <c r="P337" s="65"/>
      <c r="Q337" s="63">
        <f t="shared" si="402"/>
        <v>881.68767123287671</v>
      </c>
      <c r="R337" s="63">
        <f t="shared" si="403"/>
        <v>43165.703941232881</v>
      </c>
      <c r="S337" s="65"/>
      <c r="T337" s="63">
        <v>1200</v>
      </c>
      <c r="U337" s="65"/>
      <c r="V337" s="63">
        <f t="shared" si="404"/>
        <v>44365.703941232881</v>
      </c>
      <c r="W337" s="63">
        <f t="shared" si="405"/>
        <v>2750.6736443564387</v>
      </c>
      <c r="X337" s="63">
        <f t="shared" si="406"/>
        <v>643.30270714787684</v>
      </c>
      <c r="Y337" s="63">
        <f t="shared" si="407"/>
        <v>6663.7287319731786</v>
      </c>
      <c r="Z337" s="63">
        <f t="shared" si="408"/>
        <v>70.985126305972614</v>
      </c>
      <c r="AA337" s="63">
        <f t="shared" si="412"/>
        <v>31.055992758863017</v>
      </c>
      <c r="AB337" s="63">
        <f t="shared" si="409"/>
        <v>335</v>
      </c>
      <c r="AC337" s="63">
        <f t="shared" si="410"/>
        <v>10356.36</v>
      </c>
      <c r="AD337" s="63">
        <f t="shared" si="411"/>
        <v>106.9136</v>
      </c>
      <c r="AE337" s="178">
        <v>560</v>
      </c>
    </row>
    <row r="338" spans="1:31" x14ac:dyDescent="0.25">
      <c r="A338" s="167">
        <v>560</v>
      </c>
      <c r="B338" s="167">
        <v>560016</v>
      </c>
      <c r="C338" s="181" t="s">
        <v>3950</v>
      </c>
      <c r="D338" s="168" t="s">
        <v>2433</v>
      </c>
      <c r="E338" s="168" t="s">
        <v>2614</v>
      </c>
      <c r="F338" s="58">
        <v>41444</v>
      </c>
      <c r="G338" s="59">
        <f t="shared" si="397"/>
        <v>7.536986301369863</v>
      </c>
      <c r="H338" s="61">
        <v>41252.698800000006</v>
      </c>
      <c r="I338" s="63">
        <v>42284.02</v>
      </c>
      <c r="J338" s="61">
        <v>42284.016270000007</v>
      </c>
      <c r="K338" s="63">
        <f t="shared" si="413"/>
        <v>42284.016270000007</v>
      </c>
      <c r="L338" s="63">
        <f t="shared" si="399"/>
        <v>20.328853975961543</v>
      </c>
      <c r="M338" s="63">
        <f t="shared" si="400"/>
        <v>1626.3083180769233</v>
      </c>
      <c r="N338" s="63">
        <f t="shared" si="401"/>
        <v>1725.7643835616439</v>
      </c>
      <c r="O338" s="65"/>
      <c r="P338" s="65"/>
      <c r="Q338" s="63">
        <f t="shared" si="402"/>
        <v>1725.7643835616439</v>
      </c>
      <c r="R338" s="63">
        <f t="shared" si="403"/>
        <v>44009.780653561655</v>
      </c>
      <c r="S338" s="65"/>
      <c r="T338" s="63">
        <v>1200</v>
      </c>
      <c r="U338" s="69">
        <v>500</v>
      </c>
      <c r="V338" s="63">
        <f t="shared" si="404"/>
        <v>45709.780653561655</v>
      </c>
      <c r="W338" s="63">
        <f t="shared" si="405"/>
        <v>2834.0064005208224</v>
      </c>
      <c r="X338" s="63">
        <f t="shared" si="406"/>
        <v>662.79181947664404</v>
      </c>
      <c r="Y338" s="63">
        <f t="shared" si="407"/>
        <v>6865.609054164961</v>
      </c>
      <c r="Z338" s="63">
        <f t="shared" si="408"/>
        <v>73.135649045698656</v>
      </c>
      <c r="AA338" s="63">
        <f t="shared" si="412"/>
        <v>31.996846457493159</v>
      </c>
      <c r="AB338" s="63">
        <f t="shared" si="409"/>
        <v>335</v>
      </c>
      <c r="AC338" s="63">
        <f t="shared" si="410"/>
        <v>10356.36</v>
      </c>
      <c r="AD338" s="63">
        <f t="shared" si="411"/>
        <v>106.9136</v>
      </c>
      <c r="AE338" s="178">
        <v>560</v>
      </c>
    </row>
    <row r="339" spans="1:31" x14ac:dyDescent="0.25">
      <c r="A339" s="167">
        <v>560</v>
      </c>
      <c r="B339" s="167">
        <v>560017</v>
      </c>
      <c r="C339" s="181" t="s">
        <v>3951</v>
      </c>
      <c r="D339" s="168" t="s">
        <v>2976</v>
      </c>
      <c r="E339" s="168" t="s">
        <v>2977</v>
      </c>
      <c r="F339" s="58">
        <v>41660</v>
      </c>
      <c r="G339" s="59">
        <f t="shared" si="397"/>
        <v>6.9452054794520546</v>
      </c>
      <c r="H339" s="61">
        <v>41252.698800000006</v>
      </c>
      <c r="I339" s="63">
        <v>42284.02</v>
      </c>
      <c r="J339" s="61">
        <v>42284.016270000007</v>
      </c>
      <c r="K339" s="63">
        <f t="shared" si="413"/>
        <v>42284.016270000007</v>
      </c>
      <c r="L339" s="63">
        <f t="shared" si="399"/>
        <v>20.328853975961543</v>
      </c>
      <c r="M339" s="63">
        <f t="shared" si="400"/>
        <v>1626.3083180769233</v>
      </c>
      <c r="N339" s="63">
        <f t="shared" si="401"/>
        <v>1569.5342465753424</v>
      </c>
      <c r="O339" s="65"/>
      <c r="P339" s="65"/>
      <c r="Q339" s="63">
        <f t="shared" si="402"/>
        <v>1569.5342465753424</v>
      </c>
      <c r="R339" s="63">
        <f t="shared" si="403"/>
        <v>43853.550516575349</v>
      </c>
      <c r="S339" s="65"/>
      <c r="T339" s="63">
        <v>1200</v>
      </c>
      <c r="U339" s="65"/>
      <c r="V339" s="63">
        <f t="shared" si="404"/>
        <v>45053.550516575349</v>
      </c>
      <c r="W339" s="63">
        <f t="shared" si="405"/>
        <v>2793.3201320276717</v>
      </c>
      <c r="X339" s="63">
        <f t="shared" si="406"/>
        <v>653.27648249034257</v>
      </c>
      <c r="Y339" s="63">
        <f t="shared" si="407"/>
        <v>6767.0432875896176</v>
      </c>
      <c r="Z339" s="63">
        <f t="shared" si="408"/>
        <v>72.085680826520559</v>
      </c>
      <c r="AA339" s="63">
        <f t="shared" si="412"/>
        <v>31.537485361602744</v>
      </c>
      <c r="AB339" s="63">
        <f t="shared" si="409"/>
        <v>335</v>
      </c>
      <c r="AC339" s="63">
        <f t="shared" si="410"/>
        <v>10356.36</v>
      </c>
      <c r="AD339" s="63">
        <f t="shared" si="411"/>
        <v>106.9136</v>
      </c>
      <c r="AE339" s="178">
        <v>560</v>
      </c>
    </row>
    <row r="340" spans="1:31" x14ac:dyDescent="0.25">
      <c r="A340" s="167">
        <v>560</v>
      </c>
      <c r="B340" s="167">
        <v>560018</v>
      </c>
      <c r="C340" s="181" t="s">
        <v>3952</v>
      </c>
      <c r="D340" s="168" t="s">
        <v>3067</v>
      </c>
      <c r="E340" s="168" t="s">
        <v>3068</v>
      </c>
      <c r="F340" s="58">
        <v>43287</v>
      </c>
      <c r="G340" s="59">
        <f t="shared" si="397"/>
        <v>2.4876712328767123</v>
      </c>
      <c r="H340" s="61">
        <v>41252.698800000006</v>
      </c>
      <c r="I340" s="63">
        <v>42284.02</v>
      </c>
      <c r="J340" s="61">
        <v>42284.016270000007</v>
      </c>
      <c r="K340" s="63">
        <f t="shared" si="413"/>
        <v>42284.016270000007</v>
      </c>
      <c r="L340" s="63">
        <f t="shared" si="399"/>
        <v>20.328853975961543</v>
      </c>
      <c r="M340" s="63">
        <f t="shared" si="400"/>
        <v>1626.3083180769233</v>
      </c>
      <c r="N340" s="63">
        <f t="shared" si="401"/>
        <v>0</v>
      </c>
      <c r="O340" s="65"/>
      <c r="P340" s="65"/>
      <c r="Q340" s="63">
        <f t="shared" si="402"/>
        <v>0</v>
      </c>
      <c r="R340" s="63">
        <f t="shared" si="403"/>
        <v>42284.016270000007</v>
      </c>
      <c r="S340" s="65"/>
      <c r="T340" s="63">
        <v>1200</v>
      </c>
      <c r="U340" s="63">
        <v>500</v>
      </c>
      <c r="V340" s="63">
        <f t="shared" si="404"/>
        <v>43984.016270000007</v>
      </c>
      <c r="W340" s="63">
        <f t="shared" si="405"/>
        <v>2727.0090087400004</v>
      </c>
      <c r="X340" s="63">
        <f t="shared" si="406"/>
        <v>637.7682359150001</v>
      </c>
      <c r="Y340" s="63">
        <f t="shared" si="407"/>
        <v>6606.399243754001</v>
      </c>
      <c r="Z340" s="63">
        <f t="shared" si="408"/>
        <v>70.374426032000017</v>
      </c>
      <c r="AA340" s="63">
        <f t="shared" si="412"/>
        <v>30.788811389000006</v>
      </c>
      <c r="AB340" s="63">
        <f t="shared" si="409"/>
        <v>335</v>
      </c>
      <c r="AC340" s="63">
        <f t="shared" si="410"/>
        <v>10356.36</v>
      </c>
      <c r="AD340" s="63">
        <f t="shared" si="411"/>
        <v>106.9136</v>
      </c>
      <c r="AE340" s="178">
        <v>560</v>
      </c>
    </row>
    <row r="341" spans="1:31" x14ac:dyDescent="0.25">
      <c r="A341" s="167">
        <v>560</v>
      </c>
      <c r="B341" s="167">
        <v>560019</v>
      </c>
      <c r="C341" s="181" t="s">
        <v>3953</v>
      </c>
      <c r="D341" s="168" t="s">
        <v>3798</v>
      </c>
      <c r="E341" s="168" t="s">
        <v>2982</v>
      </c>
      <c r="F341" s="58">
        <v>42723</v>
      </c>
      <c r="G341" s="59">
        <f t="shared" si="397"/>
        <v>4.0328767123287674</v>
      </c>
      <c r="H341" s="61">
        <v>41252.698800000006</v>
      </c>
      <c r="I341" s="63">
        <v>42284.02</v>
      </c>
      <c r="J341" s="61">
        <v>42284.016270000007</v>
      </c>
      <c r="K341" s="63">
        <f t="shared" si="413"/>
        <v>42284.016270000007</v>
      </c>
      <c r="L341" s="63">
        <f t="shared" si="399"/>
        <v>20.328853975961543</v>
      </c>
      <c r="M341" s="63">
        <f t="shared" si="400"/>
        <v>1626.3083180769233</v>
      </c>
      <c r="N341" s="63">
        <f t="shared" si="401"/>
        <v>800.67945205479464</v>
      </c>
      <c r="O341" s="65"/>
      <c r="P341" s="65"/>
      <c r="Q341" s="63">
        <f t="shared" si="402"/>
        <v>800.67945205479464</v>
      </c>
      <c r="R341" s="63">
        <f t="shared" si="403"/>
        <v>43084.695722054799</v>
      </c>
      <c r="S341" s="65"/>
      <c r="T341" s="63">
        <v>1200</v>
      </c>
      <c r="U341" s="65"/>
      <c r="V341" s="63">
        <f t="shared" si="404"/>
        <v>44284.695722054799</v>
      </c>
      <c r="W341" s="63">
        <f t="shared" si="405"/>
        <v>2745.6511347673977</v>
      </c>
      <c r="X341" s="63">
        <f t="shared" si="406"/>
        <v>642.12808796979459</v>
      </c>
      <c r="Y341" s="63">
        <f t="shared" si="407"/>
        <v>6651.5612974526312</v>
      </c>
      <c r="Z341" s="63">
        <f t="shared" si="408"/>
        <v>70.855513155287682</v>
      </c>
      <c r="AA341" s="63">
        <f t="shared" si="412"/>
        <v>30.999287005438358</v>
      </c>
      <c r="AB341" s="63">
        <f t="shared" si="409"/>
        <v>335</v>
      </c>
      <c r="AC341" s="63">
        <f t="shared" si="410"/>
        <v>10356.36</v>
      </c>
      <c r="AD341" s="63">
        <f t="shared" si="411"/>
        <v>106.9136</v>
      </c>
      <c r="AE341" s="178">
        <v>560</v>
      </c>
    </row>
    <row r="342" spans="1:31" x14ac:dyDescent="0.25">
      <c r="A342" s="167">
        <v>560</v>
      </c>
      <c r="B342" s="167">
        <v>560020</v>
      </c>
      <c r="C342" s="181" t="s">
        <v>3973</v>
      </c>
      <c r="D342" s="168" t="s">
        <v>4039</v>
      </c>
      <c r="E342" s="168" t="s">
        <v>3399</v>
      </c>
      <c r="F342" s="58">
        <v>43355</v>
      </c>
      <c r="G342" s="59">
        <f t="shared" si="397"/>
        <v>2.3013698630136985</v>
      </c>
      <c r="H342" s="61">
        <v>41252.698800000006</v>
      </c>
      <c r="I342" s="63">
        <v>42284.02</v>
      </c>
      <c r="J342" s="61">
        <v>42284.016270000007</v>
      </c>
      <c r="K342" s="63">
        <f t="shared" si="413"/>
        <v>42284.016270000007</v>
      </c>
      <c r="L342" s="63">
        <f t="shared" si="399"/>
        <v>20.328853975961543</v>
      </c>
      <c r="M342" s="63">
        <f t="shared" si="400"/>
        <v>1626.3083180769233</v>
      </c>
      <c r="N342" s="63">
        <f t="shared" si="401"/>
        <v>0</v>
      </c>
      <c r="O342" s="65"/>
      <c r="P342" s="65"/>
      <c r="Q342" s="63">
        <f t="shared" si="402"/>
        <v>0</v>
      </c>
      <c r="R342" s="63">
        <f t="shared" si="403"/>
        <v>42284.016270000007</v>
      </c>
      <c r="S342" s="65"/>
      <c r="T342" s="63">
        <v>1200</v>
      </c>
      <c r="U342" s="65"/>
      <c r="V342" s="63">
        <f t="shared" si="404"/>
        <v>43484.016270000007</v>
      </c>
      <c r="W342" s="63">
        <f t="shared" si="405"/>
        <v>2696.0090087400004</v>
      </c>
      <c r="X342" s="63">
        <f t="shared" si="406"/>
        <v>630.5182359150001</v>
      </c>
      <c r="Y342" s="63">
        <f t="shared" si="407"/>
        <v>6531.2992437540015</v>
      </c>
      <c r="Z342" s="63">
        <f t="shared" si="408"/>
        <v>69.574426032000019</v>
      </c>
      <c r="AA342" s="63">
        <f t="shared" si="412"/>
        <v>30.438811389000005</v>
      </c>
      <c r="AB342" s="63">
        <f t="shared" si="409"/>
        <v>335</v>
      </c>
      <c r="AC342" s="63">
        <f t="shared" si="410"/>
        <v>10356.36</v>
      </c>
      <c r="AD342" s="63">
        <f t="shared" si="411"/>
        <v>106.9136</v>
      </c>
      <c r="AE342" s="178">
        <v>560</v>
      </c>
    </row>
    <row r="343" spans="1:31" x14ac:dyDescent="0.25">
      <c r="A343" s="167">
        <v>560</v>
      </c>
      <c r="B343" s="167">
        <v>560021</v>
      </c>
      <c r="C343" s="181" t="s">
        <v>3954</v>
      </c>
      <c r="D343" s="271" t="s">
        <v>2805</v>
      </c>
      <c r="E343" s="271" t="s">
        <v>2806</v>
      </c>
      <c r="F343" s="403">
        <v>43831</v>
      </c>
      <c r="G343" s="59">
        <f t="shared" si="397"/>
        <v>0.99726027397260275</v>
      </c>
      <c r="H343" s="61">
        <v>41252.698800000006</v>
      </c>
      <c r="I343" s="63"/>
      <c r="J343" s="61">
        <v>42284.016270000007</v>
      </c>
      <c r="K343" s="63">
        <f t="shared" si="413"/>
        <v>42284.016270000007</v>
      </c>
      <c r="L343" s="63">
        <f t="shared" si="399"/>
        <v>20.328853975961543</v>
      </c>
      <c r="M343" s="63">
        <f t="shared" si="400"/>
        <v>1626.3083180769233</v>
      </c>
      <c r="N343" s="63">
        <f t="shared" si="401"/>
        <v>0</v>
      </c>
      <c r="O343" s="65"/>
      <c r="P343" s="65"/>
      <c r="Q343" s="63">
        <f t="shared" si="402"/>
        <v>0</v>
      </c>
      <c r="R343" s="63">
        <f t="shared" si="403"/>
        <v>42284.016270000007</v>
      </c>
      <c r="S343" s="65"/>
      <c r="T343" s="63">
        <v>1200</v>
      </c>
      <c r="U343" s="65"/>
      <c r="V343" s="63">
        <f t="shared" si="404"/>
        <v>43484.016270000007</v>
      </c>
      <c r="W343" s="63">
        <f t="shared" si="405"/>
        <v>2696.0090087400004</v>
      </c>
      <c r="X343" s="63">
        <f t="shared" si="406"/>
        <v>630.5182359150001</v>
      </c>
      <c r="Y343" s="63">
        <f t="shared" si="407"/>
        <v>6531.2992437540015</v>
      </c>
      <c r="Z343" s="63">
        <f t="shared" si="408"/>
        <v>69.574426032000019</v>
      </c>
      <c r="AA343" s="63">
        <f t="shared" si="412"/>
        <v>30.438811389000005</v>
      </c>
      <c r="AB343" s="63">
        <f t="shared" si="409"/>
        <v>335</v>
      </c>
      <c r="AC343" s="63">
        <f t="shared" si="410"/>
        <v>10356.36</v>
      </c>
      <c r="AD343" s="63">
        <f t="shared" si="411"/>
        <v>106.9136</v>
      </c>
      <c r="AE343" s="178">
        <v>560</v>
      </c>
    </row>
    <row r="344" spans="1:31" x14ac:dyDescent="0.25">
      <c r="A344" s="167">
        <v>560</v>
      </c>
      <c r="B344" s="167">
        <v>560022</v>
      </c>
      <c r="C344" s="181" t="s">
        <v>3955</v>
      </c>
      <c r="D344" s="168" t="s">
        <v>3022</v>
      </c>
      <c r="E344" s="168" t="s">
        <v>2982</v>
      </c>
      <c r="F344" s="58">
        <v>43623</v>
      </c>
      <c r="G344" s="59">
        <f t="shared" si="397"/>
        <v>1.5671232876712329</v>
      </c>
      <c r="H344" s="61">
        <v>41252.698800000006</v>
      </c>
      <c r="I344" s="63">
        <v>42284.02</v>
      </c>
      <c r="J344" s="61">
        <v>42284.016270000007</v>
      </c>
      <c r="K344" s="63">
        <f t="shared" si="413"/>
        <v>42284.016270000007</v>
      </c>
      <c r="L344" s="63">
        <f t="shared" si="399"/>
        <v>20.328853975961543</v>
      </c>
      <c r="M344" s="63">
        <f t="shared" si="400"/>
        <v>1626.3083180769233</v>
      </c>
      <c r="N344" s="63">
        <f t="shared" si="401"/>
        <v>0</v>
      </c>
      <c r="O344" s="65"/>
      <c r="P344" s="65"/>
      <c r="Q344" s="63">
        <f t="shared" si="402"/>
        <v>0</v>
      </c>
      <c r="R344" s="63">
        <f t="shared" si="403"/>
        <v>42284.016270000007</v>
      </c>
      <c r="S344" s="65"/>
      <c r="T344" s="63">
        <v>1200</v>
      </c>
      <c r="U344" s="65"/>
      <c r="V344" s="63">
        <f t="shared" si="404"/>
        <v>43484.016270000007</v>
      </c>
      <c r="W344" s="63">
        <f t="shared" si="405"/>
        <v>2696.0090087400004</v>
      </c>
      <c r="X344" s="63">
        <f t="shared" si="406"/>
        <v>630.5182359150001</v>
      </c>
      <c r="Y344" s="63">
        <f t="shared" si="407"/>
        <v>6531.2992437540015</v>
      </c>
      <c r="Z344" s="63">
        <f t="shared" si="408"/>
        <v>69.574426032000019</v>
      </c>
      <c r="AA344" s="63">
        <f t="shared" si="412"/>
        <v>30.438811389000005</v>
      </c>
      <c r="AB344" s="63">
        <f t="shared" si="409"/>
        <v>335</v>
      </c>
      <c r="AC344" s="63">
        <f t="shared" si="410"/>
        <v>10356.36</v>
      </c>
      <c r="AD344" s="63">
        <f t="shared" si="411"/>
        <v>106.9136</v>
      </c>
      <c r="AE344" s="178">
        <v>560</v>
      </c>
    </row>
    <row r="345" spans="1:31" x14ac:dyDescent="0.25">
      <c r="A345" s="167">
        <v>560</v>
      </c>
      <c r="B345" s="167">
        <v>560023</v>
      </c>
      <c r="C345" s="181" t="s">
        <v>3956</v>
      </c>
      <c r="D345" s="168" t="s">
        <v>2950</v>
      </c>
      <c r="E345" s="168" t="s">
        <v>4040</v>
      </c>
      <c r="F345" s="58">
        <v>43136</v>
      </c>
      <c r="G345" s="59">
        <f t="shared" si="397"/>
        <v>2.9013698630136986</v>
      </c>
      <c r="H345" s="61">
        <v>41252.698800000006</v>
      </c>
      <c r="I345" s="63">
        <v>42284.02</v>
      </c>
      <c r="J345" s="61">
        <v>42284.016270000007</v>
      </c>
      <c r="K345" s="63">
        <f t="shared" si="413"/>
        <v>42284.016270000007</v>
      </c>
      <c r="L345" s="63">
        <f t="shared" si="399"/>
        <v>20.328853975961543</v>
      </c>
      <c r="M345" s="63">
        <f t="shared" si="400"/>
        <v>1626.3083180769233</v>
      </c>
      <c r="N345" s="63">
        <f t="shared" si="401"/>
        <v>0</v>
      </c>
      <c r="O345" s="65"/>
      <c r="P345" s="65"/>
      <c r="Q345" s="63">
        <f t="shared" si="402"/>
        <v>0</v>
      </c>
      <c r="R345" s="63">
        <f t="shared" si="403"/>
        <v>42284.016270000007</v>
      </c>
      <c r="S345" s="65"/>
      <c r="T345" s="63">
        <v>1200</v>
      </c>
      <c r="U345" s="65">
        <v>1000</v>
      </c>
      <c r="V345" s="63">
        <f t="shared" si="404"/>
        <v>44484.016270000007</v>
      </c>
      <c r="W345" s="63">
        <f t="shared" si="405"/>
        <v>2758.0090087400004</v>
      </c>
      <c r="X345" s="63">
        <f t="shared" si="406"/>
        <v>645.0182359150001</v>
      </c>
      <c r="Y345" s="63">
        <f t="shared" si="407"/>
        <v>6681.4992437540013</v>
      </c>
      <c r="Z345" s="63">
        <f t="shared" si="408"/>
        <v>71.174426032000014</v>
      </c>
      <c r="AA345" s="63">
        <f t="shared" si="412"/>
        <v>31.138811389000004</v>
      </c>
      <c r="AB345" s="63">
        <f t="shared" si="409"/>
        <v>335</v>
      </c>
      <c r="AC345" s="63">
        <f t="shared" si="410"/>
        <v>10356.36</v>
      </c>
      <c r="AD345" s="63">
        <f t="shared" si="411"/>
        <v>106.9136</v>
      </c>
      <c r="AE345" s="178">
        <v>560</v>
      </c>
    </row>
    <row r="346" spans="1:31" x14ac:dyDescent="0.25">
      <c r="A346" s="167">
        <v>560</v>
      </c>
      <c r="B346" s="167">
        <v>560024</v>
      </c>
      <c r="C346" s="181" t="s">
        <v>3958</v>
      </c>
      <c r="D346" s="181" t="s">
        <v>2999</v>
      </c>
      <c r="E346" s="181" t="s">
        <v>3000</v>
      </c>
      <c r="F346" s="58">
        <v>43349</v>
      </c>
      <c r="G346" s="59">
        <f t="shared" si="397"/>
        <v>2.3178082191780822</v>
      </c>
      <c r="H346" s="61">
        <v>41252.698800000006</v>
      </c>
      <c r="I346" s="63">
        <v>42284.02</v>
      </c>
      <c r="J346" s="61">
        <v>42284.016270000007</v>
      </c>
      <c r="K346" s="63">
        <f t="shared" si="413"/>
        <v>42284.016270000007</v>
      </c>
      <c r="L346" s="63">
        <f t="shared" si="399"/>
        <v>20.328853975961543</v>
      </c>
      <c r="M346" s="63">
        <f t="shared" si="400"/>
        <v>1626.3083180769233</v>
      </c>
      <c r="N346" s="63">
        <f t="shared" si="401"/>
        <v>0</v>
      </c>
      <c r="O346" s="65"/>
      <c r="P346" s="65"/>
      <c r="Q346" s="63">
        <f t="shared" si="402"/>
        <v>0</v>
      </c>
      <c r="R346" s="63">
        <f t="shared" si="403"/>
        <v>42284.016270000007</v>
      </c>
      <c r="S346" s="65"/>
      <c r="T346" s="63">
        <v>1200</v>
      </c>
      <c r="U346" s="63">
        <v>1000</v>
      </c>
      <c r="V346" s="63">
        <f t="shared" si="404"/>
        <v>44484.016270000007</v>
      </c>
      <c r="W346" s="63">
        <f t="shared" si="405"/>
        <v>2758.0090087400004</v>
      </c>
      <c r="X346" s="63">
        <f t="shared" si="406"/>
        <v>645.0182359150001</v>
      </c>
      <c r="Y346" s="63">
        <f t="shared" si="407"/>
        <v>6681.4992437540013</v>
      </c>
      <c r="Z346" s="63">
        <f t="shared" si="408"/>
        <v>71.174426032000014</v>
      </c>
      <c r="AA346" s="63">
        <f t="shared" si="412"/>
        <v>31.138811389000004</v>
      </c>
      <c r="AB346" s="63">
        <f t="shared" si="409"/>
        <v>335</v>
      </c>
      <c r="AC346" s="63">
        <f t="shared" si="410"/>
        <v>10356.36</v>
      </c>
      <c r="AD346" s="63">
        <f t="shared" si="411"/>
        <v>106.9136</v>
      </c>
      <c r="AE346" s="178">
        <v>560</v>
      </c>
    </row>
    <row r="347" spans="1:31" x14ac:dyDescent="0.25">
      <c r="A347" s="167">
        <v>560</v>
      </c>
      <c r="B347" s="167">
        <v>560025</v>
      </c>
      <c r="C347" s="181" t="s">
        <v>3959</v>
      </c>
      <c r="D347" s="168" t="s">
        <v>3795</v>
      </c>
      <c r="E347" s="168" t="s">
        <v>2589</v>
      </c>
      <c r="F347" s="58">
        <v>42373</v>
      </c>
      <c r="G347" s="59">
        <f t="shared" si="397"/>
        <v>4.9917808219178079</v>
      </c>
      <c r="H347" s="61">
        <v>41252.698800000006</v>
      </c>
      <c r="I347" s="63">
        <v>42284.02</v>
      </c>
      <c r="J347" s="61">
        <v>42284.016270000007</v>
      </c>
      <c r="K347" s="63">
        <f t="shared" si="413"/>
        <v>42284.016270000007</v>
      </c>
      <c r="L347" s="63">
        <f t="shared" si="399"/>
        <v>20.328853975961543</v>
      </c>
      <c r="M347" s="63">
        <f t="shared" si="400"/>
        <v>1626.3083180769233</v>
      </c>
      <c r="N347" s="63">
        <f t="shared" si="401"/>
        <v>1053.8301369863013</v>
      </c>
      <c r="O347" s="65"/>
      <c r="P347" s="65"/>
      <c r="Q347" s="63">
        <f t="shared" si="402"/>
        <v>1053.8301369863013</v>
      </c>
      <c r="R347" s="63">
        <f t="shared" si="403"/>
        <v>43337.846406986311</v>
      </c>
      <c r="S347" s="65"/>
      <c r="T347" s="63">
        <v>1200</v>
      </c>
      <c r="U347" s="65"/>
      <c r="V347" s="63">
        <f t="shared" si="404"/>
        <v>44537.846406986311</v>
      </c>
      <c r="W347" s="63">
        <f t="shared" si="405"/>
        <v>2761.3464772331513</v>
      </c>
      <c r="X347" s="63">
        <f t="shared" si="406"/>
        <v>645.7987729013015</v>
      </c>
      <c r="Y347" s="63">
        <f t="shared" si="407"/>
        <v>6689.5845303293436</v>
      </c>
      <c r="Z347" s="63">
        <f t="shared" si="408"/>
        <v>71.260554251178107</v>
      </c>
      <c r="AA347" s="63">
        <f t="shared" si="412"/>
        <v>31.176492484890417</v>
      </c>
      <c r="AB347" s="63">
        <f t="shared" si="409"/>
        <v>335</v>
      </c>
      <c r="AC347" s="63">
        <f t="shared" si="410"/>
        <v>10356.36</v>
      </c>
      <c r="AD347" s="63">
        <f t="shared" si="411"/>
        <v>106.9136</v>
      </c>
      <c r="AE347" s="178">
        <v>560</v>
      </c>
    </row>
    <row r="348" spans="1:31" x14ac:dyDescent="0.25">
      <c r="A348" s="167">
        <v>560</v>
      </c>
      <c r="B348" s="167">
        <v>560026</v>
      </c>
      <c r="C348" s="181" t="s">
        <v>3960</v>
      </c>
      <c r="D348" s="271" t="s">
        <v>2805</v>
      </c>
      <c r="E348" s="271" t="s">
        <v>2806</v>
      </c>
      <c r="F348" s="403">
        <v>43831</v>
      </c>
      <c r="G348" s="59">
        <f t="shared" si="397"/>
        <v>0.99726027397260275</v>
      </c>
      <c r="H348" s="61">
        <v>41252.698800000006</v>
      </c>
      <c r="I348" s="63">
        <v>42284.02</v>
      </c>
      <c r="J348" s="61">
        <v>42284.016270000007</v>
      </c>
      <c r="K348" s="63">
        <f t="shared" si="413"/>
        <v>42284.016270000007</v>
      </c>
      <c r="L348" s="63">
        <f t="shared" si="399"/>
        <v>20.328853975961543</v>
      </c>
      <c r="M348" s="63">
        <f t="shared" si="400"/>
        <v>1626.3083180769233</v>
      </c>
      <c r="N348" s="63">
        <f t="shared" si="401"/>
        <v>0</v>
      </c>
      <c r="O348" s="65"/>
      <c r="P348" s="65"/>
      <c r="Q348" s="63">
        <f t="shared" si="402"/>
        <v>0</v>
      </c>
      <c r="R348" s="63">
        <f t="shared" si="403"/>
        <v>42284.016270000007</v>
      </c>
      <c r="S348" s="65"/>
      <c r="T348" s="63">
        <v>1200</v>
      </c>
      <c r="U348" s="69">
        <v>500</v>
      </c>
      <c r="V348" s="63">
        <f t="shared" si="404"/>
        <v>43984.016270000007</v>
      </c>
      <c r="W348" s="63">
        <f t="shared" si="405"/>
        <v>2727.0090087400004</v>
      </c>
      <c r="X348" s="63">
        <f t="shared" si="406"/>
        <v>637.7682359150001</v>
      </c>
      <c r="Y348" s="63">
        <f t="shared" si="407"/>
        <v>6606.399243754001</v>
      </c>
      <c r="Z348" s="63">
        <f t="shared" si="408"/>
        <v>70.374426032000017</v>
      </c>
      <c r="AA348" s="63">
        <f t="shared" si="412"/>
        <v>30.788811389000006</v>
      </c>
      <c r="AB348" s="63">
        <f t="shared" si="409"/>
        <v>335</v>
      </c>
      <c r="AC348" s="63">
        <f t="shared" si="410"/>
        <v>10356.36</v>
      </c>
      <c r="AD348" s="63">
        <f t="shared" si="411"/>
        <v>106.9136</v>
      </c>
      <c r="AE348" s="178">
        <v>560</v>
      </c>
    </row>
    <row r="349" spans="1:31" x14ac:dyDescent="0.25">
      <c r="A349" s="167">
        <v>560</v>
      </c>
      <c r="B349" s="167">
        <v>560027</v>
      </c>
      <c r="C349" s="181" t="s">
        <v>4041</v>
      </c>
      <c r="D349" s="168" t="s">
        <v>3796</v>
      </c>
      <c r="E349" s="168" t="s">
        <v>3099</v>
      </c>
      <c r="F349" s="58">
        <v>41444</v>
      </c>
      <c r="G349" s="59">
        <f t="shared" si="397"/>
        <v>7.536986301369863</v>
      </c>
      <c r="H349" s="61">
        <v>41252.698800000006</v>
      </c>
      <c r="I349" s="63">
        <v>42284.02</v>
      </c>
      <c r="J349" s="61">
        <v>42284.016270000007</v>
      </c>
      <c r="K349" s="63">
        <f t="shared" si="413"/>
        <v>42284.016270000007</v>
      </c>
      <c r="L349" s="63">
        <f t="shared" si="399"/>
        <v>20.328853975961543</v>
      </c>
      <c r="M349" s="63">
        <f t="shared" si="400"/>
        <v>1626.3083180769233</v>
      </c>
      <c r="N349" s="63">
        <f t="shared" si="401"/>
        <v>1725.7643835616439</v>
      </c>
      <c r="O349" s="65"/>
      <c r="P349" s="65"/>
      <c r="Q349" s="63">
        <f t="shared" si="402"/>
        <v>1725.7643835616439</v>
      </c>
      <c r="R349" s="63">
        <f t="shared" si="403"/>
        <v>44009.780653561655</v>
      </c>
      <c r="S349" s="65"/>
      <c r="T349" s="63">
        <v>1200</v>
      </c>
      <c r="U349" s="65"/>
      <c r="V349" s="63">
        <f t="shared" si="404"/>
        <v>45209.780653561655</v>
      </c>
      <c r="W349" s="63">
        <f t="shared" si="405"/>
        <v>2803.0064005208224</v>
      </c>
      <c r="X349" s="63">
        <f t="shared" si="406"/>
        <v>655.54181947664404</v>
      </c>
      <c r="Y349" s="63">
        <f t="shared" si="407"/>
        <v>6790.5090541649606</v>
      </c>
      <c r="Z349" s="63">
        <f t="shared" si="408"/>
        <v>72.335649045698645</v>
      </c>
      <c r="AA349" s="63">
        <f t="shared" si="412"/>
        <v>31.646846457493158</v>
      </c>
      <c r="AB349" s="63">
        <f t="shared" si="409"/>
        <v>335</v>
      </c>
      <c r="AC349" s="63">
        <f t="shared" si="410"/>
        <v>10356.36</v>
      </c>
      <c r="AD349" s="63">
        <f t="shared" si="411"/>
        <v>106.9136</v>
      </c>
      <c r="AE349" s="178">
        <v>560</v>
      </c>
    </row>
    <row r="350" spans="1:31" x14ac:dyDescent="0.25">
      <c r="A350" s="167">
        <v>560</v>
      </c>
      <c r="B350" s="167">
        <v>560028</v>
      </c>
      <c r="C350" s="181" t="s">
        <v>4042</v>
      </c>
      <c r="D350" s="168" t="s">
        <v>2955</v>
      </c>
      <c r="E350" s="168" t="s">
        <v>2956</v>
      </c>
      <c r="F350" s="58">
        <v>42967</v>
      </c>
      <c r="G350" s="59">
        <f t="shared" si="397"/>
        <v>3.3643835616438356</v>
      </c>
      <c r="H350" s="61">
        <v>41252.698800000006</v>
      </c>
      <c r="I350" s="63">
        <v>42284.02</v>
      </c>
      <c r="J350" s="61">
        <v>42284.016270000007</v>
      </c>
      <c r="K350" s="63">
        <f t="shared" si="413"/>
        <v>42284.016270000007</v>
      </c>
      <c r="L350" s="63">
        <f t="shared" si="399"/>
        <v>20.328853975961543</v>
      </c>
      <c r="M350" s="63">
        <f t="shared" si="400"/>
        <v>1626.3083180769233</v>
      </c>
      <c r="N350" s="63">
        <f t="shared" si="401"/>
        <v>0</v>
      </c>
      <c r="O350" s="65"/>
      <c r="P350" s="65"/>
      <c r="Q350" s="63">
        <f t="shared" si="402"/>
        <v>0</v>
      </c>
      <c r="R350" s="63">
        <f t="shared" si="403"/>
        <v>42284.016270000007</v>
      </c>
      <c r="S350" s="65"/>
      <c r="T350" s="63">
        <v>1200</v>
      </c>
      <c r="U350" s="63">
        <v>1500</v>
      </c>
      <c r="V350" s="63">
        <f t="shared" si="404"/>
        <v>44984.016270000007</v>
      </c>
      <c r="W350" s="63">
        <f t="shared" si="405"/>
        <v>2789.0090087400004</v>
      </c>
      <c r="X350" s="63">
        <f t="shared" si="406"/>
        <v>652.2682359150001</v>
      </c>
      <c r="Y350" s="63">
        <f t="shared" si="407"/>
        <v>6756.5992437540008</v>
      </c>
      <c r="Z350" s="63">
        <f t="shared" si="408"/>
        <v>71.974426032000011</v>
      </c>
      <c r="AA350" s="63">
        <f t="shared" si="412"/>
        <v>31.488811389000006</v>
      </c>
      <c r="AB350" s="63">
        <f t="shared" si="409"/>
        <v>335</v>
      </c>
      <c r="AC350" s="63">
        <f t="shared" si="410"/>
        <v>10356.36</v>
      </c>
      <c r="AD350" s="63">
        <f t="shared" si="411"/>
        <v>106.9136</v>
      </c>
      <c r="AE350" s="178">
        <v>560</v>
      </c>
    </row>
    <row r="351" spans="1:31" x14ac:dyDescent="0.25">
      <c r="A351" s="167">
        <v>560</v>
      </c>
      <c r="B351" s="167">
        <v>560029</v>
      </c>
      <c r="C351" s="181" t="s">
        <v>4043</v>
      </c>
      <c r="D351" s="168" t="s">
        <v>2947</v>
      </c>
      <c r="E351" s="168" t="s">
        <v>2948</v>
      </c>
      <c r="F351" s="58">
        <v>43215</v>
      </c>
      <c r="G351" s="59">
        <f t="shared" si="397"/>
        <v>2.6849315068493151</v>
      </c>
      <c r="H351" s="61">
        <v>41252.698800000006</v>
      </c>
      <c r="I351" s="63">
        <v>42284.02</v>
      </c>
      <c r="J351" s="61">
        <v>42284.016270000007</v>
      </c>
      <c r="K351" s="63">
        <f t="shared" si="413"/>
        <v>42284.016270000007</v>
      </c>
      <c r="L351" s="63">
        <f t="shared" si="399"/>
        <v>20.328853975961543</v>
      </c>
      <c r="M351" s="63">
        <f t="shared" si="400"/>
        <v>1626.3083180769233</v>
      </c>
      <c r="N351" s="63">
        <f t="shared" si="401"/>
        <v>0</v>
      </c>
      <c r="O351" s="65"/>
      <c r="P351" s="255">
        <v>620.1</v>
      </c>
      <c r="Q351" s="63">
        <f t="shared" si="402"/>
        <v>620.1</v>
      </c>
      <c r="R351" s="63">
        <f t="shared" si="403"/>
        <v>42904.116270000006</v>
      </c>
      <c r="S351" s="65"/>
      <c r="T351" s="63">
        <v>1200</v>
      </c>
      <c r="U351" s="63">
        <v>500</v>
      </c>
      <c r="V351" s="63">
        <f t="shared" si="404"/>
        <v>44604.116270000006</v>
      </c>
      <c r="W351" s="63">
        <f t="shared" si="405"/>
        <v>2765.4552087400002</v>
      </c>
      <c r="X351" s="63">
        <f t="shared" si="406"/>
        <v>646.75968591500009</v>
      </c>
      <c r="Y351" s="63">
        <f t="shared" si="407"/>
        <v>6699.5382637540006</v>
      </c>
      <c r="Z351" s="63">
        <f t="shared" si="408"/>
        <v>71.366586032000015</v>
      </c>
      <c r="AA351" s="63">
        <f t="shared" si="412"/>
        <v>31.222881389000005</v>
      </c>
      <c r="AB351" s="63">
        <f t="shared" si="409"/>
        <v>335</v>
      </c>
      <c r="AC351" s="63">
        <f t="shared" si="410"/>
        <v>10356.36</v>
      </c>
      <c r="AD351" s="63">
        <f t="shared" si="411"/>
        <v>106.9136</v>
      </c>
      <c r="AE351" s="178">
        <v>560</v>
      </c>
    </row>
    <row r="352" spans="1:31" x14ac:dyDescent="0.25">
      <c r="A352" s="167">
        <v>560</v>
      </c>
      <c r="B352" s="167">
        <v>560030</v>
      </c>
      <c r="C352" s="181" t="s">
        <v>4044</v>
      </c>
      <c r="D352" s="271" t="s">
        <v>2805</v>
      </c>
      <c r="E352" s="271" t="s">
        <v>2806</v>
      </c>
      <c r="F352" s="403">
        <v>43831</v>
      </c>
      <c r="G352" s="59">
        <f t="shared" si="397"/>
        <v>0.99726027397260275</v>
      </c>
      <c r="H352" s="61">
        <v>41252.698800000006</v>
      </c>
      <c r="I352" s="63"/>
      <c r="J352" s="61">
        <v>42284.016270000007</v>
      </c>
      <c r="K352" s="63">
        <f t="shared" si="413"/>
        <v>42284.016270000007</v>
      </c>
      <c r="L352" s="63">
        <f t="shared" si="399"/>
        <v>20.328853975961543</v>
      </c>
      <c r="M352" s="63">
        <f t="shared" si="400"/>
        <v>1626.3083180769233</v>
      </c>
      <c r="N352" s="63">
        <f t="shared" si="401"/>
        <v>0</v>
      </c>
      <c r="O352" s="65"/>
      <c r="P352" s="65"/>
      <c r="Q352" s="63">
        <f t="shared" si="402"/>
        <v>0</v>
      </c>
      <c r="R352" s="63">
        <f t="shared" si="403"/>
        <v>42284.016270000007</v>
      </c>
      <c r="S352" s="65"/>
      <c r="T352" s="63">
        <v>1200</v>
      </c>
      <c r="U352" s="69"/>
      <c r="V352" s="63">
        <f t="shared" si="404"/>
        <v>43484.016270000007</v>
      </c>
      <c r="W352" s="63">
        <f t="shared" si="405"/>
        <v>2696.0090087400004</v>
      </c>
      <c r="X352" s="63">
        <f t="shared" si="406"/>
        <v>630.5182359150001</v>
      </c>
      <c r="Y352" s="63">
        <f t="shared" si="407"/>
        <v>6531.2992437540015</v>
      </c>
      <c r="Z352" s="63">
        <f t="shared" si="408"/>
        <v>69.574426032000019</v>
      </c>
      <c r="AA352" s="63">
        <f t="shared" si="412"/>
        <v>30.438811389000005</v>
      </c>
      <c r="AB352" s="63">
        <f t="shared" si="409"/>
        <v>335</v>
      </c>
      <c r="AC352" s="63">
        <f t="shared" si="410"/>
        <v>10356.36</v>
      </c>
      <c r="AD352" s="63">
        <f t="shared" si="411"/>
        <v>106.9136</v>
      </c>
      <c r="AE352" s="178">
        <v>560</v>
      </c>
    </row>
    <row r="353" spans="1:31" x14ac:dyDescent="0.25">
      <c r="A353" s="167">
        <v>560</v>
      </c>
      <c r="B353" s="167">
        <v>560031</v>
      </c>
      <c r="C353" s="181" t="s">
        <v>4045</v>
      </c>
      <c r="D353" s="168" t="s">
        <v>2985</v>
      </c>
      <c r="E353" s="168" t="s">
        <v>2986</v>
      </c>
      <c r="F353" s="58">
        <v>42268</v>
      </c>
      <c r="G353" s="59">
        <f t="shared" si="397"/>
        <v>5.279452054794521</v>
      </c>
      <c r="H353" s="61">
        <v>41252.698800000006</v>
      </c>
      <c r="I353" s="63">
        <v>42284.02</v>
      </c>
      <c r="J353" s="61">
        <v>42284.016270000007</v>
      </c>
      <c r="K353" s="63">
        <f t="shared" si="413"/>
        <v>42284.016270000007</v>
      </c>
      <c r="L353" s="63">
        <f t="shared" si="399"/>
        <v>20.328853975961543</v>
      </c>
      <c r="M353" s="63">
        <f t="shared" si="400"/>
        <v>1626.3083180769233</v>
      </c>
      <c r="N353" s="63">
        <f t="shared" si="401"/>
        <v>1129.7753424657535</v>
      </c>
      <c r="O353" s="65"/>
      <c r="P353" s="65"/>
      <c r="Q353" s="63">
        <f t="shared" si="402"/>
        <v>1129.7753424657535</v>
      </c>
      <c r="R353" s="63">
        <f t="shared" si="403"/>
        <v>43413.791612465764</v>
      </c>
      <c r="S353" s="65"/>
      <c r="T353" s="63">
        <v>1200</v>
      </c>
      <c r="U353" s="63"/>
      <c r="V353" s="63">
        <f t="shared" si="404"/>
        <v>44613.791612465764</v>
      </c>
      <c r="W353" s="63">
        <f t="shared" si="405"/>
        <v>2766.0550799728771</v>
      </c>
      <c r="X353" s="63">
        <f t="shared" si="406"/>
        <v>646.89997838075362</v>
      </c>
      <c r="Y353" s="63">
        <f t="shared" si="407"/>
        <v>6700.9915001923582</v>
      </c>
      <c r="Z353" s="63">
        <f t="shared" si="408"/>
        <v>71.382066579945231</v>
      </c>
      <c r="AA353" s="63">
        <f t="shared" si="412"/>
        <v>31.229654128726036</v>
      </c>
      <c r="AB353" s="63">
        <f t="shared" si="409"/>
        <v>335</v>
      </c>
      <c r="AC353" s="63">
        <f t="shared" si="410"/>
        <v>10356.36</v>
      </c>
      <c r="AD353" s="63">
        <f t="shared" si="411"/>
        <v>106.9136</v>
      </c>
      <c r="AE353" s="178">
        <v>560</v>
      </c>
    </row>
    <row r="354" spans="1:31" x14ac:dyDescent="0.25">
      <c r="A354" s="167">
        <v>560</v>
      </c>
      <c r="B354" s="167">
        <v>560032</v>
      </c>
      <c r="C354" s="181" t="s">
        <v>4046</v>
      </c>
      <c r="D354" s="168" t="s">
        <v>2936</v>
      </c>
      <c r="E354" s="168" t="s">
        <v>2937</v>
      </c>
      <c r="F354" s="58">
        <v>38284</v>
      </c>
      <c r="G354" s="59">
        <f t="shared" si="397"/>
        <v>16.194520547945206</v>
      </c>
      <c r="H354" s="61">
        <v>41252.698800000006</v>
      </c>
      <c r="I354" s="63">
        <v>42284.02</v>
      </c>
      <c r="J354" s="61">
        <v>42284.016270000007</v>
      </c>
      <c r="K354" s="63">
        <f t="shared" si="413"/>
        <v>42284.016270000007</v>
      </c>
      <c r="L354" s="63">
        <f t="shared" si="399"/>
        <v>20.328853975961543</v>
      </c>
      <c r="M354" s="63">
        <f t="shared" si="400"/>
        <v>1626.3083180769233</v>
      </c>
      <c r="N354" s="63">
        <f t="shared" si="401"/>
        <v>4011.3534246575346</v>
      </c>
      <c r="O354" s="65"/>
      <c r="P354" s="65"/>
      <c r="Q354" s="63">
        <f t="shared" si="402"/>
        <v>4011.3534246575346</v>
      </c>
      <c r="R354" s="63">
        <f t="shared" si="403"/>
        <v>46295.369694657544</v>
      </c>
      <c r="S354" s="65"/>
      <c r="T354" s="63">
        <v>1200</v>
      </c>
      <c r="U354" s="63">
        <v>1000</v>
      </c>
      <c r="V354" s="63">
        <f t="shared" si="404"/>
        <v>48495.369694657544</v>
      </c>
      <c r="W354" s="63">
        <f t="shared" si="405"/>
        <v>3006.7129210687676</v>
      </c>
      <c r="X354" s="63">
        <f t="shared" si="406"/>
        <v>703.18286057253442</v>
      </c>
      <c r="Y354" s="63">
        <f t="shared" si="407"/>
        <v>7284.0045281375633</v>
      </c>
      <c r="Z354" s="63">
        <f t="shared" si="408"/>
        <v>77.592591511452071</v>
      </c>
      <c r="AA354" s="63">
        <f t="shared" si="412"/>
        <v>33.946758786260283</v>
      </c>
      <c r="AB354" s="63">
        <f t="shared" si="409"/>
        <v>335</v>
      </c>
      <c r="AC354" s="63">
        <f t="shared" si="410"/>
        <v>10356.36</v>
      </c>
      <c r="AD354" s="63">
        <f t="shared" si="411"/>
        <v>106.9136</v>
      </c>
      <c r="AE354" s="178">
        <v>560</v>
      </c>
    </row>
    <row r="355" spans="1:31" x14ac:dyDescent="0.25">
      <c r="A355" s="167">
        <v>560</v>
      </c>
      <c r="B355" s="167">
        <v>560033</v>
      </c>
      <c r="C355" s="181" t="s">
        <v>4047</v>
      </c>
      <c r="D355" s="168" t="s">
        <v>2962</v>
      </c>
      <c r="E355" s="168" t="s">
        <v>2486</v>
      </c>
      <c r="F355" s="58">
        <v>41683</v>
      </c>
      <c r="G355" s="59">
        <f t="shared" si="397"/>
        <v>6.882191780821918</v>
      </c>
      <c r="H355" s="61">
        <v>41252.698800000006</v>
      </c>
      <c r="I355" s="63">
        <v>42284.02</v>
      </c>
      <c r="J355" s="61">
        <v>42284.016270000007</v>
      </c>
      <c r="K355" s="63">
        <f t="shared" si="413"/>
        <v>42284.016270000007</v>
      </c>
      <c r="L355" s="63">
        <f t="shared" si="399"/>
        <v>20.328853975961543</v>
      </c>
      <c r="M355" s="63">
        <f t="shared" si="400"/>
        <v>1626.3083180769233</v>
      </c>
      <c r="N355" s="63">
        <f t="shared" si="401"/>
        <v>1552.8986301369864</v>
      </c>
      <c r="O355" s="65"/>
      <c r="P355" s="65"/>
      <c r="Q355" s="63">
        <f t="shared" si="402"/>
        <v>1552.8986301369864</v>
      </c>
      <c r="R355" s="63">
        <f t="shared" si="403"/>
        <v>43836.914900136995</v>
      </c>
      <c r="S355" s="65"/>
      <c r="T355" s="63">
        <v>1200</v>
      </c>
      <c r="U355" s="63"/>
      <c r="V355" s="63">
        <f t="shared" si="404"/>
        <v>45036.914900136995</v>
      </c>
      <c r="W355" s="63">
        <f t="shared" si="405"/>
        <v>2792.2887238084936</v>
      </c>
      <c r="X355" s="63">
        <f t="shared" si="406"/>
        <v>653.03526605198647</v>
      </c>
      <c r="Y355" s="63">
        <f t="shared" si="407"/>
        <v>6764.5446180005765</v>
      </c>
      <c r="Z355" s="63">
        <f t="shared" si="408"/>
        <v>72.059063840219196</v>
      </c>
      <c r="AA355" s="63">
        <f t="shared" si="412"/>
        <v>31.525840430095897</v>
      </c>
      <c r="AB355" s="63">
        <f t="shared" si="409"/>
        <v>335</v>
      </c>
      <c r="AC355" s="63">
        <f t="shared" si="410"/>
        <v>10356.36</v>
      </c>
      <c r="AD355" s="63">
        <f t="shared" si="411"/>
        <v>106.9136</v>
      </c>
      <c r="AE355" s="178">
        <v>560</v>
      </c>
    </row>
    <row r="356" spans="1:31" x14ac:dyDescent="0.25">
      <c r="A356" s="167">
        <v>560</v>
      </c>
      <c r="B356" s="167">
        <v>560034</v>
      </c>
      <c r="C356" s="181" t="s">
        <v>4048</v>
      </c>
      <c r="D356" s="168" t="s">
        <v>2959</v>
      </c>
      <c r="E356" s="168" t="s">
        <v>2960</v>
      </c>
      <c r="F356" s="58">
        <v>42262</v>
      </c>
      <c r="G356" s="59">
        <f t="shared" si="397"/>
        <v>5.2958904109589042</v>
      </c>
      <c r="H356" s="61">
        <v>41252.698800000006</v>
      </c>
      <c r="I356" s="63">
        <v>42284.02</v>
      </c>
      <c r="J356" s="61">
        <v>42284.016270000007</v>
      </c>
      <c r="K356" s="63">
        <f t="shared" si="413"/>
        <v>42284.016270000007</v>
      </c>
      <c r="L356" s="63">
        <f t="shared" si="399"/>
        <v>20.328853975961543</v>
      </c>
      <c r="M356" s="63">
        <f t="shared" si="400"/>
        <v>1626.3083180769233</v>
      </c>
      <c r="N356" s="63">
        <f t="shared" si="401"/>
        <v>1134.1150684931508</v>
      </c>
      <c r="O356" s="65"/>
      <c r="P356" s="65"/>
      <c r="Q356" s="63">
        <f t="shared" si="402"/>
        <v>1134.1150684931508</v>
      </c>
      <c r="R356" s="63">
        <f t="shared" si="403"/>
        <v>43418.131338493156</v>
      </c>
      <c r="S356" s="65"/>
      <c r="T356" s="63">
        <v>1200</v>
      </c>
      <c r="U356" s="65"/>
      <c r="V356" s="63">
        <f t="shared" si="404"/>
        <v>44618.131338493156</v>
      </c>
      <c r="W356" s="63">
        <f t="shared" si="405"/>
        <v>2766.3241429865757</v>
      </c>
      <c r="X356" s="63">
        <f t="shared" si="406"/>
        <v>646.96290440815085</v>
      </c>
      <c r="Y356" s="63">
        <f t="shared" si="407"/>
        <v>6701.6433270416719</v>
      </c>
      <c r="Z356" s="63">
        <f t="shared" si="408"/>
        <v>71.389010141589054</v>
      </c>
      <c r="AA356" s="63">
        <f t="shared" si="412"/>
        <v>31.232691936945209</v>
      </c>
      <c r="AB356" s="63">
        <f t="shared" si="409"/>
        <v>335</v>
      </c>
      <c r="AC356" s="63">
        <f t="shared" si="410"/>
        <v>10356.36</v>
      </c>
      <c r="AD356" s="63">
        <f t="shared" si="411"/>
        <v>106.9136</v>
      </c>
      <c r="AE356" s="178">
        <v>560</v>
      </c>
    </row>
    <row r="357" spans="1:31" x14ac:dyDescent="0.25">
      <c r="A357" s="167">
        <v>560</v>
      </c>
      <c r="B357" s="167">
        <v>560101</v>
      </c>
      <c r="C357" s="181" t="s">
        <v>3497</v>
      </c>
      <c r="D357" s="168" t="s">
        <v>2979</v>
      </c>
      <c r="E357" s="168" t="s">
        <v>2980</v>
      </c>
      <c r="F357" s="58">
        <v>42723</v>
      </c>
      <c r="G357" s="59">
        <f t="shared" si="397"/>
        <v>4.0328767123287674</v>
      </c>
      <c r="H357" s="61">
        <v>44423.157279999999</v>
      </c>
      <c r="I357" s="63">
        <v>45533.74</v>
      </c>
      <c r="J357" s="61">
        <v>45533.736211999996</v>
      </c>
      <c r="K357" s="63">
        <f t="shared" si="413"/>
        <v>45533.736211999996</v>
      </c>
      <c r="L357" s="63">
        <f t="shared" si="399"/>
        <v>21.891219332692305</v>
      </c>
      <c r="M357" s="63">
        <f t="shared" si="400"/>
        <v>1751.2975466153844</v>
      </c>
      <c r="N357" s="63">
        <f t="shared" si="401"/>
        <v>800.67945205479464</v>
      </c>
      <c r="O357" s="65"/>
      <c r="P357" s="65"/>
      <c r="Q357" s="63">
        <f t="shared" si="402"/>
        <v>800.67945205479464</v>
      </c>
      <c r="R357" s="63">
        <f t="shared" si="403"/>
        <v>46334.415664054788</v>
      </c>
      <c r="S357" s="65"/>
      <c r="T357" s="63">
        <v>1200</v>
      </c>
      <c r="U357" s="63"/>
      <c r="V357" s="63">
        <f t="shared" si="404"/>
        <v>47534.415664054788</v>
      </c>
      <c r="W357" s="63">
        <f t="shared" si="405"/>
        <v>2947.1337711713968</v>
      </c>
      <c r="X357" s="63">
        <f t="shared" si="406"/>
        <v>689.24902712879441</v>
      </c>
      <c r="Y357" s="63">
        <f t="shared" si="407"/>
        <v>7139.6692327410292</v>
      </c>
      <c r="Z357" s="63">
        <f t="shared" si="408"/>
        <v>76.055065062487671</v>
      </c>
      <c r="AA357" s="63">
        <f t="shared" si="412"/>
        <v>33.274090964838351</v>
      </c>
      <c r="AB357" s="63">
        <f t="shared" si="409"/>
        <v>335</v>
      </c>
      <c r="AC357" s="63">
        <f t="shared" si="410"/>
        <v>10356.36</v>
      </c>
      <c r="AD357" s="63">
        <f t="shared" si="411"/>
        <v>106.9136</v>
      </c>
      <c r="AE357" s="178">
        <v>560</v>
      </c>
    </row>
    <row r="358" spans="1:31" x14ac:dyDescent="0.25">
      <c r="A358" s="167">
        <v>560</v>
      </c>
      <c r="B358" s="167">
        <v>560102</v>
      </c>
      <c r="C358" s="181" t="s">
        <v>3498</v>
      </c>
      <c r="D358" s="168" t="s">
        <v>4049</v>
      </c>
      <c r="E358" s="168" t="s">
        <v>4050</v>
      </c>
      <c r="F358" s="58">
        <v>43052</v>
      </c>
      <c r="G358" s="59">
        <f t="shared" si="397"/>
        <v>3.1315068493150684</v>
      </c>
      <c r="H358" s="61">
        <v>44423.157279999999</v>
      </c>
      <c r="I358" s="63">
        <v>45533.74</v>
      </c>
      <c r="J358" s="61">
        <v>45533.736211999996</v>
      </c>
      <c r="K358" s="63">
        <f t="shared" si="413"/>
        <v>45533.736211999996</v>
      </c>
      <c r="L358" s="63">
        <f t="shared" si="399"/>
        <v>21.891219332692305</v>
      </c>
      <c r="M358" s="63">
        <f t="shared" si="400"/>
        <v>1751.2975466153844</v>
      </c>
      <c r="N358" s="63">
        <f t="shared" si="401"/>
        <v>0</v>
      </c>
      <c r="O358" s="65"/>
      <c r="P358" s="65"/>
      <c r="Q358" s="63">
        <f t="shared" si="402"/>
        <v>0</v>
      </c>
      <c r="R358" s="63">
        <f t="shared" si="403"/>
        <v>45533.736211999996</v>
      </c>
      <c r="S358" s="65"/>
      <c r="T358" s="63">
        <v>1200</v>
      </c>
      <c r="U358" s="63">
        <v>1500</v>
      </c>
      <c r="V358" s="63">
        <f t="shared" si="404"/>
        <v>48233.736211999996</v>
      </c>
      <c r="W358" s="63">
        <f t="shared" si="405"/>
        <v>2990.4916451439999</v>
      </c>
      <c r="X358" s="63">
        <f t="shared" si="406"/>
        <v>699.38917507400004</v>
      </c>
      <c r="Y358" s="63">
        <f t="shared" si="407"/>
        <v>7244.7071790423997</v>
      </c>
      <c r="Z358" s="63">
        <f t="shared" si="408"/>
        <v>77.1739779392</v>
      </c>
      <c r="AA358" s="63">
        <f t="shared" si="412"/>
        <v>33.763615348399995</v>
      </c>
      <c r="AB358" s="63">
        <f t="shared" si="409"/>
        <v>335</v>
      </c>
      <c r="AC358" s="63">
        <f t="shared" si="410"/>
        <v>10356.36</v>
      </c>
      <c r="AD358" s="63">
        <f t="shared" si="411"/>
        <v>106.9136</v>
      </c>
      <c r="AE358" s="178">
        <v>560</v>
      </c>
    </row>
    <row r="359" spans="1:31" x14ac:dyDescent="0.25">
      <c r="A359" s="167">
        <v>560</v>
      </c>
      <c r="B359" s="167">
        <v>560103</v>
      </c>
      <c r="C359" s="181" t="s">
        <v>4051</v>
      </c>
      <c r="D359" s="168" t="s">
        <v>3020</v>
      </c>
      <c r="E359" s="168" t="s">
        <v>2469</v>
      </c>
      <c r="F359" s="58">
        <v>40211</v>
      </c>
      <c r="G359" s="59">
        <f t="shared" si="397"/>
        <v>10.915068493150685</v>
      </c>
      <c r="H359" s="61">
        <v>44423.157279999999</v>
      </c>
      <c r="I359" s="63">
        <v>45533.74</v>
      </c>
      <c r="J359" s="61">
        <v>45533.736211999996</v>
      </c>
      <c r="K359" s="63">
        <f t="shared" si="413"/>
        <v>45533.736211999996</v>
      </c>
      <c r="L359" s="63">
        <f t="shared" si="399"/>
        <v>21.891219332692305</v>
      </c>
      <c r="M359" s="63">
        <f t="shared" si="400"/>
        <v>1751.2975466153844</v>
      </c>
      <c r="N359" s="63">
        <f t="shared" si="401"/>
        <v>2617.5780821917806</v>
      </c>
      <c r="O359" s="65"/>
      <c r="P359" s="65"/>
      <c r="Q359" s="63">
        <f t="shared" si="402"/>
        <v>2617.5780821917806</v>
      </c>
      <c r="R359" s="63">
        <f t="shared" si="403"/>
        <v>48151.314294191776</v>
      </c>
      <c r="S359" s="65"/>
      <c r="T359" s="63">
        <v>1200</v>
      </c>
      <c r="U359" s="63">
        <v>500</v>
      </c>
      <c r="V359" s="63">
        <f t="shared" si="404"/>
        <v>49851.314294191776</v>
      </c>
      <c r="W359" s="63">
        <f t="shared" si="405"/>
        <v>3090.78148623989</v>
      </c>
      <c r="X359" s="63">
        <f t="shared" si="406"/>
        <v>722.84405726578075</v>
      </c>
      <c r="Y359" s="63">
        <f t="shared" si="407"/>
        <v>7487.6674069876044</v>
      </c>
      <c r="Z359" s="63">
        <f t="shared" si="408"/>
        <v>79.76210287070684</v>
      </c>
      <c r="AA359" s="63">
        <f t="shared" si="412"/>
        <v>34.895920005934244</v>
      </c>
      <c r="AB359" s="63">
        <f t="shared" si="409"/>
        <v>335</v>
      </c>
      <c r="AC359" s="63">
        <f t="shared" si="410"/>
        <v>10356.36</v>
      </c>
      <c r="AD359" s="63">
        <f t="shared" si="411"/>
        <v>106.9136</v>
      </c>
      <c r="AE359" s="178">
        <v>560</v>
      </c>
    </row>
    <row r="360" spans="1:31" x14ac:dyDescent="0.25">
      <c r="A360" s="167">
        <v>560</v>
      </c>
      <c r="B360" s="167">
        <v>560104</v>
      </c>
      <c r="C360" s="181" t="s">
        <v>4052</v>
      </c>
      <c r="D360" s="168" t="s">
        <v>3006</v>
      </c>
      <c r="E360" s="168" t="s">
        <v>3007</v>
      </c>
      <c r="F360" s="58">
        <v>42401</v>
      </c>
      <c r="G360" s="59">
        <f t="shared" si="397"/>
        <v>4.9150684931506845</v>
      </c>
      <c r="H360" s="61">
        <v>44423.157279999999</v>
      </c>
      <c r="I360" s="63">
        <v>45533.74</v>
      </c>
      <c r="J360" s="61">
        <v>45533.736211999996</v>
      </c>
      <c r="K360" s="63">
        <f t="shared" si="413"/>
        <v>45533.736211999996</v>
      </c>
      <c r="L360" s="63">
        <f t="shared" si="399"/>
        <v>21.891219332692305</v>
      </c>
      <c r="M360" s="63">
        <f t="shared" si="400"/>
        <v>1751.2975466153844</v>
      </c>
      <c r="N360" s="63">
        <f t="shared" si="401"/>
        <v>1033.5780821917806</v>
      </c>
      <c r="O360" s="65"/>
      <c r="P360" s="63"/>
      <c r="Q360" s="63">
        <f t="shared" si="402"/>
        <v>1033.5780821917806</v>
      </c>
      <c r="R360" s="63">
        <f t="shared" si="403"/>
        <v>46567.314294191776</v>
      </c>
      <c r="S360" s="65"/>
      <c r="T360" s="63">
        <v>1200</v>
      </c>
      <c r="U360" s="63">
        <v>1000</v>
      </c>
      <c r="V360" s="63">
        <f t="shared" si="404"/>
        <v>48767.314294191776</v>
      </c>
      <c r="W360" s="63">
        <f t="shared" si="405"/>
        <v>3023.5734862398899</v>
      </c>
      <c r="X360" s="63">
        <f t="shared" si="406"/>
        <v>707.12605726578079</v>
      </c>
      <c r="Y360" s="63">
        <f t="shared" si="407"/>
        <v>7324.8506069876048</v>
      </c>
      <c r="Z360" s="63">
        <f t="shared" si="408"/>
        <v>78.027702870706847</v>
      </c>
      <c r="AA360" s="63">
        <f t="shared" si="412"/>
        <v>34.137120005934243</v>
      </c>
      <c r="AB360" s="63">
        <f t="shared" si="409"/>
        <v>335</v>
      </c>
      <c r="AC360" s="63">
        <f t="shared" si="410"/>
        <v>10356.36</v>
      </c>
      <c r="AD360" s="63">
        <f t="shared" si="411"/>
        <v>106.9136</v>
      </c>
      <c r="AE360" s="178">
        <v>560</v>
      </c>
    </row>
    <row r="361" spans="1:31" x14ac:dyDescent="0.25">
      <c r="A361" s="167">
        <v>560</v>
      </c>
      <c r="B361" s="167">
        <v>560105</v>
      </c>
      <c r="C361" s="181" t="s">
        <v>4053</v>
      </c>
      <c r="D361" s="168" t="s">
        <v>3003</v>
      </c>
      <c r="E361" s="168" t="s">
        <v>4054</v>
      </c>
      <c r="F361" s="58">
        <v>42535</v>
      </c>
      <c r="G361" s="59">
        <f t="shared" si="397"/>
        <v>4.5479452054794525</v>
      </c>
      <c r="H361" s="61">
        <v>44423.157279999999</v>
      </c>
      <c r="I361" s="63">
        <v>45533.74</v>
      </c>
      <c r="J361" s="61">
        <v>45533.736211999996</v>
      </c>
      <c r="K361" s="63">
        <f t="shared" si="413"/>
        <v>45533.736211999996</v>
      </c>
      <c r="L361" s="63">
        <f t="shared" si="399"/>
        <v>21.891219332692305</v>
      </c>
      <c r="M361" s="63">
        <f t="shared" si="400"/>
        <v>1751.2975466153844</v>
      </c>
      <c r="N361" s="63">
        <f t="shared" si="401"/>
        <v>936.65753424657544</v>
      </c>
      <c r="O361" s="65"/>
      <c r="P361" s="65"/>
      <c r="Q361" s="63">
        <f t="shared" si="402"/>
        <v>936.65753424657544</v>
      </c>
      <c r="R361" s="63">
        <f t="shared" si="403"/>
        <v>46470.393746246569</v>
      </c>
      <c r="S361" s="65"/>
      <c r="T361" s="63">
        <v>1200</v>
      </c>
      <c r="U361" s="63"/>
      <c r="V361" s="63">
        <f t="shared" si="404"/>
        <v>47670.393746246569</v>
      </c>
      <c r="W361" s="63">
        <f t="shared" si="405"/>
        <v>2955.5644122672875</v>
      </c>
      <c r="X361" s="63">
        <f t="shared" si="406"/>
        <v>691.22070932057534</v>
      </c>
      <c r="Y361" s="63">
        <f t="shared" si="407"/>
        <v>7160.0931406862346</v>
      </c>
      <c r="Z361" s="63">
        <f t="shared" si="408"/>
        <v>76.272629993994514</v>
      </c>
      <c r="AA361" s="63">
        <f t="shared" si="412"/>
        <v>33.369275622372598</v>
      </c>
      <c r="AB361" s="63">
        <f t="shared" si="409"/>
        <v>335</v>
      </c>
      <c r="AC361" s="63">
        <f t="shared" si="410"/>
        <v>10356.36</v>
      </c>
      <c r="AD361" s="63">
        <f t="shared" si="411"/>
        <v>106.9136</v>
      </c>
      <c r="AE361" s="178">
        <v>560</v>
      </c>
    </row>
    <row r="362" spans="1:31" x14ac:dyDescent="0.25">
      <c r="A362" s="167">
        <v>560</v>
      </c>
      <c r="B362" s="167">
        <v>560106</v>
      </c>
      <c r="C362" s="181" t="s">
        <v>4055</v>
      </c>
      <c r="D362" s="168" t="s">
        <v>4056</v>
      </c>
      <c r="E362" s="168" t="s">
        <v>3004</v>
      </c>
      <c r="F362" s="58">
        <v>41449</v>
      </c>
      <c r="G362" s="59">
        <f t="shared" si="397"/>
        <v>7.5232876712328771</v>
      </c>
      <c r="H362" s="61">
        <v>44423.157279999999</v>
      </c>
      <c r="I362" s="63">
        <v>45533.74</v>
      </c>
      <c r="J362" s="61">
        <v>45533.736211999996</v>
      </c>
      <c r="K362" s="63">
        <f t="shared" si="413"/>
        <v>45533.736211999996</v>
      </c>
      <c r="L362" s="63">
        <f t="shared" si="399"/>
        <v>21.891219332692305</v>
      </c>
      <c r="M362" s="63">
        <f t="shared" si="400"/>
        <v>1751.2975466153844</v>
      </c>
      <c r="N362" s="63">
        <f t="shared" si="401"/>
        <v>1722.1479452054796</v>
      </c>
      <c r="O362" s="65"/>
      <c r="P362" s="65"/>
      <c r="Q362" s="63">
        <f t="shared" si="402"/>
        <v>1722.1479452054796</v>
      </c>
      <c r="R362" s="63">
        <f t="shared" si="403"/>
        <v>47255.884157205473</v>
      </c>
      <c r="S362" s="65"/>
      <c r="T362" s="63">
        <v>1200</v>
      </c>
      <c r="U362" s="57"/>
      <c r="V362" s="63">
        <f t="shared" si="404"/>
        <v>48455.884157205473</v>
      </c>
      <c r="W362" s="63">
        <f t="shared" si="405"/>
        <v>3004.2648177467395</v>
      </c>
      <c r="X362" s="63">
        <f t="shared" si="406"/>
        <v>702.61032027947942</v>
      </c>
      <c r="Y362" s="63">
        <f t="shared" si="407"/>
        <v>7278.0738004122622</v>
      </c>
      <c r="Z362" s="63">
        <f t="shared" si="408"/>
        <v>77.529414651528768</v>
      </c>
      <c r="AA362" s="63">
        <f t="shared" si="412"/>
        <v>33.919118910043828</v>
      </c>
      <c r="AB362" s="63">
        <f t="shared" si="409"/>
        <v>335</v>
      </c>
      <c r="AC362" s="63">
        <f t="shared" si="410"/>
        <v>10356.36</v>
      </c>
      <c r="AD362" s="63">
        <f t="shared" si="411"/>
        <v>106.9136</v>
      </c>
      <c r="AE362" s="178">
        <v>560</v>
      </c>
    </row>
    <row r="363" spans="1:31" x14ac:dyDescent="0.25">
      <c r="A363" s="167">
        <v>560</v>
      </c>
      <c r="B363" s="167">
        <v>560107</v>
      </c>
      <c r="C363" s="181" t="s">
        <v>4057</v>
      </c>
      <c r="D363" s="168" t="s">
        <v>3009</v>
      </c>
      <c r="E363" s="168" t="s">
        <v>2731</v>
      </c>
      <c r="F363" s="58">
        <v>42192</v>
      </c>
      <c r="G363" s="59">
        <f t="shared" si="397"/>
        <v>5.4876712328767123</v>
      </c>
      <c r="H363" s="61">
        <v>44423.157279999999</v>
      </c>
      <c r="I363" s="63">
        <v>45533.74</v>
      </c>
      <c r="J363" s="61">
        <v>45533.736211999996</v>
      </c>
      <c r="K363" s="63">
        <f t="shared" si="413"/>
        <v>45533.736211999996</v>
      </c>
      <c r="L363" s="63">
        <f t="shared" si="399"/>
        <v>21.891219332692305</v>
      </c>
      <c r="M363" s="63">
        <f t="shared" si="400"/>
        <v>1751.2975466153844</v>
      </c>
      <c r="N363" s="63">
        <f t="shared" si="401"/>
        <v>1184.7452054794521</v>
      </c>
      <c r="O363" s="65"/>
      <c r="P363" s="65"/>
      <c r="Q363" s="63">
        <f t="shared" si="402"/>
        <v>1184.7452054794521</v>
      </c>
      <c r="R363" s="63">
        <f t="shared" si="403"/>
        <v>46718.481417479445</v>
      </c>
      <c r="S363" s="65"/>
      <c r="T363" s="63">
        <v>1200</v>
      </c>
      <c r="U363" s="63"/>
      <c r="V363" s="63">
        <f t="shared" si="404"/>
        <v>47918.481417479445</v>
      </c>
      <c r="W363" s="63">
        <f t="shared" si="405"/>
        <v>2970.9458478837255</v>
      </c>
      <c r="X363" s="63">
        <f t="shared" si="406"/>
        <v>694.817980553452</v>
      </c>
      <c r="Y363" s="63">
        <f t="shared" si="407"/>
        <v>7197.3559089054124</v>
      </c>
      <c r="Z363" s="63">
        <f t="shared" si="408"/>
        <v>76.669570267967117</v>
      </c>
      <c r="AA363" s="63">
        <f t="shared" si="412"/>
        <v>33.54293699223561</v>
      </c>
      <c r="AB363" s="63">
        <f t="shared" si="409"/>
        <v>335</v>
      </c>
      <c r="AC363" s="63">
        <f t="shared" si="410"/>
        <v>10356.36</v>
      </c>
      <c r="AD363" s="63">
        <f t="shared" si="411"/>
        <v>106.9136</v>
      </c>
      <c r="AE363" s="178">
        <v>560</v>
      </c>
    </row>
    <row r="364" spans="1:31" x14ac:dyDescent="0.25">
      <c r="A364" s="167">
        <v>560</v>
      </c>
      <c r="B364" s="167">
        <v>560108</v>
      </c>
      <c r="C364" s="181" t="s">
        <v>4058</v>
      </c>
      <c r="D364" s="168" t="s">
        <v>2557</v>
      </c>
      <c r="E364" s="168" t="s">
        <v>3025</v>
      </c>
      <c r="F364" s="83">
        <v>43381</v>
      </c>
      <c r="G364" s="59">
        <f t="shared" si="397"/>
        <v>2.2301369863013698</v>
      </c>
      <c r="H364" s="61">
        <v>44423.157279999999</v>
      </c>
      <c r="I364" s="63">
        <v>45533.74</v>
      </c>
      <c r="J364" s="61">
        <v>45533.736211999996</v>
      </c>
      <c r="K364" s="63">
        <f t="shared" si="413"/>
        <v>45533.736211999996</v>
      </c>
      <c r="L364" s="63">
        <f t="shared" si="399"/>
        <v>21.891219332692305</v>
      </c>
      <c r="M364" s="63">
        <f t="shared" si="400"/>
        <v>1751.2975466153844</v>
      </c>
      <c r="N364" s="63">
        <f t="shared" si="401"/>
        <v>0</v>
      </c>
      <c r="O364" s="65"/>
      <c r="P364" s="63">
        <v>458.9</v>
      </c>
      <c r="Q364" s="63">
        <f t="shared" si="402"/>
        <v>458.9</v>
      </c>
      <c r="R364" s="63">
        <f t="shared" si="403"/>
        <v>45992.636211999998</v>
      </c>
      <c r="S364" s="65"/>
      <c r="T364" s="63">
        <v>1200</v>
      </c>
      <c r="U364" s="63">
        <v>1500</v>
      </c>
      <c r="V364" s="63">
        <f t="shared" si="404"/>
        <v>48692.636211999998</v>
      </c>
      <c r="W364" s="63">
        <f t="shared" si="405"/>
        <v>3018.9434451439997</v>
      </c>
      <c r="X364" s="63">
        <f t="shared" si="406"/>
        <v>706.04322507400002</v>
      </c>
      <c r="Y364" s="63">
        <f t="shared" si="407"/>
        <v>7313.6339590423995</v>
      </c>
      <c r="Z364" s="63">
        <f t="shared" si="408"/>
        <v>77.9082179392</v>
      </c>
      <c r="AA364" s="63">
        <f t="shared" si="412"/>
        <v>34.084845348399995</v>
      </c>
      <c r="AB364" s="63">
        <f t="shared" si="409"/>
        <v>335</v>
      </c>
      <c r="AC364" s="63">
        <f t="shared" si="410"/>
        <v>10356.36</v>
      </c>
      <c r="AD364" s="63">
        <f t="shared" si="411"/>
        <v>106.9136</v>
      </c>
      <c r="AE364" s="178">
        <v>560</v>
      </c>
    </row>
    <row r="365" spans="1:31" x14ac:dyDescent="0.25">
      <c r="A365" s="167">
        <v>560</v>
      </c>
      <c r="B365" s="167">
        <v>560109</v>
      </c>
      <c r="C365" s="181" t="s">
        <v>4059</v>
      </c>
      <c r="D365" s="168" t="s">
        <v>2953</v>
      </c>
      <c r="E365" s="168" t="s">
        <v>3058</v>
      </c>
      <c r="F365" s="58">
        <v>38868</v>
      </c>
      <c r="G365" s="59">
        <f t="shared" si="397"/>
        <v>14.594520547945205</v>
      </c>
      <c r="H365" s="61">
        <v>44423.157279999999</v>
      </c>
      <c r="I365" s="63">
        <v>45533.74</v>
      </c>
      <c r="J365" s="61">
        <v>45533.736211999996</v>
      </c>
      <c r="K365" s="63">
        <f t="shared" si="413"/>
        <v>45533.736211999996</v>
      </c>
      <c r="L365" s="63">
        <f t="shared" si="399"/>
        <v>21.891219332692305</v>
      </c>
      <c r="M365" s="63">
        <f t="shared" si="400"/>
        <v>1751.2975466153844</v>
      </c>
      <c r="N365" s="63">
        <f t="shared" si="401"/>
        <v>3588.953424657534</v>
      </c>
      <c r="O365" s="65"/>
      <c r="P365" s="65"/>
      <c r="Q365" s="63">
        <f t="shared" si="402"/>
        <v>3588.953424657534</v>
      </c>
      <c r="R365" s="63">
        <f t="shared" si="403"/>
        <v>49122.689636657531</v>
      </c>
      <c r="S365" s="65"/>
      <c r="T365" s="63">
        <v>1200</v>
      </c>
      <c r="U365" s="63">
        <v>1500</v>
      </c>
      <c r="V365" s="63">
        <f t="shared" si="404"/>
        <v>51822.689636657531</v>
      </c>
      <c r="W365" s="63">
        <f t="shared" si="405"/>
        <v>3213.0067574727668</v>
      </c>
      <c r="X365" s="63">
        <f t="shared" si="406"/>
        <v>751.42899973153419</v>
      </c>
      <c r="Y365" s="63">
        <f t="shared" si="407"/>
        <v>7783.7679834259616</v>
      </c>
      <c r="Z365" s="63">
        <f t="shared" si="408"/>
        <v>82.916303418652049</v>
      </c>
      <c r="AA365" s="63">
        <f t="shared" si="412"/>
        <v>36.275882745660269</v>
      </c>
      <c r="AB365" s="63">
        <f t="shared" si="409"/>
        <v>335</v>
      </c>
      <c r="AC365" s="63">
        <f t="shared" si="410"/>
        <v>10356.36</v>
      </c>
      <c r="AD365" s="63">
        <f t="shared" si="411"/>
        <v>106.9136</v>
      </c>
      <c r="AE365" s="178">
        <v>560</v>
      </c>
    </row>
    <row r="366" spans="1:31" x14ac:dyDescent="0.25">
      <c r="A366" s="167">
        <v>560</v>
      </c>
      <c r="B366" s="167">
        <v>560110</v>
      </c>
      <c r="C366" s="181" t="s">
        <v>4060</v>
      </c>
      <c r="D366" s="168" t="s">
        <v>3017</v>
      </c>
      <c r="E366" s="168" t="s">
        <v>3018</v>
      </c>
      <c r="F366" s="58">
        <v>41352</v>
      </c>
      <c r="G366" s="59">
        <f t="shared" si="397"/>
        <v>7.7890410958904113</v>
      </c>
      <c r="H366" s="61">
        <v>44423.157279999999</v>
      </c>
      <c r="I366" s="63">
        <v>45533.74</v>
      </c>
      <c r="J366" s="61">
        <v>45533.736211999996</v>
      </c>
      <c r="K366" s="63">
        <f t="shared" si="413"/>
        <v>45533.736211999996</v>
      </c>
      <c r="L366" s="63">
        <f t="shared" si="399"/>
        <v>21.891219332692305</v>
      </c>
      <c r="M366" s="63">
        <f t="shared" si="400"/>
        <v>1751.2975466153844</v>
      </c>
      <c r="N366" s="63">
        <f t="shared" si="401"/>
        <v>1792.3068493150686</v>
      </c>
      <c r="O366" s="65"/>
      <c r="P366" s="65"/>
      <c r="Q366" s="63">
        <f t="shared" si="402"/>
        <v>1792.3068493150686</v>
      </c>
      <c r="R366" s="63">
        <f t="shared" si="403"/>
        <v>47326.043061315067</v>
      </c>
      <c r="S366" s="65"/>
      <c r="T366" s="63">
        <v>1200</v>
      </c>
      <c r="U366" s="69">
        <v>1000</v>
      </c>
      <c r="V366" s="63">
        <f t="shared" si="404"/>
        <v>49526.043061315067</v>
      </c>
      <c r="W366" s="63">
        <f t="shared" si="405"/>
        <v>3070.6146698015341</v>
      </c>
      <c r="X366" s="63">
        <f t="shared" si="406"/>
        <v>718.1276243890685</v>
      </c>
      <c r="Y366" s="63">
        <f t="shared" si="407"/>
        <v>7438.811667809523</v>
      </c>
      <c r="Z366" s="63">
        <f t="shared" si="408"/>
        <v>79.241668898104109</v>
      </c>
      <c r="AA366" s="63">
        <f t="shared" si="412"/>
        <v>34.668230142920549</v>
      </c>
      <c r="AB366" s="63">
        <f t="shared" si="409"/>
        <v>335</v>
      </c>
      <c r="AC366" s="63">
        <f t="shared" si="410"/>
        <v>10356.36</v>
      </c>
      <c r="AD366" s="63">
        <f t="shared" si="411"/>
        <v>106.9136</v>
      </c>
      <c r="AE366" s="178">
        <v>560</v>
      </c>
    </row>
    <row r="367" spans="1:31" x14ac:dyDescent="0.25">
      <c r="A367" s="167">
        <v>560</v>
      </c>
      <c r="B367" s="167">
        <v>560111</v>
      </c>
      <c r="C367" s="181" t="s">
        <v>4061</v>
      </c>
      <c r="D367" s="168" t="s">
        <v>3011</v>
      </c>
      <c r="E367" s="168" t="s">
        <v>3012</v>
      </c>
      <c r="F367" s="58">
        <v>41456</v>
      </c>
      <c r="G367" s="59">
        <f t="shared" si="397"/>
        <v>7.5041095890410956</v>
      </c>
      <c r="H367" s="61">
        <v>44423.157279999999</v>
      </c>
      <c r="I367" s="63">
        <v>45533.74</v>
      </c>
      <c r="J367" s="61">
        <v>45533.736211999996</v>
      </c>
      <c r="K367" s="63">
        <f t="shared" si="413"/>
        <v>45533.736211999996</v>
      </c>
      <c r="L367" s="63">
        <f t="shared" si="399"/>
        <v>21.891219332692305</v>
      </c>
      <c r="M367" s="63">
        <f t="shared" si="400"/>
        <v>1751.2975466153844</v>
      </c>
      <c r="N367" s="63">
        <f t="shared" si="401"/>
        <v>1717.0849315068492</v>
      </c>
      <c r="O367" s="65"/>
      <c r="P367" s="65"/>
      <c r="Q367" s="63">
        <f t="shared" si="402"/>
        <v>1717.0849315068492</v>
      </c>
      <c r="R367" s="63">
        <f t="shared" si="403"/>
        <v>47250.821143506844</v>
      </c>
      <c r="S367" s="65"/>
      <c r="T367" s="63">
        <v>1200</v>
      </c>
      <c r="U367" s="63"/>
      <c r="V367" s="63">
        <f t="shared" si="404"/>
        <v>48450.821143506844</v>
      </c>
      <c r="W367" s="63">
        <f t="shared" si="405"/>
        <v>3003.9509108974244</v>
      </c>
      <c r="X367" s="63">
        <f t="shared" si="406"/>
        <v>702.53690658084929</v>
      </c>
      <c r="Y367" s="63">
        <f t="shared" si="407"/>
        <v>7277.3133357547276</v>
      </c>
      <c r="Z367" s="63">
        <f t="shared" si="408"/>
        <v>77.521313829610961</v>
      </c>
      <c r="AA367" s="63">
        <f t="shared" si="412"/>
        <v>33.915574800454792</v>
      </c>
      <c r="AB367" s="63">
        <f t="shared" si="409"/>
        <v>335</v>
      </c>
      <c r="AC367" s="63">
        <f t="shared" si="410"/>
        <v>10356.36</v>
      </c>
      <c r="AD367" s="63">
        <f t="shared" si="411"/>
        <v>106.9136</v>
      </c>
      <c r="AE367" s="178">
        <v>560</v>
      </c>
    </row>
    <row r="368" spans="1:31" x14ac:dyDescent="0.25">
      <c r="A368" s="167">
        <v>560</v>
      </c>
      <c r="B368" s="167">
        <v>560201</v>
      </c>
      <c r="C368" s="181" t="s">
        <v>3029</v>
      </c>
      <c r="D368" s="168" t="s">
        <v>3030</v>
      </c>
      <c r="E368" s="168" t="s">
        <v>3031</v>
      </c>
      <c r="F368" s="58">
        <v>42521</v>
      </c>
      <c r="G368" s="59">
        <f t="shared" si="397"/>
        <v>4.5863013698630137</v>
      </c>
      <c r="H368" s="61">
        <v>32819.309520000003</v>
      </c>
      <c r="I368" s="63">
        <v>33639.79</v>
      </c>
      <c r="J368" s="61">
        <v>33639.792258000001</v>
      </c>
      <c r="K368" s="63">
        <f t="shared" ref="K368:K398" si="414">SUM(((J368*$K$3)+$K$2)+J368)</f>
        <v>33639.792258000001</v>
      </c>
      <c r="L368" s="63">
        <f t="shared" si="399"/>
        <v>16.172977047115385</v>
      </c>
      <c r="M368" s="63">
        <f t="shared" si="400"/>
        <v>1293.8381637692307</v>
      </c>
      <c r="N368" s="63">
        <f t="shared" si="401"/>
        <v>946.78356164383558</v>
      </c>
      <c r="O368" s="65"/>
      <c r="P368" s="65"/>
      <c r="Q368" s="63">
        <f t="shared" si="402"/>
        <v>946.78356164383558</v>
      </c>
      <c r="R368" s="63">
        <f t="shared" si="403"/>
        <v>34586.57581964384</v>
      </c>
      <c r="S368" s="65"/>
      <c r="T368" s="65"/>
      <c r="U368" s="65"/>
      <c r="V368" s="63">
        <f t="shared" si="404"/>
        <v>34586.57581964384</v>
      </c>
      <c r="W368" s="63">
        <f t="shared" si="405"/>
        <v>2144.3677008179179</v>
      </c>
      <c r="X368" s="63">
        <f t="shared" si="406"/>
        <v>501.50534938483571</v>
      </c>
      <c r="Y368" s="63">
        <f t="shared" si="407"/>
        <v>5194.9036881105048</v>
      </c>
      <c r="Z368" s="63">
        <f t="shared" si="408"/>
        <v>55.338521311430149</v>
      </c>
      <c r="AA368" s="63">
        <f t="shared" si="412"/>
        <v>24.210603073750686</v>
      </c>
      <c r="AB368" s="63">
        <f t="shared" si="409"/>
        <v>335</v>
      </c>
      <c r="AC368" s="63">
        <f t="shared" si="410"/>
        <v>10356.36</v>
      </c>
      <c r="AD368" s="63">
        <f t="shared" si="411"/>
        <v>106.9136</v>
      </c>
      <c r="AE368" s="178">
        <v>560</v>
      </c>
    </row>
    <row r="369" spans="1:31" x14ac:dyDescent="0.25">
      <c r="A369" s="167">
        <v>560</v>
      </c>
      <c r="B369" s="167">
        <v>560202</v>
      </c>
      <c r="C369" s="181" t="s">
        <v>4062</v>
      </c>
      <c r="D369" s="168" t="s">
        <v>3035</v>
      </c>
      <c r="E369" s="168" t="s">
        <v>3036</v>
      </c>
      <c r="F369" s="58">
        <v>42509</v>
      </c>
      <c r="G369" s="59">
        <f t="shared" si="397"/>
        <v>4.6191780821917812</v>
      </c>
      <c r="H369" s="61">
        <v>30685.425039999998</v>
      </c>
      <c r="I369" s="63">
        <v>31452.560000000001</v>
      </c>
      <c r="J369" s="61">
        <v>31452.560665999998</v>
      </c>
      <c r="K369" s="63">
        <f t="shared" si="414"/>
        <v>31452.560665999998</v>
      </c>
      <c r="L369" s="63">
        <f t="shared" si="399"/>
        <v>15.121423397115384</v>
      </c>
      <c r="M369" s="63">
        <f t="shared" si="400"/>
        <v>1209.7138717692308</v>
      </c>
      <c r="N369" s="63">
        <f t="shared" si="401"/>
        <v>955.46301369863022</v>
      </c>
      <c r="O369" s="65"/>
      <c r="P369" s="65"/>
      <c r="Q369" s="63">
        <f t="shared" si="402"/>
        <v>955.46301369863022</v>
      </c>
      <c r="R369" s="63">
        <f t="shared" si="403"/>
        <v>32408.023679698628</v>
      </c>
      <c r="S369" s="65"/>
      <c r="T369" s="65"/>
      <c r="U369" s="65"/>
      <c r="V369" s="63">
        <f t="shared" si="404"/>
        <v>32408.023679698628</v>
      </c>
      <c r="W369" s="63">
        <f t="shared" si="405"/>
        <v>2009.297468141315</v>
      </c>
      <c r="X369" s="63">
        <f t="shared" si="406"/>
        <v>469.91634335563015</v>
      </c>
      <c r="Y369" s="63">
        <f t="shared" si="407"/>
        <v>4867.6851566907344</v>
      </c>
      <c r="Z369" s="63">
        <f t="shared" si="408"/>
        <v>51.852837887517808</v>
      </c>
      <c r="AA369" s="63">
        <f t="shared" si="412"/>
        <v>22.685616575789041</v>
      </c>
      <c r="AB369" s="63">
        <f t="shared" si="409"/>
        <v>335</v>
      </c>
      <c r="AC369" s="63">
        <f t="shared" si="410"/>
        <v>10356.36</v>
      </c>
      <c r="AD369" s="63">
        <f t="shared" si="411"/>
        <v>106.9136</v>
      </c>
      <c r="AE369" s="178">
        <v>560</v>
      </c>
    </row>
    <row r="370" spans="1:31" x14ac:dyDescent="0.25">
      <c r="A370" s="167">
        <v>560</v>
      </c>
      <c r="B370" s="167">
        <v>560203</v>
      </c>
      <c r="C370" s="181" t="s">
        <v>4063</v>
      </c>
      <c r="D370" s="168" t="s">
        <v>2899</v>
      </c>
      <c r="E370" s="168" t="s">
        <v>4064</v>
      </c>
      <c r="F370" s="58">
        <v>38876</v>
      </c>
      <c r="G370" s="59">
        <f t="shared" si="397"/>
        <v>14.572602739726028</v>
      </c>
      <c r="H370" s="61">
        <v>30685.425039999998</v>
      </c>
      <c r="I370" s="63">
        <v>31452.560000000001</v>
      </c>
      <c r="J370" s="61">
        <v>31452.560665999998</v>
      </c>
      <c r="K370" s="63">
        <f t="shared" si="414"/>
        <v>31452.560665999998</v>
      </c>
      <c r="L370" s="63">
        <f t="shared" si="399"/>
        <v>15.121423397115384</v>
      </c>
      <c r="M370" s="63">
        <f t="shared" si="400"/>
        <v>1209.7138717692308</v>
      </c>
      <c r="N370" s="63">
        <f t="shared" si="401"/>
        <v>3583.1671232876715</v>
      </c>
      <c r="O370" s="65"/>
      <c r="P370" s="65"/>
      <c r="Q370" s="63">
        <f t="shared" si="402"/>
        <v>3583.1671232876715</v>
      </c>
      <c r="R370" s="63">
        <f t="shared" si="403"/>
        <v>35035.727789287666</v>
      </c>
      <c r="S370" s="65"/>
      <c r="T370" s="65"/>
      <c r="U370" s="65"/>
      <c r="V370" s="63">
        <f t="shared" si="404"/>
        <v>35035.727789287666</v>
      </c>
      <c r="W370" s="63">
        <f t="shared" si="405"/>
        <v>2172.2151229358351</v>
      </c>
      <c r="X370" s="63">
        <f t="shared" si="406"/>
        <v>508.01805294467118</v>
      </c>
      <c r="Y370" s="63">
        <f t="shared" si="407"/>
        <v>5262.3663139510072</v>
      </c>
      <c r="Z370" s="63">
        <f t="shared" si="408"/>
        <v>56.057164462860271</v>
      </c>
      <c r="AA370" s="63">
        <f t="shared" si="412"/>
        <v>24.525009452501365</v>
      </c>
      <c r="AB370" s="63">
        <f t="shared" si="409"/>
        <v>335</v>
      </c>
      <c r="AC370" s="63">
        <f t="shared" si="410"/>
        <v>10356.36</v>
      </c>
      <c r="AD370" s="63">
        <f t="shared" si="411"/>
        <v>106.9136</v>
      </c>
      <c r="AE370" s="178">
        <v>560</v>
      </c>
    </row>
    <row r="371" spans="1:31" x14ac:dyDescent="0.25">
      <c r="A371" s="167">
        <v>560</v>
      </c>
      <c r="B371" s="167">
        <v>560204</v>
      </c>
      <c r="C371" s="181" t="s">
        <v>4065</v>
      </c>
      <c r="D371" s="168" t="s">
        <v>2936</v>
      </c>
      <c r="E371" s="168" t="s">
        <v>2527</v>
      </c>
      <c r="F371" s="58">
        <v>42521</v>
      </c>
      <c r="G371" s="59">
        <f t="shared" si="397"/>
        <v>4.5863013698630137</v>
      </c>
      <c r="H371" s="61">
        <v>30685.425039999998</v>
      </c>
      <c r="I371" s="63">
        <v>31452.560000000001</v>
      </c>
      <c r="J371" s="61">
        <v>31452.560665999998</v>
      </c>
      <c r="K371" s="63">
        <f t="shared" si="414"/>
        <v>31452.560665999998</v>
      </c>
      <c r="L371" s="63">
        <f t="shared" si="399"/>
        <v>15.121423397115384</v>
      </c>
      <c r="M371" s="63">
        <f t="shared" si="400"/>
        <v>1209.7138717692308</v>
      </c>
      <c r="N371" s="63">
        <f t="shared" si="401"/>
        <v>946.78356164383558</v>
      </c>
      <c r="O371" s="65"/>
      <c r="P371" s="65"/>
      <c r="Q371" s="63">
        <f t="shared" si="402"/>
        <v>946.78356164383558</v>
      </c>
      <c r="R371" s="63">
        <f t="shared" si="403"/>
        <v>32399.344227643833</v>
      </c>
      <c r="S371" s="65"/>
      <c r="T371" s="65"/>
      <c r="U371" s="65"/>
      <c r="V371" s="63">
        <f t="shared" si="404"/>
        <v>32399.344227643833</v>
      </c>
      <c r="W371" s="63">
        <f t="shared" si="405"/>
        <v>2008.7593421139177</v>
      </c>
      <c r="X371" s="63">
        <f t="shared" si="406"/>
        <v>469.79049130083558</v>
      </c>
      <c r="Y371" s="63">
        <f t="shared" si="407"/>
        <v>4866.3815029921034</v>
      </c>
      <c r="Z371" s="63">
        <f t="shared" si="408"/>
        <v>51.838950764230134</v>
      </c>
      <c r="AA371" s="63">
        <f t="shared" si="412"/>
        <v>22.679540959350682</v>
      </c>
      <c r="AB371" s="63">
        <f t="shared" si="409"/>
        <v>335</v>
      </c>
      <c r="AC371" s="63">
        <f t="shared" si="410"/>
        <v>10356.36</v>
      </c>
      <c r="AD371" s="63">
        <f t="shared" si="411"/>
        <v>106.9136</v>
      </c>
      <c r="AE371" s="178">
        <v>560</v>
      </c>
    </row>
    <row r="372" spans="1:31" x14ac:dyDescent="0.25">
      <c r="A372" s="167">
        <v>560</v>
      </c>
      <c r="B372" s="167">
        <v>560206</v>
      </c>
      <c r="C372" s="181" t="s">
        <v>4066</v>
      </c>
      <c r="D372" s="168" t="s">
        <v>2737</v>
      </c>
      <c r="E372" s="168" t="s">
        <v>3038</v>
      </c>
      <c r="F372" s="58">
        <v>42323</v>
      </c>
      <c r="G372" s="59">
        <f t="shared" si="397"/>
        <v>5.1287671232876715</v>
      </c>
      <c r="H372" s="61">
        <v>30685.425039999998</v>
      </c>
      <c r="I372" s="63">
        <v>31452.560000000001</v>
      </c>
      <c r="J372" s="61">
        <v>31452.560665999998</v>
      </c>
      <c r="K372" s="63">
        <f t="shared" si="414"/>
        <v>31452.560665999998</v>
      </c>
      <c r="L372" s="63">
        <f t="shared" si="399"/>
        <v>15.121423397115384</v>
      </c>
      <c r="M372" s="63">
        <f t="shared" si="400"/>
        <v>1209.7138717692308</v>
      </c>
      <c r="N372" s="63">
        <f t="shared" si="401"/>
        <v>1089.9945205479453</v>
      </c>
      <c r="O372" s="65"/>
      <c r="P372" s="65"/>
      <c r="Q372" s="63">
        <f t="shared" si="402"/>
        <v>1089.9945205479453</v>
      </c>
      <c r="R372" s="63">
        <f t="shared" si="403"/>
        <v>32542.555186547943</v>
      </c>
      <c r="S372" s="65"/>
      <c r="T372" s="65"/>
      <c r="U372" s="65"/>
      <c r="V372" s="63">
        <f t="shared" si="404"/>
        <v>32542.555186547943</v>
      </c>
      <c r="W372" s="63">
        <f t="shared" si="405"/>
        <v>2017.6384215659725</v>
      </c>
      <c r="X372" s="63">
        <f t="shared" si="406"/>
        <v>471.8670502049452</v>
      </c>
      <c r="Y372" s="63">
        <f t="shared" si="407"/>
        <v>4887.8917890195007</v>
      </c>
      <c r="Z372" s="63">
        <f t="shared" si="408"/>
        <v>52.068088298476709</v>
      </c>
      <c r="AA372" s="63">
        <f t="shared" si="412"/>
        <v>22.77978863058356</v>
      </c>
      <c r="AB372" s="63">
        <f t="shared" si="409"/>
        <v>335</v>
      </c>
      <c r="AC372" s="63">
        <f t="shared" si="410"/>
        <v>10356.36</v>
      </c>
      <c r="AD372" s="63">
        <f t="shared" si="411"/>
        <v>106.9136</v>
      </c>
      <c r="AE372" s="178">
        <v>560</v>
      </c>
    </row>
    <row r="373" spans="1:31" x14ac:dyDescent="0.25">
      <c r="A373" s="167">
        <v>560</v>
      </c>
      <c r="B373" s="167">
        <v>560510</v>
      </c>
      <c r="C373" s="181" t="s">
        <v>4067</v>
      </c>
      <c r="D373" s="168" t="s">
        <v>2919</v>
      </c>
      <c r="E373" s="168" t="s">
        <v>4068</v>
      </c>
      <c r="F373" s="58">
        <v>37266</v>
      </c>
      <c r="G373" s="59">
        <f t="shared" si="397"/>
        <v>18.983561643835618</v>
      </c>
      <c r="H373" s="61">
        <v>44423.157279999999</v>
      </c>
      <c r="I373" s="63">
        <v>45533.74</v>
      </c>
      <c r="J373" s="61">
        <v>45533.736211999996</v>
      </c>
      <c r="K373" s="63">
        <f t="shared" si="414"/>
        <v>45533.736211999996</v>
      </c>
      <c r="L373" s="63">
        <f t="shared" si="399"/>
        <v>21.891219332692305</v>
      </c>
      <c r="M373" s="63">
        <f t="shared" si="400"/>
        <v>1751.2975466153844</v>
      </c>
      <c r="N373" s="63">
        <f t="shared" si="401"/>
        <v>4747.6602739726031</v>
      </c>
      <c r="O373" s="65"/>
      <c r="P373" s="65"/>
      <c r="Q373" s="63">
        <f t="shared" si="402"/>
        <v>4747.6602739726031</v>
      </c>
      <c r="R373" s="63">
        <f t="shared" si="403"/>
        <v>50281.396485972597</v>
      </c>
      <c r="S373" s="65"/>
      <c r="T373" s="63">
        <v>1200</v>
      </c>
      <c r="U373" s="63">
        <v>500</v>
      </c>
      <c r="V373" s="63">
        <f t="shared" si="404"/>
        <v>51981.396485972597</v>
      </c>
      <c r="W373" s="63">
        <f t="shared" si="405"/>
        <v>3222.8465821303012</v>
      </c>
      <c r="X373" s="63">
        <f t="shared" si="406"/>
        <v>753.73024904660269</v>
      </c>
      <c r="Y373" s="63">
        <f t="shared" si="407"/>
        <v>7807.6057521930843</v>
      </c>
      <c r="Z373" s="63">
        <f t="shared" si="408"/>
        <v>83.170234377556156</v>
      </c>
      <c r="AA373" s="63">
        <f t="shared" si="412"/>
        <v>36.386977540180816</v>
      </c>
      <c r="AB373" s="63">
        <f t="shared" si="409"/>
        <v>335</v>
      </c>
      <c r="AC373" s="63">
        <f t="shared" si="410"/>
        <v>10356.36</v>
      </c>
      <c r="AD373" s="63">
        <f t="shared" si="411"/>
        <v>106.9136</v>
      </c>
      <c r="AE373" s="178">
        <v>560</v>
      </c>
    </row>
    <row r="374" spans="1:31" x14ac:dyDescent="0.25">
      <c r="A374" s="167">
        <v>560</v>
      </c>
      <c r="B374" s="167">
        <v>560511</v>
      </c>
      <c r="C374" s="181" t="s">
        <v>4069</v>
      </c>
      <c r="D374" s="168" t="s">
        <v>2497</v>
      </c>
      <c r="E374" s="168" t="s">
        <v>3051</v>
      </c>
      <c r="F374" s="58">
        <v>36306</v>
      </c>
      <c r="G374" s="59">
        <f t="shared" si="397"/>
        <v>21.613698630136987</v>
      </c>
      <c r="H374" s="61">
        <v>41252.698800000006</v>
      </c>
      <c r="I374" s="63">
        <v>42284.02</v>
      </c>
      <c r="J374" s="61">
        <v>42284.016270000007</v>
      </c>
      <c r="K374" s="63">
        <f t="shared" si="414"/>
        <v>42284.016270000007</v>
      </c>
      <c r="L374" s="63">
        <f t="shared" si="399"/>
        <v>20.328853975961543</v>
      </c>
      <c r="M374" s="63">
        <f t="shared" si="400"/>
        <v>1626.3083180769233</v>
      </c>
      <c r="N374" s="63">
        <f t="shared" si="401"/>
        <v>5442.0164383561651</v>
      </c>
      <c r="O374" s="65"/>
      <c r="P374" s="65"/>
      <c r="Q374" s="63">
        <f t="shared" si="402"/>
        <v>5000</v>
      </c>
      <c r="R374" s="63">
        <f t="shared" si="403"/>
        <v>47284.016270000007</v>
      </c>
      <c r="S374" s="65"/>
      <c r="T374" s="63">
        <v>1200</v>
      </c>
      <c r="U374" s="63">
        <v>1500</v>
      </c>
      <c r="V374" s="63">
        <f t="shared" si="404"/>
        <v>49984.016270000007</v>
      </c>
      <c r="W374" s="63">
        <f t="shared" si="405"/>
        <v>3099.0090087400004</v>
      </c>
      <c r="X374" s="63">
        <f t="shared" si="406"/>
        <v>724.7682359150001</v>
      </c>
      <c r="Y374" s="63">
        <f t="shared" si="407"/>
        <v>7507.5992437540008</v>
      </c>
      <c r="Z374" s="63">
        <f t="shared" si="408"/>
        <v>79.974426032000011</v>
      </c>
      <c r="AA374" s="63">
        <f t="shared" si="412"/>
        <v>34.988811389000006</v>
      </c>
      <c r="AB374" s="63">
        <f t="shared" si="409"/>
        <v>335</v>
      </c>
      <c r="AC374" s="63">
        <f t="shared" si="410"/>
        <v>10356.36</v>
      </c>
      <c r="AD374" s="63">
        <f t="shared" si="411"/>
        <v>106.9136</v>
      </c>
      <c r="AE374" s="178">
        <v>560</v>
      </c>
    </row>
    <row r="375" spans="1:31" x14ac:dyDescent="0.25">
      <c r="A375" s="167">
        <v>560</v>
      </c>
      <c r="B375" s="167">
        <v>560512</v>
      </c>
      <c r="C375" s="181" t="s">
        <v>4070</v>
      </c>
      <c r="D375" s="168" t="s">
        <v>2988</v>
      </c>
      <c r="E375" s="168" t="s">
        <v>2989</v>
      </c>
      <c r="F375" s="58">
        <v>39831</v>
      </c>
      <c r="G375" s="59">
        <f t="shared" si="397"/>
        <v>11.956164383561644</v>
      </c>
      <c r="H375" s="61">
        <v>41252.698800000006</v>
      </c>
      <c r="I375" s="63">
        <v>42284.02</v>
      </c>
      <c r="J375" s="61">
        <v>42284.016270000007</v>
      </c>
      <c r="K375" s="63">
        <f t="shared" si="414"/>
        <v>42284.016270000007</v>
      </c>
      <c r="L375" s="63">
        <f t="shared" si="399"/>
        <v>20.328853975961543</v>
      </c>
      <c r="M375" s="63">
        <f t="shared" si="400"/>
        <v>1626.3083180769233</v>
      </c>
      <c r="N375" s="63">
        <f t="shared" si="401"/>
        <v>2892.4273972602741</v>
      </c>
      <c r="O375" s="65"/>
      <c r="P375" s="63">
        <v>522.08000000000004</v>
      </c>
      <c r="Q375" s="63">
        <f t="shared" si="402"/>
        <v>3414.507397260274</v>
      </c>
      <c r="R375" s="63">
        <f t="shared" si="403"/>
        <v>45698.523667260284</v>
      </c>
      <c r="S375" s="65"/>
      <c r="T375" s="63">
        <v>1200</v>
      </c>
      <c r="U375" s="63">
        <v>1500</v>
      </c>
      <c r="V375" s="63">
        <f t="shared" si="404"/>
        <v>48398.523667260284</v>
      </c>
      <c r="W375" s="63">
        <f t="shared" si="405"/>
        <v>3000.7084673701374</v>
      </c>
      <c r="X375" s="63">
        <f t="shared" si="406"/>
        <v>701.77859317527418</v>
      </c>
      <c r="Y375" s="63">
        <f t="shared" si="407"/>
        <v>7269.4582548224944</v>
      </c>
      <c r="Z375" s="63">
        <f t="shared" si="408"/>
        <v>77.437637867616459</v>
      </c>
      <c r="AA375" s="63">
        <f t="shared" si="412"/>
        <v>33.878966567082202</v>
      </c>
      <c r="AB375" s="63">
        <f t="shared" si="409"/>
        <v>335</v>
      </c>
      <c r="AC375" s="63">
        <f t="shared" si="410"/>
        <v>10356.36</v>
      </c>
      <c r="AD375" s="63">
        <f t="shared" si="411"/>
        <v>106.9136</v>
      </c>
      <c r="AE375" s="178">
        <v>560</v>
      </c>
    </row>
    <row r="376" spans="1:31" x14ac:dyDescent="0.25">
      <c r="A376" s="167">
        <v>560</v>
      </c>
      <c r="B376" s="167">
        <v>560513</v>
      </c>
      <c r="C376" s="181" t="s">
        <v>4071</v>
      </c>
      <c r="D376" s="168" t="s">
        <v>3053</v>
      </c>
      <c r="E376" s="168" t="s">
        <v>4072</v>
      </c>
      <c r="F376" s="58">
        <v>35690</v>
      </c>
      <c r="G376" s="59">
        <f t="shared" si="397"/>
        <v>23.301369863013697</v>
      </c>
      <c r="H376" s="61">
        <v>41252.698800000006</v>
      </c>
      <c r="I376" s="63">
        <v>42284.02</v>
      </c>
      <c r="J376" s="61">
        <v>42284.016270000007</v>
      </c>
      <c r="K376" s="63">
        <f t="shared" si="414"/>
        <v>42284.016270000007</v>
      </c>
      <c r="L376" s="63">
        <f t="shared" si="399"/>
        <v>20.328853975961543</v>
      </c>
      <c r="M376" s="63">
        <f t="shared" si="400"/>
        <v>1626.3083180769233</v>
      </c>
      <c r="N376" s="63">
        <f t="shared" si="401"/>
        <v>5887.5616438356165</v>
      </c>
      <c r="O376" s="65"/>
      <c r="P376" s="65"/>
      <c r="Q376" s="63">
        <f t="shared" si="402"/>
        <v>5000</v>
      </c>
      <c r="R376" s="63">
        <f t="shared" si="403"/>
        <v>47284.016270000007</v>
      </c>
      <c r="S376" s="65"/>
      <c r="T376" s="63">
        <v>1200</v>
      </c>
      <c r="U376" s="63">
        <v>1500</v>
      </c>
      <c r="V376" s="63">
        <f t="shared" si="404"/>
        <v>49984.016270000007</v>
      </c>
      <c r="W376" s="63">
        <f t="shared" si="405"/>
        <v>3099.0090087400004</v>
      </c>
      <c r="X376" s="63">
        <f t="shared" si="406"/>
        <v>724.7682359150001</v>
      </c>
      <c r="Y376" s="63">
        <f t="shared" si="407"/>
        <v>7507.5992437540008</v>
      </c>
      <c r="Z376" s="63">
        <f t="shared" si="408"/>
        <v>79.974426032000011</v>
      </c>
      <c r="AA376" s="63">
        <f t="shared" si="412"/>
        <v>34.988811389000006</v>
      </c>
      <c r="AB376" s="63">
        <f t="shared" si="409"/>
        <v>335</v>
      </c>
      <c r="AC376" s="63">
        <f t="shared" si="410"/>
        <v>10356.36</v>
      </c>
      <c r="AD376" s="63">
        <f t="shared" si="411"/>
        <v>106.9136</v>
      </c>
      <c r="AE376" s="178">
        <v>560</v>
      </c>
    </row>
    <row r="377" spans="1:31" x14ac:dyDescent="0.25">
      <c r="A377" s="167">
        <v>560</v>
      </c>
      <c r="B377" s="167">
        <v>560530</v>
      </c>
      <c r="C377" s="181" t="s">
        <v>4073</v>
      </c>
      <c r="D377" s="168" t="s">
        <v>2991</v>
      </c>
      <c r="E377" s="168" t="s">
        <v>2974</v>
      </c>
      <c r="F377" s="58">
        <v>41433</v>
      </c>
      <c r="G377" s="59">
        <f t="shared" si="397"/>
        <v>7.5671232876712331</v>
      </c>
      <c r="H377" s="61">
        <v>41252.698800000006</v>
      </c>
      <c r="I377" s="63">
        <v>42284.02</v>
      </c>
      <c r="J377" s="61">
        <v>42284.016270000007</v>
      </c>
      <c r="K377" s="63">
        <f t="shared" si="414"/>
        <v>42284.016270000007</v>
      </c>
      <c r="L377" s="63">
        <f t="shared" si="399"/>
        <v>20.328853975961543</v>
      </c>
      <c r="M377" s="63">
        <f t="shared" si="400"/>
        <v>1626.3083180769233</v>
      </c>
      <c r="N377" s="63">
        <f t="shared" si="401"/>
        <v>1733.7205479452055</v>
      </c>
      <c r="O377" s="65"/>
      <c r="P377" s="65"/>
      <c r="Q377" s="63">
        <f t="shared" si="402"/>
        <v>1733.7205479452055</v>
      </c>
      <c r="R377" s="63">
        <f t="shared" si="403"/>
        <v>44017.73681794521</v>
      </c>
      <c r="S377" s="65"/>
      <c r="T377" s="63">
        <v>1200</v>
      </c>
      <c r="U377" s="63">
        <v>1000</v>
      </c>
      <c r="V377" s="63">
        <f t="shared" si="404"/>
        <v>46217.73681794521</v>
      </c>
      <c r="W377" s="63">
        <f t="shared" si="405"/>
        <v>2865.4996827126029</v>
      </c>
      <c r="X377" s="63">
        <f t="shared" si="406"/>
        <v>670.15718386020558</v>
      </c>
      <c r="Y377" s="63">
        <f t="shared" si="407"/>
        <v>6941.9040700553705</v>
      </c>
      <c r="Z377" s="63">
        <f t="shared" si="408"/>
        <v>73.948378908712343</v>
      </c>
      <c r="AA377" s="63">
        <f t="shared" si="412"/>
        <v>32.352415772561649</v>
      </c>
      <c r="AB377" s="63">
        <f t="shared" si="409"/>
        <v>335</v>
      </c>
      <c r="AC377" s="63">
        <f t="shared" si="410"/>
        <v>10356.36</v>
      </c>
      <c r="AD377" s="63">
        <f t="shared" si="411"/>
        <v>106.9136</v>
      </c>
      <c r="AE377" s="178">
        <v>560</v>
      </c>
    </row>
    <row r="378" spans="1:31" x14ac:dyDescent="0.25">
      <c r="A378" s="167">
        <v>560</v>
      </c>
      <c r="B378" s="167">
        <v>560540</v>
      </c>
      <c r="C378" s="181" t="s">
        <v>4074</v>
      </c>
      <c r="D378" s="168" t="s">
        <v>2497</v>
      </c>
      <c r="E378" s="168" t="s">
        <v>3046</v>
      </c>
      <c r="F378" s="58">
        <v>42984</v>
      </c>
      <c r="G378" s="59">
        <f t="shared" si="397"/>
        <v>3.3178082191780822</v>
      </c>
      <c r="H378" s="61">
        <v>41252.698800000006</v>
      </c>
      <c r="I378" s="63">
        <v>42284.02</v>
      </c>
      <c r="J378" s="61">
        <v>42284.016270000007</v>
      </c>
      <c r="K378" s="63">
        <f t="shared" si="414"/>
        <v>42284.016270000007</v>
      </c>
      <c r="L378" s="63">
        <f t="shared" si="399"/>
        <v>20.328853975961543</v>
      </c>
      <c r="M378" s="63">
        <f t="shared" si="400"/>
        <v>1626.3083180769233</v>
      </c>
      <c r="N378" s="63">
        <f t="shared" si="401"/>
        <v>0</v>
      </c>
      <c r="O378" s="65"/>
      <c r="P378" s="65"/>
      <c r="Q378" s="63">
        <f t="shared" si="402"/>
        <v>0</v>
      </c>
      <c r="R378" s="63">
        <f t="shared" si="403"/>
        <v>42284.016270000007</v>
      </c>
      <c r="S378" s="65"/>
      <c r="T378" s="63">
        <v>1200</v>
      </c>
      <c r="U378" s="63">
        <v>1500</v>
      </c>
      <c r="V378" s="63">
        <f t="shared" si="404"/>
        <v>44984.016270000007</v>
      </c>
      <c r="W378" s="63">
        <f t="shared" si="405"/>
        <v>2789.0090087400004</v>
      </c>
      <c r="X378" s="63">
        <f t="shared" si="406"/>
        <v>652.2682359150001</v>
      </c>
      <c r="Y378" s="63">
        <f t="shared" si="407"/>
        <v>6756.5992437540008</v>
      </c>
      <c r="Z378" s="63">
        <f t="shared" si="408"/>
        <v>71.974426032000011</v>
      </c>
      <c r="AA378" s="63">
        <f t="shared" si="412"/>
        <v>31.488811389000006</v>
      </c>
      <c r="AB378" s="63">
        <f t="shared" si="409"/>
        <v>335</v>
      </c>
      <c r="AC378" s="63">
        <f t="shared" si="410"/>
        <v>10356.36</v>
      </c>
      <c r="AD378" s="63">
        <f t="shared" si="411"/>
        <v>106.9136</v>
      </c>
      <c r="AE378" s="178">
        <v>560</v>
      </c>
    </row>
    <row r="379" spans="1:31" x14ac:dyDescent="0.25">
      <c r="A379" s="167">
        <v>560</v>
      </c>
      <c r="B379" s="167">
        <v>560541</v>
      </c>
      <c r="C379" s="181" t="s">
        <v>4075</v>
      </c>
      <c r="D379" s="168" t="s">
        <v>3048</v>
      </c>
      <c r="E379" s="168" t="s">
        <v>3049</v>
      </c>
      <c r="F379" s="58">
        <v>38803</v>
      </c>
      <c r="G379" s="59">
        <f t="shared" si="397"/>
        <v>14.772602739726027</v>
      </c>
      <c r="H379" s="61">
        <v>41252.698800000006</v>
      </c>
      <c r="I379" s="63">
        <v>42284.02</v>
      </c>
      <c r="J379" s="61">
        <v>42284.016270000007</v>
      </c>
      <c r="K379" s="63">
        <f t="shared" si="414"/>
        <v>42284.016270000007</v>
      </c>
      <c r="L379" s="63">
        <f t="shared" si="399"/>
        <v>20.328853975961543</v>
      </c>
      <c r="M379" s="63">
        <f t="shared" si="400"/>
        <v>1626.3083180769233</v>
      </c>
      <c r="N379" s="63">
        <f t="shared" si="401"/>
        <v>3635.9671232876713</v>
      </c>
      <c r="O379" s="65"/>
      <c r="P379" s="65"/>
      <c r="Q379" s="63">
        <f t="shared" si="402"/>
        <v>3635.9671232876713</v>
      </c>
      <c r="R379" s="63">
        <f t="shared" si="403"/>
        <v>45919.983393287679</v>
      </c>
      <c r="S379" s="65"/>
      <c r="T379" s="63">
        <v>1200</v>
      </c>
      <c r="U379" s="63">
        <v>1000</v>
      </c>
      <c r="V379" s="63">
        <f t="shared" si="404"/>
        <v>48119.983393287679</v>
      </c>
      <c r="W379" s="63">
        <f t="shared" si="405"/>
        <v>2983.438970383836</v>
      </c>
      <c r="X379" s="63">
        <f t="shared" si="406"/>
        <v>697.73975920267139</v>
      </c>
      <c r="Y379" s="63">
        <f t="shared" si="407"/>
        <v>7227.6215056718092</v>
      </c>
      <c r="Z379" s="63">
        <f t="shared" si="408"/>
        <v>76.991973429260284</v>
      </c>
      <c r="AA379" s="63">
        <f t="shared" si="412"/>
        <v>33.683988375301375</v>
      </c>
      <c r="AB379" s="63">
        <f t="shared" si="409"/>
        <v>335</v>
      </c>
      <c r="AC379" s="63">
        <f t="shared" si="410"/>
        <v>10356.36</v>
      </c>
      <c r="AD379" s="63">
        <f t="shared" si="411"/>
        <v>106.9136</v>
      </c>
      <c r="AE379" s="178">
        <v>560</v>
      </c>
    </row>
    <row r="380" spans="1:31" x14ac:dyDescent="0.25">
      <c r="A380" s="167">
        <v>560</v>
      </c>
      <c r="B380" s="167">
        <v>560550</v>
      </c>
      <c r="C380" s="181" t="s">
        <v>4076</v>
      </c>
      <c r="D380" s="168" t="s">
        <v>2970</v>
      </c>
      <c r="E380" s="168" t="s">
        <v>2971</v>
      </c>
      <c r="F380" s="58">
        <v>42150</v>
      </c>
      <c r="G380" s="59">
        <f t="shared" si="397"/>
        <v>5.602739726027397</v>
      </c>
      <c r="H380" s="61">
        <v>41252.698800000006</v>
      </c>
      <c r="I380" s="63">
        <v>42284.02</v>
      </c>
      <c r="J380" s="61">
        <v>42284.016270000007</v>
      </c>
      <c r="K380" s="63">
        <f t="shared" si="414"/>
        <v>42284.016270000007</v>
      </c>
      <c r="L380" s="63">
        <f t="shared" si="399"/>
        <v>20.328853975961543</v>
      </c>
      <c r="M380" s="63">
        <f t="shared" si="400"/>
        <v>1626.3083180769233</v>
      </c>
      <c r="N380" s="63">
        <f t="shared" si="401"/>
        <v>1215.1232876712329</v>
      </c>
      <c r="O380" s="65"/>
      <c r="P380" s="65"/>
      <c r="Q380" s="63">
        <f t="shared" si="402"/>
        <v>1215.1232876712329</v>
      </c>
      <c r="R380" s="63">
        <f t="shared" si="403"/>
        <v>43499.139557671238</v>
      </c>
      <c r="S380" s="65"/>
      <c r="T380" s="63">
        <v>1200</v>
      </c>
      <c r="U380" s="65"/>
      <c r="V380" s="63">
        <f t="shared" si="404"/>
        <v>44699.139557671238</v>
      </c>
      <c r="W380" s="63">
        <f t="shared" si="405"/>
        <v>2771.3466525756166</v>
      </c>
      <c r="X380" s="63">
        <f t="shared" si="406"/>
        <v>648.13752358623299</v>
      </c>
      <c r="Y380" s="63">
        <f t="shared" si="407"/>
        <v>6713.8107615622203</v>
      </c>
      <c r="Z380" s="63">
        <f t="shared" si="408"/>
        <v>71.518623292273986</v>
      </c>
      <c r="AA380" s="63">
        <f t="shared" si="412"/>
        <v>31.289397690369867</v>
      </c>
      <c r="AB380" s="63">
        <f t="shared" si="409"/>
        <v>335</v>
      </c>
      <c r="AC380" s="63">
        <f t="shared" si="410"/>
        <v>10356.36</v>
      </c>
      <c r="AD380" s="63">
        <f t="shared" si="411"/>
        <v>106.9136</v>
      </c>
      <c r="AE380" s="178">
        <v>560</v>
      </c>
    </row>
    <row r="381" spans="1:31" x14ac:dyDescent="0.25">
      <c r="A381" s="167">
        <v>560</v>
      </c>
      <c r="B381" s="167">
        <v>560551</v>
      </c>
      <c r="C381" s="181" t="s">
        <v>4077</v>
      </c>
      <c r="D381" s="168" t="s">
        <v>4078</v>
      </c>
      <c r="E381" s="168" t="s">
        <v>2914</v>
      </c>
      <c r="F381" s="58">
        <v>37623</v>
      </c>
      <c r="G381" s="59">
        <f t="shared" si="397"/>
        <v>18.005479452054793</v>
      </c>
      <c r="H381" s="61">
        <v>41252.698800000006</v>
      </c>
      <c r="I381" s="63">
        <v>42284.02</v>
      </c>
      <c r="J381" s="61">
        <v>42284.016270000007</v>
      </c>
      <c r="K381" s="63">
        <f t="shared" si="414"/>
        <v>42284.016270000007</v>
      </c>
      <c r="L381" s="63">
        <f t="shared" si="399"/>
        <v>20.328853975961543</v>
      </c>
      <c r="M381" s="63">
        <f t="shared" si="400"/>
        <v>1626.3083180769233</v>
      </c>
      <c r="N381" s="63">
        <f t="shared" si="401"/>
        <v>4489.4465753424656</v>
      </c>
      <c r="O381" s="65"/>
      <c r="P381" s="65"/>
      <c r="Q381" s="63">
        <f t="shared" si="402"/>
        <v>4489.4465753424656</v>
      </c>
      <c r="R381" s="63">
        <f t="shared" si="403"/>
        <v>46773.462845342474</v>
      </c>
      <c r="S381" s="65"/>
      <c r="T381" s="63">
        <v>1200</v>
      </c>
      <c r="U381" s="63">
        <v>1000</v>
      </c>
      <c r="V381" s="63">
        <f t="shared" si="404"/>
        <v>48973.462845342474</v>
      </c>
      <c r="W381" s="63">
        <f t="shared" si="405"/>
        <v>3036.3546964112334</v>
      </c>
      <c r="X381" s="63">
        <f t="shared" si="406"/>
        <v>710.11521125746594</v>
      </c>
      <c r="Y381" s="63">
        <f t="shared" si="407"/>
        <v>7355.8141193704396</v>
      </c>
      <c r="Z381" s="63">
        <f t="shared" si="408"/>
        <v>78.35754055254796</v>
      </c>
      <c r="AA381" s="63">
        <f t="shared" si="412"/>
        <v>34.281423991739729</v>
      </c>
      <c r="AB381" s="63">
        <f t="shared" si="409"/>
        <v>335</v>
      </c>
      <c r="AC381" s="63">
        <f t="shared" si="410"/>
        <v>10356.36</v>
      </c>
      <c r="AD381" s="63">
        <f t="shared" si="411"/>
        <v>106.9136</v>
      </c>
      <c r="AE381" s="178">
        <v>560</v>
      </c>
    </row>
    <row r="382" spans="1:31" x14ac:dyDescent="0.25">
      <c r="A382" s="167">
        <v>560</v>
      </c>
      <c r="B382" s="167">
        <v>560552</v>
      </c>
      <c r="C382" s="181" t="s">
        <v>4079</v>
      </c>
      <c r="D382" s="181" t="s">
        <v>2993</v>
      </c>
      <c r="E382" s="181" t="s">
        <v>2909</v>
      </c>
      <c r="F382" s="58">
        <v>42613</v>
      </c>
      <c r="G382" s="59">
        <f t="shared" si="397"/>
        <v>4.3342465753424655</v>
      </c>
      <c r="H382" s="61">
        <v>41252.698800000006</v>
      </c>
      <c r="I382" s="63">
        <v>42284.02</v>
      </c>
      <c r="J382" s="61">
        <v>42284.016270000007</v>
      </c>
      <c r="K382" s="63">
        <f t="shared" si="414"/>
        <v>42284.016270000007</v>
      </c>
      <c r="L382" s="63">
        <f t="shared" si="399"/>
        <v>20.328853975961543</v>
      </c>
      <c r="M382" s="63">
        <f t="shared" si="400"/>
        <v>1626.3083180769233</v>
      </c>
      <c r="N382" s="63">
        <f t="shared" si="401"/>
        <v>880.24109589041086</v>
      </c>
      <c r="O382" s="65"/>
      <c r="P382" s="65"/>
      <c r="Q382" s="63">
        <f t="shared" si="402"/>
        <v>880.24109589041086</v>
      </c>
      <c r="R382" s="63">
        <f t="shared" si="403"/>
        <v>43164.257365890415</v>
      </c>
      <c r="S382" s="65"/>
      <c r="T382" s="63">
        <v>1200</v>
      </c>
      <c r="U382" s="63">
        <v>1000</v>
      </c>
      <c r="V382" s="63">
        <f t="shared" si="404"/>
        <v>45364.257365890415</v>
      </c>
      <c r="W382" s="63">
        <f t="shared" si="405"/>
        <v>2812.5839566852055</v>
      </c>
      <c r="X382" s="63">
        <f t="shared" si="406"/>
        <v>657.78173180541103</v>
      </c>
      <c r="Y382" s="63">
        <f t="shared" si="407"/>
        <v>6813.7114563567402</v>
      </c>
      <c r="Z382" s="63">
        <f t="shared" si="408"/>
        <v>72.582811785424667</v>
      </c>
      <c r="AA382" s="63">
        <f t="shared" si="412"/>
        <v>31.754980156123288</v>
      </c>
      <c r="AB382" s="63">
        <f t="shared" si="409"/>
        <v>335</v>
      </c>
      <c r="AC382" s="63">
        <f t="shared" si="410"/>
        <v>10356.36</v>
      </c>
      <c r="AD382" s="63">
        <f t="shared" si="411"/>
        <v>106.9136</v>
      </c>
      <c r="AE382" s="178">
        <v>560</v>
      </c>
    </row>
    <row r="383" spans="1:31" x14ac:dyDescent="0.25">
      <c r="A383" s="167">
        <v>560</v>
      </c>
      <c r="B383" s="167">
        <v>560553</v>
      </c>
      <c r="C383" s="181" t="s">
        <v>4080</v>
      </c>
      <c r="D383" s="168" t="s">
        <v>3057</v>
      </c>
      <c r="E383" s="168" t="s">
        <v>3058</v>
      </c>
      <c r="F383" s="58">
        <v>43332</v>
      </c>
      <c r="G383" s="59">
        <f t="shared" si="397"/>
        <v>2.3643835616438356</v>
      </c>
      <c r="H383" s="61">
        <v>41252.698800000006</v>
      </c>
      <c r="I383" s="63">
        <v>42284.02</v>
      </c>
      <c r="J383" s="61">
        <v>42284.016270000007</v>
      </c>
      <c r="K383" s="63">
        <f t="shared" si="414"/>
        <v>42284.016270000007</v>
      </c>
      <c r="L383" s="63">
        <f t="shared" si="399"/>
        <v>20.328853975961543</v>
      </c>
      <c r="M383" s="63">
        <f t="shared" si="400"/>
        <v>1626.3083180769233</v>
      </c>
      <c r="N383" s="63">
        <f t="shared" si="401"/>
        <v>0</v>
      </c>
      <c r="O383" s="65"/>
      <c r="P383" s="65"/>
      <c r="Q383" s="63">
        <f t="shared" si="402"/>
        <v>0</v>
      </c>
      <c r="R383" s="63">
        <f t="shared" si="403"/>
        <v>42284.016270000007</v>
      </c>
      <c r="S383" s="65"/>
      <c r="T383" s="63">
        <v>1200</v>
      </c>
      <c r="U383" s="63"/>
      <c r="V383" s="63">
        <f t="shared" si="404"/>
        <v>43484.016270000007</v>
      </c>
      <c r="W383" s="63">
        <f t="shared" si="405"/>
        <v>2696.0090087400004</v>
      </c>
      <c r="X383" s="63">
        <f t="shared" si="406"/>
        <v>630.5182359150001</v>
      </c>
      <c r="Y383" s="63">
        <f t="shared" si="407"/>
        <v>6531.2992437540015</v>
      </c>
      <c r="Z383" s="63">
        <f t="shared" si="408"/>
        <v>69.574426032000019</v>
      </c>
      <c r="AA383" s="63">
        <f t="shared" si="412"/>
        <v>30.438811389000005</v>
      </c>
      <c r="AB383" s="63">
        <f t="shared" si="409"/>
        <v>335</v>
      </c>
      <c r="AC383" s="63">
        <f t="shared" si="410"/>
        <v>10356.36</v>
      </c>
      <c r="AD383" s="63">
        <f t="shared" si="411"/>
        <v>106.9136</v>
      </c>
      <c r="AE383" s="178">
        <v>560</v>
      </c>
    </row>
    <row r="384" spans="1:31" x14ac:dyDescent="0.25">
      <c r="A384" s="167">
        <v>560</v>
      </c>
      <c r="B384" s="167">
        <v>560601</v>
      </c>
      <c r="C384" s="181" t="s">
        <v>4081</v>
      </c>
      <c r="D384" s="168" t="s">
        <v>2468</v>
      </c>
      <c r="E384" s="168" t="s">
        <v>3064</v>
      </c>
      <c r="F384" s="58">
        <v>41834</v>
      </c>
      <c r="G384" s="59">
        <f t="shared" si="397"/>
        <v>6.4684931506849317</v>
      </c>
      <c r="H384" s="61">
        <v>41252.698800000006</v>
      </c>
      <c r="I384" s="63">
        <v>42284.02</v>
      </c>
      <c r="J384" s="61">
        <v>42284.016270000007</v>
      </c>
      <c r="K384" s="63">
        <f t="shared" si="414"/>
        <v>42284.016270000007</v>
      </c>
      <c r="L384" s="63">
        <f t="shared" si="399"/>
        <v>20.328853975961543</v>
      </c>
      <c r="M384" s="63">
        <f t="shared" si="400"/>
        <v>1626.3083180769233</v>
      </c>
      <c r="N384" s="63">
        <f t="shared" si="401"/>
        <v>1443.682191780822</v>
      </c>
      <c r="O384" s="65"/>
      <c r="P384" s="65"/>
      <c r="Q384" s="63">
        <f t="shared" si="402"/>
        <v>1443.682191780822</v>
      </c>
      <c r="R384" s="63">
        <f t="shared" si="403"/>
        <v>43727.698461780827</v>
      </c>
      <c r="S384" s="65"/>
      <c r="T384" s="63">
        <v>1200</v>
      </c>
      <c r="U384" s="65"/>
      <c r="V384" s="63">
        <f t="shared" si="404"/>
        <v>44927.698461780827</v>
      </c>
      <c r="W384" s="63">
        <f t="shared" si="405"/>
        <v>2785.5173046304112</v>
      </c>
      <c r="X384" s="63">
        <f t="shared" si="406"/>
        <v>651.45162769582203</v>
      </c>
      <c r="Y384" s="63">
        <f t="shared" si="407"/>
        <v>6748.1403089594805</v>
      </c>
      <c r="Z384" s="63">
        <f t="shared" si="408"/>
        <v>71.884317538849331</v>
      </c>
      <c r="AA384" s="63">
        <f t="shared" si="412"/>
        <v>31.449388923246577</v>
      </c>
      <c r="AB384" s="63">
        <f t="shared" si="409"/>
        <v>335</v>
      </c>
      <c r="AC384" s="63">
        <f t="shared" si="410"/>
        <v>10356.36</v>
      </c>
      <c r="AD384" s="63">
        <f t="shared" si="411"/>
        <v>106.9136</v>
      </c>
      <c r="AE384" s="178">
        <v>560</v>
      </c>
    </row>
    <row r="385" spans="1:31" x14ac:dyDescent="0.25">
      <c r="A385" s="167">
        <v>560</v>
      </c>
      <c r="B385" s="167">
        <v>560602</v>
      </c>
      <c r="C385" s="181" t="s">
        <v>3070</v>
      </c>
      <c r="D385" s="168" t="s">
        <v>3053</v>
      </c>
      <c r="E385" s="168" t="s">
        <v>4082</v>
      </c>
      <c r="F385" s="58">
        <v>39009</v>
      </c>
      <c r="G385" s="59">
        <f t="shared" si="397"/>
        <v>14.208219178082192</v>
      </c>
      <c r="H385" s="61">
        <v>39010.224239999996</v>
      </c>
      <c r="I385" s="63">
        <v>39985.480000000003</v>
      </c>
      <c r="J385" s="61">
        <v>39985.479845999995</v>
      </c>
      <c r="K385" s="63">
        <f t="shared" si="414"/>
        <v>39985.479845999995</v>
      </c>
      <c r="L385" s="63">
        <f t="shared" si="399"/>
        <v>19.223788387499997</v>
      </c>
      <c r="M385" s="63">
        <f t="shared" si="400"/>
        <v>1537.9030709999997</v>
      </c>
      <c r="N385" s="63">
        <f t="shared" si="401"/>
        <v>3486.9698630136986</v>
      </c>
      <c r="O385" s="65"/>
      <c r="P385" s="63">
        <v>379.34</v>
      </c>
      <c r="Q385" s="63">
        <f t="shared" si="402"/>
        <v>3866.3098630136988</v>
      </c>
      <c r="R385" s="63">
        <f t="shared" si="403"/>
        <v>43851.78970901369</v>
      </c>
      <c r="S385" s="65"/>
      <c r="T385" s="65"/>
      <c r="U385" s="63">
        <v>1000</v>
      </c>
      <c r="V385" s="63">
        <f t="shared" si="404"/>
        <v>44851.78970901369</v>
      </c>
      <c r="W385" s="63">
        <f t="shared" si="405"/>
        <v>2780.8109619588486</v>
      </c>
      <c r="X385" s="63">
        <f t="shared" si="406"/>
        <v>650.35095078069855</v>
      </c>
      <c r="Y385" s="63">
        <f t="shared" si="407"/>
        <v>6736.7388142938562</v>
      </c>
      <c r="Z385" s="63">
        <f t="shared" si="408"/>
        <v>71.762863534421911</v>
      </c>
      <c r="AA385" s="63">
        <f t="shared" si="412"/>
        <v>31.396252796309582</v>
      </c>
      <c r="AB385" s="63">
        <f t="shared" si="409"/>
        <v>335</v>
      </c>
      <c r="AC385" s="63">
        <f t="shared" si="410"/>
        <v>10356.36</v>
      </c>
      <c r="AD385" s="63">
        <f t="shared" si="411"/>
        <v>106.9136</v>
      </c>
      <c r="AE385" s="178">
        <v>560</v>
      </c>
    </row>
    <row r="386" spans="1:31" x14ac:dyDescent="0.25">
      <c r="A386" s="167">
        <v>560</v>
      </c>
      <c r="B386" s="167">
        <v>560610</v>
      </c>
      <c r="C386" s="181" t="s">
        <v>4083</v>
      </c>
      <c r="D386" s="181" t="s">
        <v>3082</v>
      </c>
      <c r="E386" s="181" t="s">
        <v>3083</v>
      </c>
      <c r="F386" s="58">
        <v>42835</v>
      </c>
      <c r="G386" s="59">
        <f t="shared" si="397"/>
        <v>3.7260273972602738</v>
      </c>
      <c r="H386" s="61">
        <v>34367.764640000001</v>
      </c>
      <c r="I386" s="63">
        <v>35226.959999999999</v>
      </c>
      <c r="J386" s="61">
        <v>35226.958756</v>
      </c>
      <c r="K386" s="63">
        <f t="shared" si="414"/>
        <v>35226.958756</v>
      </c>
      <c r="L386" s="63">
        <f t="shared" si="399"/>
        <v>16.936037863461539</v>
      </c>
      <c r="M386" s="63">
        <f t="shared" si="400"/>
        <v>1354.8830290769231</v>
      </c>
      <c r="N386" s="63">
        <f t="shared" si="401"/>
        <v>0</v>
      </c>
      <c r="O386" s="65"/>
      <c r="P386" s="65"/>
      <c r="Q386" s="63">
        <f t="shared" si="402"/>
        <v>0</v>
      </c>
      <c r="R386" s="63">
        <f t="shared" si="403"/>
        <v>35226.958756</v>
      </c>
      <c r="S386" s="65"/>
      <c r="T386" s="65"/>
      <c r="U386" s="63"/>
      <c r="V386" s="63">
        <f t="shared" si="404"/>
        <v>35226.958756</v>
      </c>
      <c r="W386" s="63">
        <f t="shared" si="405"/>
        <v>2184.0714428719998</v>
      </c>
      <c r="X386" s="63">
        <f t="shared" si="406"/>
        <v>510.79090196200002</v>
      </c>
      <c r="Y386" s="63">
        <f t="shared" si="407"/>
        <v>5291.0892051512001</v>
      </c>
      <c r="Z386" s="63">
        <f t="shared" si="408"/>
        <v>56.363134009600003</v>
      </c>
      <c r="AA386" s="63">
        <f t="shared" si="412"/>
        <v>24.658871129200001</v>
      </c>
      <c r="AB386" s="63">
        <f t="shared" si="409"/>
        <v>335</v>
      </c>
      <c r="AC386" s="63">
        <f t="shared" si="410"/>
        <v>10356.36</v>
      </c>
      <c r="AD386" s="63">
        <f t="shared" si="411"/>
        <v>106.9136</v>
      </c>
      <c r="AE386" s="178">
        <v>560</v>
      </c>
    </row>
    <row r="387" spans="1:31" x14ac:dyDescent="0.25">
      <c r="A387" s="167">
        <v>560</v>
      </c>
      <c r="B387" s="167">
        <v>560611</v>
      </c>
      <c r="C387" s="181" t="s">
        <v>4084</v>
      </c>
      <c r="D387" s="168" t="s">
        <v>4085</v>
      </c>
      <c r="E387" s="168" t="s">
        <v>2753</v>
      </c>
      <c r="F387" s="58">
        <v>41431</v>
      </c>
      <c r="G387" s="59">
        <f t="shared" si="397"/>
        <v>7.5726027397260278</v>
      </c>
      <c r="H387" s="61">
        <v>34367.764640000001</v>
      </c>
      <c r="I387" s="63">
        <v>35226.959999999999</v>
      </c>
      <c r="J387" s="61">
        <v>35226.958756</v>
      </c>
      <c r="K387" s="63">
        <f t="shared" si="414"/>
        <v>35226.958756</v>
      </c>
      <c r="L387" s="63">
        <f t="shared" si="399"/>
        <v>16.936037863461539</v>
      </c>
      <c r="M387" s="63">
        <f t="shared" si="400"/>
        <v>1354.8830290769231</v>
      </c>
      <c r="N387" s="63">
        <f t="shared" si="401"/>
        <v>1735.1671232876713</v>
      </c>
      <c r="O387" s="65"/>
      <c r="P387" s="65"/>
      <c r="Q387" s="63">
        <f t="shared" si="402"/>
        <v>1735.1671232876713</v>
      </c>
      <c r="R387" s="63">
        <f t="shared" si="403"/>
        <v>36962.125879287669</v>
      </c>
      <c r="S387" s="65"/>
      <c r="T387" s="65"/>
      <c r="U387" s="65"/>
      <c r="V387" s="63">
        <f t="shared" si="404"/>
        <v>36962.125879287669</v>
      </c>
      <c r="W387" s="63">
        <f t="shared" si="405"/>
        <v>2291.6518045158355</v>
      </c>
      <c r="X387" s="63">
        <f t="shared" si="406"/>
        <v>535.9508252496712</v>
      </c>
      <c r="Y387" s="63">
        <f t="shared" si="407"/>
        <v>5551.7113070690075</v>
      </c>
      <c r="Z387" s="63">
        <f t="shared" si="408"/>
        <v>59.139401406860273</v>
      </c>
      <c r="AA387" s="63">
        <f t="shared" si="412"/>
        <v>25.873488115501367</v>
      </c>
      <c r="AB387" s="63">
        <f t="shared" si="409"/>
        <v>335</v>
      </c>
      <c r="AC387" s="63">
        <f t="shared" si="410"/>
        <v>10356.36</v>
      </c>
      <c r="AD387" s="63">
        <f t="shared" si="411"/>
        <v>106.9136</v>
      </c>
      <c r="AE387" s="178">
        <v>560</v>
      </c>
    </row>
    <row r="388" spans="1:31" x14ac:dyDescent="0.25">
      <c r="A388" s="167">
        <v>560</v>
      </c>
      <c r="B388" s="167">
        <v>560612</v>
      </c>
      <c r="C388" s="181" t="s">
        <v>4086</v>
      </c>
      <c r="D388" s="168" t="s">
        <v>3085</v>
      </c>
      <c r="E388" s="168" t="s">
        <v>3086</v>
      </c>
      <c r="F388" s="58">
        <v>42100</v>
      </c>
      <c r="G388" s="59">
        <f t="shared" si="397"/>
        <v>5.7397260273972606</v>
      </c>
      <c r="H388" s="61">
        <v>34367.764640000001</v>
      </c>
      <c r="I388" s="63">
        <v>35226.959999999999</v>
      </c>
      <c r="J388" s="61">
        <v>35226.958756</v>
      </c>
      <c r="K388" s="63">
        <f t="shared" si="414"/>
        <v>35226.958756</v>
      </c>
      <c r="L388" s="63">
        <f t="shared" si="399"/>
        <v>16.936037863461539</v>
      </c>
      <c r="M388" s="63">
        <f t="shared" si="400"/>
        <v>1354.8830290769231</v>
      </c>
      <c r="N388" s="63">
        <f t="shared" si="401"/>
        <v>1251.2876712328768</v>
      </c>
      <c r="O388" s="65"/>
      <c r="P388" s="65"/>
      <c r="Q388" s="63">
        <f t="shared" si="402"/>
        <v>1251.2876712328768</v>
      </c>
      <c r="R388" s="63">
        <f t="shared" si="403"/>
        <v>36478.24642723288</v>
      </c>
      <c r="S388" s="65"/>
      <c r="T388" s="65"/>
      <c r="U388" s="65"/>
      <c r="V388" s="63">
        <f t="shared" si="404"/>
        <v>36478.24642723288</v>
      </c>
      <c r="W388" s="63">
        <f t="shared" si="405"/>
        <v>2261.6512784884385</v>
      </c>
      <c r="X388" s="63">
        <f t="shared" si="406"/>
        <v>528.93457319487675</v>
      </c>
      <c r="Y388" s="63">
        <f t="shared" si="407"/>
        <v>5479.0326133703784</v>
      </c>
      <c r="Z388" s="63">
        <f t="shared" si="408"/>
        <v>58.365194283572613</v>
      </c>
      <c r="AA388" s="63">
        <f t="shared" si="412"/>
        <v>25.534772499063017</v>
      </c>
      <c r="AB388" s="63">
        <f t="shared" si="409"/>
        <v>335</v>
      </c>
      <c r="AC388" s="63">
        <f t="shared" si="410"/>
        <v>10356.36</v>
      </c>
      <c r="AD388" s="63">
        <f t="shared" si="411"/>
        <v>106.9136</v>
      </c>
      <c r="AE388" s="178">
        <v>560</v>
      </c>
    </row>
    <row r="389" spans="1:31" x14ac:dyDescent="0.25">
      <c r="A389" s="167">
        <v>560</v>
      </c>
      <c r="B389" s="167">
        <v>560613</v>
      </c>
      <c r="C389" s="181" t="s">
        <v>4087</v>
      </c>
      <c r="D389" s="168" t="s">
        <v>3089</v>
      </c>
      <c r="E389" s="168" t="s">
        <v>2747</v>
      </c>
      <c r="F389" s="58">
        <v>41624</v>
      </c>
      <c r="G389" s="59">
        <f t="shared" si="397"/>
        <v>7.043835616438356</v>
      </c>
      <c r="H389" s="61">
        <v>34367.764640000001</v>
      </c>
      <c r="I389" s="63">
        <v>35226.959999999999</v>
      </c>
      <c r="J389" s="61">
        <v>35226.958756</v>
      </c>
      <c r="K389" s="63">
        <f t="shared" si="414"/>
        <v>35226.958756</v>
      </c>
      <c r="L389" s="63">
        <f t="shared" si="399"/>
        <v>16.936037863461539</v>
      </c>
      <c r="M389" s="63">
        <f t="shared" si="400"/>
        <v>1354.8830290769231</v>
      </c>
      <c r="N389" s="63">
        <f t="shared" si="401"/>
        <v>1595.5726027397259</v>
      </c>
      <c r="O389" s="65"/>
      <c r="P389" s="65"/>
      <c r="Q389" s="63">
        <f t="shared" si="402"/>
        <v>1595.5726027397259</v>
      </c>
      <c r="R389" s="63">
        <f t="shared" si="403"/>
        <v>36822.531358739725</v>
      </c>
      <c r="S389" s="65"/>
      <c r="T389" s="65"/>
      <c r="U389" s="65"/>
      <c r="V389" s="63">
        <f t="shared" si="404"/>
        <v>36822.531358739725</v>
      </c>
      <c r="W389" s="63">
        <f t="shared" si="405"/>
        <v>2282.9969442418628</v>
      </c>
      <c r="X389" s="63">
        <f t="shared" si="406"/>
        <v>533.92670470172607</v>
      </c>
      <c r="Y389" s="63">
        <f t="shared" si="407"/>
        <v>5530.7442100827066</v>
      </c>
      <c r="Z389" s="63">
        <f t="shared" si="408"/>
        <v>58.916050173983564</v>
      </c>
      <c r="AA389" s="63">
        <f t="shared" si="412"/>
        <v>25.775771951117807</v>
      </c>
      <c r="AB389" s="63">
        <f t="shared" si="409"/>
        <v>335</v>
      </c>
      <c r="AC389" s="63">
        <f t="shared" si="410"/>
        <v>10356.36</v>
      </c>
      <c r="AD389" s="63">
        <f t="shared" si="411"/>
        <v>106.9136</v>
      </c>
      <c r="AE389" s="178">
        <v>560</v>
      </c>
    </row>
    <row r="390" spans="1:31" x14ac:dyDescent="0.25">
      <c r="A390" s="167">
        <v>560</v>
      </c>
      <c r="B390" s="167">
        <v>560614</v>
      </c>
      <c r="C390" s="181" t="s">
        <v>4088</v>
      </c>
      <c r="D390" s="168" t="s">
        <v>3017</v>
      </c>
      <c r="E390" s="168" t="s">
        <v>2747</v>
      </c>
      <c r="F390" s="58">
        <v>39890</v>
      </c>
      <c r="G390" s="59">
        <f t="shared" si="397"/>
        <v>11.794520547945206</v>
      </c>
      <c r="H390" s="61">
        <v>34367.764640000001</v>
      </c>
      <c r="I390" s="63">
        <v>35226.959999999999</v>
      </c>
      <c r="J390" s="61">
        <v>35226.958756</v>
      </c>
      <c r="K390" s="63">
        <f t="shared" si="414"/>
        <v>35226.958756</v>
      </c>
      <c r="L390" s="63">
        <f t="shared" si="399"/>
        <v>16.936037863461539</v>
      </c>
      <c r="M390" s="63">
        <f t="shared" si="400"/>
        <v>1354.8830290769231</v>
      </c>
      <c r="N390" s="63">
        <f t="shared" si="401"/>
        <v>2849.7534246575342</v>
      </c>
      <c r="O390" s="65"/>
      <c r="P390" s="65"/>
      <c r="Q390" s="63">
        <f t="shared" si="402"/>
        <v>2849.7534246575342</v>
      </c>
      <c r="R390" s="63">
        <f t="shared" si="403"/>
        <v>38076.712180657531</v>
      </c>
      <c r="S390" s="65"/>
      <c r="T390" s="65"/>
      <c r="U390" s="65"/>
      <c r="V390" s="63">
        <f t="shared" si="404"/>
        <v>38076.712180657531</v>
      </c>
      <c r="W390" s="63">
        <f t="shared" si="405"/>
        <v>2360.7561552007669</v>
      </c>
      <c r="X390" s="63">
        <f t="shared" si="406"/>
        <v>552.1123266195342</v>
      </c>
      <c r="Y390" s="63">
        <f t="shared" si="407"/>
        <v>5719.1221695347613</v>
      </c>
      <c r="Z390" s="63">
        <f t="shared" si="408"/>
        <v>60.922739489052049</v>
      </c>
      <c r="AA390" s="63">
        <f t="shared" si="412"/>
        <v>26.653698526460271</v>
      </c>
      <c r="AB390" s="63">
        <f t="shared" si="409"/>
        <v>335</v>
      </c>
      <c r="AC390" s="63">
        <f t="shared" si="410"/>
        <v>10356.36</v>
      </c>
      <c r="AD390" s="63">
        <f t="shared" si="411"/>
        <v>106.9136</v>
      </c>
      <c r="AE390" s="178">
        <v>560</v>
      </c>
    </row>
    <row r="391" spans="1:31" x14ac:dyDescent="0.25">
      <c r="A391" s="167">
        <v>560</v>
      </c>
      <c r="B391" s="167">
        <v>560615</v>
      </c>
      <c r="C391" s="181" t="s">
        <v>4089</v>
      </c>
      <c r="D391" s="168" t="s">
        <v>2505</v>
      </c>
      <c r="E391" s="168" t="s">
        <v>3799</v>
      </c>
      <c r="F391" s="58">
        <v>41926</v>
      </c>
      <c r="G391" s="59">
        <f t="shared" si="397"/>
        <v>6.2164383561643834</v>
      </c>
      <c r="H391" s="61">
        <v>34367.764640000001</v>
      </c>
      <c r="I391" s="63">
        <v>35226.959999999999</v>
      </c>
      <c r="J391" s="61">
        <v>35226.958756</v>
      </c>
      <c r="K391" s="63">
        <f t="shared" si="414"/>
        <v>35226.958756</v>
      </c>
      <c r="L391" s="63">
        <f t="shared" si="399"/>
        <v>16.936037863461539</v>
      </c>
      <c r="M391" s="63">
        <f t="shared" si="400"/>
        <v>1354.8830290769231</v>
      </c>
      <c r="N391" s="63">
        <f t="shared" si="401"/>
        <v>1377.1397260273973</v>
      </c>
      <c r="O391" s="65"/>
      <c r="P391" s="65"/>
      <c r="Q391" s="63">
        <f t="shared" si="402"/>
        <v>1377.1397260273973</v>
      </c>
      <c r="R391" s="63">
        <f t="shared" si="403"/>
        <v>36604.098482027395</v>
      </c>
      <c r="S391" s="65"/>
      <c r="T391" s="65"/>
      <c r="U391" s="65"/>
      <c r="V391" s="63">
        <f t="shared" si="404"/>
        <v>36604.098482027395</v>
      </c>
      <c r="W391" s="63">
        <f t="shared" si="405"/>
        <v>2269.4541058856985</v>
      </c>
      <c r="X391" s="63">
        <f t="shared" si="406"/>
        <v>530.7594279893973</v>
      </c>
      <c r="Y391" s="63">
        <f t="shared" si="407"/>
        <v>5497.9355920005146</v>
      </c>
      <c r="Z391" s="63">
        <f t="shared" si="408"/>
        <v>58.566557571243834</v>
      </c>
      <c r="AA391" s="63">
        <f t="shared" si="412"/>
        <v>25.622868937419177</v>
      </c>
      <c r="AB391" s="63">
        <f t="shared" si="409"/>
        <v>335</v>
      </c>
      <c r="AC391" s="63">
        <f t="shared" si="410"/>
        <v>10356.36</v>
      </c>
      <c r="AD391" s="63">
        <f t="shared" si="411"/>
        <v>106.9136</v>
      </c>
      <c r="AE391" s="178">
        <v>560</v>
      </c>
    </row>
    <row r="392" spans="1:31" x14ac:dyDescent="0.25">
      <c r="A392" s="167">
        <v>560</v>
      </c>
      <c r="B392" s="167">
        <v>560616</v>
      </c>
      <c r="C392" s="181" t="s">
        <v>4090</v>
      </c>
      <c r="D392" s="168" t="s">
        <v>3067</v>
      </c>
      <c r="E392" s="168" t="s">
        <v>3071</v>
      </c>
      <c r="F392" s="58">
        <v>39360</v>
      </c>
      <c r="G392" s="59">
        <f t="shared" si="397"/>
        <v>13.246575342465754</v>
      </c>
      <c r="H392" s="61">
        <v>34367.764640000001</v>
      </c>
      <c r="I392" s="63">
        <v>35226.959999999999</v>
      </c>
      <c r="J392" s="61">
        <v>35226.958756</v>
      </c>
      <c r="K392" s="63">
        <f t="shared" si="414"/>
        <v>35226.958756</v>
      </c>
      <c r="L392" s="63">
        <f t="shared" si="399"/>
        <v>16.936037863461539</v>
      </c>
      <c r="M392" s="63">
        <f t="shared" si="400"/>
        <v>1354.8830290769231</v>
      </c>
      <c r="N392" s="63">
        <f t="shared" si="401"/>
        <v>3233.0958904109589</v>
      </c>
      <c r="O392" s="65"/>
      <c r="P392" s="65"/>
      <c r="Q392" s="63">
        <f t="shared" si="402"/>
        <v>3233.0958904109589</v>
      </c>
      <c r="R392" s="63">
        <f t="shared" si="403"/>
        <v>38460.054646410958</v>
      </c>
      <c r="S392" s="65"/>
      <c r="T392" s="65"/>
      <c r="U392" s="65"/>
      <c r="V392" s="63">
        <f t="shared" si="404"/>
        <v>38460.054646410958</v>
      </c>
      <c r="W392" s="63">
        <f t="shared" si="405"/>
        <v>2384.5233880774795</v>
      </c>
      <c r="X392" s="63">
        <f t="shared" si="406"/>
        <v>557.67079237295889</v>
      </c>
      <c r="Y392" s="63">
        <f t="shared" si="407"/>
        <v>5776.7002078909254</v>
      </c>
      <c r="Z392" s="63">
        <f t="shared" si="408"/>
        <v>61.536087434257531</v>
      </c>
      <c r="AA392" s="63">
        <f t="shared" si="412"/>
        <v>26.92203825248767</v>
      </c>
      <c r="AB392" s="63">
        <f t="shared" si="409"/>
        <v>335</v>
      </c>
      <c r="AC392" s="63">
        <f t="shared" si="410"/>
        <v>10356.36</v>
      </c>
      <c r="AD392" s="63">
        <f t="shared" si="411"/>
        <v>106.9136</v>
      </c>
      <c r="AE392" s="178">
        <v>560</v>
      </c>
    </row>
    <row r="393" spans="1:31" x14ac:dyDescent="0.25">
      <c r="A393" s="167">
        <v>560</v>
      </c>
      <c r="B393" s="167">
        <v>560617</v>
      </c>
      <c r="C393" s="181" t="s">
        <v>4091</v>
      </c>
      <c r="D393" s="168" t="s">
        <v>3077</v>
      </c>
      <c r="E393" s="168" t="s">
        <v>3078</v>
      </c>
      <c r="F393" s="58">
        <v>43439</v>
      </c>
      <c r="G393" s="59">
        <f t="shared" si="397"/>
        <v>2.0712328767123287</v>
      </c>
      <c r="H393" s="61">
        <v>34367.764640000001</v>
      </c>
      <c r="I393" s="63">
        <v>35226.959999999999</v>
      </c>
      <c r="J393" s="61">
        <v>35226.958756</v>
      </c>
      <c r="K393" s="63">
        <f t="shared" si="414"/>
        <v>35226.958756</v>
      </c>
      <c r="L393" s="63">
        <f t="shared" si="399"/>
        <v>16.936037863461539</v>
      </c>
      <c r="M393" s="63">
        <f t="shared" si="400"/>
        <v>1354.8830290769231</v>
      </c>
      <c r="N393" s="63">
        <f t="shared" si="401"/>
        <v>0</v>
      </c>
      <c r="O393" s="65"/>
      <c r="P393" s="65"/>
      <c r="Q393" s="63">
        <f t="shared" si="402"/>
        <v>0</v>
      </c>
      <c r="R393" s="63">
        <f t="shared" si="403"/>
        <v>35226.958756</v>
      </c>
      <c r="S393" s="65"/>
      <c r="T393" s="65"/>
      <c r="U393" s="65"/>
      <c r="V393" s="63">
        <f t="shared" si="404"/>
        <v>35226.958756</v>
      </c>
      <c r="W393" s="63">
        <f t="shared" si="405"/>
        <v>2184.0714428719998</v>
      </c>
      <c r="X393" s="63">
        <f t="shared" si="406"/>
        <v>510.79090196200002</v>
      </c>
      <c r="Y393" s="63">
        <f t="shared" si="407"/>
        <v>5291.0892051512001</v>
      </c>
      <c r="Z393" s="63">
        <f t="shared" si="408"/>
        <v>56.363134009600003</v>
      </c>
      <c r="AA393" s="63">
        <f t="shared" si="412"/>
        <v>24.658871129200001</v>
      </c>
      <c r="AB393" s="63">
        <f t="shared" si="409"/>
        <v>335</v>
      </c>
      <c r="AC393" s="63">
        <f t="shared" si="410"/>
        <v>10356.36</v>
      </c>
      <c r="AD393" s="63">
        <f t="shared" si="411"/>
        <v>106.9136</v>
      </c>
      <c r="AE393" s="178">
        <v>560</v>
      </c>
    </row>
    <row r="394" spans="1:31" x14ac:dyDescent="0.25">
      <c r="A394" s="167">
        <v>560</v>
      </c>
      <c r="B394" s="167">
        <v>560618</v>
      </c>
      <c r="C394" s="181" t="s">
        <v>4092</v>
      </c>
      <c r="D394" s="168" t="s">
        <v>3800</v>
      </c>
      <c r="E394" s="168" t="s">
        <v>3801</v>
      </c>
      <c r="F394" s="58">
        <v>41173</v>
      </c>
      <c r="G394" s="59">
        <f t="shared" si="397"/>
        <v>8.2794520547945201</v>
      </c>
      <c r="H394" s="61">
        <v>34367.764640000001</v>
      </c>
      <c r="I394" s="63">
        <v>35226.959999999999</v>
      </c>
      <c r="J394" s="61">
        <v>35226.958756</v>
      </c>
      <c r="K394" s="63">
        <f t="shared" si="414"/>
        <v>35226.958756</v>
      </c>
      <c r="L394" s="63">
        <f t="shared" si="399"/>
        <v>16.936037863461539</v>
      </c>
      <c r="M394" s="63">
        <f t="shared" si="400"/>
        <v>1354.8830290769231</v>
      </c>
      <c r="N394" s="63">
        <f t="shared" si="401"/>
        <v>1921.7753424657533</v>
      </c>
      <c r="O394" s="65"/>
      <c r="P394" s="65"/>
      <c r="Q394" s="63">
        <f t="shared" si="402"/>
        <v>1921.7753424657533</v>
      </c>
      <c r="R394" s="63">
        <f t="shared" si="403"/>
        <v>37148.734098465757</v>
      </c>
      <c r="S394" s="65"/>
      <c r="T394" s="65"/>
      <c r="U394" s="65"/>
      <c r="V394" s="63">
        <f t="shared" si="404"/>
        <v>37148.734098465757</v>
      </c>
      <c r="W394" s="63">
        <f t="shared" si="405"/>
        <v>2303.2215141048769</v>
      </c>
      <c r="X394" s="63">
        <f t="shared" si="406"/>
        <v>538.65664442775346</v>
      </c>
      <c r="Y394" s="63">
        <f t="shared" si="407"/>
        <v>5579.7398615895563</v>
      </c>
      <c r="Z394" s="63">
        <f t="shared" si="408"/>
        <v>59.437974557545211</v>
      </c>
      <c r="AA394" s="63">
        <f t="shared" si="412"/>
        <v>26.00411386892603</v>
      </c>
      <c r="AB394" s="63">
        <f t="shared" si="409"/>
        <v>335</v>
      </c>
      <c r="AC394" s="63">
        <f t="shared" si="410"/>
        <v>10356.36</v>
      </c>
      <c r="AD394" s="63">
        <f t="shared" si="411"/>
        <v>106.9136</v>
      </c>
      <c r="AE394" s="178">
        <v>560</v>
      </c>
    </row>
    <row r="395" spans="1:31" x14ac:dyDescent="0.25">
      <c r="A395" s="167">
        <v>560</v>
      </c>
      <c r="B395" s="167">
        <v>560619</v>
      </c>
      <c r="C395" s="181" t="s">
        <v>4093</v>
      </c>
      <c r="D395" s="168" t="s">
        <v>3095</v>
      </c>
      <c r="E395" s="168" t="s">
        <v>2555</v>
      </c>
      <c r="F395" s="58">
        <v>41010</v>
      </c>
      <c r="G395" s="59">
        <f t="shared" si="397"/>
        <v>8.7260273972602747</v>
      </c>
      <c r="H395" s="61">
        <v>34367.764640000001</v>
      </c>
      <c r="I395" s="63">
        <v>35226.959999999999</v>
      </c>
      <c r="J395" s="61">
        <v>35226.958756</v>
      </c>
      <c r="K395" s="63">
        <f t="shared" si="414"/>
        <v>35226.958756</v>
      </c>
      <c r="L395" s="63">
        <f t="shared" si="399"/>
        <v>16.936037863461539</v>
      </c>
      <c r="M395" s="63">
        <f t="shared" si="400"/>
        <v>1354.8830290769231</v>
      </c>
      <c r="N395" s="63">
        <f t="shared" si="401"/>
        <v>2039.6712328767126</v>
      </c>
      <c r="O395" s="65"/>
      <c r="P395" s="65"/>
      <c r="Q395" s="63">
        <f t="shared" si="402"/>
        <v>2039.6712328767126</v>
      </c>
      <c r="R395" s="63">
        <f t="shared" si="403"/>
        <v>37266.62998887671</v>
      </c>
      <c r="S395" s="65"/>
      <c r="T395" s="65"/>
      <c r="U395" s="65"/>
      <c r="V395" s="63">
        <f t="shared" si="404"/>
        <v>37266.62998887671</v>
      </c>
      <c r="W395" s="63">
        <f t="shared" si="405"/>
        <v>2310.5310593103559</v>
      </c>
      <c r="X395" s="63">
        <f t="shared" si="406"/>
        <v>540.36613483871236</v>
      </c>
      <c r="Y395" s="63">
        <f t="shared" si="407"/>
        <v>5597.4478243292815</v>
      </c>
      <c r="Z395" s="63">
        <f t="shared" si="408"/>
        <v>59.626607982202735</v>
      </c>
      <c r="AA395" s="63">
        <f t="shared" si="412"/>
        <v>26.086640992213695</v>
      </c>
      <c r="AB395" s="63">
        <f t="shared" si="409"/>
        <v>335</v>
      </c>
      <c r="AC395" s="63">
        <f t="shared" si="410"/>
        <v>10356.36</v>
      </c>
      <c r="AD395" s="63">
        <f t="shared" si="411"/>
        <v>106.9136</v>
      </c>
      <c r="AE395" s="178">
        <v>560</v>
      </c>
    </row>
    <row r="396" spans="1:31" x14ac:dyDescent="0.25">
      <c r="A396" s="167">
        <v>560</v>
      </c>
      <c r="B396" s="167">
        <v>560620</v>
      </c>
      <c r="C396" s="181" t="s">
        <v>4094</v>
      </c>
      <c r="D396" s="168" t="s">
        <v>2597</v>
      </c>
      <c r="E396" s="168" t="s">
        <v>4095</v>
      </c>
      <c r="F396" s="58">
        <v>43515</v>
      </c>
      <c r="G396" s="59">
        <f t="shared" si="397"/>
        <v>1.8630136986301369</v>
      </c>
      <c r="H396" s="61">
        <v>34367.764640000001</v>
      </c>
      <c r="I396" s="63">
        <v>35226.959999999999</v>
      </c>
      <c r="J396" s="61">
        <v>35226.958756</v>
      </c>
      <c r="K396" s="63">
        <f t="shared" si="414"/>
        <v>35226.958756</v>
      </c>
      <c r="L396" s="63">
        <f t="shared" si="399"/>
        <v>16.936037863461539</v>
      </c>
      <c r="M396" s="63">
        <f t="shared" si="400"/>
        <v>1354.8830290769231</v>
      </c>
      <c r="N396" s="63">
        <f t="shared" si="401"/>
        <v>0</v>
      </c>
      <c r="O396" s="65"/>
      <c r="P396" s="65"/>
      <c r="Q396" s="63">
        <f t="shared" si="402"/>
        <v>0</v>
      </c>
      <c r="R396" s="63">
        <f t="shared" si="403"/>
        <v>35226.958756</v>
      </c>
      <c r="S396" s="65"/>
      <c r="T396" s="65"/>
      <c r="U396" s="65"/>
      <c r="V396" s="63">
        <f t="shared" si="404"/>
        <v>35226.958756</v>
      </c>
      <c r="W396" s="63">
        <f t="shared" si="405"/>
        <v>2184.0714428719998</v>
      </c>
      <c r="X396" s="63">
        <f t="shared" si="406"/>
        <v>510.79090196200002</v>
      </c>
      <c r="Y396" s="63">
        <f t="shared" si="407"/>
        <v>5291.0892051512001</v>
      </c>
      <c r="Z396" s="63">
        <f t="shared" si="408"/>
        <v>56.363134009600003</v>
      </c>
      <c r="AA396" s="63">
        <f t="shared" si="412"/>
        <v>24.658871129200001</v>
      </c>
      <c r="AB396" s="63">
        <f t="shared" si="409"/>
        <v>335</v>
      </c>
      <c r="AC396" s="63">
        <f t="shared" si="410"/>
        <v>10356.36</v>
      </c>
      <c r="AD396" s="63">
        <f t="shared" si="411"/>
        <v>106.9136</v>
      </c>
      <c r="AE396" s="178">
        <v>560</v>
      </c>
    </row>
    <row r="397" spans="1:31" x14ac:dyDescent="0.25">
      <c r="A397" s="167">
        <v>560</v>
      </c>
      <c r="B397" s="167">
        <v>560621</v>
      </c>
      <c r="C397" s="181" t="s">
        <v>4096</v>
      </c>
      <c r="D397" s="168" t="s">
        <v>2765</v>
      </c>
      <c r="E397" s="168" t="s">
        <v>3080</v>
      </c>
      <c r="F397" s="58">
        <v>43304</v>
      </c>
      <c r="G397" s="59">
        <f t="shared" si="397"/>
        <v>2.441095890410959</v>
      </c>
      <c r="H397" s="61">
        <v>34367.764640000001</v>
      </c>
      <c r="I397" s="63">
        <v>35226.959999999999</v>
      </c>
      <c r="J397" s="61">
        <v>35226.958756</v>
      </c>
      <c r="K397" s="63">
        <f t="shared" si="414"/>
        <v>35226.958756</v>
      </c>
      <c r="L397" s="63">
        <f t="shared" si="399"/>
        <v>16.936037863461539</v>
      </c>
      <c r="M397" s="63">
        <f t="shared" si="400"/>
        <v>1354.8830290769231</v>
      </c>
      <c r="N397" s="63">
        <f t="shared" si="401"/>
        <v>0</v>
      </c>
      <c r="O397" s="65"/>
      <c r="P397" s="65"/>
      <c r="Q397" s="63">
        <f t="shared" si="402"/>
        <v>0</v>
      </c>
      <c r="R397" s="63">
        <f t="shared" si="403"/>
        <v>35226.958756</v>
      </c>
      <c r="S397" s="65"/>
      <c r="T397" s="65"/>
      <c r="U397" s="65"/>
      <c r="V397" s="63">
        <f t="shared" si="404"/>
        <v>35226.958756</v>
      </c>
      <c r="W397" s="63">
        <f t="shared" si="405"/>
        <v>2184.0714428719998</v>
      </c>
      <c r="X397" s="63">
        <f t="shared" si="406"/>
        <v>510.79090196200002</v>
      </c>
      <c r="Y397" s="63">
        <f t="shared" si="407"/>
        <v>5291.0892051512001</v>
      </c>
      <c r="Z397" s="63">
        <f t="shared" si="408"/>
        <v>56.363134009600003</v>
      </c>
      <c r="AA397" s="63">
        <f t="shared" si="412"/>
        <v>24.658871129200001</v>
      </c>
      <c r="AB397" s="63">
        <f t="shared" si="409"/>
        <v>335</v>
      </c>
      <c r="AC397" s="63">
        <f t="shared" si="410"/>
        <v>10356.36</v>
      </c>
      <c r="AD397" s="63">
        <f t="shared" si="411"/>
        <v>106.9136</v>
      </c>
      <c r="AE397" s="178">
        <v>560</v>
      </c>
    </row>
    <row r="398" spans="1:31" x14ac:dyDescent="0.25">
      <c r="A398" s="167">
        <v>560</v>
      </c>
      <c r="B398" s="167">
        <v>560801</v>
      </c>
      <c r="C398" s="181" t="s">
        <v>2927</v>
      </c>
      <c r="D398" s="168" t="s">
        <v>2586</v>
      </c>
      <c r="E398" s="168" t="s">
        <v>2486</v>
      </c>
      <c r="F398" s="58">
        <v>43374</v>
      </c>
      <c r="G398" s="59">
        <f t="shared" si="397"/>
        <v>2.2493150684931509</v>
      </c>
      <c r="H398" s="61">
        <v>49151.092959999994</v>
      </c>
      <c r="I398" s="63">
        <v>50379.87</v>
      </c>
      <c r="J398" s="61">
        <v>50379.870283999997</v>
      </c>
      <c r="K398" s="63">
        <f t="shared" si="414"/>
        <v>50379.870283999997</v>
      </c>
      <c r="L398" s="63">
        <f t="shared" si="399"/>
        <v>24.221091482692305</v>
      </c>
      <c r="M398" s="63">
        <f t="shared" si="400"/>
        <v>1937.6873186153846</v>
      </c>
      <c r="N398" s="63">
        <f t="shared" si="401"/>
        <v>0</v>
      </c>
      <c r="O398" s="65"/>
      <c r="P398" s="65"/>
      <c r="Q398" s="63">
        <f t="shared" si="402"/>
        <v>0</v>
      </c>
      <c r="R398" s="63">
        <f t="shared" si="403"/>
        <v>50379.870283999997</v>
      </c>
      <c r="S398" s="65"/>
      <c r="T398" s="63">
        <v>1200</v>
      </c>
      <c r="U398" s="65"/>
      <c r="V398" s="63">
        <f t="shared" si="404"/>
        <v>51579.870283999997</v>
      </c>
      <c r="W398" s="63">
        <f t="shared" si="405"/>
        <v>3197.9519576079997</v>
      </c>
      <c r="X398" s="63">
        <f t="shared" si="406"/>
        <v>747.90811911799995</v>
      </c>
      <c r="Y398" s="63">
        <f t="shared" si="407"/>
        <v>7747.2965166567992</v>
      </c>
      <c r="Z398" s="63">
        <f t="shared" si="408"/>
        <v>82.5277924544</v>
      </c>
      <c r="AA398" s="63">
        <f t="shared" si="412"/>
        <v>36.105909198799999</v>
      </c>
      <c r="AB398" s="63">
        <f t="shared" si="409"/>
        <v>335</v>
      </c>
      <c r="AC398" s="63">
        <f t="shared" si="410"/>
        <v>10356.36</v>
      </c>
      <c r="AD398" s="63">
        <f t="shared" si="411"/>
        <v>106.9136</v>
      </c>
      <c r="AE398" s="178">
        <v>560</v>
      </c>
    </row>
    <row r="399" spans="1:31" x14ac:dyDescent="0.25">
      <c r="A399" s="167">
        <v>560</v>
      </c>
      <c r="B399" s="247"/>
      <c r="C399" s="181" t="s">
        <v>3100</v>
      </c>
      <c r="D399" s="247"/>
      <c r="E399" s="247"/>
      <c r="F399" s="247"/>
      <c r="G399" s="167" t="s">
        <v>2422</v>
      </c>
      <c r="H399" s="61">
        <v>40000</v>
      </c>
      <c r="I399" s="251"/>
      <c r="J399" s="61">
        <v>40000</v>
      </c>
      <c r="K399" s="61">
        <v>40000</v>
      </c>
      <c r="L399" s="247"/>
      <c r="M399" s="247"/>
      <c r="N399" s="167" t="s">
        <v>27</v>
      </c>
      <c r="O399" s="247"/>
      <c r="P399" s="247"/>
      <c r="Q399" s="167">
        <v>0</v>
      </c>
      <c r="R399" s="63">
        <f t="shared" si="403"/>
        <v>40000</v>
      </c>
      <c r="S399" s="65"/>
      <c r="T399" s="65"/>
      <c r="U399" s="65"/>
      <c r="V399" s="63">
        <f t="shared" si="404"/>
        <v>40000</v>
      </c>
      <c r="W399" s="63">
        <f t="shared" si="405"/>
        <v>2480</v>
      </c>
      <c r="X399" s="63">
        <f t="shared" si="406"/>
        <v>580</v>
      </c>
      <c r="Y399" s="63">
        <f t="shared" si="407"/>
        <v>6008</v>
      </c>
      <c r="Z399" s="63">
        <f t="shared" si="408"/>
        <v>64</v>
      </c>
      <c r="AA399" s="63">
        <f t="shared" si="412"/>
        <v>28</v>
      </c>
      <c r="AB399" s="63" t="s">
        <v>2422</v>
      </c>
      <c r="AC399" s="63" t="s">
        <v>2422</v>
      </c>
      <c r="AD399" s="63" t="s">
        <v>2422</v>
      </c>
      <c r="AE399" s="178">
        <v>560</v>
      </c>
    </row>
    <row r="400" spans="1:31" x14ac:dyDescent="0.25">
      <c r="A400" s="167">
        <v>560</v>
      </c>
      <c r="B400" s="247"/>
      <c r="C400" s="181" t="s">
        <v>2495</v>
      </c>
      <c r="D400" s="247"/>
      <c r="E400" s="247"/>
      <c r="F400" s="247"/>
      <c r="G400" s="167" t="s">
        <v>2422</v>
      </c>
      <c r="H400" s="132">
        <v>50000</v>
      </c>
      <c r="I400" s="296"/>
      <c r="J400" s="132">
        <v>50000</v>
      </c>
      <c r="K400" s="132">
        <v>50000</v>
      </c>
      <c r="L400" s="320"/>
      <c r="M400" s="320"/>
      <c r="N400" s="220" t="s">
        <v>27</v>
      </c>
      <c r="O400" s="320"/>
      <c r="P400" s="320"/>
      <c r="Q400" s="220">
        <v>0</v>
      </c>
      <c r="R400" s="172">
        <f t="shared" si="403"/>
        <v>50000</v>
      </c>
      <c r="S400" s="314"/>
      <c r="T400" s="314"/>
      <c r="U400" s="314"/>
      <c r="V400" s="172">
        <f t="shared" si="404"/>
        <v>50000</v>
      </c>
      <c r="W400" s="172">
        <f t="shared" si="405"/>
        <v>3100</v>
      </c>
      <c r="X400" s="172">
        <f t="shared" si="406"/>
        <v>725</v>
      </c>
      <c r="Y400" s="172">
        <f t="shared" si="407"/>
        <v>7510</v>
      </c>
      <c r="Z400" s="172">
        <f t="shared" si="408"/>
        <v>80</v>
      </c>
      <c r="AA400" s="172">
        <f t="shared" si="412"/>
        <v>35</v>
      </c>
      <c r="AB400" s="172" t="s">
        <v>2422</v>
      </c>
      <c r="AC400" s="172" t="s">
        <v>2422</v>
      </c>
      <c r="AD400" s="172" t="s">
        <v>2422</v>
      </c>
      <c r="AE400" s="178">
        <v>560</v>
      </c>
    </row>
    <row r="401" spans="1:31" x14ac:dyDescent="0.25">
      <c r="A401" s="167">
        <v>560</v>
      </c>
      <c r="B401" s="247"/>
      <c r="C401" s="247"/>
      <c r="D401" s="247"/>
      <c r="E401" s="247"/>
      <c r="F401" s="247"/>
      <c r="G401" s="247"/>
      <c r="H401" s="223">
        <v>2907003.5069734394</v>
      </c>
      <c r="I401" s="401"/>
      <c r="J401" s="223">
        <v>2975711.6311559984</v>
      </c>
      <c r="K401" s="223">
        <f t="shared" ref="K401:AD401" si="415">SUM(K330:K400)</f>
        <v>2975711.6311559984</v>
      </c>
      <c r="L401" s="223">
        <f t="shared" si="415"/>
        <v>1387.3613611326919</v>
      </c>
      <c r="M401" s="223">
        <f t="shared" si="415"/>
        <v>110988.90889061539</v>
      </c>
      <c r="N401" s="223">
        <f t="shared" si="415"/>
        <v>110213.85205479452</v>
      </c>
      <c r="O401" s="223">
        <f t="shared" si="415"/>
        <v>0</v>
      </c>
      <c r="P401" s="223">
        <f t="shared" si="415"/>
        <v>1980.4199999999998</v>
      </c>
      <c r="Q401" s="223">
        <f t="shared" si="415"/>
        <v>109142.37068493151</v>
      </c>
      <c r="R401" s="223">
        <f t="shared" si="415"/>
        <v>3084854.0018409309</v>
      </c>
      <c r="S401" s="223">
        <f t="shared" si="415"/>
        <v>4200</v>
      </c>
      <c r="T401" s="223">
        <f t="shared" si="415"/>
        <v>60000</v>
      </c>
      <c r="U401" s="223">
        <f t="shared" si="415"/>
        <v>31000</v>
      </c>
      <c r="V401" s="223">
        <f t="shared" si="415"/>
        <v>3180054.0018409314</v>
      </c>
      <c r="W401" s="223">
        <f t="shared" si="415"/>
        <v>197163.34811413768</v>
      </c>
      <c r="X401" s="223">
        <f t="shared" si="415"/>
        <v>46110.783026693505</v>
      </c>
      <c r="Y401" s="223">
        <f t="shared" si="415"/>
        <v>477644.11107650783</v>
      </c>
      <c r="Z401" s="223">
        <f t="shared" si="415"/>
        <v>5088.0864029454888</v>
      </c>
      <c r="AA401" s="223">
        <f t="shared" si="415"/>
        <v>2171.3868985234517</v>
      </c>
      <c r="AB401" s="223">
        <f t="shared" si="415"/>
        <v>23115</v>
      </c>
      <c r="AC401" s="223">
        <f t="shared" si="415"/>
        <v>714588.83999999927</v>
      </c>
      <c r="AD401" s="223">
        <f t="shared" si="415"/>
        <v>7377.038399999994</v>
      </c>
      <c r="AE401" s="178">
        <v>560</v>
      </c>
    </row>
    <row r="402" spans="1:31" x14ac:dyDescent="0.25">
      <c r="A402" s="247"/>
      <c r="B402" s="247"/>
      <c r="C402" s="247"/>
      <c r="D402" s="247"/>
      <c r="E402" s="247"/>
      <c r="F402" s="247"/>
      <c r="G402" s="247"/>
      <c r="H402" s="62"/>
      <c r="I402" s="169"/>
      <c r="J402" s="62">
        <v>2816838.9129199986</v>
      </c>
      <c r="K402" s="69">
        <f>SUM(K331:K398)</f>
        <v>2816838.9129199986</v>
      </c>
      <c r="L402" s="247"/>
      <c r="M402" s="247"/>
      <c r="N402" s="247"/>
      <c r="O402" s="247"/>
      <c r="P402" s="247"/>
      <c r="Q402" s="247"/>
      <c r="R402" s="65"/>
      <c r="S402" s="65"/>
      <c r="T402" s="65"/>
      <c r="U402" s="65"/>
      <c r="V402" s="65"/>
      <c r="W402" s="63">
        <f>W401+X401</f>
        <v>243274.13114083119</v>
      </c>
      <c r="X402" s="65"/>
      <c r="Y402" s="65"/>
      <c r="Z402" s="65"/>
      <c r="AA402" s="65"/>
      <c r="AB402" s="65"/>
      <c r="AC402" s="63">
        <f>SUM(AC401:AD401)</f>
        <v>721965.87839999923</v>
      </c>
      <c r="AD402" s="65"/>
      <c r="AE402" s="247"/>
    </row>
    <row r="403" spans="1:31" x14ac:dyDescent="0.25">
      <c r="A403" s="247"/>
      <c r="B403" s="247"/>
      <c r="C403" s="247"/>
      <c r="D403" s="247"/>
      <c r="E403" s="247"/>
      <c r="F403" s="247"/>
      <c r="G403" s="247"/>
      <c r="H403" s="247"/>
      <c r="I403" s="251"/>
      <c r="J403" s="247"/>
      <c r="K403" s="247"/>
      <c r="L403" s="247"/>
      <c r="M403" s="247"/>
      <c r="N403" s="247"/>
      <c r="O403" s="247"/>
      <c r="P403" s="247"/>
      <c r="Q403" s="247"/>
      <c r="R403" s="65"/>
      <c r="S403" s="65"/>
      <c r="T403" s="65"/>
      <c r="U403" s="65"/>
      <c r="V403" s="65"/>
      <c r="W403" s="65"/>
      <c r="X403" s="65"/>
      <c r="Y403" s="65"/>
      <c r="Z403" s="65"/>
      <c r="AA403" s="65"/>
      <c r="AB403" s="65"/>
      <c r="AC403" s="65"/>
      <c r="AD403" s="65"/>
      <c r="AE403" s="247"/>
    </row>
    <row r="404" spans="1:31" x14ac:dyDescent="0.25">
      <c r="A404" s="168"/>
      <c r="B404" s="168"/>
      <c r="C404" s="168"/>
      <c r="D404" s="168"/>
      <c r="E404" s="168"/>
      <c r="F404" s="80"/>
      <c r="G404" s="59"/>
      <c r="H404" s="61"/>
      <c r="I404" s="169"/>
      <c r="J404" s="61"/>
      <c r="K404" s="63"/>
      <c r="L404" s="63"/>
      <c r="M404" s="63"/>
      <c r="N404" s="65"/>
      <c r="O404" s="65"/>
      <c r="P404" s="65"/>
      <c r="Q404" s="65"/>
      <c r="R404" s="65"/>
      <c r="S404" s="65"/>
      <c r="T404" s="63"/>
      <c r="U404" s="63"/>
      <c r="V404" s="65"/>
      <c r="W404" s="63"/>
      <c r="X404" s="63"/>
      <c r="Y404" s="63"/>
      <c r="Z404" s="63"/>
      <c r="AA404" s="63"/>
      <c r="AB404" s="63"/>
      <c r="AC404" s="63"/>
      <c r="AD404" s="63"/>
      <c r="AE404" s="247"/>
    </row>
    <row r="405" spans="1:31" x14ac:dyDescent="0.25">
      <c r="A405" s="167">
        <v>568</v>
      </c>
      <c r="B405" s="167">
        <v>568301</v>
      </c>
      <c r="C405" s="168" t="s">
        <v>3102</v>
      </c>
      <c r="D405" s="168" t="s">
        <v>2741</v>
      </c>
      <c r="E405" s="168" t="s">
        <v>2909</v>
      </c>
      <c r="F405" s="58">
        <v>42795</v>
      </c>
      <c r="G405" s="59">
        <f t="shared" ref="G405:G501" si="416">(DATE(2020,12,30)-(F405))/365</f>
        <v>3.8356164383561642</v>
      </c>
      <c r="H405" s="61">
        <v>54344.082319999994</v>
      </c>
      <c r="I405" s="63">
        <v>38902.01</v>
      </c>
      <c r="J405" s="61">
        <v>55702.684377999991</v>
      </c>
      <c r="K405" s="63">
        <f t="shared" ref="K405:K476" si="417">SUM(((J405*$K$3)+$K$2)+J405)</f>
        <v>55702.684377999991</v>
      </c>
      <c r="L405" s="63">
        <f t="shared" ref="L405:L501" si="418">SUM(K405/2080)</f>
        <v>26.780136720192303</v>
      </c>
      <c r="M405" s="63">
        <f t="shared" ref="M405:M501" si="419">SUM(K405/26)</f>
        <v>2142.4109376153842</v>
      </c>
      <c r="N405" s="63">
        <v>0</v>
      </c>
      <c r="O405" s="65"/>
      <c r="P405" s="65"/>
      <c r="Q405" s="63">
        <f t="shared" ref="Q405:Q501" si="420">IF(N405+P405&gt;5000,5000,N405+P405)</f>
        <v>0</v>
      </c>
      <c r="R405" s="63">
        <f t="shared" ref="R405:R503" si="421">Q405+K405</f>
        <v>55702.684377999991</v>
      </c>
      <c r="S405" s="65"/>
      <c r="T405" s="63">
        <v>1200</v>
      </c>
      <c r="U405" s="63">
        <v>1500</v>
      </c>
      <c r="V405" s="63">
        <f t="shared" ref="V405:V503" si="422">SUM(R405:U405)</f>
        <v>58402.684377999991</v>
      </c>
      <c r="W405" s="63">
        <f t="shared" ref="W405:W503" si="423">SUM(V405*$W$7)</f>
        <v>3620.9664314359993</v>
      </c>
      <c r="X405" s="63">
        <f t="shared" ref="X405:X503" si="424">SUM(V405*$X$7)</f>
        <v>846.83892348099994</v>
      </c>
      <c r="Y405" s="63">
        <f t="shared" ref="Y405:Y503" si="425">SUM(V405*$Y$7)</f>
        <v>8772.0831935755978</v>
      </c>
      <c r="Z405" s="63">
        <f t="shared" ref="Z405:Z503" si="426">SUM(V405*$Z$7)</f>
        <v>93.444295004799983</v>
      </c>
      <c r="AA405" s="63">
        <f t="shared" ref="AA405:AA503" si="427">SUM(V405*$AA$7)</f>
        <v>40.881879064599993</v>
      </c>
      <c r="AB405" s="63">
        <f t="shared" ref="AB405:AB501" si="428">SUM($AB$7)</f>
        <v>335</v>
      </c>
      <c r="AC405" s="63">
        <f t="shared" ref="AC405:AC501" si="429">$AC$7</f>
        <v>10356.36</v>
      </c>
      <c r="AD405" s="63">
        <f t="shared" ref="AD405:AD501" si="430">SUM(AB405+AC405)*$AD$7</f>
        <v>106.9136</v>
      </c>
      <c r="AE405" s="178">
        <v>568</v>
      </c>
    </row>
    <row r="406" spans="1:31" x14ac:dyDescent="0.25">
      <c r="A406" s="167">
        <v>568</v>
      </c>
      <c r="B406" s="167">
        <v>568302</v>
      </c>
      <c r="C406" s="168" t="s">
        <v>3104</v>
      </c>
      <c r="D406" s="168" t="s">
        <v>3105</v>
      </c>
      <c r="E406" s="168" t="s">
        <v>2945</v>
      </c>
      <c r="F406" s="58">
        <v>39211</v>
      </c>
      <c r="G406" s="59">
        <f t="shared" si="416"/>
        <v>13.654794520547945</v>
      </c>
      <c r="H406" s="61">
        <v>48009.474719999998</v>
      </c>
      <c r="I406" s="63">
        <v>38902.01</v>
      </c>
      <c r="J406" s="61">
        <v>49209.711587999998</v>
      </c>
      <c r="K406" s="63">
        <f t="shared" si="417"/>
        <v>49209.711587999998</v>
      </c>
      <c r="L406" s="63">
        <f t="shared" si="418"/>
        <v>23.658515186538462</v>
      </c>
      <c r="M406" s="63">
        <f t="shared" si="419"/>
        <v>1892.6812149230768</v>
      </c>
      <c r="N406" s="63">
        <f t="shared" ref="N406:N424" si="431">IF(G406&lt;4,0,(G406-1)*$N$7)</f>
        <v>3340.8657534246577</v>
      </c>
      <c r="O406" s="65"/>
      <c r="P406" s="65"/>
      <c r="Q406" s="63">
        <f t="shared" si="420"/>
        <v>3340.8657534246577</v>
      </c>
      <c r="R406" s="63">
        <f t="shared" si="421"/>
        <v>52550.577341424658</v>
      </c>
      <c r="S406" s="65"/>
      <c r="T406" s="63">
        <v>1200</v>
      </c>
      <c r="U406" s="63"/>
      <c r="V406" s="63">
        <f t="shared" si="422"/>
        <v>53750.577341424658</v>
      </c>
      <c r="W406" s="63">
        <f t="shared" si="423"/>
        <v>3332.5357951683286</v>
      </c>
      <c r="X406" s="63">
        <f t="shared" si="424"/>
        <v>779.38337145065759</v>
      </c>
      <c r="Y406" s="63">
        <f t="shared" si="425"/>
        <v>8073.3367166819835</v>
      </c>
      <c r="Z406" s="63">
        <f t="shared" si="426"/>
        <v>86.000923746279454</v>
      </c>
      <c r="AA406" s="63">
        <f t="shared" si="427"/>
        <v>37.625404138997261</v>
      </c>
      <c r="AB406" s="63">
        <f t="shared" si="428"/>
        <v>335</v>
      </c>
      <c r="AC406" s="63">
        <f t="shared" si="429"/>
        <v>10356.36</v>
      </c>
      <c r="AD406" s="63">
        <f t="shared" si="430"/>
        <v>106.9136</v>
      </c>
      <c r="AE406" s="178">
        <v>568</v>
      </c>
    </row>
    <row r="407" spans="1:31" x14ac:dyDescent="0.25">
      <c r="A407" s="167">
        <v>568</v>
      </c>
      <c r="B407" s="167">
        <v>568303</v>
      </c>
      <c r="C407" s="168" t="s">
        <v>3107</v>
      </c>
      <c r="D407" s="168" t="s">
        <v>3109</v>
      </c>
      <c r="E407" s="168" t="s">
        <v>3110</v>
      </c>
      <c r="F407" s="58">
        <v>39272</v>
      </c>
      <c r="G407" s="59">
        <f t="shared" si="416"/>
        <v>13.487671232876712</v>
      </c>
      <c r="H407" s="61">
        <v>46140.613839999998</v>
      </c>
      <c r="I407" s="63">
        <v>35768.339999999997</v>
      </c>
      <c r="J407" s="61">
        <v>47294.129185999998</v>
      </c>
      <c r="K407" s="63">
        <f t="shared" si="417"/>
        <v>47294.129185999998</v>
      </c>
      <c r="L407" s="63">
        <f t="shared" si="418"/>
        <v>22.737562108653844</v>
      </c>
      <c r="M407" s="63">
        <f t="shared" si="419"/>
        <v>1819.0049686923076</v>
      </c>
      <c r="N407" s="63">
        <f t="shared" si="431"/>
        <v>3296.7452054794521</v>
      </c>
      <c r="O407" s="65"/>
      <c r="P407" s="65"/>
      <c r="Q407" s="63">
        <f t="shared" si="420"/>
        <v>3296.7452054794521</v>
      </c>
      <c r="R407" s="63">
        <f t="shared" si="421"/>
        <v>50590.874391479447</v>
      </c>
      <c r="S407" s="65"/>
      <c r="T407" s="63">
        <v>1200</v>
      </c>
      <c r="U407" s="63">
        <v>1500</v>
      </c>
      <c r="V407" s="63">
        <f t="shared" si="422"/>
        <v>53290.874391479447</v>
      </c>
      <c r="W407" s="63">
        <f t="shared" si="423"/>
        <v>3304.0342122717257</v>
      </c>
      <c r="X407" s="63">
        <f t="shared" si="424"/>
        <v>772.71767867645201</v>
      </c>
      <c r="Y407" s="63">
        <f t="shared" si="425"/>
        <v>8004.2893336002126</v>
      </c>
      <c r="Z407" s="63">
        <f t="shared" si="426"/>
        <v>85.26539902636712</v>
      </c>
      <c r="AA407" s="63">
        <f t="shared" si="427"/>
        <v>37.303612074035613</v>
      </c>
      <c r="AB407" s="63">
        <f t="shared" si="428"/>
        <v>335</v>
      </c>
      <c r="AC407" s="63">
        <f t="shared" si="429"/>
        <v>10356.36</v>
      </c>
      <c r="AD407" s="63">
        <f t="shared" si="430"/>
        <v>106.9136</v>
      </c>
      <c r="AE407" s="178">
        <v>568</v>
      </c>
    </row>
    <row r="408" spans="1:31" x14ac:dyDescent="0.25">
      <c r="A408" s="167">
        <v>568</v>
      </c>
      <c r="B408" s="167">
        <v>568305</v>
      </c>
      <c r="C408" s="168" t="s">
        <v>4097</v>
      </c>
      <c r="D408" s="151" t="s">
        <v>2924</v>
      </c>
      <c r="E408" s="151" t="s">
        <v>2925</v>
      </c>
      <c r="F408" s="58">
        <v>38869</v>
      </c>
      <c r="G408" s="59">
        <f t="shared" si="416"/>
        <v>14.591780821917808</v>
      </c>
      <c r="H408" s="61">
        <v>46140.613839999998</v>
      </c>
      <c r="I408" s="63">
        <v>35768.339999999997</v>
      </c>
      <c r="J408" s="61">
        <v>47294.129185999998</v>
      </c>
      <c r="K408" s="63">
        <f t="shared" si="417"/>
        <v>47294.129185999998</v>
      </c>
      <c r="L408" s="63">
        <f t="shared" si="418"/>
        <v>22.737562108653844</v>
      </c>
      <c r="M408" s="63">
        <f t="shared" si="419"/>
        <v>1819.0049686923076</v>
      </c>
      <c r="N408" s="63">
        <f t="shared" si="431"/>
        <v>3588.2301369863017</v>
      </c>
      <c r="O408" s="65"/>
      <c r="P408" s="65"/>
      <c r="Q408" s="63">
        <f t="shared" si="420"/>
        <v>3588.2301369863017</v>
      </c>
      <c r="R408" s="63">
        <f t="shared" si="421"/>
        <v>50882.359322986304</v>
      </c>
      <c r="S408" s="65"/>
      <c r="T408" s="63">
        <v>1200</v>
      </c>
      <c r="U408" s="63">
        <v>1000</v>
      </c>
      <c r="V408" s="63">
        <f t="shared" si="422"/>
        <v>53082.359322986304</v>
      </c>
      <c r="W408" s="63">
        <f t="shared" si="423"/>
        <v>3291.1062780251509</v>
      </c>
      <c r="X408" s="63">
        <f t="shared" si="424"/>
        <v>769.69421018330149</v>
      </c>
      <c r="Y408" s="63">
        <f t="shared" si="425"/>
        <v>7972.9703703125424</v>
      </c>
      <c r="Z408" s="63">
        <f t="shared" si="426"/>
        <v>84.931774916778096</v>
      </c>
      <c r="AA408" s="63">
        <f t="shared" si="427"/>
        <v>37.157651526090412</v>
      </c>
      <c r="AB408" s="63">
        <f t="shared" si="428"/>
        <v>335</v>
      </c>
      <c r="AC408" s="63">
        <f t="shared" si="429"/>
        <v>10356.36</v>
      </c>
      <c r="AD408" s="63">
        <f t="shared" si="430"/>
        <v>106.9136</v>
      </c>
      <c r="AE408" s="178">
        <v>568</v>
      </c>
    </row>
    <row r="409" spans="1:31" x14ac:dyDescent="0.25">
      <c r="A409" s="167">
        <v>568</v>
      </c>
      <c r="B409" s="167">
        <v>568304</v>
      </c>
      <c r="C409" s="168" t="s">
        <v>4035</v>
      </c>
      <c r="D409" s="168" t="s">
        <v>4098</v>
      </c>
      <c r="E409" s="168" t="s">
        <v>3113</v>
      </c>
      <c r="F409" s="58">
        <v>40938</v>
      </c>
      <c r="G409" s="59">
        <f t="shared" si="416"/>
        <v>8.9232876712328775</v>
      </c>
      <c r="H409" s="61">
        <v>37953.177839999997</v>
      </c>
      <c r="I409" s="63">
        <v>35768.339999999997</v>
      </c>
      <c r="J409" s="61">
        <v>38902.007286</v>
      </c>
      <c r="K409" s="63">
        <f t="shared" si="417"/>
        <v>38902.007286</v>
      </c>
      <c r="L409" s="63">
        <f t="shared" si="418"/>
        <v>18.702888118269232</v>
      </c>
      <c r="M409" s="63">
        <f t="shared" si="419"/>
        <v>1496.2310494615385</v>
      </c>
      <c r="N409" s="63">
        <f t="shared" si="431"/>
        <v>2091.7479452054795</v>
      </c>
      <c r="O409" s="65"/>
      <c r="P409" s="65"/>
      <c r="Q409" s="63">
        <f t="shared" si="420"/>
        <v>2091.7479452054795</v>
      </c>
      <c r="R409" s="63">
        <f t="shared" si="421"/>
        <v>40993.755231205476</v>
      </c>
      <c r="S409" s="65"/>
      <c r="T409" s="65"/>
      <c r="U409" s="65"/>
      <c r="V409" s="63">
        <f t="shared" si="422"/>
        <v>40993.755231205476</v>
      </c>
      <c r="W409" s="63">
        <f t="shared" si="423"/>
        <v>2541.6128243347393</v>
      </c>
      <c r="X409" s="63">
        <f t="shared" si="424"/>
        <v>594.40945085247938</v>
      </c>
      <c r="Y409" s="63">
        <f t="shared" si="425"/>
        <v>6157.2620357270625</v>
      </c>
      <c r="Z409" s="63">
        <f t="shared" si="426"/>
        <v>65.590008369928768</v>
      </c>
      <c r="AA409" s="63">
        <f t="shared" si="427"/>
        <v>28.695628661843834</v>
      </c>
      <c r="AB409" s="63">
        <f t="shared" si="428"/>
        <v>335</v>
      </c>
      <c r="AC409" s="63">
        <f t="shared" si="429"/>
        <v>10356.36</v>
      </c>
      <c r="AD409" s="63">
        <f t="shared" si="430"/>
        <v>106.9136</v>
      </c>
      <c r="AE409" s="178">
        <v>568</v>
      </c>
    </row>
    <row r="410" spans="1:31" x14ac:dyDescent="0.25">
      <c r="A410" s="167">
        <v>568</v>
      </c>
      <c r="B410" s="167">
        <v>568310</v>
      </c>
      <c r="C410" s="168" t="s">
        <v>4036</v>
      </c>
      <c r="D410" s="168" t="s">
        <v>2461</v>
      </c>
      <c r="E410" s="168" t="s">
        <v>2956</v>
      </c>
      <c r="F410" s="58">
        <v>41673</v>
      </c>
      <c r="G410" s="59">
        <f t="shared" si="416"/>
        <v>6.9095890410958907</v>
      </c>
      <c r="H410" s="61">
        <v>37953.177839999997</v>
      </c>
      <c r="I410" s="63">
        <v>35768.339999999997</v>
      </c>
      <c r="J410" s="61">
        <v>38902.007286</v>
      </c>
      <c r="K410" s="63">
        <f t="shared" si="417"/>
        <v>38902.007286</v>
      </c>
      <c r="L410" s="63">
        <f t="shared" si="418"/>
        <v>18.702888118269232</v>
      </c>
      <c r="M410" s="63">
        <f t="shared" si="419"/>
        <v>1496.2310494615385</v>
      </c>
      <c r="N410" s="63">
        <f t="shared" si="431"/>
        <v>1560.1315068493152</v>
      </c>
      <c r="O410" s="65"/>
      <c r="P410" s="65"/>
      <c r="Q410" s="63">
        <f t="shared" si="420"/>
        <v>1560.1315068493152</v>
      </c>
      <c r="R410" s="63">
        <f t="shared" si="421"/>
        <v>40462.138792849313</v>
      </c>
      <c r="S410" s="65"/>
      <c r="T410" s="65"/>
      <c r="U410" s="65"/>
      <c r="V410" s="63">
        <f t="shared" si="422"/>
        <v>40462.138792849313</v>
      </c>
      <c r="W410" s="63">
        <f t="shared" si="423"/>
        <v>2508.6526051566575</v>
      </c>
      <c r="X410" s="63">
        <f t="shared" si="424"/>
        <v>586.70101249631512</v>
      </c>
      <c r="Y410" s="63">
        <f t="shared" si="425"/>
        <v>6077.4132466859664</v>
      </c>
      <c r="Z410" s="63">
        <f t="shared" si="426"/>
        <v>64.739422068558909</v>
      </c>
      <c r="AA410" s="63">
        <f t="shared" si="427"/>
        <v>28.32349715499452</v>
      </c>
      <c r="AB410" s="63">
        <f t="shared" si="428"/>
        <v>335</v>
      </c>
      <c r="AC410" s="63">
        <f t="shared" si="429"/>
        <v>10356.36</v>
      </c>
      <c r="AD410" s="63">
        <f t="shared" si="430"/>
        <v>106.9136</v>
      </c>
      <c r="AE410" s="178">
        <v>568</v>
      </c>
    </row>
    <row r="411" spans="1:31" x14ac:dyDescent="0.25">
      <c r="A411" s="167">
        <v>568</v>
      </c>
      <c r="B411" s="167">
        <v>568311</v>
      </c>
      <c r="C411" s="168" t="s">
        <v>4037</v>
      </c>
      <c r="D411" s="181" t="s">
        <v>3803</v>
      </c>
      <c r="E411" s="181" t="s">
        <v>2592</v>
      </c>
      <c r="F411" s="58">
        <v>41127</v>
      </c>
      <c r="G411" s="59">
        <f t="shared" si="416"/>
        <v>8.4054794520547951</v>
      </c>
      <c r="H411" s="61">
        <v>37953.177839999997</v>
      </c>
      <c r="I411" s="63">
        <v>35768.339999999997</v>
      </c>
      <c r="J411" s="61">
        <v>38902.007286</v>
      </c>
      <c r="K411" s="63">
        <f t="shared" si="417"/>
        <v>38902.007286</v>
      </c>
      <c r="L411" s="63">
        <f t="shared" si="418"/>
        <v>18.702888118269232</v>
      </c>
      <c r="M411" s="63">
        <f t="shared" si="419"/>
        <v>1496.2310494615385</v>
      </c>
      <c r="N411" s="63">
        <f t="shared" si="431"/>
        <v>1955.046575342466</v>
      </c>
      <c r="O411" s="65"/>
      <c r="P411" s="65"/>
      <c r="Q411" s="63">
        <f t="shared" si="420"/>
        <v>1955.046575342466</v>
      </c>
      <c r="R411" s="63">
        <f t="shared" si="421"/>
        <v>40857.053861342465</v>
      </c>
      <c r="S411" s="65"/>
      <c r="T411" s="65"/>
      <c r="U411" s="65"/>
      <c r="V411" s="63">
        <f t="shared" si="422"/>
        <v>40857.053861342465</v>
      </c>
      <c r="W411" s="63">
        <f t="shared" si="423"/>
        <v>2533.137339403233</v>
      </c>
      <c r="X411" s="63">
        <f t="shared" si="424"/>
        <v>592.42728098946577</v>
      </c>
      <c r="Y411" s="63">
        <f t="shared" si="425"/>
        <v>6136.729489973638</v>
      </c>
      <c r="Z411" s="63">
        <f t="shared" si="426"/>
        <v>65.37128617814794</v>
      </c>
      <c r="AA411" s="63">
        <f t="shared" si="427"/>
        <v>28.599937702939727</v>
      </c>
      <c r="AB411" s="63">
        <f t="shared" si="428"/>
        <v>335</v>
      </c>
      <c r="AC411" s="63">
        <f t="shared" si="429"/>
        <v>10356.36</v>
      </c>
      <c r="AD411" s="63">
        <f t="shared" si="430"/>
        <v>106.9136</v>
      </c>
      <c r="AE411" s="178">
        <v>568</v>
      </c>
    </row>
    <row r="412" spans="1:31" x14ac:dyDescent="0.25">
      <c r="A412" s="167">
        <v>568</v>
      </c>
      <c r="B412" s="167">
        <v>568312</v>
      </c>
      <c r="C412" s="168" t="s">
        <v>4038</v>
      </c>
      <c r="D412" s="168" t="s">
        <v>3135</v>
      </c>
      <c r="E412" s="168" t="s">
        <v>2862</v>
      </c>
      <c r="F412" s="58">
        <v>40742</v>
      </c>
      <c r="G412" s="59">
        <f t="shared" si="416"/>
        <v>9.4602739726027405</v>
      </c>
      <c r="H412" s="61">
        <v>37953.177839999997</v>
      </c>
      <c r="I412" s="63">
        <v>35768.339999999997</v>
      </c>
      <c r="J412" s="61">
        <v>38902.007286</v>
      </c>
      <c r="K412" s="63">
        <f t="shared" si="417"/>
        <v>38902.007286</v>
      </c>
      <c r="L412" s="63">
        <f t="shared" si="418"/>
        <v>18.702888118269232</v>
      </c>
      <c r="M412" s="63">
        <f t="shared" si="419"/>
        <v>1496.2310494615385</v>
      </c>
      <c r="N412" s="63">
        <f t="shared" si="431"/>
        <v>2233.5123287671236</v>
      </c>
      <c r="O412" s="65"/>
      <c r="P412" s="65"/>
      <c r="Q412" s="63">
        <f t="shared" si="420"/>
        <v>2233.5123287671236</v>
      </c>
      <c r="R412" s="63">
        <f t="shared" si="421"/>
        <v>41135.519614767123</v>
      </c>
      <c r="S412" s="65"/>
      <c r="T412" s="65"/>
      <c r="U412" s="65"/>
      <c r="V412" s="63">
        <f t="shared" si="422"/>
        <v>41135.519614767123</v>
      </c>
      <c r="W412" s="63">
        <f t="shared" si="423"/>
        <v>2550.4022161155617</v>
      </c>
      <c r="X412" s="63">
        <f t="shared" si="424"/>
        <v>596.46503441412335</v>
      </c>
      <c r="Y412" s="63">
        <f t="shared" si="425"/>
        <v>6178.5550461380217</v>
      </c>
      <c r="Z412" s="63">
        <f t="shared" si="426"/>
        <v>65.816831383627402</v>
      </c>
      <c r="AA412" s="63">
        <f t="shared" si="427"/>
        <v>28.794863730336985</v>
      </c>
      <c r="AB412" s="63">
        <f t="shared" si="428"/>
        <v>335</v>
      </c>
      <c r="AC412" s="63">
        <f t="shared" si="429"/>
        <v>10356.36</v>
      </c>
      <c r="AD412" s="63">
        <f t="shared" si="430"/>
        <v>106.9136</v>
      </c>
      <c r="AE412" s="178">
        <v>568</v>
      </c>
    </row>
    <row r="413" spans="1:31" x14ac:dyDescent="0.25">
      <c r="A413" s="167">
        <v>568</v>
      </c>
      <c r="B413" s="167">
        <v>568320</v>
      </c>
      <c r="C413" s="168" t="s">
        <v>4099</v>
      </c>
      <c r="D413" s="181" t="s">
        <v>4100</v>
      </c>
      <c r="E413" s="181" t="s">
        <v>2635</v>
      </c>
      <c r="F413" s="87">
        <v>42668</v>
      </c>
      <c r="G413" s="59">
        <f t="shared" si="416"/>
        <v>4.183561643835616</v>
      </c>
      <c r="H413" s="61">
        <v>34895.9424</v>
      </c>
      <c r="I413" s="63">
        <v>35768.339999999997</v>
      </c>
      <c r="J413" s="61">
        <v>35768.340960000001</v>
      </c>
      <c r="K413" s="63">
        <f t="shared" si="417"/>
        <v>35768.340960000001</v>
      </c>
      <c r="L413" s="63">
        <f t="shared" si="418"/>
        <v>17.19631776923077</v>
      </c>
      <c r="M413" s="63">
        <f t="shared" si="419"/>
        <v>1375.7054215384617</v>
      </c>
      <c r="N413" s="63">
        <f t="shared" si="431"/>
        <v>840.46027397260264</v>
      </c>
      <c r="O413" s="65"/>
      <c r="P413" s="65"/>
      <c r="Q413" s="63">
        <f t="shared" si="420"/>
        <v>840.46027397260264</v>
      </c>
      <c r="R413" s="63">
        <f t="shared" si="421"/>
        <v>36608.801233972605</v>
      </c>
      <c r="S413" s="65"/>
      <c r="T413" s="65"/>
      <c r="U413" s="65"/>
      <c r="V413" s="63">
        <f t="shared" si="422"/>
        <v>36608.801233972605</v>
      </c>
      <c r="W413" s="63">
        <f t="shared" si="423"/>
        <v>2269.7456765063016</v>
      </c>
      <c r="X413" s="63">
        <f t="shared" si="424"/>
        <v>530.8276178926028</v>
      </c>
      <c r="Y413" s="63">
        <f t="shared" si="425"/>
        <v>5498.6419453426852</v>
      </c>
      <c r="Z413" s="63">
        <f t="shared" si="426"/>
        <v>58.574081974356169</v>
      </c>
      <c r="AA413" s="63">
        <f t="shared" si="427"/>
        <v>25.626160863780822</v>
      </c>
      <c r="AB413" s="63">
        <f t="shared" si="428"/>
        <v>335</v>
      </c>
      <c r="AC413" s="63">
        <f t="shared" si="429"/>
        <v>10356.36</v>
      </c>
      <c r="AD413" s="63">
        <f t="shared" si="430"/>
        <v>106.9136</v>
      </c>
      <c r="AE413" s="178">
        <v>568</v>
      </c>
    </row>
    <row r="414" spans="1:31" x14ac:dyDescent="0.25">
      <c r="A414" s="167">
        <v>568</v>
      </c>
      <c r="B414" s="167">
        <v>568321</v>
      </c>
      <c r="C414" s="168" t="s">
        <v>4101</v>
      </c>
      <c r="D414" s="168" t="s">
        <v>3816</v>
      </c>
      <c r="E414" s="168" t="s">
        <v>4102</v>
      </c>
      <c r="F414" s="58">
        <v>40310</v>
      </c>
      <c r="G414" s="59">
        <f t="shared" si="416"/>
        <v>10.643835616438356</v>
      </c>
      <c r="H414" s="61">
        <v>34895.9424</v>
      </c>
      <c r="I414" s="63">
        <v>35768.339999999997</v>
      </c>
      <c r="J414" s="61">
        <v>35768.340960000001</v>
      </c>
      <c r="K414" s="63">
        <f t="shared" si="417"/>
        <v>35768.340960000001</v>
      </c>
      <c r="L414" s="63">
        <f t="shared" si="418"/>
        <v>17.19631776923077</v>
      </c>
      <c r="M414" s="63">
        <f t="shared" si="419"/>
        <v>1375.7054215384617</v>
      </c>
      <c r="N414" s="63">
        <f t="shared" si="431"/>
        <v>2545.972602739726</v>
      </c>
      <c r="O414" s="65"/>
      <c r="P414" s="65"/>
      <c r="Q414" s="63">
        <f t="shared" si="420"/>
        <v>2545.972602739726</v>
      </c>
      <c r="R414" s="63">
        <f t="shared" si="421"/>
        <v>38314.313562739728</v>
      </c>
      <c r="S414" s="65"/>
      <c r="T414" s="65"/>
      <c r="U414" s="65"/>
      <c r="V414" s="63">
        <f t="shared" si="422"/>
        <v>38314.313562739728</v>
      </c>
      <c r="W414" s="63">
        <f t="shared" si="423"/>
        <v>2375.4874408898631</v>
      </c>
      <c r="X414" s="63">
        <f t="shared" si="424"/>
        <v>555.55754665972609</v>
      </c>
      <c r="Y414" s="63">
        <f t="shared" si="425"/>
        <v>5754.8098971235067</v>
      </c>
      <c r="Z414" s="63">
        <f t="shared" si="426"/>
        <v>61.302901700383565</v>
      </c>
      <c r="AA414" s="63">
        <f t="shared" si="427"/>
        <v>26.820019493917808</v>
      </c>
      <c r="AB414" s="63">
        <f t="shared" si="428"/>
        <v>335</v>
      </c>
      <c r="AC414" s="63">
        <f t="shared" si="429"/>
        <v>10356.36</v>
      </c>
      <c r="AD414" s="63">
        <f t="shared" si="430"/>
        <v>106.9136</v>
      </c>
      <c r="AE414" s="178">
        <v>568</v>
      </c>
    </row>
    <row r="415" spans="1:31" x14ac:dyDescent="0.25">
      <c r="A415" s="167">
        <v>568</v>
      </c>
      <c r="B415" s="167">
        <v>568322</v>
      </c>
      <c r="C415" s="168" t="s">
        <v>4103</v>
      </c>
      <c r="D415" s="168" t="s">
        <v>3129</v>
      </c>
      <c r="E415" s="168" t="s">
        <v>3130</v>
      </c>
      <c r="F415" s="58">
        <v>39667</v>
      </c>
      <c r="G415" s="59">
        <f t="shared" si="416"/>
        <v>12.405479452054795</v>
      </c>
      <c r="H415" s="61">
        <v>34895.9424</v>
      </c>
      <c r="I415" s="63">
        <v>34143.49</v>
      </c>
      <c r="J415" s="61">
        <v>35768.340960000001</v>
      </c>
      <c r="K415" s="63">
        <f t="shared" si="417"/>
        <v>35768.340960000001</v>
      </c>
      <c r="L415" s="63">
        <f t="shared" si="418"/>
        <v>17.19631776923077</v>
      </c>
      <c r="M415" s="63">
        <f t="shared" si="419"/>
        <v>1375.7054215384617</v>
      </c>
      <c r="N415" s="63">
        <f t="shared" si="431"/>
        <v>3011.046575342466</v>
      </c>
      <c r="O415" s="65"/>
      <c r="P415" s="65"/>
      <c r="Q415" s="63">
        <f t="shared" si="420"/>
        <v>3011.046575342466</v>
      </c>
      <c r="R415" s="63">
        <f t="shared" si="421"/>
        <v>38779.387535342466</v>
      </c>
      <c r="S415" s="65"/>
      <c r="T415" s="65"/>
      <c r="U415" s="65"/>
      <c r="V415" s="63">
        <f t="shared" si="422"/>
        <v>38779.387535342466</v>
      </c>
      <c r="W415" s="63">
        <f t="shared" si="423"/>
        <v>2404.3220271912328</v>
      </c>
      <c r="X415" s="63">
        <f t="shared" si="424"/>
        <v>562.30111926246582</v>
      </c>
      <c r="Y415" s="63">
        <f t="shared" si="425"/>
        <v>5824.6640078084383</v>
      </c>
      <c r="Z415" s="63">
        <f t="shared" si="426"/>
        <v>62.04702005654795</v>
      </c>
      <c r="AA415" s="63">
        <f t="shared" si="427"/>
        <v>27.145571274739726</v>
      </c>
      <c r="AB415" s="63">
        <f t="shared" si="428"/>
        <v>335</v>
      </c>
      <c r="AC415" s="63">
        <f t="shared" si="429"/>
        <v>10356.36</v>
      </c>
      <c r="AD415" s="63">
        <f t="shared" si="430"/>
        <v>106.9136</v>
      </c>
      <c r="AE415" s="178">
        <v>568</v>
      </c>
    </row>
    <row r="416" spans="1:31" x14ac:dyDescent="0.25">
      <c r="A416" s="167">
        <v>568</v>
      </c>
      <c r="B416" s="167">
        <v>568323</v>
      </c>
      <c r="C416" s="168" t="s">
        <v>4104</v>
      </c>
      <c r="D416" s="168" t="s">
        <v>3132</v>
      </c>
      <c r="E416" s="168" t="s">
        <v>3133</v>
      </c>
      <c r="F416" s="58">
        <v>42611</v>
      </c>
      <c r="G416" s="59">
        <f t="shared" si="416"/>
        <v>4.3397260273972602</v>
      </c>
      <c r="H416" s="61">
        <v>34895.9424</v>
      </c>
      <c r="I416" s="63">
        <v>34143.49</v>
      </c>
      <c r="J416" s="61">
        <v>35768.340960000001</v>
      </c>
      <c r="K416" s="63">
        <f t="shared" si="417"/>
        <v>35768.340960000001</v>
      </c>
      <c r="L416" s="63">
        <f t="shared" si="418"/>
        <v>17.19631776923077</v>
      </c>
      <c r="M416" s="63">
        <f t="shared" si="419"/>
        <v>1375.7054215384617</v>
      </c>
      <c r="N416" s="63">
        <f t="shared" si="431"/>
        <v>881.68767123287671</v>
      </c>
      <c r="O416" s="65"/>
      <c r="P416" s="65"/>
      <c r="Q416" s="63">
        <f t="shared" si="420"/>
        <v>881.68767123287671</v>
      </c>
      <c r="R416" s="63">
        <f t="shared" si="421"/>
        <v>36650.028631232875</v>
      </c>
      <c r="S416" s="65"/>
      <c r="T416" s="65"/>
      <c r="U416" s="65"/>
      <c r="V416" s="63">
        <f t="shared" si="422"/>
        <v>36650.028631232875</v>
      </c>
      <c r="W416" s="63">
        <f t="shared" si="423"/>
        <v>2272.3017751364382</v>
      </c>
      <c r="X416" s="63">
        <f t="shared" si="424"/>
        <v>531.42541515287667</v>
      </c>
      <c r="Y416" s="63">
        <f t="shared" si="425"/>
        <v>5504.8343004111775</v>
      </c>
      <c r="Z416" s="63">
        <f t="shared" si="426"/>
        <v>58.640045809972605</v>
      </c>
      <c r="AA416" s="63">
        <f t="shared" si="427"/>
        <v>25.655020041863011</v>
      </c>
      <c r="AB416" s="63">
        <f t="shared" si="428"/>
        <v>335</v>
      </c>
      <c r="AC416" s="63">
        <f t="shared" si="429"/>
        <v>10356.36</v>
      </c>
      <c r="AD416" s="63">
        <f t="shared" si="430"/>
        <v>106.9136</v>
      </c>
      <c r="AE416" s="178">
        <v>568</v>
      </c>
    </row>
    <row r="417" spans="1:31" x14ac:dyDescent="0.25">
      <c r="A417" s="167">
        <v>568</v>
      </c>
      <c r="B417" s="167">
        <v>568324</v>
      </c>
      <c r="C417" s="168" t="s">
        <v>4105</v>
      </c>
      <c r="D417" s="168" t="s">
        <v>2498</v>
      </c>
      <c r="E417" s="168" t="s">
        <v>3115</v>
      </c>
      <c r="F417" s="58">
        <v>39294</v>
      </c>
      <c r="G417" s="59">
        <f t="shared" si="416"/>
        <v>13.427397260273972</v>
      </c>
      <c r="H417" s="61">
        <v>34895.9424</v>
      </c>
      <c r="I417" s="63">
        <v>34143.49</v>
      </c>
      <c r="J417" s="61">
        <v>35768.340960000001</v>
      </c>
      <c r="K417" s="63">
        <f t="shared" si="417"/>
        <v>35768.340960000001</v>
      </c>
      <c r="L417" s="63">
        <f t="shared" si="418"/>
        <v>17.19631776923077</v>
      </c>
      <c r="M417" s="63">
        <f t="shared" si="419"/>
        <v>1375.7054215384617</v>
      </c>
      <c r="N417" s="63">
        <f t="shared" si="431"/>
        <v>3280.8328767123285</v>
      </c>
      <c r="O417" s="65"/>
      <c r="P417" s="65"/>
      <c r="Q417" s="63">
        <f t="shared" si="420"/>
        <v>3280.8328767123285</v>
      </c>
      <c r="R417" s="63">
        <f t="shared" si="421"/>
        <v>39049.173836712333</v>
      </c>
      <c r="S417" s="65"/>
      <c r="T417" s="65"/>
      <c r="U417" s="65"/>
      <c r="V417" s="63">
        <f t="shared" si="422"/>
        <v>39049.173836712333</v>
      </c>
      <c r="W417" s="63">
        <f t="shared" si="423"/>
        <v>2421.0487778761644</v>
      </c>
      <c r="X417" s="63">
        <f t="shared" si="424"/>
        <v>566.21302063232883</v>
      </c>
      <c r="Y417" s="63">
        <f t="shared" si="425"/>
        <v>5865.1859102741928</v>
      </c>
      <c r="Z417" s="63">
        <f t="shared" si="426"/>
        <v>62.478678138739738</v>
      </c>
      <c r="AA417" s="63">
        <f t="shared" si="427"/>
        <v>27.334421685698633</v>
      </c>
      <c r="AB417" s="63">
        <f t="shared" si="428"/>
        <v>335</v>
      </c>
      <c r="AC417" s="63">
        <f t="shared" si="429"/>
        <v>10356.36</v>
      </c>
      <c r="AD417" s="63">
        <f t="shared" si="430"/>
        <v>106.9136</v>
      </c>
      <c r="AE417" s="178">
        <v>568</v>
      </c>
    </row>
    <row r="418" spans="1:31" x14ac:dyDescent="0.25">
      <c r="A418" s="167">
        <v>568</v>
      </c>
      <c r="B418" s="167">
        <v>568326</v>
      </c>
      <c r="C418" s="168" t="s">
        <v>4106</v>
      </c>
      <c r="D418" s="168" t="s">
        <v>3137</v>
      </c>
      <c r="E418" s="168" t="s">
        <v>3138</v>
      </c>
      <c r="F418" s="58">
        <v>43200</v>
      </c>
      <c r="G418" s="59">
        <f t="shared" si="416"/>
        <v>2.7260273972602738</v>
      </c>
      <c r="H418" s="61">
        <v>34895.9424</v>
      </c>
      <c r="I418" s="63">
        <v>34143.49</v>
      </c>
      <c r="J418" s="61">
        <v>35768.340960000001</v>
      </c>
      <c r="K418" s="63">
        <f t="shared" si="417"/>
        <v>35768.340960000001</v>
      </c>
      <c r="L418" s="63">
        <f t="shared" si="418"/>
        <v>17.19631776923077</v>
      </c>
      <c r="M418" s="63">
        <f t="shared" si="419"/>
        <v>1375.7054215384617</v>
      </c>
      <c r="N418" s="63">
        <f t="shared" si="431"/>
        <v>0</v>
      </c>
      <c r="O418" s="65"/>
      <c r="P418" s="65"/>
      <c r="Q418" s="63">
        <f t="shared" si="420"/>
        <v>0</v>
      </c>
      <c r="R418" s="63">
        <f t="shared" si="421"/>
        <v>35768.340960000001</v>
      </c>
      <c r="S418" s="65"/>
      <c r="T418" s="65"/>
      <c r="U418" s="65"/>
      <c r="V418" s="63">
        <f t="shared" si="422"/>
        <v>35768.340960000001</v>
      </c>
      <c r="W418" s="63">
        <f t="shared" si="423"/>
        <v>2217.6371395199999</v>
      </c>
      <c r="X418" s="63">
        <f t="shared" si="424"/>
        <v>518.64094392000004</v>
      </c>
      <c r="Y418" s="63">
        <f t="shared" si="425"/>
        <v>5372.4048121920005</v>
      </c>
      <c r="Z418" s="63">
        <f t="shared" si="426"/>
        <v>57.229345536000004</v>
      </c>
      <c r="AA418" s="63">
        <f t="shared" si="427"/>
        <v>25.037838671999999</v>
      </c>
      <c r="AB418" s="63">
        <f t="shared" si="428"/>
        <v>335</v>
      </c>
      <c r="AC418" s="63">
        <f t="shared" si="429"/>
        <v>10356.36</v>
      </c>
      <c r="AD418" s="63">
        <f t="shared" si="430"/>
        <v>106.9136</v>
      </c>
      <c r="AE418" s="178">
        <v>568</v>
      </c>
    </row>
    <row r="419" spans="1:31" x14ac:dyDescent="0.25">
      <c r="A419" s="167">
        <v>568</v>
      </c>
      <c r="B419" s="167">
        <v>568327</v>
      </c>
      <c r="C419" s="168" t="s">
        <v>4107</v>
      </c>
      <c r="D419" s="168" t="s">
        <v>3140</v>
      </c>
      <c r="E419" s="168" t="s">
        <v>3141</v>
      </c>
      <c r="F419" s="58">
        <v>39554</v>
      </c>
      <c r="G419" s="59">
        <f t="shared" si="416"/>
        <v>12.715068493150685</v>
      </c>
      <c r="H419" s="61">
        <v>34895.9424</v>
      </c>
      <c r="I419" s="63">
        <v>34143.49</v>
      </c>
      <c r="J419" s="61">
        <v>35768.340960000001</v>
      </c>
      <c r="K419" s="63">
        <f t="shared" si="417"/>
        <v>35768.340960000001</v>
      </c>
      <c r="L419" s="63">
        <f t="shared" si="418"/>
        <v>17.19631776923077</v>
      </c>
      <c r="M419" s="63">
        <f t="shared" si="419"/>
        <v>1375.7054215384617</v>
      </c>
      <c r="N419" s="63">
        <f t="shared" si="431"/>
        <v>3092.7780821917809</v>
      </c>
      <c r="O419" s="65"/>
      <c r="P419" s="65"/>
      <c r="Q419" s="63">
        <f t="shared" si="420"/>
        <v>3092.7780821917809</v>
      </c>
      <c r="R419" s="63">
        <f t="shared" si="421"/>
        <v>38861.119042191785</v>
      </c>
      <c r="S419" s="65"/>
      <c r="T419" s="65"/>
      <c r="U419" s="65"/>
      <c r="V419" s="63">
        <f t="shared" si="422"/>
        <v>38861.119042191785</v>
      </c>
      <c r="W419" s="63">
        <f t="shared" si="423"/>
        <v>2409.3893806158908</v>
      </c>
      <c r="X419" s="63">
        <f t="shared" si="424"/>
        <v>563.48622611178087</v>
      </c>
      <c r="Y419" s="63">
        <f t="shared" si="425"/>
        <v>5836.9400801372058</v>
      </c>
      <c r="Z419" s="63">
        <f t="shared" si="426"/>
        <v>62.17779046750686</v>
      </c>
      <c r="AA419" s="63">
        <f t="shared" si="427"/>
        <v>27.202783329534249</v>
      </c>
      <c r="AB419" s="63">
        <f t="shared" si="428"/>
        <v>335</v>
      </c>
      <c r="AC419" s="63">
        <f t="shared" si="429"/>
        <v>10356.36</v>
      </c>
      <c r="AD419" s="63">
        <f t="shared" si="430"/>
        <v>106.9136</v>
      </c>
      <c r="AE419" s="178">
        <v>568</v>
      </c>
    </row>
    <row r="420" spans="1:31" x14ac:dyDescent="0.25">
      <c r="A420" s="167">
        <v>568</v>
      </c>
      <c r="B420" s="167">
        <v>568328</v>
      </c>
      <c r="C420" s="168" t="s">
        <v>4108</v>
      </c>
      <c r="D420" s="168" t="s">
        <v>3117</v>
      </c>
      <c r="E420" s="168" t="s">
        <v>3118</v>
      </c>
      <c r="F420" s="58">
        <v>42759</v>
      </c>
      <c r="G420" s="59">
        <f t="shared" si="416"/>
        <v>3.9342465753424656</v>
      </c>
      <c r="H420" s="61">
        <v>34895.9424</v>
      </c>
      <c r="I420" s="63">
        <v>34143.49</v>
      </c>
      <c r="J420" s="61">
        <v>35768.340960000001</v>
      </c>
      <c r="K420" s="63">
        <f t="shared" si="417"/>
        <v>35768.340960000001</v>
      </c>
      <c r="L420" s="63">
        <f t="shared" si="418"/>
        <v>17.19631776923077</v>
      </c>
      <c r="M420" s="63">
        <f t="shared" si="419"/>
        <v>1375.7054215384617</v>
      </c>
      <c r="N420" s="63">
        <f t="shared" si="431"/>
        <v>0</v>
      </c>
      <c r="O420" s="65"/>
      <c r="P420" s="65"/>
      <c r="Q420" s="63">
        <f t="shared" si="420"/>
        <v>0</v>
      </c>
      <c r="R420" s="63">
        <f t="shared" si="421"/>
        <v>35768.340960000001</v>
      </c>
      <c r="S420" s="65"/>
      <c r="T420" s="65"/>
      <c r="U420" s="65"/>
      <c r="V420" s="63">
        <f t="shared" si="422"/>
        <v>35768.340960000001</v>
      </c>
      <c r="W420" s="63">
        <f t="shared" si="423"/>
        <v>2217.6371395199999</v>
      </c>
      <c r="X420" s="63">
        <f t="shared" si="424"/>
        <v>518.64094392000004</v>
      </c>
      <c r="Y420" s="63">
        <f t="shared" si="425"/>
        <v>5372.4048121920005</v>
      </c>
      <c r="Z420" s="63">
        <f t="shared" si="426"/>
        <v>57.229345536000004</v>
      </c>
      <c r="AA420" s="63">
        <f t="shared" si="427"/>
        <v>25.037838671999999</v>
      </c>
      <c r="AB420" s="63">
        <f t="shared" si="428"/>
        <v>335</v>
      </c>
      <c r="AC420" s="63">
        <f t="shared" si="429"/>
        <v>10356.36</v>
      </c>
      <c r="AD420" s="63">
        <f t="shared" si="430"/>
        <v>106.9136</v>
      </c>
      <c r="AE420" s="247" t="s">
        <v>4109</v>
      </c>
    </row>
    <row r="421" spans="1:31" x14ac:dyDescent="0.25">
      <c r="A421" s="167">
        <v>568</v>
      </c>
      <c r="B421" s="167">
        <v>568341</v>
      </c>
      <c r="C421" s="168" t="s">
        <v>4110</v>
      </c>
      <c r="D421" s="168" t="s">
        <v>2586</v>
      </c>
      <c r="E421" s="168" t="s">
        <v>2506</v>
      </c>
      <c r="F421" s="58">
        <v>43598</v>
      </c>
      <c r="G421" s="59">
        <f t="shared" si="416"/>
        <v>1.6356164383561644</v>
      </c>
      <c r="H421" s="61">
        <v>33310.718240000002</v>
      </c>
      <c r="I421" s="63">
        <v>34143.49</v>
      </c>
      <c r="J421" s="61">
        <v>34143.486196000005</v>
      </c>
      <c r="K421" s="63">
        <f t="shared" si="417"/>
        <v>34143.486196000005</v>
      </c>
      <c r="L421" s="63">
        <f t="shared" si="418"/>
        <v>16.415137594230771</v>
      </c>
      <c r="M421" s="63">
        <f t="shared" si="419"/>
        <v>1313.2110075384617</v>
      </c>
      <c r="N421" s="63">
        <f t="shared" si="431"/>
        <v>0</v>
      </c>
      <c r="O421" s="65"/>
      <c r="P421" s="65"/>
      <c r="Q421" s="63">
        <f t="shared" si="420"/>
        <v>0</v>
      </c>
      <c r="R421" s="63">
        <f t="shared" si="421"/>
        <v>34143.486196000005</v>
      </c>
      <c r="S421" s="65"/>
      <c r="T421" s="65"/>
      <c r="U421" s="65"/>
      <c r="V421" s="63">
        <f t="shared" si="422"/>
        <v>34143.486196000005</v>
      </c>
      <c r="W421" s="63">
        <f t="shared" si="423"/>
        <v>2116.8961441520005</v>
      </c>
      <c r="X421" s="63">
        <f t="shared" si="424"/>
        <v>495.0805498420001</v>
      </c>
      <c r="Y421" s="63">
        <f t="shared" si="425"/>
        <v>5128.3516266392007</v>
      </c>
      <c r="Z421" s="63">
        <f t="shared" si="426"/>
        <v>54.629577913600009</v>
      </c>
      <c r="AA421" s="63">
        <f t="shared" si="427"/>
        <v>23.900440337200003</v>
      </c>
      <c r="AB421" s="63">
        <f t="shared" si="428"/>
        <v>335</v>
      </c>
      <c r="AC421" s="63">
        <f t="shared" si="429"/>
        <v>10356.36</v>
      </c>
      <c r="AD421" s="63">
        <f t="shared" si="430"/>
        <v>106.9136</v>
      </c>
      <c r="AE421" s="178">
        <v>568</v>
      </c>
    </row>
    <row r="422" spans="1:31" x14ac:dyDescent="0.25">
      <c r="A422" s="167">
        <v>568</v>
      </c>
      <c r="B422" s="167">
        <v>568342</v>
      </c>
      <c r="C422" s="168" t="s">
        <v>4111</v>
      </c>
      <c r="D422" s="185" t="s">
        <v>3261</v>
      </c>
      <c r="E422" s="185" t="s">
        <v>3262</v>
      </c>
      <c r="F422" s="58">
        <v>33048</v>
      </c>
      <c r="G422" s="59">
        <f t="shared" si="416"/>
        <v>30.539726027397261</v>
      </c>
      <c r="H422" s="61">
        <v>33310.718240000002</v>
      </c>
      <c r="I422" s="63">
        <v>34143.49</v>
      </c>
      <c r="J422" s="61">
        <v>34143.486196000005</v>
      </c>
      <c r="K422" s="63">
        <f t="shared" si="417"/>
        <v>34143.486196000005</v>
      </c>
      <c r="L422" s="63">
        <f t="shared" si="418"/>
        <v>16.415137594230771</v>
      </c>
      <c r="M422" s="63">
        <f t="shared" si="419"/>
        <v>1313.2110075384617</v>
      </c>
      <c r="N422" s="63">
        <f t="shared" si="431"/>
        <v>7798.4876712328769</v>
      </c>
      <c r="O422" s="65"/>
      <c r="P422" s="65"/>
      <c r="Q422" s="63">
        <f t="shared" si="420"/>
        <v>5000</v>
      </c>
      <c r="R422" s="63">
        <f t="shared" si="421"/>
        <v>39143.486196000005</v>
      </c>
      <c r="S422" s="65"/>
      <c r="T422" s="65"/>
      <c r="U422" s="65"/>
      <c r="V422" s="63">
        <f t="shared" si="422"/>
        <v>39143.486196000005</v>
      </c>
      <c r="W422" s="63">
        <f t="shared" si="423"/>
        <v>2426.8961441520005</v>
      </c>
      <c r="X422" s="63">
        <f t="shared" si="424"/>
        <v>567.5805498420001</v>
      </c>
      <c r="Y422" s="63">
        <f t="shared" si="425"/>
        <v>5879.3516266392007</v>
      </c>
      <c r="Z422" s="63">
        <f t="shared" si="426"/>
        <v>62.629577913600009</v>
      </c>
      <c r="AA422" s="63">
        <f t="shared" si="427"/>
        <v>27.400440337200003</v>
      </c>
      <c r="AB422" s="63">
        <f t="shared" si="428"/>
        <v>335</v>
      </c>
      <c r="AC422" s="63">
        <f t="shared" si="429"/>
        <v>10356.36</v>
      </c>
      <c r="AD422" s="63">
        <f t="shared" si="430"/>
        <v>106.9136</v>
      </c>
      <c r="AE422" s="178">
        <v>568</v>
      </c>
    </row>
    <row r="423" spans="1:31" x14ac:dyDescent="0.25">
      <c r="A423" s="167">
        <v>568</v>
      </c>
      <c r="B423" s="167">
        <v>568343</v>
      </c>
      <c r="C423" s="168" t="s">
        <v>4112</v>
      </c>
      <c r="D423" s="271" t="s">
        <v>2805</v>
      </c>
      <c r="E423" s="271" t="s">
        <v>2806</v>
      </c>
      <c r="F423" s="403">
        <v>43831</v>
      </c>
      <c r="G423" s="59">
        <f t="shared" si="416"/>
        <v>0.99726027397260275</v>
      </c>
      <c r="H423" s="61">
        <v>33310.718240000002</v>
      </c>
      <c r="I423" s="63">
        <v>34143.49</v>
      </c>
      <c r="J423" s="61">
        <v>34143.486196000005</v>
      </c>
      <c r="K423" s="63">
        <f t="shared" si="417"/>
        <v>34143.486196000005</v>
      </c>
      <c r="L423" s="63">
        <f t="shared" si="418"/>
        <v>16.415137594230771</v>
      </c>
      <c r="M423" s="63">
        <f t="shared" si="419"/>
        <v>1313.2110075384617</v>
      </c>
      <c r="N423" s="63">
        <f t="shared" si="431"/>
        <v>0</v>
      </c>
      <c r="O423" s="65"/>
      <c r="P423" s="65"/>
      <c r="Q423" s="63">
        <f t="shared" si="420"/>
        <v>0</v>
      </c>
      <c r="R423" s="63">
        <f t="shared" si="421"/>
        <v>34143.486196000005</v>
      </c>
      <c r="S423" s="65"/>
      <c r="T423" s="65"/>
      <c r="U423" s="65"/>
      <c r="V423" s="63">
        <f t="shared" si="422"/>
        <v>34143.486196000005</v>
      </c>
      <c r="W423" s="63">
        <f t="shared" si="423"/>
        <v>2116.8961441520005</v>
      </c>
      <c r="X423" s="63">
        <f t="shared" si="424"/>
        <v>495.0805498420001</v>
      </c>
      <c r="Y423" s="63">
        <f t="shared" si="425"/>
        <v>5128.3516266392007</v>
      </c>
      <c r="Z423" s="63">
        <f t="shared" si="426"/>
        <v>54.629577913600009</v>
      </c>
      <c r="AA423" s="63">
        <f t="shared" si="427"/>
        <v>23.900440337200003</v>
      </c>
      <c r="AB423" s="63">
        <f t="shared" si="428"/>
        <v>335</v>
      </c>
      <c r="AC423" s="63">
        <f t="shared" si="429"/>
        <v>10356.36</v>
      </c>
      <c r="AD423" s="63">
        <f t="shared" si="430"/>
        <v>106.9136</v>
      </c>
      <c r="AE423" s="178">
        <v>568</v>
      </c>
    </row>
    <row r="424" spans="1:31" x14ac:dyDescent="0.25">
      <c r="A424" s="167">
        <v>568</v>
      </c>
      <c r="B424" s="167">
        <v>568344</v>
      </c>
      <c r="C424" s="168" t="s">
        <v>4113</v>
      </c>
      <c r="D424" s="168" t="s">
        <v>3213</v>
      </c>
      <c r="E424" s="168" t="s">
        <v>3214</v>
      </c>
      <c r="F424" s="58">
        <v>42408</v>
      </c>
      <c r="G424" s="59">
        <f t="shared" si="416"/>
        <v>4.8958904109589039</v>
      </c>
      <c r="H424" s="61">
        <v>33310.718240000002</v>
      </c>
      <c r="I424" s="63">
        <v>34143.49</v>
      </c>
      <c r="J424" s="61">
        <v>34143.486196000005</v>
      </c>
      <c r="K424" s="63">
        <f t="shared" si="417"/>
        <v>34143.486196000005</v>
      </c>
      <c r="L424" s="63">
        <f t="shared" si="418"/>
        <v>16.415137594230771</v>
      </c>
      <c r="M424" s="63">
        <f t="shared" si="419"/>
        <v>1313.2110075384617</v>
      </c>
      <c r="N424" s="63">
        <f t="shared" si="431"/>
        <v>1028.5150684931507</v>
      </c>
      <c r="O424" s="65"/>
      <c r="P424" s="65"/>
      <c r="Q424" s="63">
        <f t="shared" si="420"/>
        <v>1028.5150684931507</v>
      </c>
      <c r="R424" s="63">
        <f t="shared" si="421"/>
        <v>35172.001264493156</v>
      </c>
      <c r="S424" s="65"/>
      <c r="T424" s="65"/>
      <c r="U424" s="65"/>
      <c r="V424" s="63">
        <f t="shared" si="422"/>
        <v>35172.001264493156</v>
      </c>
      <c r="W424" s="63">
        <f t="shared" si="423"/>
        <v>2180.6640783985758</v>
      </c>
      <c r="X424" s="63">
        <f t="shared" si="424"/>
        <v>509.99401833515077</v>
      </c>
      <c r="Y424" s="63">
        <f t="shared" si="425"/>
        <v>5282.8345899268716</v>
      </c>
      <c r="Z424" s="63">
        <f t="shared" si="426"/>
        <v>56.275202023189053</v>
      </c>
      <c r="AA424" s="63">
        <f t="shared" si="427"/>
        <v>24.620400885145209</v>
      </c>
      <c r="AB424" s="63">
        <f t="shared" si="428"/>
        <v>335</v>
      </c>
      <c r="AC424" s="63">
        <f t="shared" si="429"/>
        <v>10356.36</v>
      </c>
      <c r="AD424" s="63">
        <f t="shared" si="430"/>
        <v>106.9136</v>
      </c>
      <c r="AE424" s="178">
        <v>568</v>
      </c>
    </row>
    <row r="425" spans="1:31" x14ac:dyDescent="0.25">
      <c r="A425" s="167">
        <v>568</v>
      </c>
      <c r="B425" s="167">
        <v>568345</v>
      </c>
      <c r="C425" s="168" t="s">
        <v>4114</v>
      </c>
      <c r="D425" s="168" t="s">
        <v>3804</v>
      </c>
      <c r="E425" s="168" t="s">
        <v>3399</v>
      </c>
      <c r="F425" s="58">
        <v>43633</v>
      </c>
      <c r="G425" s="59">
        <f t="shared" si="416"/>
        <v>1.5397260273972602</v>
      </c>
      <c r="H425" s="61">
        <v>33310.718240000002</v>
      </c>
      <c r="I425" s="63">
        <v>34143.49</v>
      </c>
      <c r="J425" s="61">
        <v>34143.486196000005</v>
      </c>
      <c r="K425" s="63">
        <f t="shared" si="417"/>
        <v>34143.486196000005</v>
      </c>
      <c r="L425" s="63">
        <f t="shared" si="418"/>
        <v>16.415137594230771</v>
      </c>
      <c r="M425" s="63">
        <f t="shared" si="419"/>
        <v>1313.2110075384617</v>
      </c>
      <c r="N425" s="63">
        <v>996.69</v>
      </c>
      <c r="O425" s="65"/>
      <c r="P425" s="65"/>
      <c r="Q425" s="63">
        <f t="shared" si="420"/>
        <v>996.69</v>
      </c>
      <c r="R425" s="63">
        <f t="shared" si="421"/>
        <v>35140.176196000008</v>
      </c>
      <c r="S425" s="65"/>
      <c r="T425" s="65"/>
      <c r="U425" s="65"/>
      <c r="V425" s="63">
        <f t="shared" si="422"/>
        <v>35140.176196000008</v>
      </c>
      <c r="W425" s="63">
        <f t="shared" si="423"/>
        <v>2178.6909241520007</v>
      </c>
      <c r="X425" s="63">
        <f t="shared" si="424"/>
        <v>509.53255484200014</v>
      </c>
      <c r="Y425" s="63">
        <f t="shared" si="425"/>
        <v>5278.0544646392009</v>
      </c>
      <c r="Z425" s="63">
        <f t="shared" si="426"/>
        <v>56.224281913600016</v>
      </c>
      <c r="AA425" s="63">
        <f t="shared" si="427"/>
        <v>24.598123337200004</v>
      </c>
      <c r="AB425" s="63">
        <f t="shared" si="428"/>
        <v>335</v>
      </c>
      <c r="AC425" s="63">
        <f t="shared" si="429"/>
        <v>10356.36</v>
      </c>
      <c r="AD425" s="63">
        <f t="shared" si="430"/>
        <v>106.9136</v>
      </c>
      <c r="AE425" s="178">
        <v>568</v>
      </c>
    </row>
    <row r="426" spans="1:31" x14ac:dyDescent="0.25">
      <c r="A426" s="167">
        <v>568</v>
      </c>
      <c r="B426" s="167">
        <v>568346</v>
      </c>
      <c r="C426" s="168" t="s">
        <v>4115</v>
      </c>
      <c r="D426" s="297" t="s">
        <v>2805</v>
      </c>
      <c r="E426" s="297" t="s">
        <v>2806</v>
      </c>
      <c r="F426" s="403">
        <v>43831</v>
      </c>
      <c r="G426" s="59">
        <f t="shared" si="416"/>
        <v>0.99726027397260275</v>
      </c>
      <c r="H426" s="61">
        <v>33310.718240000002</v>
      </c>
      <c r="I426" s="63"/>
      <c r="J426" s="61">
        <v>34143.486196000005</v>
      </c>
      <c r="K426" s="63">
        <f t="shared" si="417"/>
        <v>34143.486196000005</v>
      </c>
      <c r="L426" s="63">
        <f t="shared" si="418"/>
        <v>16.415137594230771</v>
      </c>
      <c r="M426" s="63">
        <f t="shared" si="419"/>
        <v>1313.2110075384617</v>
      </c>
      <c r="N426" s="63">
        <f t="shared" ref="N426:N493" si="432">IF(G426&lt;4,0,(G426-1)*$N$7)</f>
        <v>0</v>
      </c>
      <c r="O426" s="65"/>
      <c r="P426" s="65"/>
      <c r="Q426" s="63">
        <f t="shared" si="420"/>
        <v>0</v>
      </c>
      <c r="R426" s="63">
        <f t="shared" si="421"/>
        <v>34143.486196000005</v>
      </c>
      <c r="S426" s="65"/>
      <c r="T426" s="65"/>
      <c r="U426" s="65"/>
      <c r="V426" s="63">
        <f t="shared" si="422"/>
        <v>34143.486196000005</v>
      </c>
      <c r="W426" s="63">
        <f t="shared" si="423"/>
        <v>2116.8961441520005</v>
      </c>
      <c r="X426" s="63">
        <f t="shared" si="424"/>
        <v>495.0805498420001</v>
      </c>
      <c r="Y426" s="63">
        <f t="shared" si="425"/>
        <v>5128.3516266392007</v>
      </c>
      <c r="Z426" s="63">
        <f t="shared" si="426"/>
        <v>54.629577913600009</v>
      </c>
      <c r="AA426" s="63">
        <f t="shared" si="427"/>
        <v>23.900440337200003</v>
      </c>
      <c r="AB426" s="63">
        <f t="shared" si="428"/>
        <v>335</v>
      </c>
      <c r="AC426" s="63">
        <f t="shared" si="429"/>
        <v>10356.36</v>
      </c>
      <c r="AD426" s="63">
        <f t="shared" si="430"/>
        <v>106.9136</v>
      </c>
      <c r="AE426" s="178">
        <v>568</v>
      </c>
    </row>
    <row r="427" spans="1:31" x14ac:dyDescent="0.25">
      <c r="A427" s="167">
        <v>568</v>
      </c>
      <c r="B427" s="167">
        <v>568347</v>
      </c>
      <c r="C427" s="168" t="s">
        <v>4116</v>
      </c>
      <c r="D427" s="168" t="s">
        <v>3813</v>
      </c>
      <c r="E427" s="168" t="s">
        <v>3814</v>
      </c>
      <c r="F427" s="58">
        <v>43635</v>
      </c>
      <c r="G427" s="59">
        <f t="shared" si="416"/>
        <v>1.5342465753424657</v>
      </c>
      <c r="H427" s="61">
        <v>33310.718240000002</v>
      </c>
      <c r="I427" s="63">
        <v>34143.49</v>
      </c>
      <c r="J427" s="61">
        <v>34143.486196000005</v>
      </c>
      <c r="K427" s="63">
        <f t="shared" si="417"/>
        <v>34143.486196000005</v>
      </c>
      <c r="L427" s="63">
        <f t="shared" si="418"/>
        <v>16.415137594230771</v>
      </c>
      <c r="M427" s="63">
        <f t="shared" si="419"/>
        <v>1313.2110075384617</v>
      </c>
      <c r="N427" s="63">
        <f t="shared" si="432"/>
        <v>0</v>
      </c>
      <c r="O427" s="65"/>
      <c r="P427" s="65"/>
      <c r="Q427" s="63">
        <f t="shared" si="420"/>
        <v>0</v>
      </c>
      <c r="R427" s="63">
        <f t="shared" si="421"/>
        <v>34143.486196000005</v>
      </c>
      <c r="S427" s="65"/>
      <c r="T427" s="65"/>
      <c r="U427" s="65"/>
      <c r="V427" s="63">
        <f t="shared" si="422"/>
        <v>34143.486196000005</v>
      </c>
      <c r="W427" s="63">
        <f t="shared" si="423"/>
        <v>2116.8961441520005</v>
      </c>
      <c r="X427" s="63">
        <f t="shared" si="424"/>
        <v>495.0805498420001</v>
      </c>
      <c r="Y427" s="63">
        <f t="shared" si="425"/>
        <v>5128.3516266392007</v>
      </c>
      <c r="Z427" s="63">
        <f t="shared" si="426"/>
        <v>54.629577913600009</v>
      </c>
      <c r="AA427" s="63">
        <f t="shared" si="427"/>
        <v>23.900440337200003</v>
      </c>
      <c r="AB427" s="63">
        <f t="shared" si="428"/>
        <v>335</v>
      </c>
      <c r="AC427" s="63">
        <f t="shared" si="429"/>
        <v>10356.36</v>
      </c>
      <c r="AD427" s="63">
        <f t="shared" si="430"/>
        <v>106.9136</v>
      </c>
      <c r="AE427" s="178">
        <v>568</v>
      </c>
    </row>
    <row r="428" spans="1:31" x14ac:dyDescent="0.25">
      <c r="A428" s="167">
        <v>568</v>
      </c>
      <c r="B428" s="167">
        <v>568348</v>
      </c>
      <c r="C428" s="168" t="s">
        <v>4117</v>
      </c>
      <c r="D428" s="168" t="s">
        <v>3152</v>
      </c>
      <c r="E428" s="168" t="s">
        <v>3153</v>
      </c>
      <c r="F428" s="58">
        <v>43635</v>
      </c>
      <c r="G428" s="59">
        <f t="shared" si="416"/>
        <v>1.5342465753424657</v>
      </c>
      <c r="H428" s="61">
        <v>33310.718240000002</v>
      </c>
      <c r="I428" s="63">
        <v>34143.49</v>
      </c>
      <c r="J428" s="61">
        <v>34143.486196000005</v>
      </c>
      <c r="K428" s="63">
        <f t="shared" si="417"/>
        <v>34143.486196000005</v>
      </c>
      <c r="L428" s="63">
        <f t="shared" si="418"/>
        <v>16.415137594230771</v>
      </c>
      <c r="M428" s="63">
        <f t="shared" si="419"/>
        <v>1313.2110075384617</v>
      </c>
      <c r="N428" s="63">
        <f t="shared" si="432"/>
        <v>0</v>
      </c>
      <c r="O428" s="65"/>
      <c r="P428" s="65"/>
      <c r="Q428" s="63">
        <f t="shared" si="420"/>
        <v>0</v>
      </c>
      <c r="R428" s="63">
        <f t="shared" si="421"/>
        <v>34143.486196000005</v>
      </c>
      <c r="S428" s="65"/>
      <c r="T428" s="65"/>
      <c r="U428" s="65"/>
      <c r="V428" s="63">
        <f t="shared" si="422"/>
        <v>34143.486196000005</v>
      </c>
      <c r="W428" s="63">
        <f t="shared" si="423"/>
        <v>2116.8961441520005</v>
      </c>
      <c r="X428" s="63">
        <f t="shared" si="424"/>
        <v>495.0805498420001</v>
      </c>
      <c r="Y428" s="63">
        <f t="shared" si="425"/>
        <v>5128.3516266392007</v>
      </c>
      <c r="Z428" s="63">
        <f t="shared" si="426"/>
        <v>54.629577913600009</v>
      </c>
      <c r="AA428" s="63">
        <f t="shared" si="427"/>
        <v>23.900440337200003</v>
      </c>
      <c r="AB428" s="63">
        <f t="shared" si="428"/>
        <v>335</v>
      </c>
      <c r="AC428" s="63">
        <f t="shared" si="429"/>
        <v>10356.36</v>
      </c>
      <c r="AD428" s="63">
        <f t="shared" si="430"/>
        <v>106.9136</v>
      </c>
      <c r="AE428" s="178">
        <v>568</v>
      </c>
    </row>
    <row r="429" spans="1:31" x14ac:dyDescent="0.25">
      <c r="A429" s="167">
        <v>568</v>
      </c>
      <c r="B429" s="167">
        <v>568350</v>
      </c>
      <c r="C429" s="168" t="s">
        <v>4118</v>
      </c>
      <c r="D429" s="168" t="s">
        <v>3246</v>
      </c>
      <c r="E429" s="168" t="s">
        <v>2577</v>
      </c>
      <c r="F429" s="58">
        <v>41316</v>
      </c>
      <c r="G429" s="59">
        <f t="shared" si="416"/>
        <v>7.8876712328767127</v>
      </c>
      <c r="H429" s="61">
        <v>33310.718240000002</v>
      </c>
      <c r="I429" s="63">
        <v>34143.49</v>
      </c>
      <c r="J429" s="61">
        <v>34143.486196000005</v>
      </c>
      <c r="K429" s="63">
        <f t="shared" si="417"/>
        <v>34143.486196000005</v>
      </c>
      <c r="L429" s="63">
        <f t="shared" si="418"/>
        <v>16.415137594230771</v>
      </c>
      <c r="M429" s="63">
        <f t="shared" si="419"/>
        <v>1313.2110075384617</v>
      </c>
      <c r="N429" s="63">
        <f t="shared" si="432"/>
        <v>1818.345205479452</v>
      </c>
      <c r="O429" s="65"/>
      <c r="P429" s="65"/>
      <c r="Q429" s="63">
        <f t="shared" si="420"/>
        <v>1818.345205479452</v>
      </c>
      <c r="R429" s="63">
        <f t="shared" si="421"/>
        <v>35961.83140147946</v>
      </c>
      <c r="S429" s="65"/>
      <c r="T429" s="65"/>
      <c r="U429" s="65"/>
      <c r="V429" s="63">
        <f t="shared" si="422"/>
        <v>35961.83140147946</v>
      </c>
      <c r="W429" s="63">
        <f t="shared" si="423"/>
        <v>2229.6335468917264</v>
      </c>
      <c r="X429" s="63">
        <f t="shared" si="424"/>
        <v>521.44655532145214</v>
      </c>
      <c r="Y429" s="63">
        <f t="shared" si="425"/>
        <v>5401.4670765022147</v>
      </c>
      <c r="Z429" s="63">
        <f t="shared" si="426"/>
        <v>57.538930242367137</v>
      </c>
      <c r="AA429" s="63">
        <f t="shared" si="427"/>
        <v>25.173281981035622</v>
      </c>
      <c r="AB429" s="63">
        <f t="shared" si="428"/>
        <v>335</v>
      </c>
      <c r="AC429" s="63">
        <f t="shared" si="429"/>
        <v>10356.36</v>
      </c>
      <c r="AD429" s="63">
        <f t="shared" si="430"/>
        <v>106.9136</v>
      </c>
      <c r="AE429" s="178">
        <v>568</v>
      </c>
    </row>
    <row r="430" spans="1:31" x14ac:dyDescent="0.25">
      <c r="A430" s="167">
        <v>568</v>
      </c>
      <c r="B430" s="167">
        <v>568351</v>
      </c>
      <c r="C430" s="168" t="s">
        <v>4119</v>
      </c>
      <c r="D430" s="168" t="s">
        <v>3250</v>
      </c>
      <c r="E430" s="168" t="s">
        <v>3251</v>
      </c>
      <c r="F430" s="58">
        <v>39814</v>
      </c>
      <c r="G430" s="59">
        <f t="shared" si="416"/>
        <v>12.002739726027396</v>
      </c>
      <c r="H430" s="61">
        <v>33310.718240000002</v>
      </c>
      <c r="I430" s="63">
        <v>34143.49</v>
      </c>
      <c r="J430" s="61">
        <v>34143.486196000005</v>
      </c>
      <c r="K430" s="63">
        <f t="shared" si="417"/>
        <v>34143.486196000005</v>
      </c>
      <c r="L430" s="63">
        <f t="shared" si="418"/>
        <v>16.415137594230771</v>
      </c>
      <c r="M430" s="63">
        <f t="shared" si="419"/>
        <v>1313.2110075384617</v>
      </c>
      <c r="N430" s="63">
        <f t="shared" si="432"/>
        <v>2904.7232876712328</v>
      </c>
      <c r="O430" s="65"/>
      <c r="P430" s="65"/>
      <c r="Q430" s="63">
        <f t="shared" si="420"/>
        <v>2904.7232876712328</v>
      </c>
      <c r="R430" s="63">
        <f t="shared" si="421"/>
        <v>37048.209483671235</v>
      </c>
      <c r="S430" s="65"/>
      <c r="T430" s="65"/>
      <c r="U430" s="65"/>
      <c r="V430" s="63">
        <f t="shared" si="422"/>
        <v>37048.209483671235</v>
      </c>
      <c r="W430" s="63">
        <f t="shared" si="423"/>
        <v>2296.9889879876164</v>
      </c>
      <c r="X430" s="63">
        <f t="shared" si="424"/>
        <v>537.19903751323295</v>
      </c>
      <c r="Y430" s="63">
        <f t="shared" si="425"/>
        <v>5564.6410644474199</v>
      </c>
      <c r="Z430" s="63">
        <f t="shared" si="426"/>
        <v>59.27713517387398</v>
      </c>
      <c r="AA430" s="63">
        <f t="shared" si="427"/>
        <v>25.933746638569865</v>
      </c>
      <c r="AB430" s="63">
        <f t="shared" si="428"/>
        <v>335</v>
      </c>
      <c r="AC430" s="63">
        <f t="shared" si="429"/>
        <v>10356.36</v>
      </c>
      <c r="AD430" s="63">
        <f t="shared" si="430"/>
        <v>106.9136</v>
      </c>
      <c r="AE430" s="178">
        <v>568</v>
      </c>
    </row>
    <row r="431" spans="1:31" x14ac:dyDescent="0.25">
      <c r="A431" s="167">
        <v>568</v>
      </c>
      <c r="B431" s="167">
        <v>568352</v>
      </c>
      <c r="C431" s="168" t="s">
        <v>4120</v>
      </c>
      <c r="D431" s="168" t="s">
        <v>3246</v>
      </c>
      <c r="E431" s="168" t="s">
        <v>3133</v>
      </c>
      <c r="F431" s="58">
        <v>42709</v>
      </c>
      <c r="G431" s="59">
        <f t="shared" si="416"/>
        <v>4.0712328767123287</v>
      </c>
      <c r="H431" s="61">
        <v>33310.718240000002</v>
      </c>
      <c r="I431" s="63"/>
      <c r="J431" s="61">
        <v>34143.486196000005</v>
      </c>
      <c r="K431" s="63">
        <f t="shared" si="417"/>
        <v>34143.486196000005</v>
      </c>
      <c r="L431" s="63">
        <f t="shared" si="418"/>
        <v>16.415137594230771</v>
      </c>
      <c r="M431" s="63">
        <f t="shared" si="419"/>
        <v>1313.2110075384617</v>
      </c>
      <c r="N431" s="63">
        <f t="shared" si="432"/>
        <v>810.80547945205478</v>
      </c>
      <c r="O431" s="65"/>
      <c r="P431" s="65"/>
      <c r="Q431" s="63">
        <f t="shared" si="420"/>
        <v>810.80547945205478</v>
      </c>
      <c r="R431" s="63">
        <f t="shared" si="421"/>
        <v>34954.291675452063</v>
      </c>
      <c r="S431" s="65"/>
      <c r="T431" s="65"/>
      <c r="U431" s="63"/>
      <c r="V431" s="63">
        <f t="shared" si="422"/>
        <v>34954.291675452063</v>
      </c>
      <c r="W431" s="63">
        <f t="shared" si="423"/>
        <v>2167.1660838780281</v>
      </c>
      <c r="X431" s="63">
        <f t="shared" si="424"/>
        <v>506.83722929405496</v>
      </c>
      <c r="Y431" s="63">
        <f t="shared" si="425"/>
        <v>5250.1346096528996</v>
      </c>
      <c r="Z431" s="63">
        <f t="shared" si="426"/>
        <v>55.9268666807233</v>
      </c>
      <c r="AA431" s="63">
        <f t="shared" si="427"/>
        <v>24.468004172816443</v>
      </c>
      <c r="AB431" s="63">
        <f t="shared" si="428"/>
        <v>335</v>
      </c>
      <c r="AC431" s="63">
        <f t="shared" si="429"/>
        <v>10356.36</v>
      </c>
      <c r="AD431" s="63">
        <f t="shared" si="430"/>
        <v>106.9136</v>
      </c>
      <c r="AE431" s="178">
        <v>568</v>
      </c>
    </row>
    <row r="432" spans="1:31" x14ac:dyDescent="0.25">
      <c r="A432" s="167">
        <v>568</v>
      </c>
      <c r="B432" s="167">
        <v>568354</v>
      </c>
      <c r="C432" s="168" t="s">
        <v>4121</v>
      </c>
      <c r="D432" s="271" t="s">
        <v>2805</v>
      </c>
      <c r="E432" s="271" t="s">
        <v>2806</v>
      </c>
      <c r="F432" s="403">
        <v>43831</v>
      </c>
      <c r="G432" s="59">
        <f t="shared" si="416"/>
        <v>0.99726027397260275</v>
      </c>
      <c r="H432" s="61">
        <v>33310.718240000002</v>
      </c>
      <c r="I432" s="63">
        <v>34143.49</v>
      </c>
      <c r="J432" s="61">
        <v>34143.486196000005</v>
      </c>
      <c r="K432" s="63">
        <f t="shared" si="417"/>
        <v>34143.486196000005</v>
      </c>
      <c r="L432" s="63">
        <f t="shared" si="418"/>
        <v>16.415137594230771</v>
      </c>
      <c r="M432" s="63">
        <f t="shared" si="419"/>
        <v>1313.2110075384617</v>
      </c>
      <c r="N432" s="63">
        <f t="shared" si="432"/>
        <v>0</v>
      </c>
      <c r="O432" s="65"/>
      <c r="P432" s="65"/>
      <c r="Q432" s="63">
        <f t="shared" si="420"/>
        <v>0</v>
      </c>
      <c r="R432" s="63">
        <f t="shared" si="421"/>
        <v>34143.486196000005</v>
      </c>
      <c r="S432" s="65"/>
      <c r="T432" s="65"/>
      <c r="U432" s="65"/>
      <c r="V432" s="63">
        <f t="shared" si="422"/>
        <v>34143.486196000005</v>
      </c>
      <c r="W432" s="63">
        <f t="shared" si="423"/>
        <v>2116.8961441520005</v>
      </c>
      <c r="X432" s="63">
        <f t="shared" si="424"/>
        <v>495.0805498420001</v>
      </c>
      <c r="Y432" s="63">
        <f t="shared" si="425"/>
        <v>5128.3516266392007</v>
      </c>
      <c r="Z432" s="63">
        <f t="shared" si="426"/>
        <v>54.629577913600009</v>
      </c>
      <c r="AA432" s="63">
        <f t="shared" si="427"/>
        <v>23.900440337200003</v>
      </c>
      <c r="AB432" s="63">
        <f t="shared" si="428"/>
        <v>335</v>
      </c>
      <c r="AC432" s="63">
        <f t="shared" si="429"/>
        <v>10356.36</v>
      </c>
      <c r="AD432" s="63">
        <f t="shared" si="430"/>
        <v>106.9136</v>
      </c>
      <c r="AE432" s="178">
        <v>568</v>
      </c>
    </row>
    <row r="433" spans="1:31" x14ac:dyDescent="0.25">
      <c r="A433" s="167">
        <v>568</v>
      </c>
      <c r="B433" s="167">
        <v>568355</v>
      </c>
      <c r="C433" s="168" t="s">
        <v>4122</v>
      </c>
      <c r="D433" s="168" t="s">
        <v>3209</v>
      </c>
      <c r="E433" s="168" t="s">
        <v>2483</v>
      </c>
      <c r="F433" s="58">
        <v>42621</v>
      </c>
      <c r="G433" s="59">
        <f t="shared" si="416"/>
        <v>4.3123287671232875</v>
      </c>
      <c r="H433" s="61">
        <v>33310.718240000002</v>
      </c>
      <c r="I433" s="63">
        <v>34143.49</v>
      </c>
      <c r="J433" s="61">
        <v>34143.486196000005</v>
      </c>
      <c r="K433" s="63">
        <f t="shared" si="417"/>
        <v>34143.486196000005</v>
      </c>
      <c r="L433" s="63">
        <f t="shared" si="418"/>
        <v>16.415137594230771</v>
      </c>
      <c r="M433" s="63">
        <f t="shared" si="419"/>
        <v>1313.2110075384617</v>
      </c>
      <c r="N433" s="63">
        <f t="shared" si="432"/>
        <v>874.45479452054792</v>
      </c>
      <c r="O433" s="65"/>
      <c r="P433" s="65"/>
      <c r="Q433" s="63">
        <f t="shared" si="420"/>
        <v>874.45479452054792</v>
      </c>
      <c r="R433" s="63">
        <f t="shared" si="421"/>
        <v>35017.940990520554</v>
      </c>
      <c r="S433" s="65"/>
      <c r="T433" s="65"/>
      <c r="U433" s="65"/>
      <c r="V433" s="63">
        <f t="shared" si="422"/>
        <v>35017.940990520554</v>
      </c>
      <c r="W433" s="63">
        <f t="shared" si="423"/>
        <v>2171.1123414122744</v>
      </c>
      <c r="X433" s="63">
        <f t="shared" si="424"/>
        <v>507.76014436254803</v>
      </c>
      <c r="Y433" s="63">
        <f t="shared" si="425"/>
        <v>5259.6947367761868</v>
      </c>
      <c r="Z433" s="63">
        <f t="shared" si="426"/>
        <v>56.028705584832892</v>
      </c>
      <c r="AA433" s="63">
        <f t="shared" si="427"/>
        <v>24.512558693364387</v>
      </c>
      <c r="AB433" s="63">
        <f t="shared" si="428"/>
        <v>335</v>
      </c>
      <c r="AC433" s="63">
        <f t="shared" si="429"/>
        <v>10356.36</v>
      </c>
      <c r="AD433" s="63">
        <f t="shared" si="430"/>
        <v>106.9136</v>
      </c>
      <c r="AE433" s="178">
        <v>568</v>
      </c>
    </row>
    <row r="434" spans="1:31" x14ac:dyDescent="0.25">
      <c r="A434" s="167">
        <v>568</v>
      </c>
      <c r="B434" s="167">
        <v>568356</v>
      </c>
      <c r="C434" s="168" t="s">
        <v>4123</v>
      </c>
      <c r="D434" s="168" t="s">
        <v>3181</v>
      </c>
      <c r="E434" s="168" t="s">
        <v>3193</v>
      </c>
      <c r="F434" s="58">
        <v>43178</v>
      </c>
      <c r="G434" s="59">
        <f t="shared" si="416"/>
        <v>2.7863013698630139</v>
      </c>
      <c r="H434" s="61">
        <v>33310.718240000002</v>
      </c>
      <c r="I434" s="63">
        <v>34143.49</v>
      </c>
      <c r="J434" s="61">
        <v>34143.486196000005</v>
      </c>
      <c r="K434" s="63">
        <f t="shared" si="417"/>
        <v>34143.486196000005</v>
      </c>
      <c r="L434" s="63">
        <f t="shared" si="418"/>
        <v>16.415137594230771</v>
      </c>
      <c r="M434" s="63">
        <f t="shared" si="419"/>
        <v>1313.2110075384617</v>
      </c>
      <c r="N434" s="63">
        <f t="shared" si="432"/>
        <v>0</v>
      </c>
      <c r="O434" s="65"/>
      <c r="P434" s="65"/>
      <c r="Q434" s="63">
        <f t="shared" si="420"/>
        <v>0</v>
      </c>
      <c r="R434" s="63">
        <f t="shared" si="421"/>
        <v>34143.486196000005</v>
      </c>
      <c r="S434" s="65"/>
      <c r="T434" s="65"/>
      <c r="U434" s="65"/>
      <c r="V434" s="63">
        <f t="shared" si="422"/>
        <v>34143.486196000005</v>
      </c>
      <c r="W434" s="63">
        <f t="shared" si="423"/>
        <v>2116.8961441520005</v>
      </c>
      <c r="X434" s="63">
        <f t="shared" si="424"/>
        <v>495.0805498420001</v>
      </c>
      <c r="Y434" s="63">
        <f t="shared" si="425"/>
        <v>5128.3516266392007</v>
      </c>
      <c r="Z434" s="63">
        <f t="shared" si="426"/>
        <v>54.629577913600009</v>
      </c>
      <c r="AA434" s="63">
        <f t="shared" si="427"/>
        <v>23.900440337200003</v>
      </c>
      <c r="AB434" s="63">
        <f t="shared" si="428"/>
        <v>335</v>
      </c>
      <c r="AC434" s="63">
        <f t="shared" si="429"/>
        <v>10356.36</v>
      </c>
      <c r="AD434" s="63">
        <f t="shared" si="430"/>
        <v>106.9136</v>
      </c>
      <c r="AE434" s="178">
        <v>568</v>
      </c>
    </row>
    <row r="435" spans="1:31" x14ac:dyDescent="0.25">
      <c r="A435" s="167">
        <v>568</v>
      </c>
      <c r="B435" s="167">
        <v>568357</v>
      </c>
      <c r="C435" s="168" t="s">
        <v>4124</v>
      </c>
      <c r="D435" s="168" t="s">
        <v>3220</v>
      </c>
      <c r="E435" s="168" t="s">
        <v>2744</v>
      </c>
      <c r="F435" s="58">
        <v>41855</v>
      </c>
      <c r="G435" s="59">
        <f t="shared" si="416"/>
        <v>6.4109589041095889</v>
      </c>
      <c r="H435" s="61">
        <v>33310.718240000002</v>
      </c>
      <c r="I435" s="63">
        <v>34143.49</v>
      </c>
      <c r="J435" s="61">
        <v>34143.486196000005</v>
      </c>
      <c r="K435" s="63">
        <f t="shared" si="417"/>
        <v>34143.486196000005</v>
      </c>
      <c r="L435" s="63">
        <f t="shared" si="418"/>
        <v>16.415137594230771</v>
      </c>
      <c r="M435" s="63">
        <f t="shared" si="419"/>
        <v>1313.2110075384617</v>
      </c>
      <c r="N435" s="63">
        <f t="shared" si="432"/>
        <v>1428.4931506849314</v>
      </c>
      <c r="O435" s="65"/>
      <c r="P435" s="65"/>
      <c r="Q435" s="63">
        <f t="shared" si="420"/>
        <v>1428.4931506849314</v>
      </c>
      <c r="R435" s="63">
        <f t="shared" si="421"/>
        <v>35571.979346684937</v>
      </c>
      <c r="S435" s="65"/>
      <c r="T435" s="65"/>
      <c r="U435" s="65"/>
      <c r="V435" s="63">
        <f t="shared" si="422"/>
        <v>35571.979346684937</v>
      </c>
      <c r="W435" s="63">
        <f t="shared" si="423"/>
        <v>2205.462719494466</v>
      </c>
      <c r="X435" s="63">
        <f t="shared" si="424"/>
        <v>515.79370052693162</v>
      </c>
      <c r="Y435" s="63">
        <f t="shared" si="425"/>
        <v>5342.9112978720777</v>
      </c>
      <c r="Z435" s="63">
        <f t="shared" si="426"/>
        <v>56.915166954695898</v>
      </c>
      <c r="AA435" s="63">
        <f t="shared" si="427"/>
        <v>24.900385542679455</v>
      </c>
      <c r="AB435" s="63">
        <f t="shared" si="428"/>
        <v>335</v>
      </c>
      <c r="AC435" s="63">
        <f t="shared" si="429"/>
        <v>10356.36</v>
      </c>
      <c r="AD435" s="63">
        <f t="shared" si="430"/>
        <v>106.9136</v>
      </c>
      <c r="AE435" s="178">
        <v>568</v>
      </c>
    </row>
    <row r="436" spans="1:31" x14ac:dyDescent="0.25">
      <c r="A436" s="167">
        <v>568</v>
      </c>
      <c r="B436" s="167">
        <v>568358</v>
      </c>
      <c r="C436" s="168" t="s">
        <v>4125</v>
      </c>
      <c r="D436" s="168" t="s">
        <v>2917</v>
      </c>
      <c r="E436" s="168" t="s">
        <v>4126</v>
      </c>
      <c r="F436" s="58">
        <v>37272</v>
      </c>
      <c r="G436" s="59">
        <f t="shared" si="416"/>
        <v>18.967123287671232</v>
      </c>
      <c r="H436" s="61">
        <v>33310.718240000002</v>
      </c>
      <c r="I436" s="63">
        <v>34143.49</v>
      </c>
      <c r="J436" s="61">
        <v>34143.486196000005</v>
      </c>
      <c r="K436" s="63">
        <f t="shared" si="417"/>
        <v>34143.486196000005</v>
      </c>
      <c r="L436" s="63">
        <f t="shared" si="418"/>
        <v>16.415137594230771</v>
      </c>
      <c r="M436" s="63">
        <f t="shared" si="419"/>
        <v>1313.2110075384617</v>
      </c>
      <c r="N436" s="63">
        <f t="shared" si="432"/>
        <v>4743.3205479452054</v>
      </c>
      <c r="O436" s="65"/>
      <c r="P436" s="63">
        <v>362.96</v>
      </c>
      <c r="Q436" s="63">
        <f t="shared" si="420"/>
        <v>5000</v>
      </c>
      <c r="R436" s="63">
        <f t="shared" si="421"/>
        <v>39143.486196000005</v>
      </c>
      <c r="S436" s="65"/>
      <c r="T436" s="65"/>
      <c r="U436" s="65"/>
      <c r="V436" s="63">
        <f t="shared" si="422"/>
        <v>39143.486196000005</v>
      </c>
      <c r="W436" s="63">
        <f t="shared" si="423"/>
        <v>2426.8961441520005</v>
      </c>
      <c r="X436" s="63">
        <f t="shared" si="424"/>
        <v>567.5805498420001</v>
      </c>
      <c r="Y436" s="63">
        <f t="shared" si="425"/>
        <v>5879.3516266392007</v>
      </c>
      <c r="Z436" s="63">
        <f t="shared" si="426"/>
        <v>62.629577913600009</v>
      </c>
      <c r="AA436" s="63">
        <f t="shared" si="427"/>
        <v>27.400440337200003</v>
      </c>
      <c r="AB436" s="63">
        <f t="shared" si="428"/>
        <v>335</v>
      </c>
      <c r="AC436" s="63">
        <f t="shared" si="429"/>
        <v>10356.36</v>
      </c>
      <c r="AD436" s="63">
        <f t="shared" si="430"/>
        <v>106.9136</v>
      </c>
      <c r="AE436" s="178">
        <v>568</v>
      </c>
    </row>
    <row r="437" spans="1:31" x14ac:dyDescent="0.25">
      <c r="A437" s="167">
        <v>568</v>
      </c>
      <c r="B437" s="167">
        <v>568359</v>
      </c>
      <c r="C437" s="168" t="s">
        <v>4127</v>
      </c>
      <c r="D437" s="271" t="s">
        <v>2805</v>
      </c>
      <c r="E437" s="271" t="s">
        <v>2806</v>
      </c>
      <c r="F437" s="403">
        <v>43831</v>
      </c>
      <c r="G437" s="59">
        <f t="shared" si="416"/>
        <v>0.99726027397260275</v>
      </c>
      <c r="H437" s="61">
        <v>33310.718240000002</v>
      </c>
      <c r="I437" s="63"/>
      <c r="J437" s="61">
        <v>34143.486196000005</v>
      </c>
      <c r="K437" s="63">
        <f t="shared" si="417"/>
        <v>34143.486196000005</v>
      </c>
      <c r="L437" s="63">
        <f t="shared" si="418"/>
        <v>16.415137594230771</v>
      </c>
      <c r="M437" s="63">
        <f t="shared" si="419"/>
        <v>1313.2110075384617</v>
      </c>
      <c r="N437" s="63">
        <f t="shared" si="432"/>
        <v>0</v>
      </c>
      <c r="O437" s="65"/>
      <c r="P437" s="65"/>
      <c r="Q437" s="63">
        <f t="shared" si="420"/>
        <v>0</v>
      </c>
      <c r="R437" s="63">
        <f t="shared" si="421"/>
        <v>34143.486196000005</v>
      </c>
      <c r="S437" s="65"/>
      <c r="T437" s="65"/>
      <c r="U437" s="65"/>
      <c r="V437" s="63">
        <f t="shared" si="422"/>
        <v>34143.486196000005</v>
      </c>
      <c r="W437" s="63">
        <f t="shared" si="423"/>
        <v>2116.8961441520005</v>
      </c>
      <c r="X437" s="63">
        <f t="shared" si="424"/>
        <v>495.0805498420001</v>
      </c>
      <c r="Y437" s="63">
        <f t="shared" si="425"/>
        <v>5128.3516266392007</v>
      </c>
      <c r="Z437" s="63">
        <f t="shared" si="426"/>
        <v>54.629577913600009</v>
      </c>
      <c r="AA437" s="63">
        <f t="shared" si="427"/>
        <v>23.900440337200003</v>
      </c>
      <c r="AB437" s="63">
        <f t="shared" si="428"/>
        <v>335</v>
      </c>
      <c r="AC437" s="63">
        <f t="shared" si="429"/>
        <v>10356.36</v>
      </c>
      <c r="AD437" s="63">
        <f t="shared" si="430"/>
        <v>106.9136</v>
      </c>
      <c r="AE437" s="178">
        <v>568</v>
      </c>
    </row>
    <row r="438" spans="1:31" x14ac:dyDescent="0.25">
      <c r="A438" s="167">
        <v>568</v>
      </c>
      <c r="B438" s="167">
        <v>568360</v>
      </c>
      <c r="C438" s="168" t="s">
        <v>4128</v>
      </c>
      <c r="D438" s="271" t="s">
        <v>2805</v>
      </c>
      <c r="E438" s="271" t="s">
        <v>2806</v>
      </c>
      <c r="F438" s="58">
        <v>43831</v>
      </c>
      <c r="G438" s="59">
        <f t="shared" si="416"/>
        <v>0.99726027397260275</v>
      </c>
      <c r="H438" s="61">
        <v>33310.718240000002</v>
      </c>
      <c r="I438" s="63">
        <v>34143.49</v>
      </c>
      <c r="J438" s="61">
        <v>34143.486196000005</v>
      </c>
      <c r="K438" s="63">
        <f t="shared" si="417"/>
        <v>34143.486196000005</v>
      </c>
      <c r="L438" s="63">
        <f t="shared" si="418"/>
        <v>16.415137594230771</v>
      </c>
      <c r="M438" s="63">
        <f t="shared" si="419"/>
        <v>1313.2110075384617</v>
      </c>
      <c r="N438" s="63">
        <f t="shared" si="432"/>
        <v>0</v>
      </c>
      <c r="O438" s="65"/>
      <c r="P438" s="65"/>
      <c r="Q438" s="63">
        <f t="shared" si="420"/>
        <v>0</v>
      </c>
      <c r="R438" s="63">
        <f t="shared" si="421"/>
        <v>34143.486196000005</v>
      </c>
      <c r="S438" s="65"/>
      <c r="T438" s="65"/>
      <c r="U438" s="65"/>
      <c r="V438" s="63">
        <f t="shared" si="422"/>
        <v>34143.486196000005</v>
      </c>
      <c r="W438" s="63">
        <f t="shared" si="423"/>
        <v>2116.8961441520005</v>
      </c>
      <c r="X438" s="63">
        <f t="shared" si="424"/>
        <v>495.0805498420001</v>
      </c>
      <c r="Y438" s="63">
        <f t="shared" si="425"/>
        <v>5128.3516266392007</v>
      </c>
      <c r="Z438" s="63">
        <f t="shared" si="426"/>
        <v>54.629577913600009</v>
      </c>
      <c r="AA438" s="63">
        <f t="shared" si="427"/>
        <v>23.900440337200003</v>
      </c>
      <c r="AB438" s="63">
        <f t="shared" si="428"/>
        <v>335</v>
      </c>
      <c r="AC438" s="63">
        <f t="shared" si="429"/>
        <v>10356.36</v>
      </c>
      <c r="AD438" s="63">
        <f t="shared" si="430"/>
        <v>106.9136</v>
      </c>
      <c r="AE438" s="178">
        <v>568</v>
      </c>
    </row>
    <row r="439" spans="1:31" x14ac:dyDescent="0.25">
      <c r="A439" s="167">
        <v>568</v>
      </c>
      <c r="B439" s="167">
        <v>568361</v>
      </c>
      <c r="C439" s="168" t="s">
        <v>4129</v>
      </c>
      <c r="D439" s="168" t="s">
        <v>3829</v>
      </c>
      <c r="E439" s="168" t="s">
        <v>4130</v>
      </c>
      <c r="F439" s="58">
        <v>39013</v>
      </c>
      <c r="G439" s="59">
        <f t="shared" si="416"/>
        <v>14.197260273972603</v>
      </c>
      <c r="H439" s="61">
        <v>33310.718240000002</v>
      </c>
      <c r="I439" s="63">
        <v>34143.49</v>
      </c>
      <c r="J439" s="61">
        <v>34143.486196000005</v>
      </c>
      <c r="K439" s="63">
        <f t="shared" si="417"/>
        <v>34143.486196000005</v>
      </c>
      <c r="L439" s="63">
        <f t="shared" si="418"/>
        <v>16.415137594230771</v>
      </c>
      <c r="M439" s="63">
        <f t="shared" si="419"/>
        <v>1313.2110075384617</v>
      </c>
      <c r="N439" s="63">
        <f t="shared" si="432"/>
        <v>3484.0767123287669</v>
      </c>
      <c r="O439" s="65"/>
      <c r="P439" s="65"/>
      <c r="Q439" s="63">
        <f t="shared" si="420"/>
        <v>3484.0767123287669</v>
      </c>
      <c r="R439" s="63">
        <f t="shared" si="421"/>
        <v>37627.562908328771</v>
      </c>
      <c r="S439" s="65"/>
      <c r="T439" s="65"/>
      <c r="U439" s="65"/>
      <c r="V439" s="63">
        <f t="shared" si="422"/>
        <v>37627.562908328771</v>
      </c>
      <c r="W439" s="63">
        <f t="shared" si="423"/>
        <v>2332.908900316384</v>
      </c>
      <c r="X439" s="63">
        <f t="shared" si="424"/>
        <v>545.59966217076726</v>
      </c>
      <c r="Y439" s="63">
        <f t="shared" si="425"/>
        <v>5651.6599488309812</v>
      </c>
      <c r="Z439" s="63">
        <f t="shared" si="426"/>
        <v>60.204100653326037</v>
      </c>
      <c r="AA439" s="63">
        <f t="shared" si="427"/>
        <v>26.33929403583014</v>
      </c>
      <c r="AB439" s="63">
        <f t="shared" si="428"/>
        <v>335</v>
      </c>
      <c r="AC439" s="63">
        <f t="shared" si="429"/>
        <v>10356.36</v>
      </c>
      <c r="AD439" s="63">
        <f t="shared" si="430"/>
        <v>106.9136</v>
      </c>
      <c r="AE439" s="178">
        <v>568</v>
      </c>
    </row>
    <row r="440" spans="1:31" x14ac:dyDescent="0.25">
      <c r="A440" s="167">
        <v>568</v>
      </c>
      <c r="B440" s="167">
        <v>568362</v>
      </c>
      <c r="C440" s="168" t="s">
        <v>4131</v>
      </c>
      <c r="D440" s="168" t="s">
        <v>3278</v>
      </c>
      <c r="E440" s="168" t="s">
        <v>3279</v>
      </c>
      <c r="F440" s="58">
        <v>42759</v>
      </c>
      <c r="G440" s="59">
        <f t="shared" si="416"/>
        <v>3.9342465753424656</v>
      </c>
      <c r="H440" s="61">
        <v>33310.718240000002</v>
      </c>
      <c r="I440" s="63">
        <v>34143.49</v>
      </c>
      <c r="J440" s="61">
        <v>34143.486196000005</v>
      </c>
      <c r="K440" s="63">
        <f t="shared" si="417"/>
        <v>34143.486196000005</v>
      </c>
      <c r="L440" s="63">
        <f t="shared" si="418"/>
        <v>16.415137594230771</v>
      </c>
      <c r="M440" s="63">
        <f t="shared" si="419"/>
        <v>1313.2110075384617</v>
      </c>
      <c r="N440" s="63">
        <f t="shared" si="432"/>
        <v>0</v>
      </c>
      <c r="O440" s="65"/>
      <c r="P440" s="65"/>
      <c r="Q440" s="63">
        <f t="shared" si="420"/>
        <v>0</v>
      </c>
      <c r="R440" s="63">
        <f t="shared" si="421"/>
        <v>34143.486196000005</v>
      </c>
      <c r="S440" s="65"/>
      <c r="T440" s="65"/>
      <c r="U440" s="65"/>
      <c r="V440" s="63">
        <f t="shared" si="422"/>
        <v>34143.486196000005</v>
      </c>
      <c r="W440" s="63">
        <f t="shared" si="423"/>
        <v>2116.8961441520005</v>
      </c>
      <c r="X440" s="63">
        <f t="shared" si="424"/>
        <v>495.0805498420001</v>
      </c>
      <c r="Y440" s="63">
        <f t="shared" si="425"/>
        <v>5128.3516266392007</v>
      </c>
      <c r="Z440" s="63">
        <f t="shared" si="426"/>
        <v>54.629577913600009</v>
      </c>
      <c r="AA440" s="63">
        <f t="shared" si="427"/>
        <v>23.900440337200003</v>
      </c>
      <c r="AB440" s="63">
        <f t="shared" si="428"/>
        <v>335</v>
      </c>
      <c r="AC440" s="63">
        <f t="shared" si="429"/>
        <v>10356.36</v>
      </c>
      <c r="AD440" s="63">
        <f t="shared" si="430"/>
        <v>106.9136</v>
      </c>
      <c r="AE440" s="178">
        <v>568</v>
      </c>
    </row>
    <row r="441" spans="1:31" x14ac:dyDescent="0.25">
      <c r="A441" s="167">
        <v>568</v>
      </c>
      <c r="B441" s="167">
        <v>568363</v>
      </c>
      <c r="C441" s="168" t="s">
        <v>4132</v>
      </c>
      <c r="D441" s="168" t="s">
        <v>3805</v>
      </c>
      <c r="E441" s="168" t="s">
        <v>3806</v>
      </c>
      <c r="F441" s="58">
        <v>43521</v>
      </c>
      <c r="G441" s="59">
        <f t="shared" si="416"/>
        <v>1.8465753424657534</v>
      </c>
      <c r="H441" s="61">
        <v>33310.718240000002</v>
      </c>
      <c r="I441" s="63">
        <v>34143.49</v>
      </c>
      <c r="J441" s="61">
        <v>34143.486196000005</v>
      </c>
      <c r="K441" s="63">
        <f t="shared" si="417"/>
        <v>34143.486196000005</v>
      </c>
      <c r="L441" s="63">
        <f t="shared" si="418"/>
        <v>16.415137594230771</v>
      </c>
      <c r="M441" s="63">
        <f t="shared" si="419"/>
        <v>1313.2110075384617</v>
      </c>
      <c r="N441" s="63">
        <f t="shared" si="432"/>
        <v>0</v>
      </c>
      <c r="O441" s="65"/>
      <c r="P441" s="65"/>
      <c r="Q441" s="63">
        <f t="shared" si="420"/>
        <v>0</v>
      </c>
      <c r="R441" s="63">
        <f t="shared" si="421"/>
        <v>34143.486196000005</v>
      </c>
      <c r="S441" s="65"/>
      <c r="T441" s="65"/>
      <c r="U441" s="65"/>
      <c r="V441" s="63">
        <f t="shared" si="422"/>
        <v>34143.486196000005</v>
      </c>
      <c r="W441" s="63">
        <f t="shared" si="423"/>
        <v>2116.8961441520005</v>
      </c>
      <c r="X441" s="63">
        <f t="shared" si="424"/>
        <v>495.0805498420001</v>
      </c>
      <c r="Y441" s="63">
        <f t="shared" si="425"/>
        <v>5128.3516266392007</v>
      </c>
      <c r="Z441" s="63">
        <f t="shared" si="426"/>
        <v>54.629577913600009</v>
      </c>
      <c r="AA441" s="63">
        <f t="shared" si="427"/>
        <v>23.900440337200003</v>
      </c>
      <c r="AB441" s="63">
        <f t="shared" si="428"/>
        <v>335</v>
      </c>
      <c r="AC441" s="63">
        <f t="shared" si="429"/>
        <v>10356.36</v>
      </c>
      <c r="AD441" s="63">
        <f t="shared" si="430"/>
        <v>106.9136</v>
      </c>
      <c r="AE441" s="178">
        <v>568</v>
      </c>
    </row>
    <row r="442" spans="1:31" x14ac:dyDescent="0.25">
      <c r="A442" s="167">
        <v>568</v>
      </c>
      <c r="B442" s="167">
        <v>568364</v>
      </c>
      <c r="C442" s="168" t="s">
        <v>4133</v>
      </c>
      <c r="D442" s="168" t="s">
        <v>3253</v>
      </c>
      <c r="E442" s="168" t="s">
        <v>3254</v>
      </c>
      <c r="F442" s="58">
        <v>39747</v>
      </c>
      <c r="G442" s="59">
        <f t="shared" si="416"/>
        <v>12.186301369863013</v>
      </c>
      <c r="H442" s="61">
        <v>33310.718240000002</v>
      </c>
      <c r="I442" s="63">
        <v>34143.49</v>
      </c>
      <c r="J442" s="61">
        <v>34143.486196000005</v>
      </c>
      <c r="K442" s="63">
        <f t="shared" si="417"/>
        <v>34143.486196000005</v>
      </c>
      <c r="L442" s="63">
        <f t="shared" si="418"/>
        <v>16.415137594230771</v>
      </c>
      <c r="M442" s="63">
        <f t="shared" si="419"/>
        <v>1313.2110075384617</v>
      </c>
      <c r="N442" s="63">
        <f t="shared" si="432"/>
        <v>2953.1835616438357</v>
      </c>
      <c r="O442" s="65"/>
      <c r="P442" s="65"/>
      <c r="Q442" s="63">
        <f t="shared" si="420"/>
        <v>2953.1835616438357</v>
      </c>
      <c r="R442" s="63">
        <f t="shared" si="421"/>
        <v>37096.669757643838</v>
      </c>
      <c r="S442" s="65"/>
      <c r="T442" s="65"/>
      <c r="U442" s="65"/>
      <c r="V442" s="63">
        <f t="shared" si="422"/>
        <v>37096.669757643838</v>
      </c>
      <c r="W442" s="63">
        <f t="shared" si="423"/>
        <v>2299.9935249739178</v>
      </c>
      <c r="X442" s="63">
        <f t="shared" si="424"/>
        <v>537.90171148583568</v>
      </c>
      <c r="Y442" s="63">
        <f t="shared" si="425"/>
        <v>5571.9197975981042</v>
      </c>
      <c r="Z442" s="63">
        <f t="shared" si="426"/>
        <v>59.354671612230142</v>
      </c>
      <c r="AA442" s="63">
        <f t="shared" si="427"/>
        <v>25.967668830350686</v>
      </c>
      <c r="AB442" s="63">
        <f t="shared" si="428"/>
        <v>335</v>
      </c>
      <c r="AC442" s="63">
        <f t="shared" si="429"/>
        <v>10356.36</v>
      </c>
      <c r="AD442" s="63">
        <f t="shared" si="430"/>
        <v>106.9136</v>
      </c>
      <c r="AE442" s="178">
        <v>568</v>
      </c>
    </row>
    <row r="443" spans="1:31" x14ac:dyDescent="0.25">
      <c r="A443" s="167">
        <v>568</v>
      </c>
      <c r="B443" s="167">
        <v>568365</v>
      </c>
      <c r="C443" s="168" t="s">
        <v>4134</v>
      </c>
      <c r="D443" s="271" t="s">
        <v>2805</v>
      </c>
      <c r="E443" s="271" t="s">
        <v>2806</v>
      </c>
      <c r="F443" s="403">
        <v>43831</v>
      </c>
      <c r="G443" s="59">
        <f t="shared" si="416"/>
        <v>0.99726027397260275</v>
      </c>
      <c r="H443" s="61">
        <v>33310.718240000002</v>
      </c>
      <c r="I443" s="63">
        <v>34143.49</v>
      </c>
      <c r="J443" s="61">
        <v>34143.486196000005</v>
      </c>
      <c r="K443" s="63">
        <f t="shared" si="417"/>
        <v>34143.486196000005</v>
      </c>
      <c r="L443" s="63">
        <f t="shared" si="418"/>
        <v>16.415137594230771</v>
      </c>
      <c r="M443" s="63">
        <f t="shared" si="419"/>
        <v>1313.2110075384617</v>
      </c>
      <c r="N443" s="63">
        <f t="shared" si="432"/>
        <v>0</v>
      </c>
      <c r="O443" s="65"/>
      <c r="P443" s="65"/>
      <c r="Q443" s="63">
        <f t="shared" si="420"/>
        <v>0</v>
      </c>
      <c r="R443" s="63">
        <f t="shared" si="421"/>
        <v>34143.486196000005</v>
      </c>
      <c r="S443" s="65"/>
      <c r="T443" s="65"/>
      <c r="U443" s="65"/>
      <c r="V443" s="63">
        <f t="shared" si="422"/>
        <v>34143.486196000005</v>
      </c>
      <c r="W443" s="63">
        <f t="shared" si="423"/>
        <v>2116.8961441520005</v>
      </c>
      <c r="X443" s="63">
        <f t="shared" si="424"/>
        <v>495.0805498420001</v>
      </c>
      <c r="Y443" s="63">
        <f t="shared" si="425"/>
        <v>5128.3516266392007</v>
      </c>
      <c r="Z443" s="63">
        <f t="shared" si="426"/>
        <v>54.629577913600009</v>
      </c>
      <c r="AA443" s="63">
        <f t="shared" si="427"/>
        <v>23.900440337200003</v>
      </c>
      <c r="AB443" s="63">
        <f t="shared" si="428"/>
        <v>335</v>
      </c>
      <c r="AC443" s="63">
        <f t="shared" si="429"/>
        <v>10356.36</v>
      </c>
      <c r="AD443" s="63">
        <f t="shared" si="430"/>
        <v>106.9136</v>
      </c>
      <c r="AE443" s="178">
        <v>568</v>
      </c>
    </row>
    <row r="444" spans="1:31" x14ac:dyDescent="0.25">
      <c r="A444" s="167">
        <v>568</v>
      </c>
      <c r="B444" s="167">
        <v>568366</v>
      </c>
      <c r="C444" s="168" t="s">
        <v>4135</v>
      </c>
      <c r="D444" s="168" t="s">
        <v>2609</v>
      </c>
      <c r="E444" s="168" t="s">
        <v>3377</v>
      </c>
      <c r="F444" s="58">
        <v>42961</v>
      </c>
      <c r="G444" s="59">
        <f t="shared" si="416"/>
        <v>3.3808219178082193</v>
      </c>
      <c r="H444" s="61">
        <v>33310.718240000002</v>
      </c>
      <c r="I444" s="63"/>
      <c r="J444" s="61">
        <v>34143.486196000005</v>
      </c>
      <c r="K444" s="63">
        <f t="shared" si="417"/>
        <v>34143.486196000005</v>
      </c>
      <c r="L444" s="63">
        <f t="shared" si="418"/>
        <v>16.415137594230771</v>
      </c>
      <c r="M444" s="63">
        <f t="shared" si="419"/>
        <v>1313.2110075384617</v>
      </c>
      <c r="N444" s="63">
        <f t="shared" si="432"/>
        <v>0</v>
      </c>
      <c r="O444" s="65"/>
      <c r="P444" s="65"/>
      <c r="Q444" s="63">
        <f t="shared" si="420"/>
        <v>0</v>
      </c>
      <c r="R444" s="63">
        <f t="shared" si="421"/>
        <v>34143.486196000005</v>
      </c>
      <c r="S444" s="65"/>
      <c r="T444" s="65"/>
      <c r="U444" s="65"/>
      <c r="V444" s="63">
        <f t="shared" si="422"/>
        <v>34143.486196000005</v>
      </c>
      <c r="W444" s="63">
        <f t="shared" si="423"/>
        <v>2116.8961441520005</v>
      </c>
      <c r="X444" s="63">
        <f t="shared" si="424"/>
        <v>495.0805498420001</v>
      </c>
      <c r="Y444" s="63">
        <f t="shared" si="425"/>
        <v>5128.3516266392007</v>
      </c>
      <c r="Z444" s="63">
        <f t="shared" si="426"/>
        <v>54.629577913600009</v>
      </c>
      <c r="AA444" s="63">
        <f t="shared" si="427"/>
        <v>23.900440337200003</v>
      </c>
      <c r="AB444" s="63">
        <f t="shared" si="428"/>
        <v>335</v>
      </c>
      <c r="AC444" s="63">
        <f t="shared" si="429"/>
        <v>10356.36</v>
      </c>
      <c r="AD444" s="63">
        <f t="shared" si="430"/>
        <v>106.9136</v>
      </c>
      <c r="AE444" s="178">
        <v>568</v>
      </c>
    </row>
    <row r="445" spans="1:31" x14ac:dyDescent="0.25">
      <c r="A445" s="167">
        <v>568</v>
      </c>
      <c r="B445" s="167">
        <v>568367</v>
      </c>
      <c r="C445" s="168" t="s">
        <v>4136</v>
      </c>
      <c r="D445" s="168" t="s">
        <v>4137</v>
      </c>
      <c r="E445" s="168" t="s">
        <v>3127</v>
      </c>
      <c r="F445" s="58">
        <v>43521</v>
      </c>
      <c r="G445" s="59">
        <f t="shared" si="416"/>
        <v>1.8465753424657534</v>
      </c>
      <c r="H445" s="61">
        <v>33310.718240000002</v>
      </c>
      <c r="I445" s="63">
        <v>34143.49</v>
      </c>
      <c r="J445" s="61">
        <v>34143.486196000005</v>
      </c>
      <c r="K445" s="63">
        <f t="shared" si="417"/>
        <v>34143.486196000005</v>
      </c>
      <c r="L445" s="63">
        <f t="shared" si="418"/>
        <v>16.415137594230771</v>
      </c>
      <c r="M445" s="63">
        <f t="shared" si="419"/>
        <v>1313.2110075384617</v>
      </c>
      <c r="N445" s="63">
        <f t="shared" si="432"/>
        <v>0</v>
      </c>
      <c r="O445" s="65"/>
      <c r="P445" s="65"/>
      <c r="Q445" s="63">
        <f t="shared" si="420"/>
        <v>0</v>
      </c>
      <c r="R445" s="63">
        <f t="shared" si="421"/>
        <v>34143.486196000005</v>
      </c>
      <c r="S445" s="65"/>
      <c r="T445" s="65"/>
      <c r="U445" s="65"/>
      <c r="V445" s="63">
        <f t="shared" si="422"/>
        <v>34143.486196000005</v>
      </c>
      <c r="W445" s="63">
        <f t="shared" si="423"/>
        <v>2116.8961441520005</v>
      </c>
      <c r="X445" s="63">
        <f t="shared" si="424"/>
        <v>495.0805498420001</v>
      </c>
      <c r="Y445" s="63">
        <f t="shared" si="425"/>
        <v>5128.3516266392007</v>
      </c>
      <c r="Z445" s="63">
        <f t="shared" si="426"/>
        <v>54.629577913600009</v>
      </c>
      <c r="AA445" s="63">
        <f t="shared" si="427"/>
        <v>23.900440337200003</v>
      </c>
      <c r="AB445" s="63">
        <f t="shared" si="428"/>
        <v>335</v>
      </c>
      <c r="AC445" s="63">
        <f t="shared" si="429"/>
        <v>10356.36</v>
      </c>
      <c r="AD445" s="63">
        <f t="shared" si="430"/>
        <v>106.9136</v>
      </c>
      <c r="AE445" s="178">
        <v>568</v>
      </c>
    </row>
    <row r="446" spans="1:31" x14ac:dyDescent="0.25">
      <c r="A446" s="167">
        <v>568</v>
      </c>
      <c r="B446" s="167">
        <v>568368</v>
      </c>
      <c r="C446" s="168" t="s">
        <v>4138</v>
      </c>
      <c r="D446" s="168" t="s">
        <v>3011</v>
      </c>
      <c r="E446" s="168" t="s">
        <v>3326</v>
      </c>
      <c r="F446" s="58">
        <v>42150</v>
      </c>
      <c r="G446" s="59">
        <f t="shared" si="416"/>
        <v>5.602739726027397</v>
      </c>
      <c r="H446" s="61">
        <v>33310.718240000002</v>
      </c>
      <c r="I446" s="63">
        <v>34143.49</v>
      </c>
      <c r="J446" s="61">
        <v>34143.486196000005</v>
      </c>
      <c r="K446" s="63">
        <f t="shared" si="417"/>
        <v>34143.486196000005</v>
      </c>
      <c r="L446" s="63">
        <f t="shared" si="418"/>
        <v>16.415137594230771</v>
      </c>
      <c r="M446" s="63">
        <f t="shared" si="419"/>
        <v>1313.2110075384617</v>
      </c>
      <c r="N446" s="63">
        <f t="shared" si="432"/>
        <v>1215.1232876712329</v>
      </c>
      <c r="O446" s="65"/>
      <c r="P446" s="65"/>
      <c r="Q446" s="63">
        <f t="shared" si="420"/>
        <v>1215.1232876712329</v>
      </c>
      <c r="R446" s="63">
        <f t="shared" si="421"/>
        <v>35358.609483671236</v>
      </c>
      <c r="S446" s="65"/>
      <c r="T446" s="65"/>
      <c r="U446" s="65"/>
      <c r="V446" s="63">
        <f t="shared" si="422"/>
        <v>35358.609483671236</v>
      </c>
      <c r="W446" s="63">
        <f t="shared" si="423"/>
        <v>2192.2337879876168</v>
      </c>
      <c r="X446" s="63">
        <f t="shared" si="424"/>
        <v>512.69983751323298</v>
      </c>
      <c r="Y446" s="63">
        <f t="shared" si="425"/>
        <v>5310.8631444474195</v>
      </c>
      <c r="Z446" s="63">
        <f t="shared" si="426"/>
        <v>56.573775173873983</v>
      </c>
      <c r="AA446" s="63">
        <f t="shared" si="427"/>
        <v>24.751026638569865</v>
      </c>
      <c r="AB446" s="63">
        <f t="shared" si="428"/>
        <v>335</v>
      </c>
      <c r="AC446" s="63">
        <f t="shared" si="429"/>
        <v>10356.36</v>
      </c>
      <c r="AD446" s="63">
        <f t="shared" si="430"/>
        <v>106.9136</v>
      </c>
      <c r="AE446" s="178">
        <v>568</v>
      </c>
    </row>
    <row r="447" spans="1:31" x14ac:dyDescent="0.25">
      <c r="A447" s="167">
        <v>568</v>
      </c>
      <c r="B447" s="167">
        <v>568369</v>
      </c>
      <c r="C447" s="168" t="s">
        <v>4139</v>
      </c>
      <c r="D447" s="168" t="s">
        <v>3818</v>
      </c>
      <c r="E447" s="168" t="s">
        <v>2563</v>
      </c>
      <c r="F447" s="58">
        <v>43647</v>
      </c>
      <c r="G447" s="59">
        <f t="shared" si="416"/>
        <v>1.5013698630136987</v>
      </c>
      <c r="H447" s="61">
        <v>33310.718240000002</v>
      </c>
      <c r="I447" s="63"/>
      <c r="J447" s="61">
        <v>34143.486196000005</v>
      </c>
      <c r="K447" s="63">
        <f t="shared" si="417"/>
        <v>34143.486196000005</v>
      </c>
      <c r="L447" s="63">
        <f t="shared" si="418"/>
        <v>16.415137594230771</v>
      </c>
      <c r="M447" s="63">
        <f t="shared" si="419"/>
        <v>1313.2110075384617</v>
      </c>
      <c r="N447" s="63">
        <f t="shared" si="432"/>
        <v>0</v>
      </c>
      <c r="O447" s="65"/>
      <c r="P447" s="65"/>
      <c r="Q447" s="63">
        <f t="shared" si="420"/>
        <v>0</v>
      </c>
      <c r="R447" s="63">
        <f t="shared" si="421"/>
        <v>34143.486196000005</v>
      </c>
      <c r="S447" s="65"/>
      <c r="T447" s="65"/>
      <c r="U447" s="65"/>
      <c r="V447" s="63">
        <f t="shared" si="422"/>
        <v>34143.486196000005</v>
      </c>
      <c r="W447" s="63">
        <f t="shared" si="423"/>
        <v>2116.8961441520005</v>
      </c>
      <c r="X447" s="63">
        <f t="shared" si="424"/>
        <v>495.0805498420001</v>
      </c>
      <c r="Y447" s="63">
        <f t="shared" si="425"/>
        <v>5128.3516266392007</v>
      </c>
      <c r="Z447" s="63">
        <f t="shared" si="426"/>
        <v>54.629577913600009</v>
      </c>
      <c r="AA447" s="63">
        <f t="shared" si="427"/>
        <v>23.900440337200003</v>
      </c>
      <c r="AB447" s="63">
        <f t="shared" si="428"/>
        <v>335</v>
      </c>
      <c r="AC447" s="63">
        <f t="shared" si="429"/>
        <v>10356.36</v>
      </c>
      <c r="AD447" s="63">
        <f t="shared" si="430"/>
        <v>106.9136</v>
      </c>
      <c r="AE447" s="178">
        <v>568</v>
      </c>
    </row>
    <row r="448" spans="1:31" x14ac:dyDescent="0.25">
      <c r="A448" s="167">
        <v>568</v>
      </c>
      <c r="B448" s="167">
        <v>568370</v>
      </c>
      <c r="C448" s="168" t="s">
        <v>4140</v>
      </c>
      <c r="D448" s="168" t="s">
        <v>3815</v>
      </c>
      <c r="E448" s="168" t="s">
        <v>2909</v>
      </c>
      <c r="F448" s="58">
        <v>43647</v>
      </c>
      <c r="G448" s="59">
        <f t="shared" si="416"/>
        <v>1.5013698630136987</v>
      </c>
      <c r="H448" s="61">
        <v>33310.718240000002</v>
      </c>
      <c r="I448" s="63">
        <v>34143.49</v>
      </c>
      <c r="J448" s="61">
        <v>34143.486196000005</v>
      </c>
      <c r="K448" s="63">
        <f t="shared" si="417"/>
        <v>34143.486196000005</v>
      </c>
      <c r="L448" s="63">
        <f t="shared" si="418"/>
        <v>16.415137594230771</v>
      </c>
      <c r="M448" s="63">
        <f t="shared" si="419"/>
        <v>1313.2110075384617</v>
      </c>
      <c r="N448" s="63">
        <f t="shared" si="432"/>
        <v>0</v>
      </c>
      <c r="O448" s="65"/>
      <c r="P448" s="65"/>
      <c r="Q448" s="63">
        <f t="shared" si="420"/>
        <v>0</v>
      </c>
      <c r="R448" s="63">
        <f t="shared" si="421"/>
        <v>34143.486196000005</v>
      </c>
      <c r="S448" s="65"/>
      <c r="T448" s="65"/>
      <c r="U448" s="65"/>
      <c r="V448" s="63">
        <f t="shared" si="422"/>
        <v>34143.486196000005</v>
      </c>
      <c r="W448" s="63">
        <f t="shared" si="423"/>
        <v>2116.8961441520005</v>
      </c>
      <c r="X448" s="63">
        <f t="shared" si="424"/>
        <v>495.0805498420001</v>
      </c>
      <c r="Y448" s="63">
        <f t="shared" si="425"/>
        <v>5128.3516266392007</v>
      </c>
      <c r="Z448" s="63">
        <f t="shared" si="426"/>
        <v>54.629577913600009</v>
      </c>
      <c r="AA448" s="63">
        <f t="shared" si="427"/>
        <v>23.900440337200003</v>
      </c>
      <c r="AB448" s="63">
        <f t="shared" si="428"/>
        <v>335</v>
      </c>
      <c r="AC448" s="63">
        <f t="shared" si="429"/>
        <v>10356.36</v>
      </c>
      <c r="AD448" s="63">
        <f t="shared" si="430"/>
        <v>106.9136</v>
      </c>
      <c r="AE448" s="178">
        <v>568</v>
      </c>
    </row>
    <row r="449" spans="1:31" x14ac:dyDescent="0.25">
      <c r="A449" s="167">
        <v>568</v>
      </c>
      <c r="B449" s="167">
        <v>568371</v>
      </c>
      <c r="C449" s="168" t="s">
        <v>4141</v>
      </c>
      <c r="D449" s="168" t="s">
        <v>4142</v>
      </c>
      <c r="E449" s="168" t="s">
        <v>4143</v>
      </c>
      <c r="F449" s="58">
        <v>43647</v>
      </c>
      <c r="G449" s="59">
        <f t="shared" si="416"/>
        <v>1.5013698630136987</v>
      </c>
      <c r="H449" s="61">
        <v>33310.718240000002</v>
      </c>
      <c r="I449" s="63">
        <v>34143.49</v>
      </c>
      <c r="J449" s="61">
        <v>34143.486196000005</v>
      </c>
      <c r="K449" s="63">
        <f t="shared" si="417"/>
        <v>34143.486196000005</v>
      </c>
      <c r="L449" s="63">
        <f t="shared" si="418"/>
        <v>16.415137594230771</v>
      </c>
      <c r="M449" s="63">
        <f t="shared" si="419"/>
        <v>1313.2110075384617</v>
      </c>
      <c r="N449" s="63">
        <f t="shared" si="432"/>
        <v>0</v>
      </c>
      <c r="O449" s="65"/>
      <c r="P449" s="65"/>
      <c r="Q449" s="63">
        <f t="shared" si="420"/>
        <v>0</v>
      </c>
      <c r="R449" s="63">
        <f t="shared" si="421"/>
        <v>34143.486196000005</v>
      </c>
      <c r="S449" s="65"/>
      <c r="T449" s="65"/>
      <c r="U449" s="65"/>
      <c r="V449" s="63">
        <f t="shared" si="422"/>
        <v>34143.486196000005</v>
      </c>
      <c r="W449" s="63">
        <f t="shared" si="423"/>
        <v>2116.8961441520005</v>
      </c>
      <c r="X449" s="63">
        <f t="shared" si="424"/>
        <v>495.0805498420001</v>
      </c>
      <c r="Y449" s="63">
        <f t="shared" si="425"/>
        <v>5128.3516266392007</v>
      </c>
      <c r="Z449" s="63">
        <f t="shared" si="426"/>
        <v>54.629577913600009</v>
      </c>
      <c r="AA449" s="63">
        <f t="shared" si="427"/>
        <v>23.900440337200003</v>
      </c>
      <c r="AB449" s="63">
        <f t="shared" si="428"/>
        <v>335</v>
      </c>
      <c r="AC449" s="63">
        <f t="shared" si="429"/>
        <v>10356.36</v>
      </c>
      <c r="AD449" s="63">
        <f t="shared" si="430"/>
        <v>106.9136</v>
      </c>
      <c r="AE449" s="178">
        <v>568</v>
      </c>
    </row>
    <row r="450" spans="1:31" x14ac:dyDescent="0.25">
      <c r="A450" s="167">
        <v>568</v>
      </c>
      <c r="B450" s="167">
        <v>568373</v>
      </c>
      <c r="C450" s="168" t="s">
        <v>4144</v>
      </c>
      <c r="D450" s="271" t="s">
        <v>2805</v>
      </c>
      <c r="E450" s="271" t="s">
        <v>2806</v>
      </c>
      <c r="F450" s="403">
        <v>43831</v>
      </c>
      <c r="G450" s="59">
        <f t="shared" si="416"/>
        <v>0.99726027397260275</v>
      </c>
      <c r="H450" s="61">
        <v>33310.718240000002</v>
      </c>
      <c r="I450" s="63">
        <v>34143.49</v>
      </c>
      <c r="J450" s="61">
        <v>34143.486196000005</v>
      </c>
      <c r="K450" s="63">
        <f t="shared" si="417"/>
        <v>34143.486196000005</v>
      </c>
      <c r="L450" s="63">
        <f t="shared" si="418"/>
        <v>16.415137594230771</v>
      </c>
      <c r="M450" s="63">
        <f t="shared" si="419"/>
        <v>1313.2110075384617</v>
      </c>
      <c r="N450" s="63">
        <f t="shared" si="432"/>
        <v>0</v>
      </c>
      <c r="O450" s="65"/>
      <c r="P450" s="65"/>
      <c r="Q450" s="63">
        <f t="shared" si="420"/>
        <v>0</v>
      </c>
      <c r="R450" s="63">
        <f t="shared" si="421"/>
        <v>34143.486196000005</v>
      </c>
      <c r="S450" s="65"/>
      <c r="T450" s="65"/>
      <c r="U450" s="65"/>
      <c r="V450" s="63">
        <f t="shared" si="422"/>
        <v>34143.486196000005</v>
      </c>
      <c r="W450" s="63">
        <f t="shared" si="423"/>
        <v>2116.8961441520005</v>
      </c>
      <c r="X450" s="63">
        <f t="shared" si="424"/>
        <v>495.0805498420001</v>
      </c>
      <c r="Y450" s="63">
        <f t="shared" si="425"/>
        <v>5128.3516266392007</v>
      </c>
      <c r="Z450" s="63">
        <f t="shared" si="426"/>
        <v>54.629577913600009</v>
      </c>
      <c r="AA450" s="63">
        <f t="shared" si="427"/>
        <v>23.900440337200003</v>
      </c>
      <c r="AB450" s="63">
        <f t="shared" si="428"/>
        <v>335</v>
      </c>
      <c r="AC450" s="63">
        <f t="shared" si="429"/>
        <v>10356.36</v>
      </c>
      <c r="AD450" s="63">
        <f t="shared" si="430"/>
        <v>106.9136</v>
      </c>
      <c r="AE450" s="178">
        <v>568</v>
      </c>
    </row>
    <row r="451" spans="1:31" x14ac:dyDescent="0.25">
      <c r="A451" s="167">
        <v>568</v>
      </c>
      <c r="B451" s="167">
        <v>568374</v>
      </c>
      <c r="C451" s="168" t="s">
        <v>4145</v>
      </c>
      <c r="D451" s="168" t="s">
        <v>4146</v>
      </c>
      <c r="E451" s="168" t="s">
        <v>2909</v>
      </c>
      <c r="F451" s="58">
        <v>43347</v>
      </c>
      <c r="G451" s="59">
        <f t="shared" si="416"/>
        <v>2.3232876712328765</v>
      </c>
      <c r="H451" s="61">
        <v>33310.718240000002</v>
      </c>
      <c r="I451" s="63">
        <v>34143.49</v>
      </c>
      <c r="J451" s="61">
        <v>34143.486196000005</v>
      </c>
      <c r="K451" s="63">
        <f t="shared" si="417"/>
        <v>34143.486196000005</v>
      </c>
      <c r="L451" s="63">
        <f t="shared" si="418"/>
        <v>16.415137594230771</v>
      </c>
      <c r="M451" s="63">
        <f t="shared" si="419"/>
        <v>1313.2110075384617</v>
      </c>
      <c r="N451" s="63">
        <f t="shared" si="432"/>
        <v>0</v>
      </c>
      <c r="O451" s="65"/>
      <c r="P451" s="65"/>
      <c r="Q451" s="63">
        <f t="shared" si="420"/>
        <v>0</v>
      </c>
      <c r="R451" s="63">
        <f t="shared" si="421"/>
        <v>34143.486196000005</v>
      </c>
      <c r="S451" s="65"/>
      <c r="T451" s="65"/>
      <c r="U451" s="65"/>
      <c r="V451" s="63">
        <f t="shared" si="422"/>
        <v>34143.486196000005</v>
      </c>
      <c r="W451" s="63">
        <f t="shared" si="423"/>
        <v>2116.8961441520005</v>
      </c>
      <c r="X451" s="63">
        <f t="shared" si="424"/>
        <v>495.0805498420001</v>
      </c>
      <c r="Y451" s="63">
        <f t="shared" si="425"/>
        <v>5128.3516266392007</v>
      </c>
      <c r="Z451" s="63">
        <f t="shared" si="426"/>
        <v>54.629577913600009</v>
      </c>
      <c r="AA451" s="63">
        <f t="shared" si="427"/>
        <v>23.900440337200003</v>
      </c>
      <c r="AB451" s="63">
        <f t="shared" si="428"/>
        <v>335</v>
      </c>
      <c r="AC451" s="63">
        <f t="shared" si="429"/>
        <v>10356.36</v>
      </c>
      <c r="AD451" s="63">
        <f t="shared" si="430"/>
        <v>106.9136</v>
      </c>
      <c r="AE451" s="178">
        <v>568</v>
      </c>
    </row>
    <row r="452" spans="1:31" x14ac:dyDescent="0.25">
      <c r="A452" s="167">
        <v>568</v>
      </c>
      <c r="B452" s="167">
        <v>568375</v>
      </c>
      <c r="C452" s="168" t="s">
        <v>4147</v>
      </c>
      <c r="D452" s="168" t="s">
        <v>3175</v>
      </c>
      <c r="E452" s="168" t="s">
        <v>3176</v>
      </c>
      <c r="F452" s="58">
        <v>43619</v>
      </c>
      <c r="G452" s="59">
        <f t="shared" si="416"/>
        <v>1.5780821917808219</v>
      </c>
      <c r="H452" s="61">
        <v>33310.718240000002</v>
      </c>
      <c r="I452" s="63"/>
      <c r="J452" s="61">
        <v>34143.486196000005</v>
      </c>
      <c r="K452" s="63">
        <f t="shared" si="417"/>
        <v>34143.486196000005</v>
      </c>
      <c r="L452" s="63">
        <f t="shared" si="418"/>
        <v>16.415137594230771</v>
      </c>
      <c r="M452" s="63">
        <f t="shared" si="419"/>
        <v>1313.2110075384617</v>
      </c>
      <c r="N452" s="63">
        <f t="shared" si="432"/>
        <v>0</v>
      </c>
      <c r="O452" s="65"/>
      <c r="P452" s="65"/>
      <c r="Q452" s="63">
        <f t="shared" si="420"/>
        <v>0</v>
      </c>
      <c r="R452" s="63">
        <f t="shared" si="421"/>
        <v>34143.486196000005</v>
      </c>
      <c r="S452" s="65"/>
      <c r="T452" s="65"/>
      <c r="U452" s="65"/>
      <c r="V452" s="63">
        <f t="shared" si="422"/>
        <v>34143.486196000005</v>
      </c>
      <c r="W452" s="63">
        <f t="shared" si="423"/>
        <v>2116.8961441520005</v>
      </c>
      <c r="X452" s="63">
        <f t="shared" si="424"/>
        <v>495.0805498420001</v>
      </c>
      <c r="Y452" s="63">
        <f t="shared" si="425"/>
        <v>5128.3516266392007</v>
      </c>
      <c r="Z452" s="63">
        <f t="shared" si="426"/>
        <v>54.629577913600009</v>
      </c>
      <c r="AA452" s="63">
        <f t="shared" si="427"/>
        <v>23.900440337200003</v>
      </c>
      <c r="AB452" s="63">
        <f t="shared" si="428"/>
        <v>335</v>
      </c>
      <c r="AC452" s="63">
        <f t="shared" si="429"/>
        <v>10356.36</v>
      </c>
      <c r="AD452" s="63">
        <f t="shared" si="430"/>
        <v>106.9136</v>
      </c>
      <c r="AE452" s="178">
        <v>568</v>
      </c>
    </row>
    <row r="453" spans="1:31" x14ac:dyDescent="0.25">
      <c r="A453" s="167">
        <v>568</v>
      </c>
      <c r="B453" s="167">
        <v>568378</v>
      </c>
      <c r="C453" s="168" t="s">
        <v>4148</v>
      </c>
      <c r="D453" s="271" t="s">
        <v>2805</v>
      </c>
      <c r="E453" s="271" t="s">
        <v>2806</v>
      </c>
      <c r="F453" s="403">
        <v>43831</v>
      </c>
      <c r="G453" s="59">
        <f t="shared" si="416"/>
        <v>0.99726027397260275</v>
      </c>
      <c r="H453" s="61">
        <v>33310.718240000002</v>
      </c>
      <c r="I453" s="63">
        <v>34143.49</v>
      </c>
      <c r="J453" s="61">
        <v>34143.486196000005</v>
      </c>
      <c r="K453" s="63">
        <f t="shared" si="417"/>
        <v>34143.486196000005</v>
      </c>
      <c r="L453" s="63">
        <f t="shared" si="418"/>
        <v>16.415137594230771</v>
      </c>
      <c r="M453" s="63">
        <f t="shared" si="419"/>
        <v>1313.2110075384617</v>
      </c>
      <c r="N453" s="63">
        <f t="shared" si="432"/>
        <v>0</v>
      </c>
      <c r="O453" s="65"/>
      <c r="P453" s="65"/>
      <c r="Q453" s="63">
        <f t="shared" si="420"/>
        <v>0</v>
      </c>
      <c r="R453" s="63">
        <f t="shared" si="421"/>
        <v>34143.486196000005</v>
      </c>
      <c r="S453" s="65"/>
      <c r="T453" s="65"/>
      <c r="U453" s="65"/>
      <c r="V453" s="63">
        <f t="shared" si="422"/>
        <v>34143.486196000005</v>
      </c>
      <c r="W453" s="63">
        <f t="shared" si="423"/>
        <v>2116.8961441520005</v>
      </c>
      <c r="X453" s="63">
        <f t="shared" si="424"/>
        <v>495.0805498420001</v>
      </c>
      <c r="Y453" s="63">
        <f t="shared" si="425"/>
        <v>5128.3516266392007</v>
      </c>
      <c r="Z453" s="63">
        <f t="shared" si="426"/>
        <v>54.629577913600009</v>
      </c>
      <c r="AA453" s="63">
        <f t="shared" si="427"/>
        <v>23.900440337200003</v>
      </c>
      <c r="AB453" s="63">
        <f t="shared" si="428"/>
        <v>335</v>
      </c>
      <c r="AC453" s="63">
        <f t="shared" si="429"/>
        <v>10356.36</v>
      </c>
      <c r="AD453" s="63">
        <f t="shared" si="430"/>
        <v>106.9136</v>
      </c>
      <c r="AE453" s="178">
        <v>568</v>
      </c>
    </row>
    <row r="454" spans="1:31" x14ac:dyDescent="0.25">
      <c r="A454" s="167">
        <v>568</v>
      </c>
      <c r="B454" s="167">
        <v>568379</v>
      </c>
      <c r="C454" s="168" t="s">
        <v>4149</v>
      </c>
      <c r="D454" s="168" t="s">
        <v>2429</v>
      </c>
      <c r="E454" s="168" t="s">
        <v>4150</v>
      </c>
      <c r="F454" s="58">
        <v>42961</v>
      </c>
      <c r="G454" s="59">
        <f t="shared" si="416"/>
        <v>3.3808219178082193</v>
      </c>
      <c r="H454" s="61">
        <v>33310.718240000002</v>
      </c>
      <c r="I454" s="63"/>
      <c r="J454" s="61">
        <v>34143.486196000005</v>
      </c>
      <c r="K454" s="63">
        <f t="shared" si="417"/>
        <v>34143.486196000005</v>
      </c>
      <c r="L454" s="63">
        <f t="shared" si="418"/>
        <v>16.415137594230771</v>
      </c>
      <c r="M454" s="63">
        <f t="shared" si="419"/>
        <v>1313.2110075384617</v>
      </c>
      <c r="N454" s="63">
        <f t="shared" si="432"/>
        <v>0</v>
      </c>
      <c r="O454" s="65"/>
      <c r="P454" s="65"/>
      <c r="Q454" s="63">
        <f t="shared" si="420"/>
        <v>0</v>
      </c>
      <c r="R454" s="63">
        <f t="shared" si="421"/>
        <v>34143.486196000005</v>
      </c>
      <c r="S454" s="65"/>
      <c r="T454" s="65"/>
      <c r="U454" s="65"/>
      <c r="V454" s="63">
        <f t="shared" si="422"/>
        <v>34143.486196000005</v>
      </c>
      <c r="W454" s="63">
        <f t="shared" si="423"/>
        <v>2116.8961441520005</v>
      </c>
      <c r="X454" s="63">
        <f t="shared" si="424"/>
        <v>495.0805498420001</v>
      </c>
      <c r="Y454" s="63">
        <f t="shared" si="425"/>
        <v>5128.3516266392007</v>
      </c>
      <c r="Z454" s="63">
        <f t="shared" si="426"/>
        <v>54.629577913600009</v>
      </c>
      <c r="AA454" s="63">
        <f t="shared" si="427"/>
        <v>23.900440337200003</v>
      </c>
      <c r="AB454" s="63">
        <f t="shared" si="428"/>
        <v>335</v>
      </c>
      <c r="AC454" s="63">
        <f t="shared" si="429"/>
        <v>10356.36</v>
      </c>
      <c r="AD454" s="63">
        <f t="shared" si="430"/>
        <v>106.9136</v>
      </c>
      <c r="AE454" s="178">
        <v>568</v>
      </c>
    </row>
    <row r="455" spans="1:31" x14ac:dyDescent="0.25">
      <c r="A455" s="167">
        <v>568</v>
      </c>
      <c r="B455" s="167">
        <v>568380</v>
      </c>
      <c r="C455" s="168" t="s">
        <v>4151</v>
      </c>
      <c r="D455" s="168" t="s">
        <v>2722</v>
      </c>
      <c r="E455" s="168" t="s">
        <v>3199</v>
      </c>
      <c r="F455" s="58">
        <v>42970</v>
      </c>
      <c r="G455" s="59">
        <f t="shared" si="416"/>
        <v>3.3561643835616439</v>
      </c>
      <c r="H455" s="61">
        <v>33310.718240000002</v>
      </c>
      <c r="I455" s="63">
        <v>34143.49</v>
      </c>
      <c r="J455" s="61">
        <v>34143.486196000005</v>
      </c>
      <c r="K455" s="63">
        <f t="shared" si="417"/>
        <v>34143.486196000005</v>
      </c>
      <c r="L455" s="63">
        <f t="shared" si="418"/>
        <v>16.415137594230771</v>
      </c>
      <c r="M455" s="63">
        <f t="shared" si="419"/>
        <v>1313.2110075384617</v>
      </c>
      <c r="N455" s="63">
        <f t="shared" si="432"/>
        <v>0</v>
      </c>
      <c r="O455" s="65"/>
      <c r="P455" s="65"/>
      <c r="Q455" s="63">
        <f t="shared" si="420"/>
        <v>0</v>
      </c>
      <c r="R455" s="63">
        <f t="shared" si="421"/>
        <v>34143.486196000005</v>
      </c>
      <c r="S455" s="65"/>
      <c r="T455" s="65"/>
      <c r="U455" s="65"/>
      <c r="V455" s="63">
        <f t="shared" si="422"/>
        <v>34143.486196000005</v>
      </c>
      <c r="W455" s="63">
        <f t="shared" si="423"/>
        <v>2116.8961441520005</v>
      </c>
      <c r="X455" s="63">
        <f t="shared" si="424"/>
        <v>495.0805498420001</v>
      </c>
      <c r="Y455" s="63">
        <f t="shared" si="425"/>
        <v>5128.3516266392007</v>
      </c>
      <c r="Z455" s="63">
        <f t="shared" si="426"/>
        <v>54.629577913600009</v>
      </c>
      <c r="AA455" s="63">
        <f t="shared" si="427"/>
        <v>23.900440337200003</v>
      </c>
      <c r="AB455" s="63">
        <f t="shared" si="428"/>
        <v>335</v>
      </c>
      <c r="AC455" s="63">
        <f t="shared" si="429"/>
        <v>10356.36</v>
      </c>
      <c r="AD455" s="63">
        <f t="shared" si="430"/>
        <v>106.9136</v>
      </c>
      <c r="AE455" s="178">
        <v>568</v>
      </c>
    </row>
    <row r="456" spans="1:31" x14ac:dyDescent="0.25">
      <c r="A456" s="167">
        <v>568</v>
      </c>
      <c r="B456" s="167">
        <v>568381</v>
      </c>
      <c r="C456" s="168" t="s">
        <v>4152</v>
      </c>
      <c r="D456" s="168" t="s">
        <v>2714</v>
      </c>
      <c r="E456" s="168" t="s">
        <v>3225</v>
      </c>
      <c r="F456" s="58">
        <v>43570</v>
      </c>
      <c r="G456" s="59">
        <f t="shared" si="416"/>
        <v>1.7123287671232876</v>
      </c>
      <c r="H456" s="61">
        <v>33310.718240000002</v>
      </c>
      <c r="I456" s="63">
        <v>34143.49</v>
      </c>
      <c r="J456" s="61">
        <v>34143.486196000005</v>
      </c>
      <c r="K456" s="63">
        <f t="shared" si="417"/>
        <v>34143.486196000005</v>
      </c>
      <c r="L456" s="63">
        <f t="shared" si="418"/>
        <v>16.415137594230771</v>
      </c>
      <c r="M456" s="63">
        <f t="shared" si="419"/>
        <v>1313.2110075384617</v>
      </c>
      <c r="N456" s="63">
        <f t="shared" si="432"/>
        <v>0</v>
      </c>
      <c r="O456" s="65"/>
      <c r="P456" s="65"/>
      <c r="Q456" s="63">
        <f t="shared" si="420"/>
        <v>0</v>
      </c>
      <c r="R456" s="63">
        <f t="shared" si="421"/>
        <v>34143.486196000005</v>
      </c>
      <c r="S456" s="65"/>
      <c r="T456" s="65"/>
      <c r="U456" s="65"/>
      <c r="V456" s="63">
        <f t="shared" si="422"/>
        <v>34143.486196000005</v>
      </c>
      <c r="W456" s="63">
        <f t="shared" si="423"/>
        <v>2116.8961441520005</v>
      </c>
      <c r="X456" s="63">
        <f t="shared" si="424"/>
        <v>495.0805498420001</v>
      </c>
      <c r="Y456" s="63">
        <f t="shared" si="425"/>
        <v>5128.3516266392007</v>
      </c>
      <c r="Z456" s="63">
        <f t="shared" si="426"/>
        <v>54.629577913600009</v>
      </c>
      <c r="AA456" s="63">
        <f t="shared" si="427"/>
        <v>23.900440337200003</v>
      </c>
      <c r="AB456" s="63">
        <f t="shared" si="428"/>
        <v>335</v>
      </c>
      <c r="AC456" s="63">
        <f t="shared" si="429"/>
        <v>10356.36</v>
      </c>
      <c r="AD456" s="63">
        <f t="shared" si="430"/>
        <v>106.9136</v>
      </c>
      <c r="AE456" s="178">
        <v>568</v>
      </c>
    </row>
    <row r="457" spans="1:31" x14ac:dyDescent="0.25">
      <c r="A457" s="167">
        <v>568</v>
      </c>
      <c r="B457" s="167">
        <v>568382</v>
      </c>
      <c r="C457" s="168" t="s">
        <v>4153</v>
      </c>
      <c r="D457" s="168" t="s">
        <v>2966</v>
      </c>
      <c r="E457" s="168" t="s">
        <v>2967</v>
      </c>
      <c r="F457" s="58">
        <v>42984</v>
      </c>
      <c r="G457" s="59">
        <f t="shared" si="416"/>
        <v>3.3178082191780822</v>
      </c>
      <c r="H457" s="61">
        <v>33310.718240000002</v>
      </c>
      <c r="I457" s="63">
        <v>34143.49</v>
      </c>
      <c r="J457" s="61">
        <v>34143.486196000005</v>
      </c>
      <c r="K457" s="63">
        <f t="shared" si="417"/>
        <v>34143.486196000005</v>
      </c>
      <c r="L457" s="63">
        <f t="shared" si="418"/>
        <v>16.415137594230771</v>
      </c>
      <c r="M457" s="63">
        <f t="shared" si="419"/>
        <v>1313.2110075384617</v>
      </c>
      <c r="N457" s="63">
        <f t="shared" si="432"/>
        <v>0</v>
      </c>
      <c r="O457" s="65"/>
      <c r="P457" s="65"/>
      <c r="Q457" s="63">
        <f t="shared" si="420"/>
        <v>0</v>
      </c>
      <c r="R457" s="63">
        <f t="shared" si="421"/>
        <v>34143.486196000005</v>
      </c>
      <c r="S457" s="65"/>
      <c r="T457" s="65"/>
      <c r="U457" s="65"/>
      <c r="V457" s="63">
        <f t="shared" si="422"/>
        <v>34143.486196000005</v>
      </c>
      <c r="W457" s="63">
        <f t="shared" si="423"/>
        <v>2116.8961441520005</v>
      </c>
      <c r="X457" s="63">
        <f t="shared" si="424"/>
        <v>495.0805498420001</v>
      </c>
      <c r="Y457" s="63">
        <f t="shared" si="425"/>
        <v>5128.3516266392007</v>
      </c>
      <c r="Z457" s="63">
        <f t="shared" si="426"/>
        <v>54.629577913600009</v>
      </c>
      <c r="AA457" s="63">
        <f t="shared" si="427"/>
        <v>23.900440337200003</v>
      </c>
      <c r="AB457" s="63">
        <f t="shared" si="428"/>
        <v>335</v>
      </c>
      <c r="AC457" s="63">
        <f t="shared" si="429"/>
        <v>10356.36</v>
      </c>
      <c r="AD457" s="63">
        <f t="shared" si="430"/>
        <v>106.9136</v>
      </c>
      <c r="AE457" s="178">
        <v>568</v>
      </c>
    </row>
    <row r="458" spans="1:31" x14ac:dyDescent="0.25">
      <c r="A458" s="167">
        <v>568</v>
      </c>
      <c r="B458" s="167">
        <v>568383</v>
      </c>
      <c r="C458" s="168" t="s">
        <v>4154</v>
      </c>
      <c r="D458" s="271" t="s">
        <v>2805</v>
      </c>
      <c r="E458" s="271" t="s">
        <v>2806</v>
      </c>
      <c r="F458" s="403">
        <v>43831</v>
      </c>
      <c r="G458" s="59">
        <f t="shared" si="416"/>
        <v>0.99726027397260275</v>
      </c>
      <c r="H458" s="61">
        <v>33310.718240000002</v>
      </c>
      <c r="I458" s="63">
        <v>34143.49</v>
      </c>
      <c r="J458" s="61">
        <v>34143.486196000005</v>
      </c>
      <c r="K458" s="63">
        <f t="shared" si="417"/>
        <v>34143.486196000005</v>
      </c>
      <c r="L458" s="63">
        <f t="shared" si="418"/>
        <v>16.415137594230771</v>
      </c>
      <c r="M458" s="63">
        <f t="shared" si="419"/>
        <v>1313.2110075384617</v>
      </c>
      <c r="N458" s="63">
        <f t="shared" si="432"/>
        <v>0</v>
      </c>
      <c r="O458" s="65"/>
      <c r="P458" s="65"/>
      <c r="Q458" s="63">
        <f t="shared" si="420"/>
        <v>0</v>
      </c>
      <c r="R458" s="63">
        <f t="shared" si="421"/>
        <v>34143.486196000005</v>
      </c>
      <c r="S458" s="65"/>
      <c r="T458" s="65"/>
      <c r="U458" s="65"/>
      <c r="V458" s="63">
        <f t="shared" si="422"/>
        <v>34143.486196000005</v>
      </c>
      <c r="W458" s="63">
        <f t="shared" si="423"/>
        <v>2116.8961441520005</v>
      </c>
      <c r="X458" s="63">
        <f t="shared" si="424"/>
        <v>495.0805498420001</v>
      </c>
      <c r="Y458" s="63">
        <f t="shared" si="425"/>
        <v>5128.3516266392007</v>
      </c>
      <c r="Z458" s="63">
        <f t="shared" si="426"/>
        <v>54.629577913600009</v>
      </c>
      <c r="AA458" s="63">
        <f t="shared" si="427"/>
        <v>23.900440337200003</v>
      </c>
      <c r="AB458" s="63">
        <f t="shared" si="428"/>
        <v>335</v>
      </c>
      <c r="AC458" s="63">
        <f t="shared" si="429"/>
        <v>10356.36</v>
      </c>
      <c r="AD458" s="63">
        <f t="shared" si="430"/>
        <v>106.9136</v>
      </c>
      <c r="AE458" s="178">
        <v>568</v>
      </c>
    </row>
    <row r="459" spans="1:31" x14ac:dyDescent="0.25">
      <c r="A459" s="167">
        <v>568</v>
      </c>
      <c r="B459" s="167">
        <v>568385</v>
      </c>
      <c r="C459" s="168" t="s">
        <v>4155</v>
      </c>
      <c r="D459" s="168" t="s">
        <v>3123</v>
      </c>
      <c r="E459" s="168" t="s">
        <v>3124</v>
      </c>
      <c r="F459" s="58">
        <v>42759</v>
      </c>
      <c r="G459" s="59">
        <f t="shared" si="416"/>
        <v>3.9342465753424656</v>
      </c>
      <c r="H459" s="61">
        <v>33310.718240000002</v>
      </c>
      <c r="I459" s="63">
        <v>34143.49</v>
      </c>
      <c r="J459" s="61">
        <v>34143.486196000005</v>
      </c>
      <c r="K459" s="63">
        <f t="shared" si="417"/>
        <v>34143.486196000005</v>
      </c>
      <c r="L459" s="63">
        <f t="shared" si="418"/>
        <v>16.415137594230771</v>
      </c>
      <c r="M459" s="63">
        <f t="shared" si="419"/>
        <v>1313.2110075384617</v>
      </c>
      <c r="N459" s="63">
        <f t="shared" si="432"/>
        <v>0</v>
      </c>
      <c r="O459" s="65"/>
      <c r="P459" s="65"/>
      <c r="Q459" s="63">
        <f t="shared" si="420"/>
        <v>0</v>
      </c>
      <c r="R459" s="63">
        <f t="shared" si="421"/>
        <v>34143.486196000005</v>
      </c>
      <c r="S459" s="65"/>
      <c r="T459" s="65"/>
      <c r="U459" s="65"/>
      <c r="V459" s="63">
        <f t="shared" si="422"/>
        <v>34143.486196000005</v>
      </c>
      <c r="W459" s="63">
        <f t="shared" si="423"/>
        <v>2116.8961441520005</v>
      </c>
      <c r="X459" s="63">
        <f t="shared" si="424"/>
        <v>495.0805498420001</v>
      </c>
      <c r="Y459" s="63">
        <f t="shared" si="425"/>
        <v>5128.3516266392007</v>
      </c>
      <c r="Z459" s="63">
        <f t="shared" si="426"/>
        <v>54.629577913600009</v>
      </c>
      <c r="AA459" s="63">
        <f t="shared" si="427"/>
        <v>23.900440337200003</v>
      </c>
      <c r="AB459" s="63">
        <f t="shared" si="428"/>
        <v>335</v>
      </c>
      <c r="AC459" s="63">
        <f t="shared" si="429"/>
        <v>10356.36</v>
      </c>
      <c r="AD459" s="63">
        <f t="shared" si="430"/>
        <v>106.9136</v>
      </c>
      <c r="AE459" s="178">
        <v>568</v>
      </c>
    </row>
    <row r="460" spans="1:31" x14ac:dyDescent="0.25">
      <c r="A460" s="167">
        <v>568</v>
      </c>
      <c r="B460" s="167">
        <v>568386</v>
      </c>
      <c r="C460" s="168" t="s">
        <v>4156</v>
      </c>
      <c r="D460" s="271" t="s">
        <v>2805</v>
      </c>
      <c r="E460" s="271" t="s">
        <v>2806</v>
      </c>
      <c r="F460" s="403">
        <v>43831</v>
      </c>
      <c r="G460" s="59">
        <f t="shared" si="416"/>
        <v>0.99726027397260275</v>
      </c>
      <c r="H460" s="61">
        <v>33310.718240000002</v>
      </c>
      <c r="I460" s="63">
        <v>34143.49</v>
      </c>
      <c r="J460" s="61">
        <v>34143.486196000005</v>
      </c>
      <c r="K460" s="63">
        <f t="shared" si="417"/>
        <v>34143.486196000005</v>
      </c>
      <c r="L460" s="63">
        <f t="shared" si="418"/>
        <v>16.415137594230771</v>
      </c>
      <c r="M460" s="63">
        <f t="shared" si="419"/>
        <v>1313.2110075384617</v>
      </c>
      <c r="N460" s="63">
        <f t="shared" si="432"/>
        <v>0</v>
      </c>
      <c r="O460" s="65"/>
      <c r="P460" s="65"/>
      <c r="Q460" s="63">
        <f t="shared" si="420"/>
        <v>0</v>
      </c>
      <c r="R460" s="63">
        <f t="shared" si="421"/>
        <v>34143.486196000005</v>
      </c>
      <c r="S460" s="65"/>
      <c r="T460" s="65"/>
      <c r="U460" s="65"/>
      <c r="V460" s="63">
        <f t="shared" si="422"/>
        <v>34143.486196000005</v>
      </c>
      <c r="W460" s="63">
        <f t="shared" si="423"/>
        <v>2116.8961441520005</v>
      </c>
      <c r="X460" s="63">
        <f t="shared" si="424"/>
        <v>495.0805498420001</v>
      </c>
      <c r="Y460" s="63">
        <f t="shared" si="425"/>
        <v>5128.3516266392007</v>
      </c>
      <c r="Z460" s="63">
        <f t="shared" si="426"/>
        <v>54.629577913600009</v>
      </c>
      <c r="AA460" s="63">
        <f t="shared" si="427"/>
        <v>23.900440337200003</v>
      </c>
      <c r="AB460" s="63">
        <f t="shared" si="428"/>
        <v>335</v>
      </c>
      <c r="AC460" s="63">
        <f t="shared" si="429"/>
        <v>10356.36</v>
      </c>
      <c r="AD460" s="63">
        <f t="shared" si="430"/>
        <v>106.9136</v>
      </c>
      <c r="AE460" s="178">
        <v>568</v>
      </c>
    </row>
    <row r="461" spans="1:31" x14ac:dyDescent="0.25">
      <c r="A461" s="167">
        <v>568</v>
      </c>
      <c r="B461" s="167">
        <v>568387</v>
      </c>
      <c r="C461" s="168" t="s">
        <v>4157</v>
      </c>
      <c r="D461" s="168" t="s">
        <v>4158</v>
      </c>
      <c r="E461" s="168" t="s">
        <v>4159</v>
      </c>
      <c r="F461" s="58">
        <v>43570</v>
      </c>
      <c r="G461" s="59">
        <f t="shared" si="416"/>
        <v>1.7123287671232876</v>
      </c>
      <c r="H461" s="61">
        <v>33310.718240000002</v>
      </c>
      <c r="I461" s="63">
        <v>34143.49</v>
      </c>
      <c r="J461" s="61">
        <v>34143.486196000005</v>
      </c>
      <c r="K461" s="63">
        <f t="shared" si="417"/>
        <v>34143.486196000005</v>
      </c>
      <c r="L461" s="63">
        <f t="shared" si="418"/>
        <v>16.415137594230771</v>
      </c>
      <c r="M461" s="63">
        <f t="shared" si="419"/>
        <v>1313.2110075384617</v>
      </c>
      <c r="N461" s="63">
        <f t="shared" si="432"/>
        <v>0</v>
      </c>
      <c r="O461" s="65"/>
      <c r="P461" s="65"/>
      <c r="Q461" s="63">
        <f t="shared" si="420"/>
        <v>0</v>
      </c>
      <c r="R461" s="63">
        <f t="shared" si="421"/>
        <v>34143.486196000005</v>
      </c>
      <c r="S461" s="65"/>
      <c r="T461" s="65"/>
      <c r="U461" s="65"/>
      <c r="V461" s="63">
        <f t="shared" si="422"/>
        <v>34143.486196000005</v>
      </c>
      <c r="W461" s="63">
        <f t="shared" si="423"/>
        <v>2116.8961441520005</v>
      </c>
      <c r="X461" s="63">
        <f t="shared" si="424"/>
        <v>495.0805498420001</v>
      </c>
      <c r="Y461" s="63">
        <f t="shared" si="425"/>
        <v>5128.3516266392007</v>
      </c>
      <c r="Z461" s="63">
        <f t="shared" si="426"/>
        <v>54.629577913600009</v>
      </c>
      <c r="AA461" s="63">
        <f t="shared" si="427"/>
        <v>23.900440337200003</v>
      </c>
      <c r="AB461" s="63">
        <f t="shared" si="428"/>
        <v>335</v>
      </c>
      <c r="AC461" s="63">
        <f t="shared" si="429"/>
        <v>10356.36</v>
      </c>
      <c r="AD461" s="63">
        <f t="shared" si="430"/>
        <v>106.9136</v>
      </c>
      <c r="AE461" s="178">
        <v>568</v>
      </c>
    </row>
    <row r="462" spans="1:31" x14ac:dyDescent="0.25">
      <c r="A462" s="167">
        <v>568</v>
      </c>
      <c r="B462" s="167">
        <v>568388</v>
      </c>
      <c r="C462" s="168" t="s">
        <v>4160</v>
      </c>
      <c r="D462" s="168" t="s">
        <v>2904</v>
      </c>
      <c r="E462" s="168" t="s">
        <v>2945</v>
      </c>
      <c r="F462" s="83">
        <v>43355</v>
      </c>
      <c r="G462" s="59">
        <f t="shared" si="416"/>
        <v>2.3013698630136985</v>
      </c>
      <c r="H462" s="61">
        <v>33310.718240000002</v>
      </c>
      <c r="I462" s="63">
        <v>34143.49</v>
      </c>
      <c r="J462" s="61">
        <v>34143.486196000005</v>
      </c>
      <c r="K462" s="63">
        <f t="shared" si="417"/>
        <v>34143.486196000005</v>
      </c>
      <c r="L462" s="63">
        <f t="shared" si="418"/>
        <v>16.415137594230771</v>
      </c>
      <c r="M462" s="63">
        <f t="shared" si="419"/>
        <v>1313.2110075384617</v>
      </c>
      <c r="N462" s="63">
        <f t="shared" si="432"/>
        <v>0</v>
      </c>
      <c r="O462" s="65"/>
      <c r="P462" s="65"/>
      <c r="Q462" s="63">
        <f t="shared" si="420"/>
        <v>0</v>
      </c>
      <c r="R462" s="63">
        <f t="shared" si="421"/>
        <v>34143.486196000005</v>
      </c>
      <c r="S462" s="65"/>
      <c r="T462" s="65"/>
      <c r="U462" s="65"/>
      <c r="V462" s="63">
        <f t="shared" si="422"/>
        <v>34143.486196000005</v>
      </c>
      <c r="W462" s="63">
        <f t="shared" si="423"/>
        <v>2116.8961441520005</v>
      </c>
      <c r="X462" s="63">
        <f t="shared" si="424"/>
        <v>495.0805498420001</v>
      </c>
      <c r="Y462" s="63">
        <f t="shared" si="425"/>
        <v>5128.3516266392007</v>
      </c>
      <c r="Z462" s="63">
        <f t="shared" si="426"/>
        <v>54.629577913600009</v>
      </c>
      <c r="AA462" s="63">
        <f t="shared" si="427"/>
        <v>23.900440337200003</v>
      </c>
      <c r="AB462" s="63">
        <f t="shared" si="428"/>
        <v>335</v>
      </c>
      <c r="AC462" s="63">
        <f t="shared" si="429"/>
        <v>10356.36</v>
      </c>
      <c r="AD462" s="63">
        <f t="shared" si="430"/>
        <v>106.9136</v>
      </c>
      <c r="AE462" s="178">
        <v>568</v>
      </c>
    </row>
    <row r="463" spans="1:31" x14ac:dyDescent="0.25">
      <c r="A463" s="167">
        <v>568</v>
      </c>
      <c r="B463" s="167">
        <v>568389</v>
      </c>
      <c r="C463" s="168" t="s">
        <v>4161</v>
      </c>
      <c r="D463" s="168" t="s">
        <v>3243</v>
      </c>
      <c r="E463" s="168" t="s">
        <v>3244</v>
      </c>
      <c r="F463" s="58">
        <v>41442</v>
      </c>
      <c r="G463" s="59">
        <f t="shared" si="416"/>
        <v>7.5424657534246577</v>
      </c>
      <c r="H463" s="61">
        <v>33310.718240000002</v>
      </c>
      <c r="I463" s="63">
        <v>34143.49</v>
      </c>
      <c r="J463" s="61">
        <v>34143.486196000005</v>
      </c>
      <c r="K463" s="63">
        <f t="shared" si="417"/>
        <v>34143.486196000005</v>
      </c>
      <c r="L463" s="63">
        <f t="shared" si="418"/>
        <v>16.415137594230771</v>
      </c>
      <c r="M463" s="63">
        <f t="shared" si="419"/>
        <v>1313.2110075384617</v>
      </c>
      <c r="N463" s="63">
        <f t="shared" si="432"/>
        <v>1727.2109589041097</v>
      </c>
      <c r="O463" s="65"/>
      <c r="P463" s="65"/>
      <c r="Q463" s="63">
        <f t="shared" si="420"/>
        <v>1727.2109589041097</v>
      </c>
      <c r="R463" s="63">
        <f t="shared" si="421"/>
        <v>35870.697154904112</v>
      </c>
      <c r="S463" s="65"/>
      <c r="T463" s="65"/>
      <c r="U463" s="65"/>
      <c r="V463" s="63">
        <f t="shared" si="422"/>
        <v>35870.697154904112</v>
      </c>
      <c r="W463" s="63">
        <f t="shared" si="423"/>
        <v>2223.9832236040547</v>
      </c>
      <c r="X463" s="63">
        <f t="shared" si="424"/>
        <v>520.12510874610962</v>
      </c>
      <c r="Y463" s="63">
        <f t="shared" si="425"/>
        <v>5387.778712666598</v>
      </c>
      <c r="Z463" s="63">
        <f t="shared" si="426"/>
        <v>57.393115447846583</v>
      </c>
      <c r="AA463" s="63">
        <f t="shared" si="427"/>
        <v>25.109488008432876</v>
      </c>
      <c r="AB463" s="63">
        <f t="shared" si="428"/>
        <v>335</v>
      </c>
      <c r="AC463" s="63">
        <f t="shared" si="429"/>
        <v>10356.36</v>
      </c>
      <c r="AD463" s="63">
        <f t="shared" si="430"/>
        <v>106.9136</v>
      </c>
      <c r="AE463" s="178">
        <v>568</v>
      </c>
    </row>
    <row r="464" spans="1:31" x14ac:dyDescent="0.25">
      <c r="A464" s="167">
        <v>568</v>
      </c>
      <c r="B464" s="167">
        <v>568390</v>
      </c>
      <c r="C464" s="168" t="s">
        <v>4162</v>
      </c>
      <c r="D464" s="168" t="s">
        <v>3206</v>
      </c>
      <c r="E464" s="168" t="s">
        <v>3207</v>
      </c>
      <c r="F464" s="58">
        <v>42668</v>
      </c>
      <c r="G464" s="59">
        <f t="shared" si="416"/>
        <v>4.183561643835616</v>
      </c>
      <c r="H464" s="61">
        <v>33310.718240000002</v>
      </c>
      <c r="I464" s="63">
        <v>34143.49</v>
      </c>
      <c r="J464" s="61">
        <v>34143.486196000005</v>
      </c>
      <c r="K464" s="63">
        <f t="shared" si="417"/>
        <v>34143.486196000005</v>
      </c>
      <c r="L464" s="63">
        <f t="shared" si="418"/>
        <v>16.415137594230771</v>
      </c>
      <c r="M464" s="63">
        <f t="shared" si="419"/>
        <v>1313.2110075384617</v>
      </c>
      <c r="N464" s="63">
        <f t="shared" si="432"/>
        <v>840.46027397260264</v>
      </c>
      <c r="O464" s="65"/>
      <c r="P464" s="65"/>
      <c r="Q464" s="63">
        <f t="shared" si="420"/>
        <v>840.46027397260264</v>
      </c>
      <c r="R464" s="63">
        <f t="shared" si="421"/>
        <v>34983.946469972609</v>
      </c>
      <c r="S464" s="65"/>
      <c r="T464" s="65"/>
      <c r="U464" s="65"/>
      <c r="V464" s="63">
        <f t="shared" si="422"/>
        <v>34983.946469972609</v>
      </c>
      <c r="W464" s="63">
        <f t="shared" si="423"/>
        <v>2169.0046811383017</v>
      </c>
      <c r="X464" s="63">
        <f t="shared" si="424"/>
        <v>507.26722381460286</v>
      </c>
      <c r="Y464" s="63">
        <f t="shared" si="425"/>
        <v>5254.5887597898854</v>
      </c>
      <c r="Z464" s="63">
        <f t="shared" si="426"/>
        <v>55.974314351956174</v>
      </c>
      <c r="AA464" s="63">
        <f t="shared" si="427"/>
        <v>24.488762528980825</v>
      </c>
      <c r="AB464" s="63">
        <f t="shared" si="428"/>
        <v>335</v>
      </c>
      <c r="AC464" s="63">
        <f t="shared" si="429"/>
        <v>10356.36</v>
      </c>
      <c r="AD464" s="63">
        <f t="shared" si="430"/>
        <v>106.9136</v>
      </c>
      <c r="AE464" s="178">
        <v>568</v>
      </c>
    </row>
    <row r="465" spans="1:31" x14ac:dyDescent="0.25">
      <c r="A465" s="167">
        <v>568</v>
      </c>
      <c r="B465" s="167">
        <v>568391</v>
      </c>
      <c r="C465" s="168" t="s">
        <v>4163</v>
      </c>
      <c r="D465" s="168" t="s">
        <v>2777</v>
      </c>
      <c r="E465" s="168" t="s">
        <v>2982</v>
      </c>
      <c r="F465" s="58">
        <v>43472</v>
      </c>
      <c r="G465" s="59">
        <f t="shared" si="416"/>
        <v>1.9808219178082191</v>
      </c>
      <c r="H465" s="61">
        <v>33310.718240000002</v>
      </c>
      <c r="I465" s="63">
        <v>34143.49</v>
      </c>
      <c r="J465" s="61">
        <v>34143.486196000005</v>
      </c>
      <c r="K465" s="63">
        <f t="shared" si="417"/>
        <v>34143.486196000005</v>
      </c>
      <c r="L465" s="63">
        <f t="shared" si="418"/>
        <v>16.415137594230771</v>
      </c>
      <c r="M465" s="63">
        <f t="shared" si="419"/>
        <v>1313.2110075384617</v>
      </c>
      <c r="N465" s="63">
        <f t="shared" si="432"/>
        <v>0</v>
      </c>
      <c r="O465" s="65"/>
      <c r="P465" s="65"/>
      <c r="Q465" s="63">
        <f t="shared" si="420"/>
        <v>0</v>
      </c>
      <c r="R465" s="63">
        <f t="shared" si="421"/>
        <v>34143.486196000005</v>
      </c>
      <c r="S465" s="65"/>
      <c r="T465" s="65"/>
      <c r="U465" s="65"/>
      <c r="V465" s="63">
        <f t="shared" si="422"/>
        <v>34143.486196000005</v>
      </c>
      <c r="W465" s="63">
        <f t="shared" si="423"/>
        <v>2116.8961441520005</v>
      </c>
      <c r="X465" s="63">
        <f t="shared" si="424"/>
        <v>495.0805498420001</v>
      </c>
      <c r="Y465" s="63">
        <f t="shared" si="425"/>
        <v>5128.3516266392007</v>
      </c>
      <c r="Z465" s="63">
        <f t="shared" si="426"/>
        <v>54.629577913600009</v>
      </c>
      <c r="AA465" s="63">
        <f t="shared" si="427"/>
        <v>23.900440337200003</v>
      </c>
      <c r="AB465" s="63">
        <f t="shared" si="428"/>
        <v>335</v>
      </c>
      <c r="AC465" s="63">
        <f t="shared" si="429"/>
        <v>10356.36</v>
      </c>
      <c r="AD465" s="63">
        <f t="shared" si="430"/>
        <v>106.9136</v>
      </c>
      <c r="AE465" s="178">
        <v>568</v>
      </c>
    </row>
    <row r="466" spans="1:31" x14ac:dyDescent="0.25">
      <c r="A466" s="167">
        <v>568</v>
      </c>
      <c r="B466" s="167">
        <v>568392</v>
      </c>
      <c r="C466" s="168" t="s">
        <v>4164</v>
      </c>
      <c r="D466" s="168" t="s">
        <v>3217</v>
      </c>
      <c r="E466" s="168" t="s">
        <v>2747</v>
      </c>
      <c r="F466" s="58">
        <v>42110</v>
      </c>
      <c r="G466" s="59">
        <f t="shared" si="416"/>
        <v>5.7123287671232879</v>
      </c>
      <c r="H466" s="61">
        <v>33310.718240000002</v>
      </c>
      <c r="I466" s="63">
        <v>34143.49</v>
      </c>
      <c r="J466" s="61">
        <v>34143.486196000005</v>
      </c>
      <c r="K466" s="63">
        <f t="shared" si="417"/>
        <v>34143.486196000005</v>
      </c>
      <c r="L466" s="63">
        <f t="shared" si="418"/>
        <v>16.415137594230771</v>
      </c>
      <c r="M466" s="63">
        <f t="shared" si="419"/>
        <v>1313.2110075384617</v>
      </c>
      <c r="N466" s="63">
        <f t="shared" si="432"/>
        <v>1244.0547945205481</v>
      </c>
      <c r="O466" s="65"/>
      <c r="P466" s="65"/>
      <c r="Q466" s="63">
        <f t="shared" si="420"/>
        <v>1244.0547945205481</v>
      </c>
      <c r="R466" s="63">
        <f t="shared" si="421"/>
        <v>35387.540990520552</v>
      </c>
      <c r="S466" s="65"/>
      <c r="T466" s="65"/>
      <c r="U466" s="65"/>
      <c r="V466" s="63">
        <f t="shared" si="422"/>
        <v>35387.540990520552</v>
      </c>
      <c r="W466" s="63">
        <f t="shared" si="423"/>
        <v>2194.0275414122743</v>
      </c>
      <c r="X466" s="63">
        <f t="shared" si="424"/>
        <v>513.11934436254808</v>
      </c>
      <c r="Y466" s="63">
        <f t="shared" si="425"/>
        <v>5315.2086567761871</v>
      </c>
      <c r="Z466" s="63">
        <f t="shared" si="426"/>
        <v>56.620065584832886</v>
      </c>
      <c r="AA466" s="63">
        <f t="shared" si="427"/>
        <v>24.771278693364387</v>
      </c>
      <c r="AB466" s="63">
        <f t="shared" si="428"/>
        <v>335</v>
      </c>
      <c r="AC466" s="63">
        <f t="shared" si="429"/>
        <v>10356.36</v>
      </c>
      <c r="AD466" s="63">
        <f t="shared" si="430"/>
        <v>106.9136</v>
      </c>
      <c r="AE466" s="178">
        <v>568</v>
      </c>
    </row>
    <row r="467" spans="1:31" x14ac:dyDescent="0.25">
      <c r="A467" s="167">
        <v>568</v>
      </c>
      <c r="B467" s="167">
        <v>568393</v>
      </c>
      <c r="C467" s="168" t="s">
        <v>4165</v>
      </c>
      <c r="D467" s="168" t="s">
        <v>4166</v>
      </c>
      <c r="E467" s="168" t="s">
        <v>4167</v>
      </c>
      <c r="F467" s="58">
        <v>43479</v>
      </c>
      <c r="G467" s="59">
        <f t="shared" si="416"/>
        <v>1.9616438356164383</v>
      </c>
      <c r="H467" s="61">
        <v>33310.718240000002</v>
      </c>
      <c r="I467" s="63">
        <v>34143.49</v>
      </c>
      <c r="J467" s="61">
        <v>34143.486196000005</v>
      </c>
      <c r="K467" s="63">
        <f t="shared" si="417"/>
        <v>34143.486196000005</v>
      </c>
      <c r="L467" s="63">
        <f t="shared" si="418"/>
        <v>16.415137594230771</v>
      </c>
      <c r="M467" s="63">
        <f t="shared" si="419"/>
        <v>1313.2110075384617</v>
      </c>
      <c r="N467" s="63">
        <f t="shared" si="432"/>
        <v>0</v>
      </c>
      <c r="O467" s="65"/>
      <c r="P467" s="65"/>
      <c r="Q467" s="63">
        <f t="shared" si="420"/>
        <v>0</v>
      </c>
      <c r="R467" s="63">
        <f t="shared" si="421"/>
        <v>34143.486196000005</v>
      </c>
      <c r="S467" s="65"/>
      <c r="T467" s="65"/>
      <c r="U467" s="65"/>
      <c r="V467" s="63">
        <f t="shared" si="422"/>
        <v>34143.486196000005</v>
      </c>
      <c r="W467" s="63">
        <f t="shared" si="423"/>
        <v>2116.8961441520005</v>
      </c>
      <c r="X467" s="63">
        <f t="shared" si="424"/>
        <v>495.0805498420001</v>
      </c>
      <c r="Y467" s="63">
        <f t="shared" si="425"/>
        <v>5128.3516266392007</v>
      </c>
      <c r="Z467" s="63">
        <f t="shared" si="426"/>
        <v>54.629577913600009</v>
      </c>
      <c r="AA467" s="63">
        <f t="shared" si="427"/>
        <v>23.900440337200003</v>
      </c>
      <c r="AB467" s="63">
        <f t="shared" si="428"/>
        <v>335</v>
      </c>
      <c r="AC467" s="63">
        <f t="shared" si="429"/>
        <v>10356.36</v>
      </c>
      <c r="AD467" s="63">
        <f t="shared" si="430"/>
        <v>106.9136</v>
      </c>
      <c r="AE467" s="178">
        <v>568</v>
      </c>
    </row>
    <row r="468" spans="1:31" x14ac:dyDescent="0.25">
      <c r="A468" s="167">
        <v>568</v>
      </c>
      <c r="B468" s="167">
        <v>568394</v>
      </c>
      <c r="C468" s="168" t="s">
        <v>4168</v>
      </c>
      <c r="D468" s="168" t="s">
        <v>4169</v>
      </c>
      <c r="E468" s="168" t="s">
        <v>2959</v>
      </c>
      <c r="F468" s="58">
        <v>41463</v>
      </c>
      <c r="G468" s="59">
        <f t="shared" si="416"/>
        <v>7.484931506849315</v>
      </c>
      <c r="H468" s="61">
        <v>33310.718240000002</v>
      </c>
      <c r="I468" s="63">
        <v>34143.49</v>
      </c>
      <c r="J468" s="61">
        <v>34143.486196000005</v>
      </c>
      <c r="K468" s="63">
        <f t="shared" si="417"/>
        <v>34143.486196000005</v>
      </c>
      <c r="L468" s="63">
        <f t="shared" si="418"/>
        <v>16.415137594230771</v>
      </c>
      <c r="M468" s="63">
        <f t="shared" si="419"/>
        <v>1313.2110075384617</v>
      </c>
      <c r="N468" s="63">
        <f t="shared" si="432"/>
        <v>1712.0219178082191</v>
      </c>
      <c r="O468" s="65"/>
      <c r="P468" s="65"/>
      <c r="Q468" s="63">
        <f t="shared" si="420"/>
        <v>1712.0219178082191</v>
      </c>
      <c r="R468" s="63">
        <f t="shared" si="421"/>
        <v>35855.508113808224</v>
      </c>
      <c r="S468" s="65"/>
      <c r="T468" s="65"/>
      <c r="U468" s="65"/>
      <c r="V468" s="63">
        <f t="shared" si="422"/>
        <v>35855.508113808224</v>
      </c>
      <c r="W468" s="63">
        <f t="shared" si="423"/>
        <v>2223.0415030561098</v>
      </c>
      <c r="X468" s="63">
        <f t="shared" si="424"/>
        <v>519.90486765021933</v>
      </c>
      <c r="Y468" s="63">
        <f t="shared" si="425"/>
        <v>5385.4973186939951</v>
      </c>
      <c r="Z468" s="63">
        <f t="shared" si="426"/>
        <v>57.368812982093161</v>
      </c>
      <c r="AA468" s="63">
        <f t="shared" si="427"/>
        <v>25.098855679665757</v>
      </c>
      <c r="AB468" s="63">
        <f t="shared" si="428"/>
        <v>335</v>
      </c>
      <c r="AC468" s="63">
        <f t="shared" si="429"/>
        <v>10356.36</v>
      </c>
      <c r="AD468" s="63">
        <f t="shared" si="430"/>
        <v>106.9136</v>
      </c>
      <c r="AE468" s="178">
        <v>568</v>
      </c>
    </row>
    <row r="469" spans="1:31" x14ac:dyDescent="0.25">
      <c r="A469" s="167">
        <v>568</v>
      </c>
      <c r="B469" s="167">
        <v>568395</v>
      </c>
      <c r="C469" s="168" t="s">
        <v>4170</v>
      </c>
      <c r="D469" s="168" t="s">
        <v>2548</v>
      </c>
      <c r="E469" s="168" t="s">
        <v>2849</v>
      </c>
      <c r="F469" s="83">
        <v>43319</v>
      </c>
      <c r="G469" s="59">
        <f t="shared" si="416"/>
        <v>2.4</v>
      </c>
      <c r="H469" s="61">
        <v>33310.718240000002</v>
      </c>
      <c r="I469" s="63">
        <v>34143.49</v>
      </c>
      <c r="J469" s="61">
        <v>34143.486196000005</v>
      </c>
      <c r="K469" s="63">
        <f t="shared" si="417"/>
        <v>34143.486196000005</v>
      </c>
      <c r="L469" s="63">
        <f t="shared" si="418"/>
        <v>16.415137594230771</v>
      </c>
      <c r="M469" s="63">
        <f t="shared" si="419"/>
        <v>1313.2110075384617</v>
      </c>
      <c r="N469" s="63">
        <f t="shared" si="432"/>
        <v>0</v>
      </c>
      <c r="O469" s="65"/>
      <c r="P469" s="65"/>
      <c r="Q469" s="63">
        <f t="shared" si="420"/>
        <v>0</v>
      </c>
      <c r="R469" s="63">
        <f t="shared" si="421"/>
        <v>34143.486196000005</v>
      </c>
      <c r="S469" s="65"/>
      <c r="T469" s="65"/>
      <c r="U469" s="65"/>
      <c r="V469" s="63">
        <f t="shared" si="422"/>
        <v>34143.486196000005</v>
      </c>
      <c r="W469" s="63">
        <f t="shared" si="423"/>
        <v>2116.8961441520005</v>
      </c>
      <c r="X469" s="63">
        <f t="shared" si="424"/>
        <v>495.0805498420001</v>
      </c>
      <c r="Y469" s="63">
        <f t="shared" si="425"/>
        <v>5128.3516266392007</v>
      </c>
      <c r="Z469" s="63">
        <f t="shared" si="426"/>
        <v>54.629577913600009</v>
      </c>
      <c r="AA469" s="63">
        <f t="shared" si="427"/>
        <v>23.900440337200003</v>
      </c>
      <c r="AB469" s="63">
        <f t="shared" si="428"/>
        <v>335</v>
      </c>
      <c r="AC469" s="63">
        <f t="shared" si="429"/>
        <v>10356.36</v>
      </c>
      <c r="AD469" s="63">
        <f t="shared" si="430"/>
        <v>106.9136</v>
      </c>
      <c r="AE469" s="178">
        <v>568</v>
      </c>
    </row>
    <row r="470" spans="1:31" x14ac:dyDescent="0.25">
      <c r="A470" s="167">
        <v>568</v>
      </c>
      <c r="B470" s="167">
        <v>568396</v>
      </c>
      <c r="C470" s="168" t="s">
        <v>4171</v>
      </c>
      <c r="D470" s="168" t="s">
        <v>3823</v>
      </c>
      <c r="E470" s="168" t="s">
        <v>3824</v>
      </c>
      <c r="F470" s="58">
        <v>41134</v>
      </c>
      <c r="G470" s="59">
        <f t="shared" si="416"/>
        <v>8.3863013698630144</v>
      </c>
      <c r="H470" s="61">
        <v>33310.718240000002</v>
      </c>
      <c r="I470" s="63">
        <v>34143.49</v>
      </c>
      <c r="J470" s="61">
        <v>34143.486196000005</v>
      </c>
      <c r="K470" s="63">
        <f t="shared" si="417"/>
        <v>34143.486196000005</v>
      </c>
      <c r="L470" s="63">
        <f t="shared" si="418"/>
        <v>16.415137594230771</v>
      </c>
      <c r="M470" s="63">
        <f t="shared" si="419"/>
        <v>1313.2110075384617</v>
      </c>
      <c r="N470" s="63">
        <f t="shared" si="432"/>
        <v>1949.9835616438359</v>
      </c>
      <c r="O470" s="65"/>
      <c r="P470" s="65"/>
      <c r="Q470" s="63">
        <f t="shared" si="420"/>
        <v>1949.9835616438359</v>
      </c>
      <c r="R470" s="63">
        <f t="shared" si="421"/>
        <v>36093.469757643841</v>
      </c>
      <c r="S470" s="65"/>
      <c r="T470" s="65"/>
      <c r="U470" s="65"/>
      <c r="V470" s="63">
        <f t="shared" si="422"/>
        <v>36093.469757643841</v>
      </c>
      <c r="W470" s="63">
        <f t="shared" si="423"/>
        <v>2237.7951249739181</v>
      </c>
      <c r="X470" s="63">
        <f t="shared" si="424"/>
        <v>523.35531148583573</v>
      </c>
      <c r="Y470" s="63">
        <f t="shared" si="425"/>
        <v>5421.2391575981046</v>
      </c>
      <c r="Z470" s="63">
        <f t="shared" si="426"/>
        <v>57.74955161223015</v>
      </c>
      <c r="AA470" s="63">
        <f t="shared" si="427"/>
        <v>25.26542883035069</v>
      </c>
      <c r="AB470" s="63">
        <f t="shared" si="428"/>
        <v>335</v>
      </c>
      <c r="AC470" s="63">
        <f t="shared" si="429"/>
        <v>10356.36</v>
      </c>
      <c r="AD470" s="63">
        <f t="shared" si="430"/>
        <v>106.9136</v>
      </c>
      <c r="AE470" s="178">
        <v>568</v>
      </c>
    </row>
    <row r="471" spans="1:31" x14ac:dyDescent="0.25">
      <c r="A471" s="167">
        <v>568</v>
      </c>
      <c r="B471" s="167">
        <v>568397</v>
      </c>
      <c r="C471" s="168" t="s">
        <v>4172</v>
      </c>
      <c r="D471" s="168" t="s">
        <v>3810</v>
      </c>
      <c r="E471" s="168" t="s">
        <v>4173</v>
      </c>
      <c r="F471" s="58">
        <v>43654</v>
      </c>
      <c r="G471" s="59">
        <f t="shared" si="416"/>
        <v>1.4821917808219178</v>
      </c>
      <c r="H471" s="61">
        <v>33310.718240000002</v>
      </c>
      <c r="I471" s="169"/>
      <c r="J471" s="61">
        <v>34143.486196000005</v>
      </c>
      <c r="K471" s="63">
        <f t="shared" si="417"/>
        <v>34143.486196000005</v>
      </c>
      <c r="L471" s="63">
        <f t="shared" si="418"/>
        <v>16.415137594230771</v>
      </c>
      <c r="M471" s="63">
        <f t="shared" si="419"/>
        <v>1313.2110075384617</v>
      </c>
      <c r="N471" s="63">
        <f t="shared" si="432"/>
        <v>0</v>
      </c>
      <c r="O471" s="65"/>
      <c r="P471" s="65"/>
      <c r="Q471" s="63">
        <f t="shared" si="420"/>
        <v>0</v>
      </c>
      <c r="R471" s="63">
        <f t="shared" si="421"/>
        <v>34143.486196000005</v>
      </c>
      <c r="S471" s="65"/>
      <c r="T471" s="65"/>
      <c r="U471" s="65"/>
      <c r="V471" s="63">
        <f t="shared" si="422"/>
        <v>34143.486196000005</v>
      </c>
      <c r="W471" s="63">
        <f t="shared" si="423"/>
        <v>2116.8961441520005</v>
      </c>
      <c r="X471" s="63">
        <f t="shared" si="424"/>
        <v>495.0805498420001</v>
      </c>
      <c r="Y471" s="63">
        <f t="shared" si="425"/>
        <v>5128.3516266392007</v>
      </c>
      <c r="Z471" s="63">
        <f t="shared" si="426"/>
        <v>54.629577913600009</v>
      </c>
      <c r="AA471" s="63">
        <f t="shared" si="427"/>
        <v>23.900440337200003</v>
      </c>
      <c r="AB471" s="63">
        <f t="shared" si="428"/>
        <v>335</v>
      </c>
      <c r="AC471" s="63">
        <f t="shared" si="429"/>
        <v>10356.36</v>
      </c>
      <c r="AD471" s="63">
        <f t="shared" si="430"/>
        <v>106.9136</v>
      </c>
      <c r="AE471" s="178">
        <v>568</v>
      </c>
    </row>
    <row r="472" spans="1:31" x14ac:dyDescent="0.25">
      <c r="A472" s="167">
        <v>568</v>
      </c>
      <c r="B472" s="167">
        <v>568398</v>
      </c>
      <c r="C472" s="168" t="s">
        <v>4174</v>
      </c>
      <c r="D472" s="168" t="s">
        <v>2450</v>
      </c>
      <c r="E472" s="168" t="s">
        <v>3248</v>
      </c>
      <c r="F472" s="58">
        <v>40358</v>
      </c>
      <c r="G472" s="59">
        <f t="shared" si="416"/>
        <v>10.512328767123288</v>
      </c>
      <c r="H472" s="61">
        <v>33310.718240000002</v>
      </c>
      <c r="I472" s="63">
        <v>34143.49</v>
      </c>
      <c r="J472" s="61">
        <v>34143.486196000005</v>
      </c>
      <c r="K472" s="63">
        <f t="shared" si="417"/>
        <v>34143.486196000005</v>
      </c>
      <c r="L472" s="63">
        <f t="shared" si="418"/>
        <v>16.415137594230771</v>
      </c>
      <c r="M472" s="63">
        <f t="shared" si="419"/>
        <v>1313.2110075384617</v>
      </c>
      <c r="N472" s="63">
        <f t="shared" si="432"/>
        <v>2511.2547945205479</v>
      </c>
      <c r="O472" s="65"/>
      <c r="P472" s="65"/>
      <c r="Q472" s="63">
        <f t="shared" si="420"/>
        <v>2511.2547945205479</v>
      </c>
      <c r="R472" s="63">
        <f t="shared" si="421"/>
        <v>36654.740990520557</v>
      </c>
      <c r="S472" s="65"/>
      <c r="T472" s="65"/>
      <c r="U472" s="65"/>
      <c r="V472" s="63">
        <f t="shared" si="422"/>
        <v>36654.740990520557</v>
      </c>
      <c r="W472" s="63">
        <f t="shared" si="423"/>
        <v>2272.5939414122745</v>
      </c>
      <c r="X472" s="63">
        <f t="shared" si="424"/>
        <v>531.49374436254811</v>
      </c>
      <c r="Y472" s="63">
        <f t="shared" si="425"/>
        <v>5505.5420967761875</v>
      </c>
      <c r="Z472" s="63">
        <f t="shared" si="426"/>
        <v>58.647585584832896</v>
      </c>
      <c r="AA472" s="63">
        <f t="shared" si="427"/>
        <v>25.658318693364389</v>
      </c>
      <c r="AB472" s="63">
        <f t="shared" si="428"/>
        <v>335</v>
      </c>
      <c r="AC472" s="63">
        <f t="shared" si="429"/>
        <v>10356.36</v>
      </c>
      <c r="AD472" s="63">
        <f t="shared" si="430"/>
        <v>106.9136</v>
      </c>
      <c r="AE472" s="178">
        <v>568</v>
      </c>
    </row>
    <row r="473" spans="1:31" x14ac:dyDescent="0.25">
      <c r="A473" s="167">
        <v>568</v>
      </c>
      <c r="B473" s="167">
        <v>568402</v>
      </c>
      <c r="C473" s="168" t="s">
        <v>4175</v>
      </c>
      <c r="D473" s="168" t="s">
        <v>3163</v>
      </c>
      <c r="E473" s="168" t="s">
        <v>3110</v>
      </c>
      <c r="F473" s="58">
        <v>43419</v>
      </c>
      <c r="G473" s="59">
        <f t="shared" si="416"/>
        <v>2.1260273972602741</v>
      </c>
      <c r="H473" s="61">
        <v>33310.718240000002</v>
      </c>
      <c r="I473" s="63">
        <v>34143.49</v>
      </c>
      <c r="J473" s="61">
        <v>34143.486196000005</v>
      </c>
      <c r="K473" s="63">
        <f t="shared" si="417"/>
        <v>34143.486196000005</v>
      </c>
      <c r="L473" s="63">
        <f t="shared" si="418"/>
        <v>16.415137594230771</v>
      </c>
      <c r="M473" s="63">
        <f t="shared" si="419"/>
        <v>1313.2110075384617</v>
      </c>
      <c r="N473" s="63">
        <f t="shared" si="432"/>
        <v>0</v>
      </c>
      <c r="O473" s="65"/>
      <c r="P473" s="65"/>
      <c r="Q473" s="63">
        <f t="shared" si="420"/>
        <v>0</v>
      </c>
      <c r="R473" s="63">
        <f t="shared" si="421"/>
        <v>34143.486196000005</v>
      </c>
      <c r="S473" s="65"/>
      <c r="T473" s="65"/>
      <c r="U473" s="65"/>
      <c r="V473" s="63">
        <f t="shared" si="422"/>
        <v>34143.486196000005</v>
      </c>
      <c r="W473" s="63">
        <f t="shared" si="423"/>
        <v>2116.8961441520005</v>
      </c>
      <c r="X473" s="63">
        <f t="shared" si="424"/>
        <v>495.0805498420001</v>
      </c>
      <c r="Y473" s="63">
        <f t="shared" si="425"/>
        <v>5128.3516266392007</v>
      </c>
      <c r="Z473" s="63">
        <f t="shared" si="426"/>
        <v>54.629577913600009</v>
      </c>
      <c r="AA473" s="63">
        <f t="shared" si="427"/>
        <v>23.900440337200003</v>
      </c>
      <c r="AB473" s="63">
        <f t="shared" si="428"/>
        <v>335</v>
      </c>
      <c r="AC473" s="63">
        <f t="shared" si="429"/>
        <v>10356.36</v>
      </c>
      <c r="AD473" s="63">
        <f t="shared" si="430"/>
        <v>106.9136</v>
      </c>
      <c r="AE473" s="178">
        <v>568</v>
      </c>
    </row>
    <row r="474" spans="1:31" x14ac:dyDescent="0.25">
      <c r="A474" s="167">
        <v>568</v>
      </c>
      <c r="B474" s="167">
        <v>568404</v>
      </c>
      <c r="C474" s="168" t="s">
        <v>4176</v>
      </c>
      <c r="D474" s="168" t="s">
        <v>3819</v>
      </c>
      <c r="E474" s="168" t="s">
        <v>3377</v>
      </c>
      <c r="F474" s="58">
        <v>43654</v>
      </c>
      <c r="G474" s="59">
        <f t="shared" si="416"/>
        <v>1.4821917808219178</v>
      </c>
      <c r="H474" s="61">
        <v>33310.718240000002</v>
      </c>
      <c r="I474" s="63">
        <v>34143.49</v>
      </c>
      <c r="J474" s="61">
        <v>34143.486196000005</v>
      </c>
      <c r="K474" s="63">
        <f t="shared" si="417"/>
        <v>34143.486196000005</v>
      </c>
      <c r="L474" s="63">
        <f t="shared" si="418"/>
        <v>16.415137594230771</v>
      </c>
      <c r="M474" s="63">
        <f t="shared" si="419"/>
        <v>1313.2110075384617</v>
      </c>
      <c r="N474" s="63">
        <f t="shared" si="432"/>
        <v>0</v>
      </c>
      <c r="O474" s="65"/>
      <c r="P474" s="65"/>
      <c r="Q474" s="63">
        <f t="shared" si="420"/>
        <v>0</v>
      </c>
      <c r="R474" s="63">
        <f t="shared" si="421"/>
        <v>34143.486196000005</v>
      </c>
      <c r="S474" s="65"/>
      <c r="T474" s="65"/>
      <c r="U474" s="65"/>
      <c r="V474" s="63">
        <f t="shared" si="422"/>
        <v>34143.486196000005</v>
      </c>
      <c r="W474" s="63">
        <f t="shared" si="423"/>
        <v>2116.8961441520005</v>
      </c>
      <c r="X474" s="63">
        <f t="shared" si="424"/>
        <v>495.0805498420001</v>
      </c>
      <c r="Y474" s="63">
        <f t="shared" si="425"/>
        <v>5128.3516266392007</v>
      </c>
      <c r="Z474" s="63">
        <f t="shared" si="426"/>
        <v>54.629577913600009</v>
      </c>
      <c r="AA474" s="63">
        <f t="shared" si="427"/>
        <v>23.900440337200003</v>
      </c>
      <c r="AB474" s="63">
        <f t="shared" si="428"/>
        <v>335</v>
      </c>
      <c r="AC474" s="63">
        <f t="shared" si="429"/>
        <v>10356.36</v>
      </c>
      <c r="AD474" s="63">
        <f t="shared" si="430"/>
        <v>106.9136</v>
      </c>
      <c r="AE474" s="178">
        <v>568</v>
      </c>
    </row>
    <row r="475" spans="1:31" x14ac:dyDescent="0.25">
      <c r="A475" s="167">
        <v>568</v>
      </c>
      <c r="B475" s="167">
        <v>568405</v>
      </c>
      <c r="C475" s="168" t="s">
        <v>4177</v>
      </c>
      <c r="D475" s="168" t="s">
        <v>3165</v>
      </c>
      <c r="E475" s="168" t="s">
        <v>3166</v>
      </c>
      <c r="F475" s="58">
        <v>43402</v>
      </c>
      <c r="G475" s="59">
        <f t="shared" si="416"/>
        <v>2.1726027397260275</v>
      </c>
      <c r="H475" s="61">
        <v>33310.718240000002</v>
      </c>
      <c r="I475" s="63">
        <v>34143.49</v>
      </c>
      <c r="J475" s="61">
        <v>34143.486196000005</v>
      </c>
      <c r="K475" s="63">
        <f t="shared" si="417"/>
        <v>34143.486196000005</v>
      </c>
      <c r="L475" s="63">
        <f t="shared" si="418"/>
        <v>16.415137594230771</v>
      </c>
      <c r="M475" s="63">
        <f t="shared" si="419"/>
        <v>1313.2110075384617</v>
      </c>
      <c r="N475" s="63">
        <f t="shared" si="432"/>
        <v>0</v>
      </c>
      <c r="O475" s="65"/>
      <c r="P475" s="65"/>
      <c r="Q475" s="63">
        <f t="shared" si="420"/>
        <v>0</v>
      </c>
      <c r="R475" s="63">
        <f t="shared" si="421"/>
        <v>34143.486196000005</v>
      </c>
      <c r="S475" s="65"/>
      <c r="T475" s="65"/>
      <c r="U475" s="65"/>
      <c r="V475" s="63">
        <f t="shared" si="422"/>
        <v>34143.486196000005</v>
      </c>
      <c r="W475" s="63">
        <f t="shared" si="423"/>
        <v>2116.8961441520005</v>
      </c>
      <c r="X475" s="63">
        <f t="shared" si="424"/>
        <v>495.0805498420001</v>
      </c>
      <c r="Y475" s="63">
        <f t="shared" si="425"/>
        <v>5128.3516266392007</v>
      </c>
      <c r="Z475" s="63">
        <f t="shared" si="426"/>
        <v>54.629577913600009</v>
      </c>
      <c r="AA475" s="63">
        <f t="shared" si="427"/>
        <v>23.900440337200003</v>
      </c>
      <c r="AB475" s="63">
        <f t="shared" si="428"/>
        <v>335</v>
      </c>
      <c r="AC475" s="63">
        <f t="shared" si="429"/>
        <v>10356.36</v>
      </c>
      <c r="AD475" s="63">
        <f t="shared" si="430"/>
        <v>106.9136</v>
      </c>
      <c r="AE475" s="178">
        <v>568</v>
      </c>
    </row>
    <row r="476" spans="1:31" x14ac:dyDescent="0.25">
      <c r="A476" s="167">
        <v>568</v>
      </c>
      <c r="B476" s="167">
        <v>568406</v>
      </c>
      <c r="C476" s="168" t="s">
        <v>4178</v>
      </c>
      <c r="D476" s="168" t="s">
        <v>2988</v>
      </c>
      <c r="E476" s="168" t="s">
        <v>4179</v>
      </c>
      <c r="F476" s="58">
        <v>43493</v>
      </c>
      <c r="G476" s="59">
        <f t="shared" si="416"/>
        <v>1.9232876712328768</v>
      </c>
      <c r="H476" s="61">
        <v>33310.718240000002</v>
      </c>
      <c r="I476" s="63">
        <v>34143.49</v>
      </c>
      <c r="J476" s="61">
        <v>34143.486196000005</v>
      </c>
      <c r="K476" s="63">
        <f t="shared" si="417"/>
        <v>34143.486196000005</v>
      </c>
      <c r="L476" s="63">
        <f t="shared" si="418"/>
        <v>16.415137594230771</v>
      </c>
      <c r="M476" s="63">
        <f t="shared" si="419"/>
        <v>1313.2110075384617</v>
      </c>
      <c r="N476" s="63">
        <f t="shared" si="432"/>
        <v>0</v>
      </c>
      <c r="O476" s="65"/>
      <c r="P476" s="65"/>
      <c r="Q476" s="63">
        <f t="shared" si="420"/>
        <v>0</v>
      </c>
      <c r="R476" s="63">
        <f t="shared" si="421"/>
        <v>34143.486196000005</v>
      </c>
      <c r="S476" s="65"/>
      <c r="T476" s="65"/>
      <c r="U476" s="65"/>
      <c r="V476" s="63">
        <f t="shared" si="422"/>
        <v>34143.486196000005</v>
      </c>
      <c r="W476" s="63">
        <f t="shared" si="423"/>
        <v>2116.8961441520005</v>
      </c>
      <c r="X476" s="63">
        <f t="shared" si="424"/>
        <v>495.0805498420001</v>
      </c>
      <c r="Y476" s="63">
        <f t="shared" si="425"/>
        <v>5128.3516266392007</v>
      </c>
      <c r="Z476" s="63">
        <f t="shared" si="426"/>
        <v>54.629577913600009</v>
      </c>
      <c r="AA476" s="63">
        <f t="shared" si="427"/>
        <v>23.900440337200003</v>
      </c>
      <c r="AB476" s="63">
        <f t="shared" si="428"/>
        <v>335</v>
      </c>
      <c r="AC476" s="63">
        <f t="shared" si="429"/>
        <v>10356.36</v>
      </c>
      <c r="AD476" s="63">
        <f t="shared" si="430"/>
        <v>106.9136</v>
      </c>
      <c r="AE476" s="178">
        <v>568</v>
      </c>
    </row>
    <row r="477" spans="1:31" x14ac:dyDescent="0.25">
      <c r="A477" s="167">
        <v>568</v>
      </c>
      <c r="B477" s="167">
        <v>568408</v>
      </c>
      <c r="C477" s="168" t="s">
        <v>4180</v>
      </c>
      <c r="D477" s="409" t="s">
        <v>4181</v>
      </c>
      <c r="E477" s="409" t="s">
        <v>4182</v>
      </c>
      <c r="F477" s="58">
        <v>43466</v>
      </c>
      <c r="G477" s="59">
        <f t="shared" si="416"/>
        <v>1.9972602739726026</v>
      </c>
      <c r="H477" s="61">
        <v>33310.718240000002</v>
      </c>
      <c r="I477" s="63">
        <v>34143.49</v>
      </c>
      <c r="J477" s="61"/>
      <c r="K477" s="63"/>
      <c r="L477" s="63">
        <f t="shared" si="418"/>
        <v>0</v>
      </c>
      <c r="M477" s="63">
        <f t="shared" si="419"/>
        <v>0</v>
      </c>
      <c r="N477" s="63">
        <f t="shared" si="432"/>
        <v>0</v>
      </c>
      <c r="O477" s="65"/>
      <c r="P477" s="65"/>
      <c r="Q477" s="63">
        <f t="shared" si="420"/>
        <v>0</v>
      </c>
      <c r="R477" s="63">
        <f t="shared" si="421"/>
        <v>0</v>
      </c>
      <c r="S477" s="65"/>
      <c r="T477" s="65"/>
      <c r="U477" s="65"/>
      <c r="V477" s="63">
        <f t="shared" si="422"/>
        <v>0</v>
      </c>
      <c r="W477" s="63">
        <f t="shared" si="423"/>
        <v>0</v>
      </c>
      <c r="X477" s="63">
        <f t="shared" si="424"/>
        <v>0</v>
      </c>
      <c r="Y477" s="63">
        <f t="shared" si="425"/>
        <v>0</v>
      </c>
      <c r="Z477" s="63">
        <f t="shared" si="426"/>
        <v>0</v>
      </c>
      <c r="AA477" s="63">
        <f t="shared" si="427"/>
        <v>0</v>
      </c>
      <c r="AB477" s="63">
        <f t="shared" si="428"/>
        <v>335</v>
      </c>
      <c r="AC477" s="63">
        <f t="shared" si="429"/>
        <v>10356.36</v>
      </c>
      <c r="AD477" s="63">
        <f t="shared" si="430"/>
        <v>106.9136</v>
      </c>
      <c r="AE477" s="178">
        <v>568</v>
      </c>
    </row>
    <row r="478" spans="1:31" x14ac:dyDescent="0.25">
      <c r="A478" s="167">
        <v>568</v>
      </c>
      <c r="B478" s="167">
        <v>568409</v>
      </c>
      <c r="C478" s="168" t="s">
        <v>4183</v>
      </c>
      <c r="D478" s="168" t="s">
        <v>3807</v>
      </c>
      <c r="E478" s="168" t="s">
        <v>3808</v>
      </c>
      <c r="F478" s="58">
        <v>43493</v>
      </c>
      <c r="G478" s="59">
        <f t="shared" si="416"/>
        <v>1.9232876712328768</v>
      </c>
      <c r="H478" s="61">
        <v>33310.718240000002</v>
      </c>
      <c r="I478" s="63">
        <v>34143.49</v>
      </c>
      <c r="J478" s="61">
        <v>34143.486196000005</v>
      </c>
      <c r="K478" s="63">
        <f t="shared" ref="K478:K501" si="433">SUM(((J478*$K$3)+$K$2)+J478)</f>
        <v>34143.486196000005</v>
      </c>
      <c r="L478" s="63">
        <f t="shared" si="418"/>
        <v>16.415137594230771</v>
      </c>
      <c r="M478" s="63">
        <f t="shared" si="419"/>
        <v>1313.2110075384617</v>
      </c>
      <c r="N478" s="63">
        <f t="shared" si="432"/>
        <v>0</v>
      </c>
      <c r="O478" s="65"/>
      <c r="P478" s="65"/>
      <c r="Q478" s="63">
        <f t="shared" si="420"/>
        <v>0</v>
      </c>
      <c r="R478" s="63">
        <f t="shared" si="421"/>
        <v>34143.486196000005</v>
      </c>
      <c r="S478" s="65"/>
      <c r="T478" s="65"/>
      <c r="U478" s="65"/>
      <c r="V478" s="63">
        <f t="shared" si="422"/>
        <v>34143.486196000005</v>
      </c>
      <c r="W478" s="63">
        <f t="shared" si="423"/>
        <v>2116.8961441520005</v>
      </c>
      <c r="X478" s="63">
        <f t="shared" si="424"/>
        <v>495.0805498420001</v>
      </c>
      <c r="Y478" s="63">
        <f t="shared" si="425"/>
        <v>5128.3516266392007</v>
      </c>
      <c r="Z478" s="63">
        <f t="shared" si="426"/>
        <v>54.629577913600009</v>
      </c>
      <c r="AA478" s="63">
        <f t="shared" si="427"/>
        <v>23.900440337200003</v>
      </c>
      <c r="AB478" s="63">
        <f t="shared" si="428"/>
        <v>335</v>
      </c>
      <c r="AC478" s="63">
        <f t="shared" si="429"/>
        <v>10356.36</v>
      </c>
      <c r="AD478" s="63">
        <f t="shared" si="430"/>
        <v>106.9136</v>
      </c>
      <c r="AE478" s="178">
        <v>568</v>
      </c>
    </row>
    <row r="479" spans="1:31" x14ac:dyDescent="0.25">
      <c r="A479" s="167">
        <v>568</v>
      </c>
      <c r="B479" s="167">
        <v>568410</v>
      </c>
      <c r="C479" s="168" t="s">
        <v>4184</v>
      </c>
      <c r="D479" s="168" t="s">
        <v>4185</v>
      </c>
      <c r="E479" s="168" t="s">
        <v>3810</v>
      </c>
      <c r="F479" s="58">
        <v>43493</v>
      </c>
      <c r="G479" s="59">
        <f t="shared" si="416"/>
        <v>1.9232876712328768</v>
      </c>
      <c r="H479" s="61">
        <v>33310.718240000002</v>
      </c>
      <c r="I479" s="63">
        <v>34143.49</v>
      </c>
      <c r="J479" s="61">
        <v>34143.486196000005</v>
      </c>
      <c r="K479" s="63">
        <f t="shared" si="433"/>
        <v>34143.486196000005</v>
      </c>
      <c r="L479" s="63">
        <f t="shared" si="418"/>
        <v>16.415137594230771</v>
      </c>
      <c r="M479" s="63">
        <f t="shared" si="419"/>
        <v>1313.2110075384617</v>
      </c>
      <c r="N479" s="63">
        <f t="shared" si="432"/>
        <v>0</v>
      </c>
      <c r="O479" s="65"/>
      <c r="P479" s="65"/>
      <c r="Q479" s="63">
        <f t="shared" si="420"/>
        <v>0</v>
      </c>
      <c r="R479" s="63">
        <f t="shared" si="421"/>
        <v>34143.486196000005</v>
      </c>
      <c r="S479" s="65"/>
      <c r="T479" s="65"/>
      <c r="U479" s="65"/>
      <c r="V479" s="63">
        <f t="shared" si="422"/>
        <v>34143.486196000005</v>
      </c>
      <c r="W479" s="63">
        <f t="shared" si="423"/>
        <v>2116.8961441520005</v>
      </c>
      <c r="X479" s="63">
        <f t="shared" si="424"/>
        <v>495.0805498420001</v>
      </c>
      <c r="Y479" s="63">
        <f t="shared" si="425"/>
        <v>5128.3516266392007</v>
      </c>
      <c r="Z479" s="63">
        <f t="shared" si="426"/>
        <v>54.629577913600009</v>
      </c>
      <c r="AA479" s="63">
        <f t="shared" si="427"/>
        <v>23.900440337200003</v>
      </c>
      <c r="AB479" s="63">
        <f t="shared" si="428"/>
        <v>335</v>
      </c>
      <c r="AC479" s="63">
        <f t="shared" si="429"/>
        <v>10356.36</v>
      </c>
      <c r="AD479" s="63">
        <f t="shared" si="430"/>
        <v>106.9136</v>
      </c>
      <c r="AE479" s="178">
        <v>568</v>
      </c>
    </row>
    <row r="480" spans="1:31" x14ac:dyDescent="0.25">
      <c r="A480" s="167">
        <v>568</v>
      </c>
      <c r="B480" s="167">
        <v>568411</v>
      </c>
      <c r="C480" s="168" t="s">
        <v>4186</v>
      </c>
      <c r="D480" s="168" t="s">
        <v>3011</v>
      </c>
      <c r="E480" s="168" t="s">
        <v>4187</v>
      </c>
      <c r="F480" s="58">
        <v>43605</v>
      </c>
      <c r="G480" s="59">
        <f t="shared" si="416"/>
        <v>1.6164383561643836</v>
      </c>
      <c r="H480" s="61">
        <v>33310.718240000002</v>
      </c>
      <c r="I480" s="63">
        <v>34143.49</v>
      </c>
      <c r="J480" s="61">
        <v>34143.486196000005</v>
      </c>
      <c r="K480" s="63">
        <f t="shared" si="433"/>
        <v>34143.486196000005</v>
      </c>
      <c r="L480" s="63">
        <f t="shared" si="418"/>
        <v>16.415137594230771</v>
      </c>
      <c r="M480" s="63">
        <f t="shared" si="419"/>
        <v>1313.2110075384617</v>
      </c>
      <c r="N480" s="63">
        <f t="shared" si="432"/>
        <v>0</v>
      </c>
      <c r="O480" s="65"/>
      <c r="P480" s="65"/>
      <c r="Q480" s="63">
        <f t="shared" si="420"/>
        <v>0</v>
      </c>
      <c r="R480" s="63">
        <f t="shared" si="421"/>
        <v>34143.486196000005</v>
      </c>
      <c r="S480" s="65"/>
      <c r="T480" s="65"/>
      <c r="U480" s="65"/>
      <c r="V480" s="63">
        <f t="shared" si="422"/>
        <v>34143.486196000005</v>
      </c>
      <c r="W480" s="63">
        <f t="shared" si="423"/>
        <v>2116.8961441520005</v>
      </c>
      <c r="X480" s="63">
        <f t="shared" si="424"/>
        <v>495.0805498420001</v>
      </c>
      <c r="Y480" s="63">
        <f t="shared" si="425"/>
        <v>5128.3516266392007</v>
      </c>
      <c r="Z480" s="63">
        <f t="shared" si="426"/>
        <v>54.629577913600009</v>
      </c>
      <c r="AA480" s="63">
        <f t="shared" si="427"/>
        <v>23.900440337200003</v>
      </c>
      <c r="AB480" s="63">
        <f t="shared" si="428"/>
        <v>335</v>
      </c>
      <c r="AC480" s="63">
        <f t="shared" si="429"/>
        <v>10356.36</v>
      </c>
      <c r="AD480" s="63">
        <f t="shared" si="430"/>
        <v>106.9136</v>
      </c>
      <c r="AE480" s="178">
        <v>568</v>
      </c>
    </row>
    <row r="481" spans="1:31" x14ac:dyDescent="0.25">
      <c r="A481" s="167">
        <v>568</v>
      </c>
      <c r="B481" s="167">
        <v>568412</v>
      </c>
      <c r="C481" s="168" t="s">
        <v>4188</v>
      </c>
      <c r="D481" s="168" t="s">
        <v>3061</v>
      </c>
      <c r="E481" s="168" t="s">
        <v>2589</v>
      </c>
      <c r="F481" s="58">
        <v>43556</v>
      </c>
      <c r="G481" s="59">
        <f t="shared" si="416"/>
        <v>1.7506849315068493</v>
      </c>
      <c r="H481" s="61">
        <v>33310.718240000002</v>
      </c>
      <c r="I481" s="63">
        <v>34143.49</v>
      </c>
      <c r="J481" s="61">
        <v>34143.486196000005</v>
      </c>
      <c r="K481" s="63">
        <f t="shared" si="433"/>
        <v>34143.486196000005</v>
      </c>
      <c r="L481" s="63">
        <f t="shared" si="418"/>
        <v>16.415137594230771</v>
      </c>
      <c r="M481" s="63">
        <f t="shared" si="419"/>
        <v>1313.2110075384617</v>
      </c>
      <c r="N481" s="63">
        <f t="shared" si="432"/>
        <v>0</v>
      </c>
      <c r="O481" s="65"/>
      <c r="P481" s="65"/>
      <c r="Q481" s="63">
        <f t="shared" si="420"/>
        <v>0</v>
      </c>
      <c r="R481" s="63">
        <f t="shared" si="421"/>
        <v>34143.486196000005</v>
      </c>
      <c r="S481" s="65"/>
      <c r="T481" s="65"/>
      <c r="U481" s="65"/>
      <c r="V481" s="63">
        <f t="shared" si="422"/>
        <v>34143.486196000005</v>
      </c>
      <c r="W481" s="63">
        <f t="shared" si="423"/>
        <v>2116.8961441520005</v>
      </c>
      <c r="X481" s="63">
        <f t="shared" si="424"/>
        <v>495.0805498420001</v>
      </c>
      <c r="Y481" s="63">
        <f t="shared" si="425"/>
        <v>5128.3516266392007</v>
      </c>
      <c r="Z481" s="63">
        <f t="shared" si="426"/>
        <v>54.629577913600009</v>
      </c>
      <c r="AA481" s="63">
        <f t="shared" si="427"/>
        <v>23.900440337200003</v>
      </c>
      <c r="AB481" s="63">
        <f t="shared" si="428"/>
        <v>335</v>
      </c>
      <c r="AC481" s="63">
        <f t="shared" si="429"/>
        <v>10356.36</v>
      </c>
      <c r="AD481" s="63">
        <f t="shared" si="430"/>
        <v>106.9136</v>
      </c>
      <c r="AE481" s="178">
        <v>568</v>
      </c>
    </row>
    <row r="482" spans="1:31" x14ac:dyDescent="0.25">
      <c r="A482" s="167">
        <v>568</v>
      </c>
      <c r="B482" s="167">
        <v>568413</v>
      </c>
      <c r="C482" s="168" t="s">
        <v>4189</v>
      </c>
      <c r="D482" s="168" t="s">
        <v>3802</v>
      </c>
      <c r="E482" s="168" t="s">
        <v>3058</v>
      </c>
      <c r="F482" s="58">
        <v>43200</v>
      </c>
      <c r="G482" s="59">
        <f t="shared" si="416"/>
        <v>2.7260273972602738</v>
      </c>
      <c r="H482" s="61">
        <v>33310.718240000002</v>
      </c>
      <c r="I482" s="63">
        <v>34143.49</v>
      </c>
      <c r="J482" s="61">
        <v>34143.486196000005</v>
      </c>
      <c r="K482" s="63">
        <f t="shared" si="433"/>
        <v>34143.486196000005</v>
      </c>
      <c r="L482" s="63">
        <f t="shared" si="418"/>
        <v>16.415137594230771</v>
      </c>
      <c r="M482" s="63">
        <f t="shared" si="419"/>
        <v>1313.2110075384617</v>
      </c>
      <c r="N482" s="63">
        <f t="shared" si="432"/>
        <v>0</v>
      </c>
      <c r="O482" s="65"/>
      <c r="P482" s="65"/>
      <c r="Q482" s="63">
        <f t="shared" si="420"/>
        <v>0</v>
      </c>
      <c r="R482" s="63">
        <f t="shared" si="421"/>
        <v>34143.486196000005</v>
      </c>
      <c r="S482" s="65"/>
      <c r="T482" s="65"/>
      <c r="U482" s="65"/>
      <c r="V482" s="63">
        <f t="shared" si="422"/>
        <v>34143.486196000005</v>
      </c>
      <c r="W482" s="63">
        <f t="shared" si="423"/>
        <v>2116.8961441520005</v>
      </c>
      <c r="X482" s="63">
        <f t="shared" si="424"/>
        <v>495.0805498420001</v>
      </c>
      <c r="Y482" s="63">
        <f t="shared" si="425"/>
        <v>5128.3516266392007</v>
      </c>
      <c r="Z482" s="63">
        <f t="shared" si="426"/>
        <v>54.629577913600009</v>
      </c>
      <c r="AA482" s="63">
        <f t="shared" si="427"/>
        <v>23.900440337200003</v>
      </c>
      <c r="AB482" s="63">
        <f t="shared" si="428"/>
        <v>335</v>
      </c>
      <c r="AC482" s="63">
        <f t="shared" si="429"/>
        <v>10356.36</v>
      </c>
      <c r="AD482" s="63">
        <f t="shared" si="430"/>
        <v>106.9136</v>
      </c>
      <c r="AE482" s="178">
        <v>568</v>
      </c>
    </row>
    <row r="483" spans="1:31" x14ac:dyDescent="0.25">
      <c r="A483" s="167">
        <v>568</v>
      </c>
      <c r="B483" s="167">
        <v>568414</v>
      </c>
      <c r="C483" s="168" t="s">
        <v>4190</v>
      </c>
      <c r="D483" s="168" t="s">
        <v>4191</v>
      </c>
      <c r="E483" s="168" t="s">
        <v>2980</v>
      </c>
      <c r="F483" s="58">
        <v>43262</v>
      </c>
      <c r="G483" s="59">
        <f t="shared" si="416"/>
        <v>2.5561643835616437</v>
      </c>
      <c r="H483" s="61">
        <v>33310.718240000002</v>
      </c>
      <c r="I483" s="63">
        <v>34143.49</v>
      </c>
      <c r="J483" s="61">
        <v>34143.486196000005</v>
      </c>
      <c r="K483" s="63">
        <f t="shared" si="433"/>
        <v>34143.486196000005</v>
      </c>
      <c r="L483" s="63">
        <f t="shared" si="418"/>
        <v>16.415137594230771</v>
      </c>
      <c r="M483" s="63">
        <f t="shared" si="419"/>
        <v>1313.2110075384617</v>
      </c>
      <c r="N483" s="63">
        <f t="shared" si="432"/>
        <v>0</v>
      </c>
      <c r="O483" s="65"/>
      <c r="P483" s="65"/>
      <c r="Q483" s="63">
        <f t="shared" si="420"/>
        <v>0</v>
      </c>
      <c r="R483" s="63">
        <f t="shared" si="421"/>
        <v>34143.486196000005</v>
      </c>
      <c r="S483" s="65"/>
      <c r="T483" s="65"/>
      <c r="U483" s="65"/>
      <c r="V483" s="63">
        <f t="shared" si="422"/>
        <v>34143.486196000005</v>
      </c>
      <c r="W483" s="63">
        <f t="shared" si="423"/>
        <v>2116.8961441520005</v>
      </c>
      <c r="X483" s="63">
        <f t="shared" si="424"/>
        <v>495.0805498420001</v>
      </c>
      <c r="Y483" s="63">
        <f t="shared" si="425"/>
        <v>5128.3516266392007</v>
      </c>
      <c r="Z483" s="63">
        <f t="shared" si="426"/>
        <v>54.629577913600009</v>
      </c>
      <c r="AA483" s="63">
        <f t="shared" si="427"/>
        <v>23.900440337200003</v>
      </c>
      <c r="AB483" s="63">
        <f t="shared" si="428"/>
        <v>335</v>
      </c>
      <c r="AC483" s="63">
        <f t="shared" si="429"/>
        <v>10356.36</v>
      </c>
      <c r="AD483" s="63">
        <f t="shared" si="430"/>
        <v>106.9136</v>
      </c>
      <c r="AE483" s="178">
        <v>568</v>
      </c>
    </row>
    <row r="484" spans="1:31" x14ac:dyDescent="0.25">
      <c r="A484" s="167">
        <v>568</v>
      </c>
      <c r="B484" s="167">
        <v>568415</v>
      </c>
      <c r="C484" s="168" t="s">
        <v>4192</v>
      </c>
      <c r="D484" s="247" t="s">
        <v>3120</v>
      </c>
      <c r="E484" s="247" t="s">
        <v>2483</v>
      </c>
      <c r="F484" s="84">
        <v>43318</v>
      </c>
      <c r="G484" s="59">
        <f t="shared" si="416"/>
        <v>2.4027397260273973</v>
      </c>
      <c r="H484" s="61">
        <v>33310.718240000002</v>
      </c>
      <c r="I484" s="63"/>
      <c r="J484" s="61">
        <v>34143.486196000005</v>
      </c>
      <c r="K484" s="63">
        <f t="shared" si="433"/>
        <v>34143.486196000005</v>
      </c>
      <c r="L484" s="63">
        <f t="shared" si="418"/>
        <v>16.415137594230771</v>
      </c>
      <c r="M484" s="63">
        <f t="shared" si="419"/>
        <v>1313.2110075384617</v>
      </c>
      <c r="N484" s="63">
        <f t="shared" si="432"/>
        <v>0</v>
      </c>
      <c r="O484" s="65"/>
      <c r="P484" s="65"/>
      <c r="Q484" s="63">
        <f t="shared" si="420"/>
        <v>0</v>
      </c>
      <c r="R484" s="63">
        <f t="shared" si="421"/>
        <v>34143.486196000005</v>
      </c>
      <c r="S484" s="65"/>
      <c r="T484" s="65"/>
      <c r="U484" s="65"/>
      <c r="V484" s="63">
        <f t="shared" si="422"/>
        <v>34143.486196000005</v>
      </c>
      <c r="W484" s="63">
        <f t="shared" si="423"/>
        <v>2116.8961441520005</v>
      </c>
      <c r="X484" s="63">
        <f t="shared" si="424"/>
        <v>495.0805498420001</v>
      </c>
      <c r="Y484" s="63">
        <f t="shared" si="425"/>
        <v>5128.3516266392007</v>
      </c>
      <c r="Z484" s="63">
        <f t="shared" si="426"/>
        <v>54.629577913600009</v>
      </c>
      <c r="AA484" s="63">
        <f t="shared" si="427"/>
        <v>23.900440337200003</v>
      </c>
      <c r="AB484" s="63">
        <f t="shared" si="428"/>
        <v>335</v>
      </c>
      <c r="AC484" s="63">
        <f t="shared" si="429"/>
        <v>10356.36</v>
      </c>
      <c r="AD484" s="63">
        <f t="shared" si="430"/>
        <v>106.9136</v>
      </c>
      <c r="AE484" s="178">
        <v>568</v>
      </c>
    </row>
    <row r="485" spans="1:31" x14ac:dyDescent="0.25">
      <c r="A485" s="167">
        <v>568</v>
      </c>
      <c r="B485" s="167">
        <v>568417</v>
      </c>
      <c r="C485" s="168" t="s">
        <v>4193</v>
      </c>
      <c r="D485" s="168" t="s">
        <v>4194</v>
      </c>
      <c r="E485" s="168" t="s">
        <v>4195</v>
      </c>
      <c r="F485" s="58">
        <v>41984</v>
      </c>
      <c r="G485" s="59">
        <f t="shared" si="416"/>
        <v>6.0575342465753428</v>
      </c>
      <c r="H485" s="61">
        <v>33310.718240000002</v>
      </c>
      <c r="I485" s="63">
        <v>34143.49</v>
      </c>
      <c r="J485" s="61">
        <v>34143.486196000005</v>
      </c>
      <c r="K485" s="63">
        <f t="shared" si="433"/>
        <v>34143.486196000005</v>
      </c>
      <c r="L485" s="63">
        <f t="shared" si="418"/>
        <v>16.415137594230771</v>
      </c>
      <c r="M485" s="63">
        <f t="shared" si="419"/>
        <v>1313.2110075384617</v>
      </c>
      <c r="N485" s="63">
        <f t="shared" si="432"/>
        <v>1335.1890410958904</v>
      </c>
      <c r="O485" s="65"/>
      <c r="P485" s="65"/>
      <c r="Q485" s="63">
        <f t="shared" si="420"/>
        <v>1335.1890410958904</v>
      </c>
      <c r="R485" s="63">
        <f t="shared" si="421"/>
        <v>35478.675237095893</v>
      </c>
      <c r="S485" s="65"/>
      <c r="T485" s="65"/>
      <c r="U485" s="65"/>
      <c r="V485" s="63">
        <f t="shared" si="422"/>
        <v>35478.675237095893</v>
      </c>
      <c r="W485" s="63">
        <f t="shared" si="423"/>
        <v>2199.6778646999455</v>
      </c>
      <c r="X485" s="63">
        <f t="shared" si="424"/>
        <v>514.44079093789048</v>
      </c>
      <c r="Y485" s="63">
        <f t="shared" si="425"/>
        <v>5328.8970206118029</v>
      </c>
      <c r="Z485" s="63">
        <f t="shared" si="426"/>
        <v>56.765880379353433</v>
      </c>
      <c r="AA485" s="63">
        <f t="shared" si="427"/>
        <v>24.835072665967125</v>
      </c>
      <c r="AB485" s="63">
        <f t="shared" si="428"/>
        <v>335</v>
      </c>
      <c r="AC485" s="63">
        <f t="shared" si="429"/>
        <v>10356.36</v>
      </c>
      <c r="AD485" s="63">
        <f t="shared" si="430"/>
        <v>106.9136</v>
      </c>
      <c r="AE485" s="178">
        <v>568</v>
      </c>
    </row>
    <row r="486" spans="1:31" x14ac:dyDescent="0.25">
      <c r="A486" s="167">
        <v>568</v>
      </c>
      <c r="B486" s="167">
        <v>568418</v>
      </c>
      <c r="C486" s="168" t="s">
        <v>4196</v>
      </c>
      <c r="D486" s="168" t="s">
        <v>2950</v>
      </c>
      <c r="E486" s="168" t="s">
        <v>2814</v>
      </c>
      <c r="F486" s="58">
        <v>37071</v>
      </c>
      <c r="G486" s="59">
        <f t="shared" si="416"/>
        <v>19.517808219178082</v>
      </c>
      <c r="H486" s="61">
        <v>33310.718240000002</v>
      </c>
      <c r="I486" s="63">
        <v>34143.49</v>
      </c>
      <c r="J486" s="61">
        <v>34143.486196000005</v>
      </c>
      <c r="K486" s="63">
        <f t="shared" si="433"/>
        <v>34143.486196000005</v>
      </c>
      <c r="L486" s="63">
        <f t="shared" si="418"/>
        <v>16.415137594230771</v>
      </c>
      <c r="M486" s="63">
        <f t="shared" si="419"/>
        <v>1313.2110075384617</v>
      </c>
      <c r="N486" s="63">
        <f t="shared" si="432"/>
        <v>4888.7013698630135</v>
      </c>
      <c r="O486" s="65"/>
      <c r="P486" s="65"/>
      <c r="Q486" s="63">
        <f t="shared" si="420"/>
        <v>4888.7013698630135</v>
      </c>
      <c r="R486" s="63">
        <f t="shared" si="421"/>
        <v>39032.187565863016</v>
      </c>
      <c r="S486" s="65"/>
      <c r="T486" s="65"/>
      <c r="U486" s="65"/>
      <c r="V486" s="63">
        <f t="shared" si="422"/>
        <v>39032.187565863016</v>
      </c>
      <c r="W486" s="63">
        <f t="shared" si="423"/>
        <v>2419.9956290835071</v>
      </c>
      <c r="X486" s="63">
        <f t="shared" si="424"/>
        <v>565.96671970501382</v>
      </c>
      <c r="Y486" s="63">
        <f t="shared" si="425"/>
        <v>5862.6345723926252</v>
      </c>
      <c r="Z486" s="63">
        <f t="shared" si="426"/>
        <v>62.451500105380831</v>
      </c>
      <c r="AA486" s="63">
        <f t="shared" si="427"/>
        <v>27.32253129610411</v>
      </c>
      <c r="AB486" s="63">
        <f t="shared" si="428"/>
        <v>335</v>
      </c>
      <c r="AC486" s="63">
        <f t="shared" si="429"/>
        <v>10356.36</v>
      </c>
      <c r="AD486" s="63">
        <f t="shared" si="430"/>
        <v>106.9136</v>
      </c>
      <c r="AE486" s="178">
        <v>568</v>
      </c>
    </row>
    <row r="487" spans="1:31" x14ac:dyDescent="0.25">
      <c r="A487" s="167">
        <v>568</v>
      </c>
      <c r="B487" s="167">
        <v>568419</v>
      </c>
      <c r="C487" s="168" t="s">
        <v>4197</v>
      </c>
      <c r="D487" s="168" t="s">
        <v>2773</v>
      </c>
      <c r="E487" s="168" t="s">
        <v>3822</v>
      </c>
      <c r="F487" s="58">
        <v>42996</v>
      </c>
      <c r="G487" s="59">
        <f t="shared" si="416"/>
        <v>3.2849315068493152</v>
      </c>
      <c r="H487" s="61">
        <v>33310.718240000002</v>
      </c>
      <c r="I487" s="63">
        <v>34143.49</v>
      </c>
      <c r="J487" s="61">
        <v>34143.486196000005</v>
      </c>
      <c r="K487" s="63">
        <f t="shared" si="433"/>
        <v>34143.486196000005</v>
      </c>
      <c r="L487" s="63">
        <f t="shared" si="418"/>
        <v>16.415137594230771</v>
      </c>
      <c r="M487" s="63">
        <f t="shared" si="419"/>
        <v>1313.2110075384617</v>
      </c>
      <c r="N487" s="63">
        <f t="shared" si="432"/>
        <v>0</v>
      </c>
      <c r="O487" s="65"/>
      <c r="P487" s="65"/>
      <c r="Q487" s="63">
        <f t="shared" si="420"/>
        <v>0</v>
      </c>
      <c r="R487" s="63">
        <f t="shared" si="421"/>
        <v>34143.486196000005</v>
      </c>
      <c r="S487" s="65"/>
      <c r="T487" s="65"/>
      <c r="U487" s="65"/>
      <c r="V487" s="63">
        <f t="shared" si="422"/>
        <v>34143.486196000005</v>
      </c>
      <c r="W487" s="63">
        <f t="shared" si="423"/>
        <v>2116.8961441520005</v>
      </c>
      <c r="X487" s="63">
        <f t="shared" si="424"/>
        <v>495.0805498420001</v>
      </c>
      <c r="Y487" s="63">
        <f t="shared" si="425"/>
        <v>5128.3516266392007</v>
      </c>
      <c r="Z487" s="63">
        <f t="shared" si="426"/>
        <v>54.629577913600009</v>
      </c>
      <c r="AA487" s="63">
        <f t="shared" si="427"/>
        <v>23.900440337200003</v>
      </c>
      <c r="AB487" s="63">
        <f t="shared" si="428"/>
        <v>335</v>
      </c>
      <c r="AC487" s="63">
        <f t="shared" si="429"/>
        <v>10356.36</v>
      </c>
      <c r="AD487" s="63">
        <f t="shared" si="430"/>
        <v>106.9136</v>
      </c>
      <c r="AE487" s="178">
        <v>568</v>
      </c>
    </row>
    <row r="488" spans="1:31" x14ac:dyDescent="0.25">
      <c r="A488" s="167">
        <v>568</v>
      </c>
      <c r="B488" s="167">
        <v>568420</v>
      </c>
      <c r="C488" s="168" t="s">
        <v>4198</v>
      </c>
      <c r="D488" s="168" t="s">
        <v>3175</v>
      </c>
      <c r="E488" s="168" t="s">
        <v>3189</v>
      </c>
      <c r="F488" s="58">
        <v>43654</v>
      </c>
      <c r="G488" s="59">
        <f t="shared" si="416"/>
        <v>1.4821917808219178</v>
      </c>
      <c r="H488" s="61">
        <v>33310.718240000002</v>
      </c>
      <c r="I488" s="63">
        <v>38902.01</v>
      </c>
      <c r="J488" s="61">
        <v>34143.486196000005</v>
      </c>
      <c r="K488" s="63">
        <f t="shared" si="433"/>
        <v>34143.486196000005</v>
      </c>
      <c r="L488" s="63">
        <f t="shared" si="418"/>
        <v>16.415137594230771</v>
      </c>
      <c r="M488" s="63">
        <f t="shared" si="419"/>
        <v>1313.2110075384617</v>
      </c>
      <c r="N488" s="63">
        <f t="shared" si="432"/>
        <v>0</v>
      </c>
      <c r="O488" s="65"/>
      <c r="P488" s="65"/>
      <c r="Q488" s="63">
        <f t="shared" si="420"/>
        <v>0</v>
      </c>
      <c r="R488" s="63">
        <f t="shared" si="421"/>
        <v>34143.486196000005</v>
      </c>
      <c r="S488" s="65"/>
      <c r="T488" s="65"/>
      <c r="U488" s="65"/>
      <c r="V488" s="63">
        <f t="shared" si="422"/>
        <v>34143.486196000005</v>
      </c>
      <c r="W488" s="63">
        <f t="shared" si="423"/>
        <v>2116.8961441520005</v>
      </c>
      <c r="X488" s="63">
        <f t="shared" si="424"/>
        <v>495.0805498420001</v>
      </c>
      <c r="Y488" s="63">
        <f t="shared" si="425"/>
        <v>5128.3516266392007</v>
      </c>
      <c r="Z488" s="63">
        <f t="shared" si="426"/>
        <v>54.629577913600009</v>
      </c>
      <c r="AA488" s="63">
        <f t="shared" si="427"/>
        <v>23.900440337200003</v>
      </c>
      <c r="AB488" s="63">
        <f t="shared" si="428"/>
        <v>335</v>
      </c>
      <c r="AC488" s="63">
        <f t="shared" si="429"/>
        <v>10356.36</v>
      </c>
      <c r="AD488" s="63">
        <f t="shared" si="430"/>
        <v>106.9136</v>
      </c>
      <c r="AE488" s="178">
        <v>568</v>
      </c>
    </row>
    <row r="489" spans="1:31" x14ac:dyDescent="0.25">
      <c r="A489" s="167">
        <v>568</v>
      </c>
      <c r="B489" s="167">
        <v>568421</v>
      </c>
      <c r="C489" s="168" t="s">
        <v>4199</v>
      </c>
      <c r="D489" s="168" t="s">
        <v>4200</v>
      </c>
      <c r="E489" s="168" t="s">
        <v>4201</v>
      </c>
      <c r="F489" s="58">
        <v>43206</v>
      </c>
      <c r="G489" s="59">
        <f t="shared" si="416"/>
        <v>2.7095890410958905</v>
      </c>
      <c r="H489" s="61">
        <v>33310.718240000002</v>
      </c>
      <c r="I489" s="63">
        <v>35650.5</v>
      </c>
      <c r="J489" s="61">
        <v>34143.486196000005</v>
      </c>
      <c r="K489" s="63">
        <f t="shared" si="433"/>
        <v>34143.486196000005</v>
      </c>
      <c r="L489" s="63">
        <f t="shared" si="418"/>
        <v>16.415137594230771</v>
      </c>
      <c r="M489" s="63">
        <f t="shared" si="419"/>
        <v>1313.2110075384617</v>
      </c>
      <c r="N489" s="63">
        <f t="shared" si="432"/>
        <v>0</v>
      </c>
      <c r="O489" s="65"/>
      <c r="P489" s="65"/>
      <c r="Q489" s="63">
        <f t="shared" si="420"/>
        <v>0</v>
      </c>
      <c r="R489" s="63">
        <f t="shared" si="421"/>
        <v>34143.486196000005</v>
      </c>
      <c r="S489" s="65"/>
      <c r="T489" s="65"/>
      <c r="U489" s="65"/>
      <c r="V489" s="63">
        <f t="shared" si="422"/>
        <v>34143.486196000005</v>
      </c>
      <c r="W489" s="63">
        <f t="shared" si="423"/>
        <v>2116.8961441520005</v>
      </c>
      <c r="X489" s="63">
        <f t="shared" si="424"/>
        <v>495.0805498420001</v>
      </c>
      <c r="Y489" s="63">
        <f t="shared" si="425"/>
        <v>5128.3516266392007</v>
      </c>
      <c r="Z489" s="63">
        <f t="shared" si="426"/>
        <v>54.629577913600009</v>
      </c>
      <c r="AA489" s="63">
        <f t="shared" si="427"/>
        <v>23.900440337200003</v>
      </c>
      <c r="AB489" s="63">
        <f t="shared" si="428"/>
        <v>335</v>
      </c>
      <c r="AC489" s="63">
        <f t="shared" si="429"/>
        <v>10356.36</v>
      </c>
      <c r="AD489" s="63">
        <f t="shared" si="430"/>
        <v>106.9136</v>
      </c>
      <c r="AE489" s="178">
        <v>568</v>
      </c>
    </row>
    <row r="490" spans="1:31" x14ac:dyDescent="0.25">
      <c r="A490" s="167">
        <v>568</v>
      </c>
      <c r="B490" s="167">
        <v>568422</v>
      </c>
      <c r="C490" s="168" t="s">
        <v>4202</v>
      </c>
      <c r="D490" s="271" t="s">
        <v>2805</v>
      </c>
      <c r="E490" s="271" t="s">
        <v>2806</v>
      </c>
      <c r="F490" s="403">
        <v>43466</v>
      </c>
      <c r="G490" s="59">
        <f t="shared" si="416"/>
        <v>1.9972602739726026</v>
      </c>
      <c r="H490" s="61">
        <v>33310.718240000002</v>
      </c>
      <c r="I490" s="63"/>
      <c r="J490" s="61">
        <v>34143.486196000005</v>
      </c>
      <c r="K490" s="63">
        <f t="shared" si="433"/>
        <v>34143.486196000005</v>
      </c>
      <c r="L490" s="63">
        <f t="shared" si="418"/>
        <v>16.415137594230771</v>
      </c>
      <c r="M490" s="63">
        <f t="shared" si="419"/>
        <v>1313.2110075384617</v>
      </c>
      <c r="N490" s="63">
        <f t="shared" si="432"/>
        <v>0</v>
      </c>
      <c r="O490" s="65"/>
      <c r="P490" s="65"/>
      <c r="Q490" s="63">
        <f t="shared" si="420"/>
        <v>0</v>
      </c>
      <c r="R490" s="63">
        <f t="shared" si="421"/>
        <v>34143.486196000005</v>
      </c>
      <c r="S490" s="65"/>
      <c r="T490" s="65"/>
      <c r="U490" s="65"/>
      <c r="V490" s="63">
        <f t="shared" si="422"/>
        <v>34143.486196000005</v>
      </c>
      <c r="W490" s="63">
        <f t="shared" si="423"/>
        <v>2116.8961441520005</v>
      </c>
      <c r="X490" s="63">
        <f t="shared" si="424"/>
        <v>495.0805498420001</v>
      </c>
      <c r="Y490" s="63">
        <f t="shared" si="425"/>
        <v>5128.3516266392007</v>
      </c>
      <c r="Z490" s="63">
        <f t="shared" si="426"/>
        <v>54.629577913600009</v>
      </c>
      <c r="AA490" s="63">
        <f t="shared" si="427"/>
        <v>23.900440337200003</v>
      </c>
      <c r="AB490" s="63">
        <f t="shared" si="428"/>
        <v>335</v>
      </c>
      <c r="AC490" s="63">
        <f t="shared" si="429"/>
        <v>10356.36</v>
      </c>
      <c r="AD490" s="63">
        <f t="shared" si="430"/>
        <v>106.9136</v>
      </c>
      <c r="AE490" s="178">
        <v>568</v>
      </c>
    </row>
    <row r="491" spans="1:31" x14ac:dyDescent="0.25">
      <c r="A491" s="167">
        <v>568</v>
      </c>
      <c r="B491" s="167">
        <v>568423</v>
      </c>
      <c r="C491" s="168" t="s">
        <v>4203</v>
      </c>
      <c r="D491" s="168" t="s">
        <v>3339</v>
      </c>
      <c r="E491" s="168" t="s">
        <v>2980</v>
      </c>
      <c r="F491" s="58">
        <v>43262</v>
      </c>
      <c r="G491" s="59">
        <f t="shared" si="416"/>
        <v>2.5561643835616437</v>
      </c>
      <c r="H491" s="61">
        <v>33310.718240000002</v>
      </c>
      <c r="I491" s="63">
        <v>35650.5</v>
      </c>
      <c r="J491" s="61">
        <v>34143.486196000005</v>
      </c>
      <c r="K491" s="63">
        <f t="shared" si="433"/>
        <v>34143.486196000005</v>
      </c>
      <c r="L491" s="63">
        <f t="shared" si="418"/>
        <v>16.415137594230771</v>
      </c>
      <c r="M491" s="63">
        <f t="shared" si="419"/>
        <v>1313.2110075384617</v>
      </c>
      <c r="N491" s="63">
        <f t="shared" si="432"/>
        <v>0</v>
      </c>
      <c r="O491" s="65"/>
      <c r="P491" s="65"/>
      <c r="Q491" s="63">
        <f t="shared" si="420"/>
        <v>0</v>
      </c>
      <c r="R491" s="63">
        <f t="shared" si="421"/>
        <v>34143.486196000005</v>
      </c>
      <c r="S491" s="65"/>
      <c r="T491" s="65"/>
      <c r="U491" s="65"/>
      <c r="V491" s="63">
        <f t="shared" si="422"/>
        <v>34143.486196000005</v>
      </c>
      <c r="W491" s="63">
        <f t="shared" si="423"/>
        <v>2116.8961441520005</v>
      </c>
      <c r="X491" s="63">
        <f t="shared" si="424"/>
        <v>495.0805498420001</v>
      </c>
      <c r="Y491" s="63">
        <f t="shared" si="425"/>
        <v>5128.3516266392007</v>
      </c>
      <c r="Z491" s="63">
        <f t="shared" si="426"/>
        <v>54.629577913600009</v>
      </c>
      <c r="AA491" s="63">
        <f t="shared" si="427"/>
        <v>23.900440337200003</v>
      </c>
      <c r="AB491" s="63">
        <f t="shared" si="428"/>
        <v>335</v>
      </c>
      <c r="AC491" s="63">
        <f t="shared" si="429"/>
        <v>10356.36</v>
      </c>
      <c r="AD491" s="63">
        <f t="shared" si="430"/>
        <v>106.9136</v>
      </c>
      <c r="AE491" s="178">
        <v>568</v>
      </c>
    </row>
    <row r="492" spans="1:31" x14ac:dyDescent="0.25">
      <c r="A492" s="167">
        <v>568</v>
      </c>
      <c r="B492" s="167">
        <v>568424</v>
      </c>
      <c r="C492" s="168" t="s">
        <v>4204</v>
      </c>
      <c r="D492" s="168" t="s">
        <v>4205</v>
      </c>
      <c r="E492" s="168" t="s">
        <v>3186</v>
      </c>
      <c r="F492" s="58">
        <v>43227</v>
      </c>
      <c r="G492" s="59">
        <f t="shared" si="416"/>
        <v>2.6520547945205482</v>
      </c>
      <c r="H492" s="61">
        <v>33310.718240000002</v>
      </c>
      <c r="I492" s="63">
        <v>35650.5</v>
      </c>
      <c r="J492" s="61">
        <v>34143.486196000005</v>
      </c>
      <c r="K492" s="63">
        <f t="shared" si="433"/>
        <v>34143.486196000005</v>
      </c>
      <c r="L492" s="63">
        <f t="shared" si="418"/>
        <v>16.415137594230771</v>
      </c>
      <c r="M492" s="63">
        <f t="shared" si="419"/>
        <v>1313.2110075384617</v>
      </c>
      <c r="N492" s="63">
        <f t="shared" si="432"/>
        <v>0</v>
      </c>
      <c r="O492" s="65"/>
      <c r="P492" s="65"/>
      <c r="Q492" s="63">
        <f t="shared" si="420"/>
        <v>0</v>
      </c>
      <c r="R492" s="63">
        <f t="shared" si="421"/>
        <v>34143.486196000005</v>
      </c>
      <c r="S492" s="65"/>
      <c r="T492" s="65"/>
      <c r="U492" s="65"/>
      <c r="V492" s="63">
        <f t="shared" si="422"/>
        <v>34143.486196000005</v>
      </c>
      <c r="W492" s="63">
        <f t="shared" si="423"/>
        <v>2116.8961441520005</v>
      </c>
      <c r="X492" s="63">
        <f t="shared" si="424"/>
        <v>495.0805498420001</v>
      </c>
      <c r="Y492" s="63">
        <f t="shared" si="425"/>
        <v>5128.3516266392007</v>
      </c>
      <c r="Z492" s="63">
        <f t="shared" si="426"/>
        <v>54.629577913600009</v>
      </c>
      <c r="AA492" s="63">
        <f t="shared" si="427"/>
        <v>23.900440337200003</v>
      </c>
      <c r="AB492" s="63">
        <f t="shared" si="428"/>
        <v>335</v>
      </c>
      <c r="AC492" s="63">
        <f t="shared" si="429"/>
        <v>10356.36</v>
      </c>
      <c r="AD492" s="63">
        <f t="shared" si="430"/>
        <v>106.9136</v>
      </c>
      <c r="AE492" s="178">
        <v>568</v>
      </c>
    </row>
    <row r="493" spans="1:31" x14ac:dyDescent="0.25">
      <c r="A493" s="167">
        <v>568</v>
      </c>
      <c r="B493" s="167">
        <v>568425</v>
      </c>
      <c r="C493" s="168" t="s">
        <v>4206</v>
      </c>
      <c r="D493" s="168" t="s">
        <v>2540</v>
      </c>
      <c r="E493" s="168" t="s">
        <v>2943</v>
      </c>
      <c r="F493" s="58">
        <v>43040</v>
      </c>
      <c r="G493" s="59">
        <f t="shared" si="416"/>
        <v>3.1643835616438358</v>
      </c>
      <c r="H493" s="61">
        <v>33310.718240000002</v>
      </c>
      <c r="I493" s="63">
        <v>35650.5</v>
      </c>
      <c r="J493" s="61">
        <v>34143.486196000005</v>
      </c>
      <c r="K493" s="63">
        <f t="shared" si="433"/>
        <v>34143.486196000005</v>
      </c>
      <c r="L493" s="63">
        <f t="shared" si="418"/>
        <v>16.415137594230771</v>
      </c>
      <c r="M493" s="63">
        <f t="shared" si="419"/>
        <v>1313.2110075384617</v>
      </c>
      <c r="N493" s="63">
        <f t="shared" si="432"/>
        <v>0</v>
      </c>
      <c r="O493" s="65"/>
      <c r="P493" s="65"/>
      <c r="Q493" s="63">
        <f t="shared" si="420"/>
        <v>0</v>
      </c>
      <c r="R493" s="63">
        <f t="shared" si="421"/>
        <v>34143.486196000005</v>
      </c>
      <c r="S493" s="65"/>
      <c r="T493" s="65"/>
      <c r="U493" s="65"/>
      <c r="V493" s="63">
        <f t="shared" si="422"/>
        <v>34143.486196000005</v>
      </c>
      <c r="W493" s="63">
        <f t="shared" si="423"/>
        <v>2116.8961441520005</v>
      </c>
      <c r="X493" s="63">
        <f t="shared" si="424"/>
        <v>495.0805498420001</v>
      </c>
      <c r="Y493" s="63">
        <f t="shared" si="425"/>
        <v>5128.3516266392007</v>
      </c>
      <c r="Z493" s="63">
        <f t="shared" si="426"/>
        <v>54.629577913600009</v>
      </c>
      <c r="AA493" s="63">
        <f t="shared" si="427"/>
        <v>23.900440337200003</v>
      </c>
      <c r="AB493" s="63">
        <f t="shared" si="428"/>
        <v>335</v>
      </c>
      <c r="AC493" s="63">
        <f t="shared" si="429"/>
        <v>10356.36</v>
      </c>
      <c r="AD493" s="63">
        <f t="shared" si="430"/>
        <v>106.9136</v>
      </c>
      <c r="AE493" s="178">
        <v>568</v>
      </c>
    </row>
    <row r="494" spans="1:31" x14ac:dyDescent="0.25">
      <c r="A494" s="167">
        <v>568</v>
      </c>
      <c r="B494" s="167">
        <v>568501</v>
      </c>
      <c r="C494" s="168" t="s">
        <v>3112</v>
      </c>
      <c r="D494" s="168" t="s">
        <v>2988</v>
      </c>
      <c r="E494" s="168" t="s">
        <v>3267</v>
      </c>
      <c r="F494" s="58">
        <v>42905</v>
      </c>
      <c r="G494" s="59">
        <f t="shared" si="416"/>
        <v>3.5342465753424657</v>
      </c>
      <c r="H494" s="61">
        <v>37953.177839999997</v>
      </c>
      <c r="I494" s="63">
        <v>35650.5</v>
      </c>
      <c r="J494" s="61">
        <v>38902.007286</v>
      </c>
      <c r="K494" s="63">
        <f t="shared" si="433"/>
        <v>38902.007286</v>
      </c>
      <c r="L494" s="63">
        <f t="shared" si="418"/>
        <v>18.702888118269232</v>
      </c>
      <c r="M494" s="63">
        <f t="shared" si="419"/>
        <v>1496.2310494615385</v>
      </c>
      <c r="N494" s="63">
        <v>4491.3</v>
      </c>
      <c r="O494" s="65"/>
      <c r="P494" s="63">
        <v>0</v>
      </c>
      <c r="Q494" s="63">
        <f t="shared" si="420"/>
        <v>4491.3</v>
      </c>
      <c r="R494" s="63">
        <f t="shared" si="421"/>
        <v>43393.307286000003</v>
      </c>
      <c r="S494" s="65"/>
      <c r="T494" s="63">
        <v>1200</v>
      </c>
      <c r="U494" s="63"/>
      <c r="V494" s="63">
        <f t="shared" si="422"/>
        <v>44593.307286000003</v>
      </c>
      <c r="W494" s="63">
        <f t="shared" si="423"/>
        <v>2764.7850517320003</v>
      </c>
      <c r="X494" s="63">
        <f t="shared" si="424"/>
        <v>646.60295564700004</v>
      </c>
      <c r="Y494" s="63">
        <f t="shared" si="425"/>
        <v>6697.9147543572008</v>
      </c>
      <c r="Z494" s="63">
        <f t="shared" si="426"/>
        <v>71.349291657600006</v>
      </c>
      <c r="AA494" s="63">
        <f t="shared" si="427"/>
        <v>31.215315100200002</v>
      </c>
      <c r="AB494" s="63">
        <f t="shared" si="428"/>
        <v>335</v>
      </c>
      <c r="AC494" s="63">
        <f t="shared" si="429"/>
        <v>10356.36</v>
      </c>
      <c r="AD494" s="63">
        <f t="shared" si="430"/>
        <v>106.9136</v>
      </c>
      <c r="AE494" s="178">
        <v>568</v>
      </c>
    </row>
    <row r="495" spans="1:31" x14ac:dyDescent="0.25">
      <c r="A495" s="167">
        <v>568</v>
      </c>
      <c r="B495" s="167">
        <v>568520</v>
      </c>
      <c r="C495" s="168" t="s">
        <v>4207</v>
      </c>
      <c r="D495" s="168" t="s">
        <v>3282</v>
      </c>
      <c r="E495" s="168" t="s">
        <v>3283</v>
      </c>
      <c r="F495" s="58">
        <v>38565</v>
      </c>
      <c r="G495" s="59">
        <f t="shared" si="416"/>
        <v>15.424657534246576</v>
      </c>
      <c r="H495" s="61">
        <v>34780.971839999998</v>
      </c>
      <c r="I495" s="63">
        <v>35650.5</v>
      </c>
      <c r="J495" s="61">
        <v>35650.496136000002</v>
      </c>
      <c r="K495" s="63">
        <f t="shared" si="433"/>
        <v>35650.496136000002</v>
      </c>
      <c r="L495" s="63">
        <f t="shared" si="418"/>
        <v>17.139661603846154</v>
      </c>
      <c r="M495" s="63">
        <f t="shared" si="419"/>
        <v>1371.1729283076925</v>
      </c>
      <c r="N495" s="63">
        <f t="shared" ref="N495:N496" si="434">IF(G495&lt;4,0,(G495-1)*$N$7)</f>
        <v>3808.1095890410961</v>
      </c>
      <c r="O495" s="65"/>
      <c r="P495" s="65"/>
      <c r="Q495" s="63">
        <f t="shared" si="420"/>
        <v>3808.1095890410961</v>
      </c>
      <c r="R495" s="63">
        <f t="shared" si="421"/>
        <v>39458.605725041096</v>
      </c>
      <c r="S495" s="65"/>
      <c r="T495" s="63">
        <v>1200</v>
      </c>
      <c r="U495" s="63">
        <v>1000</v>
      </c>
      <c r="V495" s="63">
        <f t="shared" si="422"/>
        <v>41658.605725041096</v>
      </c>
      <c r="W495" s="63">
        <f t="shared" si="423"/>
        <v>2582.8335549525477</v>
      </c>
      <c r="X495" s="63">
        <f t="shared" si="424"/>
        <v>604.04978301309598</v>
      </c>
      <c r="Y495" s="63">
        <f t="shared" si="425"/>
        <v>6257.1225799011727</v>
      </c>
      <c r="Z495" s="63">
        <f t="shared" si="426"/>
        <v>66.65376916006575</v>
      </c>
      <c r="AA495" s="63">
        <f t="shared" si="427"/>
        <v>29.161024007528766</v>
      </c>
      <c r="AB495" s="63">
        <f t="shared" si="428"/>
        <v>335</v>
      </c>
      <c r="AC495" s="63">
        <f t="shared" si="429"/>
        <v>10356.36</v>
      </c>
      <c r="AD495" s="63">
        <f t="shared" si="430"/>
        <v>106.9136</v>
      </c>
      <c r="AE495" s="178">
        <v>568</v>
      </c>
    </row>
    <row r="496" spans="1:31" x14ac:dyDescent="0.25">
      <c r="A496" s="167">
        <v>568</v>
      </c>
      <c r="B496" s="167">
        <v>568521</v>
      </c>
      <c r="C496" s="168" t="s">
        <v>4208</v>
      </c>
      <c r="D496" s="271" t="s">
        <v>2805</v>
      </c>
      <c r="E496" s="271" t="s">
        <v>2806</v>
      </c>
      <c r="F496" s="403">
        <v>43831</v>
      </c>
      <c r="G496" s="59">
        <f t="shared" si="416"/>
        <v>0.99726027397260275</v>
      </c>
      <c r="H496" s="61">
        <v>34780.971839999998</v>
      </c>
      <c r="I496" s="251"/>
      <c r="J496" s="61">
        <v>35650.496136000002</v>
      </c>
      <c r="K496" s="63">
        <f t="shared" si="433"/>
        <v>35650.496136000002</v>
      </c>
      <c r="L496" s="63">
        <f t="shared" si="418"/>
        <v>17.139661603846154</v>
      </c>
      <c r="M496" s="63">
        <f t="shared" si="419"/>
        <v>1371.1729283076925</v>
      </c>
      <c r="N496" s="63">
        <f t="shared" si="434"/>
        <v>0</v>
      </c>
      <c r="O496" s="65"/>
      <c r="P496" s="65"/>
      <c r="Q496" s="63">
        <f t="shared" si="420"/>
        <v>0</v>
      </c>
      <c r="R496" s="63">
        <f t="shared" si="421"/>
        <v>35650.496136000002</v>
      </c>
      <c r="S496" s="65"/>
      <c r="T496" s="63">
        <v>1200</v>
      </c>
      <c r="U496" s="65"/>
      <c r="V496" s="63">
        <f t="shared" si="422"/>
        <v>36850.496136000002</v>
      </c>
      <c r="W496" s="63">
        <f t="shared" si="423"/>
        <v>2284.7307604319999</v>
      </c>
      <c r="X496" s="63">
        <f t="shared" si="424"/>
        <v>534.33219397200003</v>
      </c>
      <c r="Y496" s="63">
        <f t="shared" si="425"/>
        <v>5534.9445196272</v>
      </c>
      <c r="Z496" s="63">
        <f t="shared" si="426"/>
        <v>58.960793817600006</v>
      </c>
      <c r="AA496" s="63">
        <f t="shared" si="427"/>
        <v>25.795347295199999</v>
      </c>
      <c r="AB496" s="63">
        <f t="shared" si="428"/>
        <v>335</v>
      </c>
      <c r="AC496" s="63">
        <f t="shared" si="429"/>
        <v>10356.36</v>
      </c>
      <c r="AD496" s="63">
        <f t="shared" si="430"/>
        <v>106.9136</v>
      </c>
      <c r="AE496" s="178">
        <v>568</v>
      </c>
    </row>
    <row r="497" spans="1:31" x14ac:dyDescent="0.25">
      <c r="A497" s="167">
        <v>568</v>
      </c>
      <c r="B497" s="167">
        <v>568522</v>
      </c>
      <c r="C497" s="168" t="s">
        <v>4209</v>
      </c>
      <c r="D497" s="168" t="s">
        <v>3270</v>
      </c>
      <c r="E497" s="168" t="s">
        <v>2967</v>
      </c>
      <c r="F497" s="58">
        <v>41918</v>
      </c>
      <c r="G497" s="59">
        <f t="shared" si="416"/>
        <v>6.2383561643835614</v>
      </c>
      <c r="H497" s="61">
        <v>34780.971839999998</v>
      </c>
      <c r="I497" s="251"/>
      <c r="J497" s="61">
        <v>35650.496136000002</v>
      </c>
      <c r="K497" s="63">
        <f t="shared" si="433"/>
        <v>35650.496136000002</v>
      </c>
      <c r="L497" s="63">
        <f t="shared" si="418"/>
        <v>17.139661603846154</v>
      </c>
      <c r="M497" s="63">
        <f t="shared" si="419"/>
        <v>1371.1729283076925</v>
      </c>
      <c r="N497" s="63">
        <v>3543.39</v>
      </c>
      <c r="O497" s="65"/>
      <c r="P497" s="65"/>
      <c r="Q497" s="63">
        <f t="shared" si="420"/>
        <v>3543.39</v>
      </c>
      <c r="R497" s="63">
        <f t="shared" si="421"/>
        <v>39193.886136000001</v>
      </c>
      <c r="S497" s="65"/>
      <c r="T497" s="63">
        <v>1200</v>
      </c>
      <c r="U497" s="65"/>
      <c r="V497" s="63">
        <f t="shared" si="422"/>
        <v>40393.886136000001</v>
      </c>
      <c r="W497" s="63">
        <f t="shared" si="423"/>
        <v>2504.420940432</v>
      </c>
      <c r="X497" s="63">
        <f t="shared" si="424"/>
        <v>585.711348972</v>
      </c>
      <c r="Y497" s="63">
        <f t="shared" si="425"/>
        <v>6067.1616976271998</v>
      </c>
      <c r="Z497" s="63">
        <f t="shared" si="426"/>
        <v>64.630217817599998</v>
      </c>
      <c r="AA497" s="63">
        <f t="shared" si="427"/>
        <v>28.275720295199999</v>
      </c>
      <c r="AB497" s="63">
        <f t="shared" si="428"/>
        <v>335</v>
      </c>
      <c r="AC497" s="63">
        <f t="shared" si="429"/>
        <v>10356.36</v>
      </c>
      <c r="AD497" s="63">
        <f t="shared" si="430"/>
        <v>106.9136</v>
      </c>
      <c r="AE497" s="178">
        <v>568</v>
      </c>
    </row>
    <row r="498" spans="1:31" x14ac:dyDescent="0.25">
      <c r="A498" s="167">
        <v>568</v>
      </c>
      <c r="B498" s="167">
        <v>568523</v>
      </c>
      <c r="C498" s="168" t="s">
        <v>4210</v>
      </c>
      <c r="D498" s="168" t="s">
        <v>3276</v>
      </c>
      <c r="E498" s="168" t="s">
        <v>2731</v>
      </c>
      <c r="F498" s="58">
        <v>41136</v>
      </c>
      <c r="G498" s="59">
        <f t="shared" si="416"/>
        <v>8.3808219178082197</v>
      </c>
      <c r="H498" s="61">
        <v>34780.971839999998</v>
      </c>
      <c r="I498" s="251"/>
      <c r="J498" s="61">
        <v>35650.496136000002</v>
      </c>
      <c r="K498" s="63">
        <f t="shared" si="433"/>
        <v>35650.496136000002</v>
      </c>
      <c r="L498" s="63">
        <f t="shared" si="418"/>
        <v>17.139661603846154</v>
      </c>
      <c r="M498" s="63">
        <f t="shared" si="419"/>
        <v>1371.1729283076925</v>
      </c>
      <c r="N498" s="63">
        <f t="shared" ref="N498:N501" si="435">IF(G498&lt;4,0,(G498-1)*$N$7)</f>
        <v>1948.53698630137</v>
      </c>
      <c r="O498" s="65"/>
      <c r="P498" s="65"/>
      <c r="Q498" s="63">
        <f t="shared" si="420"/>
        <v>1948.53698630137</v>
      </c>
      <c r="R498" s="63">
        <f t="shared" si="421"/>
        <v>37599.033122301371</v>
      </c>
      <c r="S498" s="65"/>
      <c r="T498" s="63">
        <v>1200</v>
      </c>
      <c r="U498" s="65"/>
      <c r="V498" s="63">
        <f t="shared" si="422"/>
        <v>38799.033122301371</v>
      </c>
      <c r="W498" s="63">
        <f t="shared" si="423"/>
        <v>2405.5400535826848</v>
      </c>
      <c r="X498" s="63">
        <f t="shared" si="424"/>
        <v>562.58598027336996</v>
      </c>
      <c r="Y498" s="63">
        <f t="shared" si="425"/>
        <v>5827.6147749696656</v>
      </c>
      <c r="Z498" s="63">
        <f t="shared" si="426"/>
        <v>62.078452995682198</v>
      </c>
      <c r="AA498" s="63">
        <f t="shared" si="427"/>
        <v>27.159323185610958</v>
      </c>
      <c r="AB498" s="63">
        <f t="shared" si="428"/>
        <v>335</v>
      </c>
      <c r="AC498" s="63">
        <f t="shared" si="429"/>
        <v>10356.36</v>
      </c>
      <c r="AD498" s="63">
        <f t="shared" si="430"/>
        <v>106.9136</v>
      </c>
      <c r="AE498" s="178">
        <v>568</v>
      </c>
    </row>
    <row r="499" spans="1:31" x14ac:dyDescent="0.25">
      <c r="A499" s="167">
        <v>568</v>
      </c>
      <c r="B499" s="167">
        <v>568524</v>
      </c>
      <c r="C499" s="168" t="s">
        <v>4211</v>
      </c>
      <c r="D499" s="168" t="s">
        <v>3272</v>
      </c>
      <c r="E499" s="168" t="s">
        <v>3273</v>
      </c>
      <c r="F499" s="58">
        <v>41841</v>
      </c>
      <c r="G499" s="59">
        <f t="shared" si="416"/>
        <v>6.4493150684931511</v>
      </c>
      <c r="H499" s="61">
        <v>34780.971839999998</v>
      </c>
      <c r="I499" s="251"/>
      <c r="J499" s="61">
        <v>35650.496136000002</v>
      </c>
      <c r="K499" s="63">
        <f t="shared" si="433"/>
        <v>35650.496136000002</v>
      </c>
      <c r="L499" s="63">
        <f t="shared" si="418"/>
        <v>17.139661603846154</v>
      </c>
      <c r="M499" s="63">
        <f t="shared" si="419"/>
        <v>1371.1729283076925</v>
      </c>
      <c r="N499" s="63">
        <f t="shared" si="435"/>
        <v>1438.6191780821919</v>
      </c>
      <c r="O499" s="65"/>
      <c r="P499" s="65"/>
      <c r="Q499" s="63">
        <f t="shared" si="420"/>
        <v>1438.6191780821919</v>
      </c>
      <c r="R499" s="63">
        <f t="shared" si="421"/>
        <v>37089.115314082192</v>
      </c>
      <c r="S499" s="65"/>
      <c r="T499" s="63">
        <v>1200</v>
      </c>
      <c r="U499" s="65"/>
      <c r="V499" s="63">
        <f t="shared" si="422"/>
        <v>38289.115314082192</v>
      </c>
      <c r="W499" s="63">
        <f t="shared" si="423"/>
        <v>2373.9251494730956</v>
      </c>
      <c r="X499" s="63">
        <f t="shared" si="424"/>
        <v>555.19217205419181</v>
      </c>
      <c r="Y499" s="63">
        <f t="shared" si="425"/>
        <v>5751.0251201751453</v>
      </c>
      <c r="Z499" s="63">
        <f t="shared" si="426"/>
        <v>61.26258450253151</v>
      </c>
      <c r="AA499" s="63">
        <f t="shared" si="427"/>
        <v>26.802380719857535</v>
      </c>
      <c r="AB499" s="63">
        <f t="shared" si="428"/>
        <v>335</v>
      </c>
      <c r="AC499" s="63">
        <f t="shared" si="429"/>
        <v>10356.36</v>
      </c>
      <c r="AD499" s="63">
        <f t="shared" si="430"/>
        <v>106.9136</v>
      </c>
      <c r="AE499" s="178">
        <v>568</v>
      </c>
    </row>
    <row r="500" spans="1:31" x14ac:dyDescent="0.25">
      <c r="A500" s="167">
        <v>568</v>
      </c>
      <c r="B500" s="167">
        <v>568525</v>
      </c>
      <c r="C500" s="168" t="s">
        <v>4212</v>
      </c>
      <c r="D500" s="168" t="s">
        <v>2461</v>
      </c>
      <c r="E500" s="168" t="s">
        <v>2569</v>
      </c>
      <c r="F500" s="58">
        <v>41568</v>
      </c>
      <c r="G500" s="59">
        <f t="shared" si="416"/>
        <v>7.1972602739726028</v>
      </c>
      <c r="H500" s="61">
        <v>34780.971839999998</v>
      </c>
      <c r="I500" s="251"/>
      <c r="J500" s="61">
        <v>35650.496136000002</v>
      </c>
      <c r="K500" s="63">
        <f t="shared" si="433"/>
        <v>35650.496136000002</v>
      </c>
      <c r="L500" s="63">
        <f t="shared" si="418"/>
        <v>17.139661603846154</v>
      </c>
      <c r="M500" s="63">
        <f t="shared" si="419"/>
        <v>1371.1729283076925</v>
      </c>
      <c r="N500" s="63">
        <f t="shared" si="435"/>
        <v>1636.0767123287671</v>
      </c>
      <c r="O500" s="65"/>
      <c r="P500" s="65"/>
      <c r="Q500" s="63">
        <f t="shared" si="420"/>
        <v>1636.0767123287671</v>
      </c>
      <c r="R500" s="63">
        <f t="shared" si="421"/>
        <v>37286.572848328768</v>
      </c>
      <c r="S500" s="65"/>
      <c r="T500" s="63">
        <v>1200</v>
      </c>
      <c r="U500" s="65"/>
      <c r="V500" s="63">
        <f t="shared" si="422"/>
        <v>38486.572848328768</v>
      </c>
      <c r="W500" s="63">
        <f t="shared" si="423"/>
        <v>2386.1675165963834</v>
      </c>
      <c r="X500" s="63">
        <f t="shared" si="424"/>
        <v>558.05530630076714</v>
      </c>
      <c r="Y500" s="63">
        <f t="shared" si="425"/>
        <v>5780.6832418189806</v>
      </c>
      <c r="Z500" s="63">
        <f t="shared" si="426"/>
        <v>61.578516557326033</v>
      </c>
      <c r="AA500" s="63">
        <f t="shared" si="427"/>
        <v>26.940600993830138</v>
      </c>
      <c r="AB500" s="63">
        <f t="shared" si="428"/>
        <v>335</v>
      </c>
      <c r="AC500" s="63">
        <f t="shared" si="429"/>
        <v>10356.36</v>
      </c>
      <c r="AD500" s="63">
        <f t="shared" si="430"/>
        <v>106.9136</v>
      </c>
      <c r="AE500" s="178">
        <v>568</v>
      </c>
    </row>
    <row r="501" spans="1:31" x14ac:dyDescent="0.25">
      <c r="A501" s="167">
        <v>568</v>
      </c>
      <c r="B501" s="167">
        <v>568526</v>
      </c>
      <c r="C501" s="168" t="s">
        <v>4213</v>
      </c>
      <c r="D501" s="168" t="s">
        <v>2773</v>
      </c>
      <c r="E501" s="168" t="s">
        <v>3018</v>
      </c>
      <c r="F501" s="58">
        <v>39237</v>
      </c>
      <c r="G501" s="59">
        <f t="shared" si="416"/>
        <v>13.583561643835617</v>
      </c>
      <c r="H501" s="61">
        <v>34780.971839999998</v>
      </c>
      <c r="I501" s="251"/>
      <c r="J501" s="61">
        <v>35650.496136000002</v>
      </c>
      <c r="K501" s="63">
        <f t="shared" si="433"/>
        <v>35650.496136000002</v>
      </c>
      <c r="L501" s="63">
        <f t="shared" si="418"/>
        <v>17.139661603846154</v>
      </c>
      <c r="M501" s="63">
        <f t="shared" si="419"/>
        <v>1371.1729283076925</v>
      </c>
      <c r="N501" s="63">
        <f t="shared" si="435"/>
        <v>3322.0602739726028</v>
      </c>
      <c r="O501" s="65"/>
      <c r="P501" s="65"/>
      <c r="Q501" s="63">
        <f t="shared" si="420"/>
        <v>3322.0602739726028</v>
      </c>
      <c r="R501" s="63">
        <f t="shared" si="421"/>
        <v>38972.556409972603</v>
      </c>
      <c r="S501" s="65"/>
      <c r="T501" s="63">
        <v>1200</v>
      </c>
      <c r="U501" s="65"/>
      <c r="V501" s="63">
        <f t="shared" si="422"/>
        <v>40172.556409972603</v>
      </c>
      <c r="W501" s="63">
        <f t="shared" si="423"/>
        <v>2490.6984974183015</v>
      </c>
      <c r="X501" s="63">
        <f t="shared" si="424"/>
        <v>582.5020679446028</v>
      </c>
      <c r="Y501" s="63">
        <f t="shared" si="425"/>
        <v>6033.9179727778846</v>
      </c>
      <c r="Z501" s="63">
        <f t="shared" si="426"/>
        <v>64.276090255956163</v>
      </c>
      <c r="AA501" s="63">
        <f t="shared" si="427"/>
        <v>28.120789486980822</v>
      </c>
      <c r="AB501" s="63">
        <f t="shared" si="428"/>
        <v>335</v>
      </c>
      <c r="AC501" s="63">
        <f t="shared" si="429"/>
        <v>10356.36</v>
      </c>
      <c r="AD501" s="63">
        <f t="shared" si="430"/>
        <v>106.9136</v>
      </c>
      <c r="AE501" s="178">
        <v>568</v>
      </c>
    </row>
    <row r="502" spans="1:31" x14ac:dyDescent="0.25">
      <c r="A502" s="167">
        <v>568</v>
      </c>
      <c r="B502" s="247"/>
      <c r="C502" s="168" t="s">
        <v>3100</v>
      </c>
      <c r="D502" s="247"/>
      <c r="E502" s="247"/>
      <c r="F502" s="247"/>
      <c r="G502" s="167" t="s">
        <v>2422</v>
      </c>
      <c r="H502" s="61">
        <v>54000</v>
      </c>
      <c r="I502" s="251"/>
      <c r="J502" s="61">
        <v>54000</v>
      </c>
      <c r="K502" s="61">
        <v>54000</v>
      </c>
      <c r="L502" s="247"/>
      <c r="M502" s="247"/>
      <c r="N502" s="167" t="s">
        <v>27</v>
      </c>
      <c r="O502" s="247"/>
      <c r="P502" s="247"/>
      <c r="Q502" s="167">
        <v>0</v>
      </c>
      <c r="R502" s="63">
        <f t="shared" si="421"/>
        <v>54000</v>
      </c>
      <c r="S502" s="65"/>
      <c r="T502" s="65"/>
      <c r="U502" s="65"/>
      <c r="V502" s="63">
        <f t="shared" si="422"/>
        <v>54000</v>
      </c>
      <c r="W502" s="63">
        <f t="shared" si="423"/>
        <v>3348</v>
      </c>
      <c r="X502" s="63">
        <f t="shared" si="424"/>
        <v>783</v>
      </c>
      <c r="Y502" s="63">
        <f t="shared" si="425"/>
        <v>8110.8</v>
      </c>
      <c r="Z502" s="63">
        <f t="shared" si="426"/>
        <v>86.4</v>
      </c>
      <c r="AA502" s="63">
        <f t="shared" si="427"/>
        <v>37.799999999999997</v>
      </c>
      <c r="AB502" s="63" t="s">
        <v>2422</v>
      </c>
      <c r="AC502" s="63" t="s">
        <v>2422</v>
      </c>
      <c r="AD502" s="63" t="s">
        <v>2422</v>
      </c>
      <c r="AE502" s="178">
        <v>568</v>
      </c>
    </row>
    <row r="503" spans="1:31" x14ac:dyDescent="0.25">
      <c r="A503" s="167">
        <v>568</v>
      </c>
      <c r="B503" s="247"/>
      <c r="C503" s="168" t="s">
        <v>2495</v>
      </c>
      <c r="D503" s="247"/>
      <c r="E503" s="247"/>
      <c r="F503" s="247"/>
      <c r="G503" s="167" t="s">
        <v>2422</v>
      </c>
      <c r="H503" s="132">
        <v>30000</v>
      </c>
      <c r="I503" s="296"/>
      <c r="J503" s="132">
        <v>30000</v>
      </c>
      <c r="K503" s="132">
        <v>30000</v>
      </c>
      <c r="L503" s="320"/>
      <c r="M503" s="320"/>
      <c r="N503" s="220" t="s">
        <v>27</v>
      </c>
      <c r="O503" s="320"/>
      <c r="P503" s="320"/>
      <c r="Q503" s="220">
        <v>0</v>
      </c>
      <c r="R503" s="172">
        <f t="shared" si="421"/>
        <v>30000</v>
      </c>
      <c r="S503" s="314"/>
      <c r="T503" s="314"/>
      <c r="U503" s="314"/>
      <c r="V503" s="172">
        <f t="shared" si="422"/>
        <v>30000</v>
      </c>
      <c r="W503" s="172">
        <f t="shared" si="423"/>
        <v>1860</v>
      </c>
      <c r="X503" s="172">
        <f t="shared" si="424"/>
        <v>435</v>
      </c>
      <c r="Y503" s="172">
        <f t="shared" si="425"/>
        <v>4506</v>
      </c>
      <c r="Z503" s="172">
        <f t="shared" si="426"/>
        <v>48</v>
      </c>
      <c r="AA503" s="172">
        <f t="shared" si="427"/>
        <v>21</v>
      </c>
      <c r="AB503" s="172" t="s">
        <v>2422</v>
      </c>
      <c r="AC503" s="172" t="s">
        <v>2422</v>
      </c>
      <c r="AD503" s="172" t="s">
        <v>2422</v>
      </c>
      <c r="AE503" s="178">
        <v>568</v>
      </c>
    </row>
    <row r="504" spans="1:31" x14ac:dyDescent="0.25">
      <c r="A504" s="167">
        <v>568</v>
      </c>
      <c r="B504" s="247"/>
      <c r="C504" s="247"/>
      <c r="D504" s="247"/>
      <c r="E504" s="247"/>
      <c r="F504" s="247"/>
      <c r="G504" s="247"/>
      <c r="H504" s="223">
        <v>3376576.833679996</v>
      </c>
      <c r="I504" s="401"/>
      <c r="J504" s="223">
        <v>3472041.8975120001</v>
      </c>
      <c r="K504" s="223">
        <f t="shared" ref="K504:AD504" si="436">SUM(K405:K503)</f>
        <v>3472041.8975120001</v>
      </c>
      <c r="L504" s="223">
        <f t="shared" si="436"/>
        <v>1628.866296880773</v>
      </c>
      <c r="M504" s="223">
        <f t="shared" si="436"/>
        <v>130309.30375046127</v>
      </c>
      <c r="N504" s="223">
        <f t="shared" si="436"/>
        <v>98172.245753424664</v>
      </c>
      <c r="O504" s="223">
        <f t="shared" si="436"/>
        <v>0</v>
      </c>
      <c r="P504" s="223">
        <f t="shared" si="436"/>
        <v>362.96</v>
      </c>
      <c r="Q504" s="223">
        <f t="shared" si="436"/>
        <v>95630.437534246579</v>
      </c>
      <c r="R504" s="223">
        <f t="shared" si="436"/>
        <v>3567672.3350462476</v>
      </c>
      <c r="S504" s="223">
        <f t="shared" si="436"/>
        <v>0</v>
      </c>
      <c r="T504" s="223">
        <f t="shared" si="436"/>
        <v>14400</v>
      </c>
      <c r="U504" s="223">
        <f t="shared" si="436"/>
        <v>5000</v>
      </c>
      <c r="V504" s="223">
        <f t="shared" si="436"/>
        <v>3587072.3350462476</v>
      </c>
      <c r="W504" s="223">
        <f t="shared" si="436"/>
        <v>222398.48477286764</v>
      </c>
      <c r="X504" s="223">
        <f t="shared" si="436"/>
        <v>52012.548858170645</v>
      </c>
      <c r="Y504" s="223">
        <f t="shared" si="436"/>
        <v>538778.26472394611</v>
      </c>
      <c r="Z504" s="223">
        <f t="shared" si="436"/>
        <v>5739.3157360739879</v>
      </c>
      <c r="AA504" s="223">
        <f t="shared" si="436"/>
        <v>2510.9506345323753</v>
      </c>
      <c r="AB504" s="223">
        <f t="shared" si="436"/>
        <v>32495</v>
      </c>
      <c r="AC504" s="223">
        <f t="shared" si="436"/>
        <v>1004566.9199999989</v>
      </c>
      <c r="AD504" s="223">
        <f t="shared" si="436"/>
        <v>10370.61919999999</v>
      </c>
      <c r="AE504" s="178">
        <v>568</v>
      </c>
    </row>
    <row r="505" spans="1:31" x14ac:dyDescent="0.25">
      <c r="A505" s="247"/>
      <c r="B505" s="247"/>
      <c r="C505" s="247"/>
      <c r="D505" s="247"/>
      <c r="E505" s="247"/>
      <c r="F505" s="247"/>
      <c r="G505" s="247"/>
      <c r="H505" s="62"/>
      <c r="I505" s="169"/>
      <c r="J505" s="62">
        <v>3388041.8975120001</v>
      </c>
      <c r="K505" s="69">
        <f>SUM(K405:K501)</f>
        <v>3388041.8975120001</v>
      </c>
      <c r="L505" s="247"/>
      <c r="M505" s="247"/>
      <c r="N505" s="247"/>
      <c r="O505" s="247"/>
      <c r="P505" s="247"/>
      <c r="Q505" s="247"/>
      <c r="R505" s="65"/>
      <c r="S505" s="65"/>
      <c r="T505" s="65"/>
      <c r="U505" s="65"/>
      <c r="V505" s="65"/>
      <c r="W505" s="63">
        <f>W504+X504</f>
        <v>274411.03363103827</v>
      </c>
      <c r="X505" s="65"/>
      <c r="Y505" s="65"/>
      <c r="Z505" s="65"/>
      <c r="AA505" s="65"/>
      <c r="AB505" s="65"/>
      <c r="AC505" s="63">
        <f>SUM(AC504:AD504)</f>
        <v>1014937.5391999988</v>
      </c>
      <c r="AD505" s="65"/>
      <c r="AE505" s="247"/>
    </row>
    <row r="506" spans="1:31" x14ac:dyDescent="0.25">
      <c r="A506" s="247"/>
      <c r="B506" s="247"/>
      <c r="C506" s="247"/>
      <c r="D506" s="247"/>
      <c r="E506" s="247"/>
      <c r="F506" s="247"/>
      <c r="G506" s="247"/>
      <c r="H506" s="247"/>
      <c r="I506" s="251"/>
      <c r="J506" s="247"/>
      <c r="K506" s="247"/>
      <c r="L506" s="247"/>
      <c r="M506" s="247"/>
      <c r="N506" s="247"/>
      <c r="O506" s="247"/>
      <c r="P506" s="247"/>
      <c r="Q506" s="247"/>
      <c r="R506" s="65"/>
      <c r="S506" s="65"/>
      <c r="T506" s="65"/>
      <c r="U506" s="65"/>
      <c r="V506" s="65"/>
      <c r="W506" s="65"/>
      <c r="X506" s="65"/>
      <c r="Y506" s="65"/>
      <c r="Z506" s="65"/>
      <c r="AA506" s="65"/>
      <c r="AB506" s="65"/>
      <c r="AC506" s="65"/>
      <c r="AD506" s="65"/>
      <c r="AE506" s="247"/>
    </row>
    <row r="507" spans="1:31" x14ac:dyDescent="0.25">
      <c r="A507" s="167">
        <v>569</v>
      </c>
      <c r="B507" s="167">
        <v>569001</v>
      </c>
      <c r="C507" s="181" t="s">
        <v>4214</v>
      </c>
      <c r="D507" s="410" t="s">
        <v>4215</v>
      </c>
      <c r="E507" s="168"/>
      <c r="F507" s="58">
        <v>43466</v>
      </c>
      <c r="G507" s="59">
        <f t="shared" ref="G507:G509" si="437">(DATE(2020,12,30)-(F507))/365</f>
        <v>1.9972602739726026</v>
      </c>
      <c r="H507" s="61">
        <v>0</v>
      </c>
      <c r="I507" s="63">
        <v>0</v>
      </c>
      <c r="J507" s="61">
        <v>42284.017499999994</v>
      </c>
      <c r="K507" s="63">
        <v>0</v>
      </c>
      <c r="L507" s="63">
        <f t="shared" ref="L507:L509" si="438">SUM(K507/2080)</f>
        <v>0</v>
      </c>
      <c r="M507" s="63">
        <f t="shared" ref="M507:M509" si="439">SUM(K507/26)</f>
        <v>0</v>
      </c>
      <c r="N507" s="63">
        <f t="shared" ref="N507:N509" si="440">IF(G507&lt;4,0,(G507-1)*$N$7)</f>
        <v>0</v>
      </c>
      <c r="O507" s="65"/>
      <c r="P507" s="65"/>
      <c r="Q507" s="63">
        <f t="shared" ref="Q507:Q509" si="441">IF(N507+P507&gt;5000,5000,N507+P507)</f>
        <v>0</v>
      </c>
      <c r="R507" s="63">
        <f t="shared" ref="R507:R509" si="442">Q507+K507</f>
        <v>0</v>
      </c>
      <c r="S507" s="65"/>
      <c r="T507" s="63">
        <v>0</v>
      </c>
      <c r="U507" s="65"/>
      <c r="V507" s="63">
        <f t="shared" ref="V507:V509" si="443">SUM(R507:U507)</f>
        <v>0</v>
      </c>
      <c r="W507" s="63">
        <f t="shared" ref="W507:W509" si="444">SUM(V507*$W$7)</f>
        <v>0</v>
      </c>
      <c r="X507" s="63">
        <f t="shared" ref="X507:X509" si="445">SUM(V507*$X$7)</f>
        <v>0</v>
      </c>
      <c r="Y507" s="63">
        <f t="shared" ref="Y507:Y509" si="446">SUM(V507*$Y$7)</f>
        <v>0</v>
      </c>
      <c r="Z507" s="63">
        <f t="shared" ref="Z507:Z509" si="447">SUM(V507*$Z$7)</f>
        <v>0</v>
      </c>
      <c r="AA507" s="63">
        <f t="shared" ref="AA507:AA509" si="448">SUM(V507*$AA$7)</f>
        <v>0</v>
      </c>
      <c r="AB507" s="63">
        <v>0</v>
      </c>
      <c r="AC507" s="63">
        <v>0</v>
      </c>
      <c r="AD507" s="63">
        <f t="shared" ref="AD507:AD509" si="449">SUM(AB507+AC507)*$AD$7</f>
        <v>0</v>
      </c>
      <c r="AE507" s="178">
        <v>569</v>
      </c>
    </row>
    <row r="508" spans="1:31" x14ac:dyDescent="0.25">
      <c r="A508" s="167">
        <v>569</v>
      </c>
      <c r="B508" s="167">
        <v>569002</v>
      </c>
      <c r="C508" s="181" t="s">
        <v>4216</v>
      </c>
      <c r="D508" s="192" t="s">
        <v>3003</v>
      </c>
      <c r="E508" s="168" t="s">
        <v>3296</v>
      </c>
      <c r="F508" s="58">
        <v>42100</v>
      </c>
      <c r="G508" s="59">
        <f t="shared" si="437"/>
        <v>5.7397260273972606</v>
      </c>
      <c r="H508" s="61">
        <v>0</v>
      </c>
      <c r="I508" s="63">
        <v>42284.02</v>
      </c>
      <c r="J508" s="61">
        <v>42284.017499999994</v>
      </c>
      <c r="K508" s="63">
        <f t="shared" ref="K508:K509" si="450">SUM(((J508*$K$3)+$K$2)+J508)</f>
        <v>42284.017499999994</v>
      </c>
      <c r="L508" s="63">
        <f t="shared" si="438"/>
        <v>20.32885456730769</v>
      </c>
      <c r="M508" s="63">
        <f t="shared" si="439"/>
        <v>1626.3083653846152</v>
      </c>
      <c r="N508" s="63">
        <f t="shared" si="440"/>
        <v>1251.2876712328768</v>
      </c>
      <c r="O508" s="65"/>
      <c r="P508" s="65"/>
      <c r="Q508" s="63">
        <f t="shared" si="441"/>
        <v>1251.2876712328768</v>
      </c>
      <c r="R508" s="63">
        <f t="shared" si="442"/>
        <v>43535.305171232874</v>
      </c>
      <c r="S508" s="65"/>
      <c r="T508" s="63">
        <v>1200</v>
      </c>
      <c r="U508" s="65"/>
      <c r="V508" s="63">
        <f t="shared" si="443"/>
        <v>44735.305171232874</v>
      </c>
      <c r="W508" s="63">
        <f t="shared" si="444"/>
        <v>2773.5889206164384</v>
      </c>
      <c r="X508" s="63">
        <f t="shared" si="445"/>
        <v>648.66192498287671</v>
      </c>
      <c r="Y508" s="63">
        <f t="shared" si="446"/>
        <v>6719.2428367191778</v>
      </c>
      <c r="Z508" s="63">
        <f t="shared" si="447"/>
        <v>71.5764882739726</v>
      </c>
      <c r="AA508" s="63">
        <f t="shared" si="448"/>
        <v>31.31471361986301</v>
      </c>
      <c r="AB508" s="63">
        <f t="shared" ref="AB508:AB509" si="451">SUM($AB$7)</f>
        <v>335</v>
      </c>
      <c r="AC508" s="63">
        <f t="shared" ref="AC508:AC509" si="452">$AC$7</f>
        <v>10356.36</v>
      </c>
      <c r="AD508" s="63">
        <f t="shared" si="449"/>
        <v>106.9136</v>
      </c>
      <c r="AE508" s="178">
        <v>569</v>
      </c>
    </row>
    <row r="509" spans="1:31" x14ac:dyDescent="0.25">
      <c r="A509" s="167">
        <v>569</v>
      </c>
      <c r="B509" s="167">
        <v>569003</v>
      </c>
      <c r="C509" s="181" t="s">
        <v>4217</v>
      </c>
      <c r="D509" s="168" t="s">
        <v>3834</v>
      </c>
      <c r="E509" s="168" t="s">
        <v>3835</v>
      </c>
      <c r="F509" s="58">
        <v>41218</v>
      </c>
      <c r="G509" s="59">
        <f t="shared" si="437"/>
        <v>8.1561643835616433</v>
      </c>
      <c r="H509" s="61">
        <v>0</v>
      </c>
      <c r="I509" s="63">
        <v>42284.02</v>
      </c>
      <c r="J509" s="61">
        <v>42284.017499999994</v>
      </c>
      <c r="K509" s="63">
        <f t="shared" si="450"/>
        <v>42284.017499999994</v>
      </c>
      <c r="L509" s="63">
        <f t="shared" si="438"/>
        <v>20.32885456730769</v>
      </c>
      <c r="M509" s="63">
        <f t="shared" si="439"/>
        <v>1626.3083653846152</v>
      </c>
      <c r="N509" s="63">
        <f t="shared" si="440"/>
        <v>1889.2273972602738</v>
      </c>
      <c r="O509" s="65"/>
      <c r="P509" s="65"/>
      <c r="Q509" s="63">
        <f t="shared" si="441"/>
        <v>1889.2273972602738</v>
      </c>
      <c r="R509" s="63">
        <f t="shared" si="442"/>
        <v>44173.244897260265</v>
      </c>
      <c r="S509" s="65"/>
      <c r="T509" s="63">
        <v>1200</v>
      </c>
      <c r="U509" s="65">
        <v>500</v>
      </c>
      <c r="V509" s="63">
        <f t="shared" si="443"/>
        <v>45873.244897260265</v>
      </c>
      <c r="W509" s="63">
        <f t="shared" si="444"/>
        <v>2844.1411836301363</v>
      </c>
      <c r="X509" s="63">
        <f t="shared" si="445"/>
        <v>665.1620510102739</v>
      </c>
      <c r="Y509" s="63">
        <f t="shared" si="446"/>
        <v>6890.1613835684921</v>
      </c>
      <c r="Z509" s="63">
        <f t="shared" si="447"/>
        <v>73.397191835616425</v>
      </c>
      <c r="AA509" s="63">
        <f t="shared" si="448"/>
        <v>32.111271428082183</v>
      </c>
      <c r="AB509" s="63">
        <f t="shared" si="451"/>
        <v>335</v>
      </c>
      <c r="AC509" s="63">
        <f t="shared" si="452"/>
        <v>10356.36</v>
      </c>
      <c r="AD509" s="63">
        <f t="shared" si="449"/>
        <v>106.9136</v>
      </c>
      <c r="AE509" s="178">
        <v>569</v>
      </c>
    </row>
    <row r="510" spans="1:31" x14ac:dyDescent="0.25">
      <c r="A510" s="247"/>
      <c r="B510" s="247"/>
      <c r="C510" s="247"/>
      <c r="D510" s="247"/>
      <c r="E510" s="247"/>
      <c r="F510" s="247"/>
      <c r="G510" s="247"/>
      <c r="H510" s="223">
        <f>SUM(H507:H509)</f>
        <v>0</v>
      </c>
      <c r="I510" s="401"/>
      <c r="J510" s="223">
        <v>126852.05249999999</v>
      </c>
      <c r="K510" s="223">
        <f t="shared" ref="K510:AD510" si="453">SUM(K507:K509)</f>
        <v>84568.034999999989</v>
      </c>
      <c r="L510" s="223">
        <f t="shared" si="453"/>
        <v>40.657709134615381</v>
      </c>
      <c r="M510" s="223">
        <f t="shared" si="453"/>
        <v>3252.6167307692303</v>
      </c>
      <c r="N510" s="223">
        <f t="shared" si="453"/>
        <v>3140.5150684931505</v>
      </c>
      <c r="O510" s="223">
        <f t="shared" si="453"/>
        <v>0</v>
      </c>
      <c r="P510" s="223">
        <f t="shared" si="453"/>
        <v>0</v>
      </c>
      <c r="Q510" s="223">
        <f t="shared" si="453"/>
        <v>3140.5150684931505</v>
      </c>
      <c r="R510" s="223">
        <f t="shared" si="453"/>
        <v>87708.550068493147</v>
      </c>
      <c r="S510" s="223">
        <f t="shared" si="453"/>
        <v>0</v>
      </c>
      <c r="T510" s="223">
        <f t="shared" si="453"/>
        <v>2400</v>
      </c>
      <c r="U510" s="223">
        <f t="shared" si="453"/>
        <v>500</v>
      </c>
      <c r="V510" s="223">
        <f t="shared" si="453"/>
        <v>90608.550068493147</v>
      </c>
      <c r="W510" s="223">
        <f t="shared" si="453"/>
        <v>5617.7301042465751</v>
      </c>
      <c r="X510" s="223">
        <f t="shared" si="453"/>
        <v>1313.8239759931507</v>
      </c>
      <c r="Y510" s="223">
        <f t="shared" si="453"/>
        <v>13609.40422028767</v>
      </c>
      <c r="Z510" s="223">
        <f t="shared" si="453"/>
        <v>144.97368010958903</v>
      </c>
      <c r="AA510" s="223">
        <f t="shared" si="453"/>
        <v>63.42598504794519</v>
      </c>
      <c r="AB510" s="223">
        <f t="shared" si="453"/>
        <v>670</v>
      </c>
      <c r="AC510" s="223">
        <f t="shared" si="453"/>
        <v>20712.72</v>
      </c>
      <c r="AD510" s="223">
        <f t="shared" si="453"/>
        <v>213.8272</v>
      </c>
      <c r="AE510" s="178">
        <v>569</v>
      </c>
    </row>
    <row r="511" spans="1:31" x14ac:dyDescent="0.25">
      <c r="A511" s="247"/>
      <c r="B511" s="247"/>
      <c r="C511" s="247"/>
      <c r="D511" s="247"/>
      <c r="E511" s="247"/>
      <c r="F511" s="247"/>
      <c r="G511" s="247"/>
      <c r="H511" s="247"/>
      <c r="I511" s="251"/>
      <c r="J511" s="247"/>
      <c r="K511" s="247"/>
      <c r="L511" s="247"/>
      <c r="M511" s="247"/>
      <c r="N511" s="247"/>
      <c r="O511" s="247"/>
      <c r="P511" s="247"/>
      <c r="Q511" s="247"/>
      <c r="R511" s="65"/>
      <c r="S511" s="65"/>
      <c r="T511" s="65"/>
      <c r="U511" s="65"/>
      <c r="V511" s="65"/>
      <c r="W511" s="69">
        <f>SUM(W510:X510)</f>
        <v>6931.5540802397263</v>
      </c>
      <c r="X511" s="65"/>
      <c r="Y511" s="65"/>
      <c r="Z511" s="65"/>
      <c r="AA511" s="65"/>
      <c r="AB511" s="65"/>
      <c r="AC511" s="65">
        <f>SUM(AC510:AD510)</f>
        <v>20926.547200000001</v>
      </c>
      <c r="AD511" s="65"/>
      <c r="AE511" s="247"/>
    </row>
    <row r="512" spans="1:31" x14ac:dyDescent="0.25">
      <c r="A512" s="247"/>
      <c r="B512" s="247"/>
      <c r="C512" s="247"/>
      <c r="D512" s="247"/>
      <c r="E512" s="247"/>
      <c r="F512" s="247"/>
      <c r="G512" s="247"/>
      <c r="H512" s="247"/>
      <c r="I512" s="251"/>
      <c r="J512" s="247"/>
      <c r="K512" s="247"/>
      <c r="L512" s="247"/>
      <c r="M512" s="247"/>
      <c r="N512" s="247"/>
      <c r="O512" s="247"/>
      <c r="P512" s="247"/>
      <c r="Q512" s="247"/>
      <c r="R512" s="65"/>
      <c r="S512" s="65"/>
      <c r="T512" s="65"/>
      <c r="U512" s="65"/>
      <c r="V512" s="65"/>
      <c r="W512" s="65"/>
      <c r="X512" s="65"/>
      <c r="Y512" s="65"/>
      <c r="Z512" s="65"/>
      <c r="AA512" s="65"/>
      <c r="AB512" s="65"/>
      <c r="AC512" s="65"/>
      <c r="AD512" s="65"/>
      <c r="AE512" s="247"/>
    </row>
    <row r="513" spans="1:31" x14ac:dyDescent="0.25">
      <c r="A513" s="167">
        <v>570</v>
      </c>
      <c r="B513" s="167">
        <v>570001</v>
      </c>
      <c r="C513" s="168" t="s">
        <v>3298</v>
      </c>
      <c r="D513" s="181" t="s">
        <v>2791</v>
      </c>
      <c r="E513" s="181" t="s">
        <v>3299</v>
      </c>
      <c r="F513" s="58">
        <v>39331</v>
      </c>
      <c r="G513" s="59">
        <f t="shared" ref="G513:G519" si="454">(DATE(2020,12,30)-(F513))/365</f>
        <v>13.326027397260274</v>
      </c>
      <c r="H513" s="61">
        <v>56912.174719999995</v>
      </c>
      <c r="I513" s="63">
        <v>58334.98</v>
      </c>
      <c r="J513" s="61">
        <v>58334.979087999993</v>
      </c>
      <c r="K513" s="63">
        <f t="shared" ref="K513:K519" si="455">SUM(((J513*$K$3)+$K$2)+J513)</f>
        <v>58334.979087999993</v>
      </c>
      <c r="L513" s="63">
        <f t="shared" ref="L513:L519" si="456">SUM(K513/2080)</f>
        <v>28.045663023076919</v>
      </c>
      <c r="M513" s="63">
        <f t="shared" ref="M513:M519" si="457">SUM(K513/26)</f>
        <v>2243.6530418461534</v>
      </c>
      <c r="N513" s="63">
        <f t="shared" ref="N513:N519" si="458">IF(G513&lt;4,0,(G513-1)*$N$7)</f>
        <v>3254.0712328767122</v>
      </c>
      <c r="O513" s="65"/>
      <c r="P513" s="65"/>
      <c r="Q513" s="63">
        <f t="shared" ref="Q513:Q519" si="459">IF(N513+P513&gt;5000,5000,N513+P513)</f>
        <v>3254.0712328767122</v>
      </c>
      <c r="R513" s="63">
        <f t="shared" ref="R513:R519" si="460">Q513+K513</f>
        <v>61589.050320876704</v>
      </c>
      <c r="S513" s="65"/>
      <c r="T513" s="65"/>
      <c r="U513" s="65"/>
      <c r="V513" s="63">
        <f t="shared" ref="V513:V519" si="461">SUM(R513:U513)</f>
        <v>61589.050320876704</v>
      </c>
      <c r="W513" s="63">
        <f t="shared" ref="W513:W519" si="462">SUM(V513*$W$7)</f>
        <v>3818.5211198943557</v>
      </c>
      <c r="X513" s="63">
        <f t="shared" ref="X513:X519" si="463">SUM(V513*$X$7)</f>
        <v>893.04122965271222</v>
      </c>
      <c r="Y513" s="63">
        <f t="shared" ref="Y513:Y519" si="464">SUM(V513*$Y$7)</f>
        <v>9250.6753581956818</v>
      </c>
      <c r="Z513" s="63">
        <f t="shared" ref="Z513:Z519" si="465">SUM(V513*$Z$7)</f>
        <v>98.542480513402737</v>
      </c>
      <c r="AA513" s="63">
        <f t="shared" ref="AA513:AA519" si="466">SUM(V513*$AA$7)</f>
        <v>43.112335224613695</v>
      </c>
      <c r="AB513" s="63">
        <f t="shared" ref="AB513:AB519" si="467">SUM($AB$7)</f>
        <v>335</v>
      </c>
      <c r="AC513" s="63">
        <f t="shared" ref="AC513:AC519" si="468">$AC$7</f>
        <v>10356.36</v>
      </c>
      <c r="AD513" s="63">
        <f t="shared" ref="AD513:AD519" si="469">SUM(AB513+AC513)*$AD$7</f>
        <v>106.9136</v>
      </c>
      <c r="AE513" s="247" t="s">
        <v>3837</v>
      </c>
    </row>
    <row r="514" spans="1:31" x14ac:dyDescent="0.25">
      <c r="A514" s="167">
        <v>570</v>
      </c>
      <c r="B514" s="167">
        <v>570002</v>
      </c>
      <c r="C514" s="168" t="s">
        <v>4218</v>
      </c>
      <c r="D514" s="181" t="s">
        <v>3302</v>
      </c>
      <c r="E514" s="181" t="s">
        <v>3303</v>
      </c>
      <c r="F514" s="58">
        <v>43732</v>
      </c>
      <c r="G514" s="59">
        <f t="shared" si="454"/>
        <v>1.2684931506849315</v>
      </c>
      <c r="H514" s="61">
        <v>45461.651519999999</v>
      </c>
      <c r="I514" s="57">
        <v>50000</v>
      </c>
      <c r="J514" s="61">
        <v>50000</v>
      </c>
      <c r="K514" s="63">
        <f t="shared" si="455"/>
        <v>50000</v>
      </c>
      <c r="L514" s="63">
        <f t="shared" si="456"/>
        <v>24.03846153846154</v>
      </c>
      <c r="M514" s="63">
        <f t="shared" si="457"/>
        <v>1923.0769230769231</v>
      </c>
      <c r="N514" s="63">
        <f t="shared" si="458"/>
        <v>0</v>
      </c>
      <c r="O514" s="65"/>
      <c r="P514" s="65"/>
      <c r="Q514" s="63">
        <f t="shared" si="459"/>
        <v>0</v>
      </c>
      <c r="R514" s="63">
        <f t="shared" si="460"/>
        <v>50000</v>
      </c>
      <c r="S514" s="65"/>
      <c r="T514" s="65"/>
      <c r="U514" s="65"/>
      <c r="V514" s="63">
        <f t="shared" si="461"/>
        <v>50000</v>
      </c>
      <c r="W514" s="63">
        <f t="shared" si="462"/>
        <v>3100</v>
      </c>
      <c r="X514" s="63">
        <f t="shared" si="463"/>
        <v>725</v>
      </c>
      <c r="Y514" s="63">
        <f t="shared" si="464"/>
        <v>7510</v>
      </c>
      <c r="Z514" s="63">
        <f t="shared" si="465"/>
        <v>80</v>
      </c>
      <c r="AA514" s="63">
        <f t="shared" si="466"/>
        <v>35</v>
      </c>
      <c r="AB514" s="63">
        <f t="shared" si="467"/>
        <v>335</v>
      </c>
      <c r="AC514" s="63">
        <f t="shared" si="468"/>
        <v>10356.36</v>
      </c>
      <c r="AD514" s="63">
        <f t="shared" si="469"/>
        <v>106.9136</v>
      </c>
      <c r="AE514" s="247" t="s">
        <v>3837</v>
      </c>
    </row>
    <row r="515" spans="1:31" x14ac:dyDescent="0.25">
      <c r="A515" s="167">
        <v>570</v>
      </c>
      <c r="B515" s="167">
        <v>570003</v>
      </c>
      <c r="C515" s="168" t="s">
        <v>4219</v>
      </c>
      <c r="D515" s="168" t="s">
        <v>3838</v>
      </c>
      <c r="E515" s="168" t="s">
        <v>3839</v>
      </c>
      <c r="F515" s="58">
        <v>43437</v>
      </c>
      <c r="G515" s="59">
        <f t="shared" si="454"/>
        <v>2.0767123287671234</v>
      </c>
      <c r="H515" s="61">
        <v>39351.061760000004</v>
      </c>
      <c r="I515" s="411">
        <v>37820</v>
      </c>
      <c r="J515" s="61">
        <v>40334.838304000004</v>
      </c>
      <c r="K515" s="63">
        <f t="shared" si="455"/>
        <v>40334.838304000004</v>
      </c>
      <c r="L515" s="63">
        <f t="shared" si="456"/>
        <v>19.391749184615385</v>
      </c>
      <c r="M515" s="63">
        <f t="shared" si="457"/>
        <v>1551.3399347692309</v>
      </c>
      <c r="N515" s="63">
        <f t="shared" si="458"/>
        <v>0</v>
      </c>
      <c r="O515" s="65"/>
      <c r="P515" s="65"/>
      <c r="Q515" s="63">
        <f t="shared" si="459"/>
        <v>0</v>
      </c>
      <c r="R515" s="63">
        <f t="shared" si="460"/>
        <v>40334.838304000004</v>
      </c>
      <c r="S515" s="65"/>
      <c r="T515" s="65"/>
      <c r="U515" s="65"/>
      <c r="V515" s="63">
        <f t="shared" si="461"/>
        <v>40334.838304000004</v>
      </c>
      <c r="W515" s="63">
        <f t="shared" si="462"/>
        <v>2500.7599748480002</v>
      </c>
      <c r="X515" s="63">
        <f t="shared" si="463"/>
        <v>584.85515540800009</v>
      </c>
      <c r="Y515" s="63">
        <f t="shared" si="464"/>
        <v>6058.2927132608011</v>
      </c>
      <c r="Z515" s="63">
        <f t="shared" si="465"/>
        <v>64.535741286400011</v>
      </c>
      <c r="AA515" s="63">
        <f t="shared" si="466"/>
        <v>28.234386812800004</v>
      </c>
      <c r="AB515" s="63">
        <f t="shared" si="467"/>
        <v>335</v>
      </c>
      <c r="AC515" s="63">
        <f t="shared" si="468"/>
        <v>10356.36</v>
      </c>
      <c r="AD515" s="63">
        <f t="shared" si="469"/>
        <v>106.9136</v>
      </c>
      <c r="AE515" s="247" t="s">
        <v>3837</v>
      </c>
    </row>
    <row r="516" spans="1:31" x14ac:dyDescent="0.25">
      <c r="A516" s="167">
        <v>570</v>
      </c>
      <c r="B516" s="167">
        <v>570004</v>
      </c>
      <c r="C516" s="168" t="s">
        <v>4220</v>
      </c>
      <c r="D516" s="271" t="s">
        <v>2805</v>
      </c>
      <c r="E516" s="271" t="s">
        <v>2806</v>
      </c>
      <c r="F516" s="403">
        <v>43831</v>
      </c>
      <c r="G516" s="59">
        <f t="shared" si="454"/>
        <v>0.99726027397260275</v>
      </c>
      <c r="H516" s="61">
        <v>37820.213920000002</v>
      </c>
      <c r="I516" s="63">
        <v>38765.72</v>
      </c>
      <c r="J516" s="61">
        <v>38765.719268000001</v>
      </c>
      <c r="K516" s="63">
        <f t="shared" si="455"/>
        <v>38765.719268000001</v>
      </c>
      <c r="L516" s="63">
        <f t="shared" si="456"/>
        <v>18.637365032692308</v>
      </c>
      <c r="M516" s="63">
        <f t="shared" si="457"/>
        <v>1490.9892026153846</v>
      </c>
      <c r="N516" s="63">
        <f t="shared" si="458"/>
        <v>0</v>
      </c>
      <c r="O516" s="65"/>
      <c r="P516" s="65"/>
      <c r="Q516" s="63">
        <f t="shared" si="459"/>
        <v>0</v>
      </c>
      <c r="R516" s="63">
        <f t="shared" si="460"/>
        <v>38765.719268000001</v>
      </c>
      <c r="S516" s="65"/>
      <c r="T516" s="65"/>
      <c r="U516" s="65"/>
      <c r="V516" s="63">
        <f t="shared" si="461"/>
        <v>38765.719268000001</v>
      </c>
      <c r="W516" s="63">
        <f t="shared" si="462"/>
        <v>2403.4745946160001</v>
      </c>
      <c r="X516" s="63">
        <f t="shared" si="463"/>
        <v>562.10292938600003</v>
      </c>
      <c r="Y516" s="63">
        <f t="shared" si="464"/>
        <v>5822.6110340535997</v>
      </c>
      <c r="Z516" s="63">
        <f t="shared" si="465"/>
        <v>62.025150828800001</v>
      </c>
      <c r="AA516" s="63">
        <f t="shared" si="466"/>
        <v>27.1360034876</v>
      </c>
      <c r="AB516" s="63">
        <f t="shared" si="467"/>
        <v>335</v>
      </c>
      <c r="AC516" s="63">
        <f t="shared" si="468"/>
        <v>10356.36</v>
      </c>
      <c r="AD516" s="63">
        <f t="shared" si="469"/>
        <v>106.9136</v>
      </c>
      <c r="AE516" s="247" t="s">
        <v>3837</v>
      </c>
    </row>
    <row r="517" spans="1:31" x14ac:dyDescent="0.25">
      <c r="A517" s="167">
        <v>570</v>
      </c>
      <c r="B517" s="167">
        <v>570005</v>
      </c>
      <c r="C517" s="168" t="s">
        <v>4221</v>
      </c>
      <c r="D517" s="168" t="s">
        <v>3093</v>
      </c>
      <c r="E517" s="168" t="s">
        <v>3306</v>
      </c>
      <c r="F517" s="58">
        <v>43439</v>
      </c>
      <c r="G517" s="59">
        <f t="shared" si="454"/>
        <v>2.0712328767123287</v>
      </c>
      <c r="H517" s="61">
        <v>45319.360719999997</v>
      </c>
      <c r="I517" s="411">
        <v>39020</v>
      </c>
      <c r="J517" s="61">
        <v>43140.53</v>
      </c>
      <c r="K517" s="63">
        <f t="shared" si="455"/>
        <v>43140.53</v>
      </c>
      <c r="L517" s="63">
        <f t="shared" si="456"/>
        <v>20.740639423076921</v>
      </c>
      <c r="M517" s="63">
        <f t="shared" si="457"/>
        <v>1659.2511538461538</v>
      </c>
      <c r="N517" s="63">
        <f t="shared" si="458"/>
        <v>0</v>
      </c>
      <c r="O517" s="65"/>
      <c r="P517" s="65"/>
      <c r="Q517" s="63">
        <f t="shared" si="459"/>
        <v>0</v>
      </c>
      <c r="R517" s="63">
        <f t="shared" si="460"/>
        <v>43140.53</v>
      </c>
      <c r="S517" s="65"/>
      <c r="T517" s="65"/>
      <c r="U517" s="65"/>
      <c r="V517" s="63">
        <f t="shared" si="461"/>
        <v>43140.53</v>
      </c>
      <c r="W517" s="63">
        <f t="shared" si="462"/>
        <v>2674.7128600000001</v>
      </c>
      <c r="X517" s="63">
        <f t="shared" si="463"/>
        <v>625.53768500000001</v>
      </c>
      <c r="Y517" s="63">
        <f t="shared" si="464"/>
        <v>6479.7076059999999</v>
      </c>
      <c r="Z517" s="63">
        <f t="shared" si="465"/>
        <v>69.024848000000006</v>
      </c>
      <c r="AA517" s="63">
        <f t="shared" si="466"/>
        <v>30.198370999999998</v>
      </c>
      <c r="AB517" s="63">
        <f t="shared" si="467"/>
        <v>335</v>
      </c>
      <c r="AC517" s="63">
        <f t="shared" si="468"/>
        <v>10356.36</v>
      </c>
      <c r="AD517" s="63">
        <f t="shared" si="469"/>
        <v>106.9136</v>
      </c>
      <c r="AE517" s="247" t="s">
        <v>3837</v>
      </c>
    </row>
    <row r="518" spans="1:31" x14ac:dyDescent="0.25">
      <c r="A518" s="167">
        <v>570</v>
      </c>
      <c r="B518" s="167">
        <v>570006</v>
      </c>
      <c r="C518" s="168" t="s">
        <v>4222</v>
      </c>
      <c r="D518" s="271" t="s">
        <v>2805</v>
      </c>
      <c r="E518" s="271" t="s">
        <v>2806</v>
      </c>
      <c r="F518" s="403">
        <v>43831</v>
      </c>
      <c r="G518" s="59">
        <f t="shared" si="454"/>
        <v>0.99726027397260275</v>
      </c>
      <c r="H518" s="61">
        <v>41118.444560000004</v>
      </c>
      <c r="I518" s="63">
        <v>42146.41</v>
      </c>
      <c r="J518" s="61">
        <v>42146.405674000001</v>
      </c>
      <c r="K518" s="63">
        <f t="shared" si="455"/>
        <v>42146.405674000001</v>
      </c>
      <c r="L518" s="63">
        <f t="shared" si="456"/>
        <v>20.262695035576925</v>
      </c>
      <c r="M518" s="63">
        <f t="shared" si="457"/>
        <v>1621.0156028461538</v>
      </c>
      <c r="N518" s="63">
        <f t="shared" si="458"/>
        <v>0</v>
      </c>
      <c r="O518" s="65"/>
      <c r="P518" s="65"/>
      <c r="Q518" s="63">
        <f t="shared" si="459"/>
        <v>0</v>
      </c>
      <c r="R518" s="63">
        <f t="shared" si="460"/>
        <v>42146.405674000001</v>
      </c>
      <c r="S518" s="65"/>
      <c r="T518" s="65"/>
      <c r="U518" s="65"/>
      <c r="V518" s="63">
        <f t="shared" si="461"/>
        <v>42146.405674000001</v>
      </c>
      <c r="W518" s="63">
        <f t="shared" si="462"/>
        <v>2613.0771517880003</v>
      </c>
      <c r="X518" s="63">
        <f t="shared" si="463"/>
        <v>611.12288227300007</v>
      </c>
      <c r="Y518" s="63">
        <f t="shared" si="464"/>
        <v>6330.3901322348001</v>
      </c>
      <c r="Z518" s="63">
        <f t="shared" si="465"/>
        <v>67.434249078400001</v>
      </c>
      <c r="AA518" s="63">
        <f t="shared" si="466"/>
        <v>29.5024839718</v>
      </c>
      <c r="AB518" s="63">
        <f t="shared" si="467"/>
        <v>335</v>
      </c>
      <c r="AC518" s="63">
        <f t="shared" si="468"/>
        <v>10356.36</v>
      </c>
      <c r="AD518" s="63">
        <f t="shared" si="469"/>
        <v>106.9136</v>
      </c>
      <c r="AE518" s="247" t="s">
        <v>3837</v>
      </c>
    </row>
    <row r="519" spans="1:31" x14ac:dyDescent="0.25">
      <c r="A519" s="167">
        <v>570</v>
      </c>
      <c r="B519" s="167">
        <v>570007</v>
      </c>
      <c r="C519" s="168" t="s">
        <v>4223</v>
      </c>
      <c r="D519" s="181" t="s">
        <v>4224</v>
      </c>
      <c r="E519" s="181" t="s">
        <v>3312</v>
      </c>
      <c r="F519" s="58">
        <v>42415</v>
      </c>
      <c r="G519" s="59">
        <f t="shared" si="454"/>
        <v>4.8767123287671232</v>
      </c>
      <c r="H519" s="132">
        <v>34862.536319999999</v>
      </c>
      <c r="I519" s="172">
        <v>35700</v>
      </c>
      <c r="J519" s="132">
        <v>35734.099728000001</v>
      </c>
      <c r="K519" s="172">
        <f t="shared" si="455"/>
        <v>35734.099728000001</v>
      </c>
      <c r="L519" s="172">
        <f t="shared" si="456"/>
        <v>17.17985563846154</v>
      </c>
      <c r="M519" s="172">
        <f t="shared" si="457"/>
        <v>1374.388451076923</v>
      </c>
      <c r="N519" s="172">
        <f t="shared" si="458"/>
        <v>1023.4520547945206</v>
      </c>
      <c r="O519" s="314"/>
      <c r="P519" s="314"/>
      <c r="Q519" s="172">
        <f t="shared" si="459"/>
        <v>1023.4520547945206</v>
      </c>
      <c r="R519" s="172">
        <f t="shared" si="460"/>
        <v>36757.551782794522</v>
      </c>
      <c r="S519" s="314"/>
      <c r="T519" s="314"/>
      <c r="U519" s="314"/>
      <c r="V519" s="172">
        <f t="shared" si="461"/>
        <v>36757.551782794522</v>
      </c>
      <c r="W519" s="172">
        <f t="shared" si="462"/>
        <v>2278.9682105332604</v>
      </c>
      <c r="X519" s="172">
        <f t="shared" si="463"/>
        <v>532.98450085052059</v>
      </c>
      <c r="Y519" s="172">
        <f t="shared" si="464"/>
        <v>5520.9842777757376</v>
      </c>
      <c r="Z519" s="172">
        <f t="shared" si="465"/>
        <v>58.812082852471235</v>
      </c>
      <c r="AA519" s="172">
        <f t="shared" si="466"/>
        <v>25.730286247956165</v>
      </c>
      <c r="AB519" s="172">
        <f t="shared" si="467"/>
        <v>335</v>
      </c>
      <c r="AC519" s="172">
        <f t="shared" si="468"/>
        <v>10356.36</v>
      </c>
      <c r="AD519" s="172">
        <f t="shared" si="469"/>
        <v>106.9136</v>
      </c>
      <c r="AE519" s="247" t="s">
        <v>3837</v>
      </c>
    </row>
    <row r="520" spans="1:31" x14ac:dyDescent="0.25">
      <c r="A520" s="167">
        <v>570</v>
      </c>
      <c r="B520" s="247"/>
      <c r="C520" s="247"/>
      <c r="D520" s="247"/>
      <c r="E520" s="247"/>
      <c r="F520" s="247"/>
      <c r="G520" s="167" t="s">
        <v>2422</v>
      </c>
      <c r="H520" s="223">
        <v>300845.44352000003</v>
      </c>
      <c r="I520" s="401"/>
      <c r="J520" s="223">
        <v>308366.579608</v>
      </c>
      <c r="K520" s="223">
        <f t="shared" ref="K520:V520" si="470">SUM(K512:K519)</f>
        <v>308456.57206199999</v>
      </c>
      <c r="L520" s="223">
        <f t="shared" si="470"/>
        <v>148.29642887596154</v>
      </c>
      <c r="M520" s="223">
        <f t="shared" si="470"/>
        <v>11863.714310076921</v>
      </c>
      <c r="N520" s="223">
        <f t="shared" si="470"/>
        <v>4277.5232876712325</v>
      </c>
      <c r="O520" s="223">
        <f t="shared" si="470"/>
        <v>0</v>
      </c>
      <c r="P520" s="223">
        <f t="shared" si="470"/>
        <v>0</v>
      </c>
      <c r="Q520" s="223">
        <f t="shared" si="470"/>
        <v>4277.5232876712325</v>
      </c>
      <c r="R520" s="223">
        <f t="shared" si="470"/>
        <v>312734.09534967126</v>
      </c>
      <c r="S520" s="223">
        <f t="shared" si="470"/>
        <v>0</v>
      </c>
      <c r="T520" s="223">
        <f t="shared" si="470"/>
        <v>0</v>
      </c>
      <c r="U520" s="223">
        <f t="shared" si="470"/>
        <v>0</v>
      </c>
      <c r="V520" s="223">
        <f t="shared" si="470"/>
        <v>312734.09534967126</v>
      </c>
      <c r="W520" s="223">
        <f>(SUM(W512:W519)-13572)</f>
        <v>5817.5139116796199</v>
      </c>
      <c r="X520" s="223">
        <f t="shared" ref="X520:AD520" si="471">SUM(X512:X519)</f>
        <v>4534.6443825702336</v>
      </c>
      <c r="Y520" s="223">
        <f t="shared" si="471"/>
        <v>46972.661121520621</v>
      </c>
      <c r="Z520" s="223">
        <f t="shared" si="471"/>
        <v>500.37455255947401</v>
      </c>
      <c r="AA520" s="223">
        <f t="shared" si="471"/>
        <v>218.91386674476988</v>
      </c>
      <c r="AB520" s="223">
        <f t="shared" si="471"/>
        <v>2345</v>
      </c>
      <c r="AC520" s="223">
        <f t="shared" si="471"/>
        <v>72494.52</v>
      </c>
      <c r="AD520" s="223">
        <f t="shared" si="471"/>
        <v>748.39519999999993</v>
      </c>
      <c r="AE520" s="247" t="s">
        <v>3837</v>
      </c>
    </row>
    <row r="521" spans="1:31" x14ac:dyDescent="0.25">
      <c r="A521" s="247"/>
      <c r="B521" s="247"/>
      <c r="C521" s="247"/>
      <c r="D521" s="247"/>
      <c r="E521" s="247"/>
      <c r="F521" s="247"/>
      <c r="G521" s="247"/>
      <c r="H521" s="178">
        <v>123439.44352000003</v>
      </c>
      <c r="I521" s="251"/>
      <c r="J521" s="178">
        <v>130960.579608</v>
      </c>
      <c r="K521" s="100">
        <f>SUM(K520-177406)</f>
        <v>131050.57206199999</v>
      </c>
      <c r="L521" s="247"/>
      <c r="M521" s="247"/>
      <c r="N521" s="247"/>
      <c r="O521" s="247"/>
      <c r="P521" s="247"/>
      <c r="Q521" s="167">
        <v>0</v>
      </c>
      <c r="R521" s="65"/>
      <c r="S521" s="65"/>
      <c r="T521" s="65"/>
      <c r="U521" s="65"/>
      <c r="V521" s="65"/>
      <c r="W521" s="63">
        <f>SUM(W520:X520)</f>
        <v>10352.158294249853</v>
      </c>
      <c r="X521" s="65"/>
      <c r="Y521" s="69">
        <f>SUM(Y520-12454)</f>
        <v>34518.661121520621</v>
      </c>
      <c r="Z521" s="65"/>
      <c r="AA521" s="65"/>
      <c r="AB521" s="65"/>
      <c r="AC521" s="69">
        <f>SUM(AC520+AD520-4538)</f>
        <v>68704.915200000003</v>
      </c>
      <c r="AD521" s="65"/>
      <c r="AE521" s="247"/>
    </row>
    <row r="522" spans="1:31" x14ac:dyDescent="0.25">
      <c r="A522" s="247"/>
      <c r="B522" s="247"/>
      <c r="C522" s="247"/>
      <c r="D522" s="247"/>
      <c r="E522" s="247"/>
      <c r="F522" s="247"/>
      <c r="G522" s="247"/>
      <c r="H522" s="247"/>
      <c r="I522" s="412" t="s">
        <v>4225</v>
      </c>
      <c r="J522" s="247"/>
      <c r="K522" s="247"/>
      <c r="L522" s="247"/>
      <c r="M522" s="247"/>
      <c r="N522" s="247"/>
      <c r="O522" s="247"/>
      <c r="P522" s="247"/>
      <c r="Q522" s="247"/>
      <c r="R522" s="65"/>
      <c r="S522" s="65"/>
      <c r="T522" s="65"/>
      <c r="U522" s="65"/>
      <c r="V522" s="65"/>
      <c r="W522" s="65"/>
      <c r="X522" s="65"/>
      <c r="Y522" s="65"/>
      <c r="Z522" s="65"/>
      <c r="AA522" s="65"/>
      <c r="AB522" s="65"/>
      <c r="AC522" s="65"/>
      <c r="AD522" s="65"/>
      <c r="AE522" s="247"/>
    </row>
    <row r="523" spans="1:31" x14ac:dyDescent="0.25">
      <c r="A523" s="168"/>
      <c r="B523" s="168"/>
      <c r="C523" s="168"/>
      <c r="D523" s="168"/>
      <c r="E523" s="168"/>
      <c r="F523" s="80"/>
      <c r="G523" s="59"/>
      <c r="H523" s="167"/>
      <c r="I523" s="169"/>
      <c r="J523" s="167"/>
      <c r="K523" s="63"/>
      <c r="L523" s="63"/>
      <c r="M523" s="63"/>
      <c r="N523" s="65"/>
      <c r="O523" s="65"/>
      <c r="P523" s="65"/>
      <c r="Q523" s="65"/>
      <c r="R523" s="65"/>
      <c r="S523" s="65"/>
      <c r="T523" s="65"/>
      <c r="U523" s="65"/>
      <c r="V523" s="65"/>
      <c r="W523" s="63"/>
      <c r="X523" s="63"/>
      <c r="Y523" s="63"/>
      <c r="Z523" s="63"/>
      <c r="AA523" s="63"/>
      <c r="AB523" s="63"/>
      <c r="AC523" s="63"/>
      <c r="AD523" s="63"/>
      <c r="AE523" s="247"/>
    </row>
    <row r="524" spans="1:31" x14ac:dyDescent="0.25">
      <c r="A524" s="167">
        <v>590</v>
      </c>
      <c r="B524" s="167">
        <v>590001</v>
      </c>
      <c r="C524" s="168" t="s">
        <v>3842</v>
      </c>
      <c r="D524" s="168" t="s">
        <v>3315</v>
      </c>
      <c r="E524" s="168" t="s">
        <v>3316</v>
      </c>
      <c r="F524" s="58">
        <v>38362</v>
      </c>
      <c r="G524" s="59">
        <f>(DATE(2020,12,30)-(F524))/365</f>
        <v>15.980821917808219</v>
      </c>
      <c r="H524" s="132">
        <v>46128.06624</v>
      </c>
      <c r="I524" s="172">
        <v>47281.27</v>
      </c>
      <c r="J524" s="132">
        <v>47281.267895999998</v>
      </c>
      <c r="K524" s="172">
        <f>SUM(((J524*$K$3)+$K$2)+J524)</f>
        <v>47281.267895999998</v>
      </c>
      <c r="L524" s="172">
        <f>SUM(K524/2080)</f>
        <v>22.731378796153844</v>
      </c>
      <c r="M524" s="172">
        <f>SUM(K524/26)</f>
        <v>1818.5103036923076</v>
      </c>
      <c r="N524" s="172">
        <f>IF(G524&lt;4,0,(G524-1)*$N$7)</f>
        <v>3954.9369863013699</v>
      </c>
      <c r="O524" s="314"/>
      <c r="P524" s="314"/>
      <c r="Q524" s="172">
        <f>IF(N524+P524&gt;5000,5000,N524+P524)</f>
        <v>3954.9369863013699</v>
      </c>
      <c r="R524" s="172">
        <f>Q524+K524</f>
        <v>51236.204882301368</v>
      </c>
      <c r="S524" s="314"/>
      <c r="T524" s="314"/>
      <c r="U524" s="314"/>
      <c r="V524" s="172">
        <f>SUM(R524:U524)</f>
        <v>51236.204882301368</v>
      </c>
      <c r="W524" s="172">
        <f t="shared" ref="W524:W525" si="472">SUM(V524*$W$7)</f>
        <v>3176.6447027026848</v>
      </c>
      <c r="X524" s="172">
        <f t="shared" ref="X524:X525" si="473">SUM(V524*$X$7)</f>
        <v>742.92497079336988</v>
      </c>
      <c r="Y524" s="172">
        <f t="shared" ref="Y524:Y525" si="474">SUM(V524*$Y$7)</f>
        <v>7695.6779733216654</v>
      </c>
      <c r="Z524" s="172">
        <f t="shared" ref="Z524:Z525" si="475">SUM(V524*$Z$7)</f>
        <v>81.977927811682193</v>
      </c>
      <c r="AA524" s="172">
        <f t="shared" ref="AA524:AA525" si="476">SUM(V524*$AA$7)</f>
        <v>35.865343417610958</v>
      </c>
      <c r="AB524" s="172">
        <f t="shared" ref="AB524:AB525" si="477">SUM($AB$7)</f>
        <v>335</v>
      </c>
      <c r="AC524" s="172">
        <f t="shared" ref="AC524:AC525" si="478">$AC$7</f>
        <v>10356.36</v>
      </c>
      <c r="AD524" s="172">
        <f t="shared" ref="AD524:AD525" si="479">SUM(AB524+AC524)*$AD$7</f>
        <v>106.9136</v>
      </c>
      <c r="AE524" s="247"/>
    </row>
    <row r="525" spans="1:31" x14ac:dyDescent="0.25">
      <c r="A525" s="247"/>
      <c r="B525" s="168"/>
      <c r="C525" s="168"/>
      <c r="D525" s="168"/>
      <c r="E525" s="168"/>
      <c r="F525" s="80"/>
      <c r="G525" s="59"/>
      <c r="H525" s="223">
        <v>46128.06624</v>
      </c>
      <c r="I525" s="401"/>
      <c r="J525" s="223">
        <v>47281.267895999998</v>
      </c>
      <c r="K525" s="223">
        <f t="shared" ref="K525:V525" si="480">SUM(K522:K524)</f>
        <v>47281.267895999998</v>
      </c>
      <c r="L525" s="223">
        <f t="shared" si="480"/>
        <v>22.731378796153844</v>
      </c>
      <c r="M525" s="223">
        <f t="shared" si="480"/>
        <v>1818.5103036923076</v>
      </c>
      <c r="N525" s="223">
        <f t="shared" si="480"/>
        <v>3954.9369863013699</v>
      </c>
      <c r="O525" s="223">
        <f t="shared" si="480"/>
        <v>0</v>
      </c>
      <c r="P525" s="223">
        <f t="shared" si="480"/>
        <v>0</v>
      </c>
      <c r="Q525" s="223">
        <f t="shared" si="480"/>
        <v>3954.9369863013699</v>
      </c>
      <c r="R525" s="223">
        <f t="shared" si="480"/>
        <v>51236.204882301368</v>
      </c>
      <c r="S525" s="223">
        <f t="shared" si="480"/>
        <v>0</v>
      </c>
      <c r="T525" s="223">
        <f t="shared" si="480"/>
        <v>0</v>
      </c>
      <c r="U525" s="223">
        <f t="shared" si="480"/>
        <v>0</v>
      </c>
      <c r="V525" s="223">
        <f t="shared" si="480"/>
        <v>51236.204882301368</v>
      </c>
      <c r="W525" s="175">
        <f t="shared" si="472"/>
        <v>3176.6447027026848</v>
      </c>
      <c r="X525" s="175">
        <f t="shared" si="473"/>
        <v>742.92497079336988</v>
      </c>
      <c r="Y525" s="175">
        <f t="shared" si="474"/>
        <v>7695.6779733216654</v>
      </c>
      <c r="Z525" s="175">
        <f t="shared" si="475"/>
        <v>81.977927811682193</v>
      </c>
      <c r="AA525" s="175">
        <f t="shared" si="476"/>
        <v>35.865343417610958</v>
      </c>
      <c r="AB525" s="175">
        <f t="shared" si="477"/>
        <v>335</v>
      </c>
      <c r="AC525" s="175">
        <f t="shared" si="478"/>
        <v>10356.36</v>
      </c>
      <c r="AD525" s="175">
        <f t="shared" si="479"/>
        <v>106.9136</v>
      </c>
      <c r="AE525" s="178">
        <v>590</v>
      </c>
    </row>
    <row r="526" spans="1:31" x14ac:dyDescent="0.25">
      <c r="A526" s="247"/>
      <c r="B526" s="247"/>
      <c r="C526" s="247"/>
      <c r="D526" s="247"/>
      <c r="E526" s="247"/>
      <c r="F526" s="247"/>
      <c r="G526" s="247"/>
      <c r="H526" s="247"/>
      <c r="I526" s="251"/>
      <c r="J526" s="247"/>
      <c r="K526" s="247"/>
      <c r="L526" s="247"/>
      <c r="M526" s="247"/>
      <c r="N526" s="247"/>
      <c r="O526" s="247"/>
      <c r="P526" s="247"/>
      <c r="Q526" s="247"/>
      <c r="R526" s="65"/>
      <c r="S526" s="65"/>
      <c r="T526" s="65"/>
      <c r="U526" s="65"/>
      <c r="V526" s="65"/>
      <c r="W526" s="69">
        <f>W525+X525</f>
        <v>3919.5696734960547</v>
      </c>
      <c r="X526" s="65"/>
      <c r="Y526" s="65"/>
      <c r="Z526" s="65"/>
      <c r="AA526" s="65"/>
      <c r="AB526" s="65"/>
      <c r="AC526" s="63">
        <f>SUM(AC525:AD525)</f>
        <v>10463.2736</v>
      </c>
      <c r="AD526" s="65"/>
      <c r="AE526" s="247"/>
    </row>
    <row r="527" spans="1:31" x14ac:dyDescent="0.25">
      <c r="A527" s="247"/>
      <c r="B527" s="247"/>
      <c r="C527" s="247"/>
      <c r="D527" s="247"/>
      <c r="E527" s="247"/>
      <c r="F527" s="247"/>
      <c r="G527" s="247"/>
      <c r="H527" s="247"/>
      <c r="I527" s="251"/>
      <c r="J527" s="247"/>
      <c r="K527" s="247"/>
      <c r="L527" s="247"/>
      <c r="M527" s="247"/>
      <c r="N527" s="247"/>
      <c r="O527" s="247"/>
      <c r="P527" s="247"/>
      <c r="Q527" s="247"/>
      <c r="R527" s="65"/>
      <c r="S527" s="65"/>
      <c r="T527" s="65"/>
      <c r="U527" s="65"/>
      <c r="V527" s="65"/>
      <c r="W527" s="65"/>
      <c r="X527" s="65"/>
      <c r="Y527" s="65"/>
      <c r="Z527" s="65"/>
      <c r="AA527" s="65"/>
      <c r="AB527" s="65"/>
      <c r="AC527" s="65"/>
      <c r="AD527" s="65"/>
      <c r="AE527" s="247"/>
    </row>
    <row r="528" spans="1:31" x14ac:dyDescent="0.25">
      <c r="A528" s="167">
        <v>591</v>
      </c>
      <c r="B528" s="167">
        <v>591001</v>
      </c>
      <c r="C528" s="168" t="s">
        <v>3843</v>
      </c>
      <c r="D528" s="168" t="s">
        <v>3319</v>
      </c>
      <c r="E528" s="168" t="s">
        <v>3320</v>
      </c>
      <c r="F528" s="58">
        <v>39828</v>
      </c>
      <c r="G528" s="59">
        <f t="shared" ref="G528:G533" si="481">(DATE(2020,12,30)-(F528))/365</f>
        <v>11.964383561643835</v>
      </c>
      <c r="H528" s="61">
        <v>48235.616000000002</v>
      </c>
      <c r="I528" s="63">
        <v>49441.51</v>
      </c>
      <c r="J528" s="61">
        <v>49441.506399999998</v>
      </c>
      <c r="K528" s="63">
        <f t="shared" ref="K528:K531" si="482">SUM(((J528*$K$3)+$K$2)+J528)</f>
        <v>49441.506399999998</v>
      </c>
      <c r="L528" s="59">
        <f t="shared" ref="L528:L534" si="483">SUM(K528/$L$7)</f>
        <v>23.769955</v>
      </c>
      <c r="M528" s="61">
        <f t="shared" ref="M528:M534" si="484">SUM(K528/$M$7)</f>
        <v>1901.5963999999999</v>
      </c>
      <c r="N528" s="61">
        <f t="shared" ref="N528:N534" si="485">IF(G528&lt;4,0,(G528-1)*264)</f>
        <v>2894.5972602739726</v>
      </c>
      <c r="O528" s="247"/>
      <c r="P528" s="247"/>
      <c r="Q528" s="61">
        <f t="shared" ref="Q528:Q534" si="486">SUM(N528+P528)</f>
        <v>2894.5972602739726</v>
      </c>
      <c r="R528" s="63">
        <f t="shared" ref="R528:R534" si="487">SUM(K528+Q528)</f>
        <v>52336.10366027397</v>
      </c>
      <c r="S528" s="65"/>
      <c r="T528" s="63">
        <v>1200</v>
      </c>
      <c r="U528" s="65"/>
      <c r="V528" s="63">
        <f t="shared" ref="V528:V534" si="488">SUM(R528:U528)</f>
        <v>53536.10366027397</v>
      </c>
      <c r="W528" s="63">
        <f t="shared" ref="W528:W534" si="489">SUM(V528*$W$7)</f>
        <v>3319.2384269369859</v>
      </c>
      <c r="X528" s="63">
        <f t="shared" ref="X528:X534" si="490">SUM(V528*$X$7)</f>
        <v>776.27350307397262</v>
      </c>
      <c r="Y528" s="63">
        <f t="shared" ref="Y528:Y534" si="491">SUM(V528*$Y$7)</f>
        <v>8041.1227697731501</v>
      </c>
      <c r="Z528" s="63">
        <f t="shared" ref="Z528:Z534" si="492">SUM(V528*$Z$7)</f>
        <v>85.65776585643836</v>
      </c>
      <c r="AA528" s="63">
        <f t="shared" ref="AA528:AA534" si="493">SUM(V528*$AA$7)</f>
        <v>37.475272562191776</v>
      </c>
      <c r="AB528" s="63">
        <f t="shared" ref="AB528:AB532" si="494">SUM($AB$7)</f>
        <v>335</v>
      </c>
      <c r="AC528" s="63">
        <f t="shared" ref="AC528:AC532" si="495">$AC$7</f>
        <v>10356.36</v>
      </c>
      <c r="AD528" s="63">
        <f t="shared" ref="AD528:AD532" si="496">SUM(AB528+AC528)*$AD$7</f>
        <v>106.9136</v>
      </c>
      <c r="AE528" s="178">
        <v>591</v>
      </c>
    </row>
    <row r="529" spans="1:31" x14ac:dyDescent="0.25">
      <c r="A529" s="167">
        <v>591</v>
      </c>
      <c r="B529" s="167">
        <v>591003</v>
      </c>
      <c r="C529" s="168" t="s">
        <v>4226</v>
      </c>
      <c r="D529" s="168" t="s">
        <v>2953</v>
      </c>
      <c r="E529" s="168" t="s">
        <v>2581</v>
      </c>
      <c r="F529" s="58">
        <v>39247</v>
      </c>
      <c r="G529" s="59">
        <f t="shared" si="481"/>
        <v>13.556164383561644</v>
      </c>
      <c r="H529" s="61">
        <v>43286.68</v>
      </c>
      <c r="I529" s="63">
        <v>44368.85</v>
      </c>
      <c r="J529" s="61">
        <v>44368.847000000002</v>
      </c>
      <c r="K529" s="63">
        <f t="shared" si="482"/>
        <v>44368.847000000002</v>
      </c>
      <c r="L529" s="59">
        <f t="shared" si="483"/>
        <v>21.331176442307694</v>
      </c>
      <c r="M529" s="61">
        <f t="shared" si="484"/>
        <v>1706.4941153846155</v>
      </c>
      <c r="N529" s="61">
        <f t="shared" si="485"/>
        <v>3314.8273972602738</v>
      </c>
      <c r="O529" s="247"/>
      <c r="P529" s="247"/>
      <c r="Q529" s="61">
        <f t="shared" si="486"/>
        <v>3314.8273972602738</v>
      </c>
      <c r="R529" s="63">
        <f t="shared" si="487"/>
        <v>47683.674397260278</v>
      </c>
      <c r="S529" s="65"/>
      <c r="T529" s="63">
        <v>1200</v>
      </c>
      <c r="U529" s="65"/>
      <c r="V529" s="63">
        <f t="shared" si="488"/>
        <v>48883.674397260278</v>
      </c>
      <c r="W529" s="63">
        <f t="shared" si="489"/>
        <v>3030.7878126301371</v>
      </c>
      <c r="X529" s="63">
        <f t="shared" si="490"/>
        <v>708.8132787602741</v>
      </c>
      <c r="Y529" s="63">
        <f t="shared" si="491"/>
        <v>7342.3278944684935</v>
      </c>
      <c r="Z529" s="63">
        <f t="shared" si="492"/>
        <v>78.213879035616444</v>
      </c>
      <c r="AA529" s="63">
        <f t="shared" si="493"/>
        <v>34.218572078082197</v>
      </c>
      <c r="AB529" s="63">
        <f t="shared" si="494"/>
        <v>335</v>
      </c>
      <c r="AC529" s="63">
        <f t="shared" si="495"/>
        <v>10356.36</v>
      </c>
      <c r="AD529" s="63">
        <f t="shared" si="496"/>
        <v>106.9136</v>
      </c>
      <c r="AE529" s="178">
        <v>591</v>
      </c>
    </row>
    <row r="530" spans="1:31" x14ac:dyDescent="0.25">
      <c r="A530" s="167">
        <v>591</v>
      </c>
      <c r="B530" s="167">
        <v>591005</v>
      </c>
      <c r="C530" s="168" t="s">
        <v>4227</v>
      </c>
      <c r="D530" s="168" t="s">
        <v>3011</v>
      </c>
      <c r="E530" s="168" t="s">
        <v>3845</v>
      </c>
      <c r="F530" s="58">
        <v>43619</v>
      </c>
      <c r="G530" s="59">
        <f t="shared" si="481"/>
        <v>1.5780821917808219</v>
      </c>
      <c r="H530" s="61">
        <v>34848.800000000003</v>
      </c>
      <c r="I530" s="63">
        <v>35720.019999999997</v>
      </c>
      <c r="J530" s="61">
        <v>35720.020000000004</v>
      </c>
      <c r="K530" s="63">
        <f t="shared" si="482"/>
        <v>35720.020000000004</v>
      </c>
      <c r="L530" s="59">
        <f t="shared" si="483"/>
        <v>17.17308653846154</v>
      </c>
      <c r="M530" s="61">
        <f t="shared" si="484"/>
        <v>1373.8469230769233</v>
      </c>
      <c r="N530" s="61">
        <f t="shared" si="485"/>
        <v>0</v>
      </c>
      <c r="O530" s="247"/>
      <c r="P530" s="247"/>
      <c r="Q530" s="61">
        <f t="shared" si="486"/>
        <v>0</v>
      </c>
      <c r="R530" s="63">
        <f t="shared" si="487"/>
        <v>35720.020000000004</v>
      </c>
      <c r="S530" s="65"/>
      <c r="T530" s="63">
        <v>1200</v>
      </c>
      <c r="U530" s="65"/>
      <c r="V530" s="63">
        <f t="shared" si="488"/>
        <v>36920.020000000004</v>
      </c>
      <c r="W530" s="63">
        <f t="shared" si="489"/>
        <v>2289.04124</v>
      </c>
      <c r="X530" s="63">
        <f t="shared" si="490"/>
        <v>535.3402900000001</v>
      </c>
      <c r="Y530" s="63">
        <f t="shared" si="491"/>
        <v>5545.3870040000011</v>
      </c>
      <c r="Z530" s="63">
        <f t="shared" si="492"/>
        <v>59.072032000000007</v>
      </c>
      <c r="AA530" s="63">
        <f t="shared" si="493"/>
        <v>25.844014000000001</v>
      </c>
      <c r="AB530" s="63">
        <f t="shared" si="494"/>
        <v>335</v>
      </c>
      <c r="AC530" s="63">
        <f t="shared" si="495"/>
        <v>10356.36</v>
      </c>
      <c r="AD530" s="63">
        <f t="shared" si="496"/>
        <v>106.9136</v>
      </c>
      <c r="AE530" s="178">
        <v>591</v>
      </c>
    </row>
    <row r="531" spans="1:31" x14ac:dyDescent="0.25">
      <c r="A531" s="167">
        <v>591</v>
      </c>
      <c r="B531" s="167">
        <v>591004</v>
      </c>
      <c r="C531" s="168" t="s">
        <v>4228</v>
      </c>
      <c r="D531" s="168" t="s">
        <v>3847</v>
      </c>
      <c r="E531" s="168" t="s">
        <v>2697</v>
      </c>
      <c r="F531" s="58">
        <v>43116</v>
      </c>
      <c r="G531" s="59">
        <f t="shared" si="481"/>
        <v>2.956164383561644</v>
      </c>
      <c r="H531" s="413">
        <v>34848.800000000003</v>
      </c>
      <c r="I531" s="63">
        <v>35720.019999999997</v>
      </c>
      <c r="J531" s="413">
        <v>35720.020000000004</v>
      </c>
      <c r="K531" s="63">
        <f t="shared" si="482"/>
        <v>35720.020000000004</v>
      </c>
      <c r="L531" s="59">
        <f t="shared" si="483"/>
        <v>17.17308653846154</v>
      </c>
      <c r="M531" s="61">
        <f t="shared" si="484"/>
        <v>1373.8469230769233</v>
      </c>
      <c r="N531" s="61">
        <f t="shared" si="485"/>
        <v>0</v>
      </c>
      <c r="O531" s="247"/>
      <c r="P531" s="247"/>
      <c r="Q531" s="61">
        <f t="shared" si="486"/>
        <v>0</v>
      </c>
      <c r="R531" s="63">
        <f t="shared" si="487"/>
        <v>35720.020000000004</v>
      </c>
      <c r="S531" s="65"/>
      <c r="T531" s="63">
        <v>1200</v>
      </c>
      <c r="U531" s="65"/>
      <c r="V531" s="63">
        <f t="shared" si="488"/>
        <v>36920.020000000004</v>
      </c>
      <c r="W531" s="63">
        <f t="shared" si="489"/>
        <v>2289.04124</v>
      </c>
      <c r="X531" s="63">
        <f t="shared" si="490"/>
        <v>535.3402900000001</v>
      </c>
      <c r="Y531" s="63">
        <f t="shared" si="491"/>
        <v>5545.3870040000011</v>
      </c>
      <c r="Z531" s="63">
        <f t="shared" si="492"/>
        <v>59.072032000000007</v>
      </c>
      <c r="AA531" s="63">
        <f t="shared" si="493"/>
        <v>25.844014000000001</v>
      </c>
      <c r="AB531" s="63">
        <f t="shared" si="494"/>
        <v>335</v>
      </c>
      <c r="AC531" s="63">
        <f t="shared" si="495"/>
        <v>10356.36</v>
      </c>
      <c r="AD531" s="63">
        <f t="shared" si="496"/>
        <v>106.9136</v>
      </c>
      <c r="AE531" s="178">
        <v>591</v>
      </c>
    </row>
    <row r="532" spans="1:31" x14ac:dyDescent="0.25">
      <c r="A532" s="167">
        <v>591</v>
      </c>
      <c r="B532" s="167">
        <v>591002</v>
      </c>
      <c r="C532" s="168" t="s">
        <v>4229</v>
      </c>
      <c r="D532" s="168" t="s">
        <v>4230</v>
      </c>
      <c r="E532" s="168" t="s">
        <v>4231</v>
      </c>
      <c r="F532" s="58">
        <v>42373</v>
      </c>
      <c r="G532" s="59">
        <f t="shared" si="481"/>
        <v>4.9917808219178079</v>
      </c>
      <c r="H532" s="414">
        <v>0</v>
      </c>
      <c r="I532" s="63">
        <v>35720.019999999997</v>
      </c>
      <c r="J532" s="414">
        <v>35720.020000000004</v>
      </c>
      <c r="K532" s="63">
        <f>SUM(((34848.8*$K$3)+$K$2)+34848.8)</f>
        <v>34848.800000000003</v>
      </c>
      <c r="L532" s="59">
        <f t="shared" si="483"/>
        <v>16.754230769230769</v>
      </c>
      <c r="M532" s="61">
        <f t="shared" si="484"/>
        <v>1340.3384615384616</v>
      </c>
      <c r="N532" s="61">
        <f t="shared" si="485"/>
        <v>1053.8301369863013</v>
      </c>
      <c r="O532" s="247"/>
      <c r="P532" s="247"/>
      <c r="Q532" s="61">
        <f t="shared" si="486"/>
        <v>1053.8301369863013</v>
      </c>
      <c r="R532" s="63">
        <f t="shared" si="487"/>
        <v>35902.630136986307</v>
      </c>
      <c r="S532" s="65"/>
      <c r="T532" s="63">
        <v>1200</v>
      </c>
      <c r="U532" s="65"/>
      <c r="V532" s="63">
        <f t="shared" si="488"/>
        <v>37102.630136986307</v>
      </c>
      <c r="W532" s="63">
        <f t="shared" si="489"/>
        <v>2300.3630684931509</v>
      </c>
      <c r="X532" s="63">
        <f t="shared" si="490"/>
        <v>537.98813698630147</v>
      </c>
      <c r="Y532" s="63">
        <f t="shared" si="491"/>
        <v>5572.8150465753433</v>
      </c>
      <c r="Z532" s="63">
        <f t="shared" si="492"/>
        <v>59.364208219178096</v>
      </c>
      <c r="AA532" s="63">
        <f t="shared" si="493"/>
        <v>25.971841095890415</v>
      </c>
      <c r="AB532" s="63">
        <f t="shared" si="494"/>
        <v>335</v>
      </c>
      <c r="AC532" s="63">
        <f t="shared" si="495"/>
        <v>10356.36</v>
      </c>
      <c r="AD532" s="63">
        <f t="shared" si="496"/>
        <v>106.9136</v>
      </c>
      <c r="AE532" s="178">
        <v>591</v>
      </c>
    </row>
    <row r="533" spans="1:31" x14ac:dyDescent="0.25">
      <c r="A533" s="167">
        <v>591</v>
      </c>
      <c r="B533" s="167">
        <v>591006</v>
      </c>
      <c r="C533" s="168" t="s">
        <v>3341</v>
      </c>
      <c r="D533" s="168" t="s">
        <v>4232</v>
      </c>
      <c r="E533" s="168" t="s">
        <v>4233</v>
      </c>
      <c r="F533" s="58">
        <v>43136</v>
      </c>
      <c r="G533" s="59">
        <f t="shared" si="481"/>
        <v>2.9013698630136986</v>
      </c>
      <c r="H533" s="61">
        <v>21000</v>
      </c>
      <c r="I533" s="251"/>
      <c r="J533" s="61">
        <v>21000</v>
      </c>
      <c r="K533" s="61">
        <f t="shared" ref="K533:K534" si="497">SUM(J533)</f>
        <v>21000</v>
      </c>
      <c r="L533" s="59">
        <f t="shared" si="483"/>
        <v>10.096153846153847</v>
      </c>
      <c r="M533" s="61">
        <f t="shared" si="484"/>
        <v>807.69230769230774</v>
      </c>
      <c r="N533" s="61">
        <f t="shared" si="485"/>
        <v>0</v>
      </c>
      <c r="O533" s="247"/>
      <c r="P533" s="247"/>
      <c r="Q533" s="61">
        <f t="shared" si="486"/>
        <v>0</v>
      </c>
      <c r="R533" s="63">
        <f t="shared" si="487"/>
        <v>21000</v>
      </c>
      <c r="S533" s="65"/>
      <c r="T533" s="65"/>
      <c r="U533" s="65"/>
      <c r="V533" s="63">
        <f t="shared" si="488"/>
        <v>21000</v>
      </c>
      <c r="W533" s="63">
        <f t="shared" si="489"/>
        <v>1302</v>
      </c>
      <c r="X533" s="63">
        <f t="shared" si="490"/>
        <v>304.5</v>
      </c>
      <c r="Y533" s="63">
        <f t="shared" si="491"/>
        <v>3154.2</v>
      </c>
      <c r="Z533" s="63">
        <f t="shared" si="492"/>
        <v>33.6</v>
      </c>
      <c r="AA533" s="63">
        <f t="shared" si="493"/>
        <v>14.7</v>
      </c>
      <c r="AB533" s="63" t="s">
        <v>2422</v>
      </c>
      <c r="AC533" s="63" t="s">
        <v>2422</v>
      </c>
      <c r="AD533" s="63" t="s">
        <v>2422</v>
      </c>
      <c r="AE533" s="178">
        <v>591</v>
      </c>
    </row>
    <row r="534" spans="1:31" x14ac:dyDescent="0.25">
      <c r="A534" s="167">
        <v>591</v>
      </c>
      <c r="B534" s="247"/>
      <c r="C534" s="168" t="s">
        <v>2495</v>
      </c>
      <c r="D534" s="247"/>
      <c r="E534" s="247"/>
      <c r="F534" s="247"/>
      <c r="G534" s="247"/>
      <c r="H534" s="132">
        <v>2000</v>
      </c>
      <c r="I534" s="296"/>
      <c r="J534" s="132">
        <v>2000</v>
      </c>
      <c r="K534" s="132">
        <f t="shared" si="497"/>
        <v>2000</v>
      </c>
      <c r="L534" s="269">
        <f t="shared" si="483"/>
        <v>0.96153846153846156</v>
      </c>
      <c r="M534" s="132">
        <f t="shared" si="484"/>
        <v>76.92307692307692</v>
      </c>
      <c r="N534" s="132">
        <f t="shared" si="485"/>
        <v>0</v>
      </c>
      <c r="O534" s="320"/>
      <c r="P534" s="320"/>
      <c r="Q534" s="132">
        <f t="shared" si="486"/>
        <v>0</v>
      </c>
      <c r="R534" s="172">
        <f t="shared" si="487"/>
        <v>2000</v>
      </c>
      <c r="S534" s="314"/>
      <c r="T534" s="314"/>
      <c r="U534" s="314"/>
      <c r="V534" s="172">
        <f t="shared" si="488"/>
        <v>2000</v>
      </c>
      <c r="W534" s="172">
        <f t="shared" si="489"/>
        <v>124</v>
      </c>
      <c r="X534" s="172">
        <f t="shared" si="490"/>
        <v>29</v>
      </c>
      <c r="Y534" s="172">
        <f t="shared" si="491"/>
        <v>300.39999999999998</v>
      </c>
      <c r="Z534" s="172">
        <f t="shared" si="492"/>
        <v>3.2</v>
      </c>
      <c r="AA534" s="172">
        <f t="shared" si="493"/>
        <v>1.4</v>
      </c>
      <c r="AB534" s="172" t="s">
        <v>2422</v>
      </c>
      <c r="AC534" s="172" t="s">
        <v>2422</v>
      </c>
      <c r="AD534" s="172" t="s">
        <v>2422</v>
      </c>
      <c r="AE534" s="178">
        <v>591</v>
      </c>
    </row>
    <row r="535" spans="1:31" x14ac:dyDescent="0.25">
      <c r="A535" s="167">
        <v>591</v>
      </c>
      <c r="B535" s="247"/>
      <c r="C535" s="247"/>
      <c r="D535" s="247"/>
      <c r="E535" s="247"/>
      <c r="F535" s="247"/>
      <c r="G535" s="247"/>
      <c r="H535" s="223">
        <v>184219.89600000001</v>
      </c>
      <c r="I535" s="401"/>
      <c r="J535" s="223">
        <v>223970.41340000002</v>
      </c>
      <c r="K535" s="223">
        <f t="shared" ref="K535:AD535" si="498">SUM(K527:K534)</f>
        <v>223099.19339999999</v>
      </c>
      <c r="L535" s="223">
        <f t="shared" si="498"/>
        <v>107.25922759615385</v>
      </c>
      <c r="M535" s="223">
        <f t="shared" si="498"/>
        <v>8580.7382076923077</v>
      </c>
      <c r="N535" s="223">
        <f t="shared" si="498"/>
        <v>7263.254794520547</v>
      </c>
      <c r="O535" s="223">
        <f t="shared" si="498"/>
        <v>0</v>
      </c>
      <c r="P535" s="223">
        <f t="shared" si="498"/>
        <v>0</v>
      </c>
      <c r="Q535" s="223">
        <f t="shared" si="498"/>
        <v>7263.254794520547</v>
      </c>
      <c r="R535" s="223">
        <f t="shared" si="498"/>
        <v>230362.44819452061</v>
      </c>
      <c r="S535" s="223">
        <f t="shared" si="498"/>
        <v>0</v>
      </c>
      <c r="T535" s="223">
        <f t="shared" si="498"/>
        <v>6000</v>
      </c>
      <c r="U535" s="223">
        <f t="shared" si="498"/>
        <v>0</v>
      </c>
      <c r="V535" s="223">
        <f t="shared" si="498"/>
        <v>236362.44819452061</v>
      </c>
      <c r="W535" s="223">
        <f t="shared" si="498"/>
        <v>14654.471788060275</v>
      </c>
      <c r="X535" s="223">
        <f t="shared" si="498"/>
        <v>3427.2554988205484</v>
      </c>
      <c r="Y535" s="223">
        <f t="shared" si="498"/>
        <v>35501.639718816987</v>
      </c>
      <c r="Z535" s="223">
        <f t="shared" si="498"/>
        <v>378.1799171112329</v>
      </c>
      <c r="AA535" s="223">
        <f t="shared" si="498"/>
        <v>165.45371373616439</v>
      </c>
      <c r="AB535" s="223">
        <f t="shared" si="498"/>
        <v>1675</v>
      </c>
      <c r="AC535" s="223">
        <f t="shared" si="498"/>
        <v>51781.8</v>
      </c>
      <c r="AD535" s="223">
        <f t="shared" si="498"/>
        <v>534.56799999999998</v>
      </c>
      <c r="AE535" s="178">
        <v>591</v>
      </c>
    </row>
    <row r="536" spans="1:31" x14ac:dyDescent="0.25">
      <c r="A536" s="247"/>
      <c r="B536" s="247"/>
      <c r="C536" s="247"/>
      <c r="D536" s="247"/>
      <c r="E536" s="247"/>
      <c r="F536" s="247"/>
      <c r="G536" s="247"/>
      <c r="H536" s="69">
        <v>161219.89600000001</v>
      </c>
      <c r="I536" s="169"/>
      <c r="J536" s="69">
        <v>200970.41340000002</v>
      </c>
      <c r="K536" s="69">
        <f>SUM(K528:K532)</f>
        <v>200099.19339999999</v>
      </c>
      <c r="L536" s="247"/>
      <c r="M536" s="247"/>
      <c r="N536" s="247"/>
      <c r="O536" s="247"/>
      <c r="P536" s="247"/>
      <c r="Q536" s="247"/>
      <c r="R536" s="65"/>
      <c r="S536" s="65"/>
      <c r="T536" s="65"/>
      <c r="U536" s="65"/>
      <c r="V536" s="65"/>
      <c r="W536" s="63">
        <f>W535+X535</f>
        <v>18081.727286880821</v>
      </c>
      <c r="X536" s="65"/>
      <c r="Y536" s="65"/>
      <c r="Z536" s="65"/>
      <c r="AA536" s="65"/>
      <c r="AB536" s="65"/>
      <c r="AC536" s="63">
        <f>SUM(AC535:AD535)</f>
        <v>52316.368000000002</v>
      </c>
      <c r="AD536" s="65"/>
      <c r="AE536" s="247"/>
    </row>
    <row r="537" spans="1:31" x14ac:dyDescent="0.25">
      <c r="A537" s="247"/>
      <c r="B537" s="247"/>
      <c r="C537" s="247"/>
      <c r="D537" s="247"/>
      <c r="E537" s="247"/>
      <c r="F537" s="247"/>
      <c r="G537" s="247"/>
      <c r="H537" s="178">
        <v>5754.25</v>
      </c>
      <c r="I537" s="251"/>
      <c r="J537" s="178"/>
      <c r="K537" s="62"/>
      <c r="L537" s="247"/>
      <c r="M537" s="247"/>
      <c r="N537" s="247"/>
      <c r="O537" s="247"/>
      <c r="P537" s="247"/>
      <c r="Q537" s="247"/>
      <c r="R537" s="65"/>
      <c r="S537" s="65"/>
      <c r="T537" s="65"/>
      <c r="U537" s="65"/>
      <c r="V537" s="65"/>
      <c r="W537" s="65"/>
      <c r="X537" s="65"/>
      <c r="Y537" s="65"/>
      <c r="Z537" s="65"/>
      <c r="AA537" s="65"/>
      <c r="AB537" s="65"/>
      <c r="AC537" s="65"/>
      <c r="AD537" s="65"/>
      <c r="AE537" s="247"/>
    </row>
    <row r="538" spans="1:31" x14ac:dyDescent="0.25">
      <c r="A538" s="168"/>
      <c r="B538" s="168"/>
      <c r="C538" s="168"/>
      <c r="D538" s="168"/>
      <c r="E538" s="168"/>
      <c r="F538" s="80"/>
      <c r="G538" s="59"/>
      <c r="H538" s="61"/>
      <c r="I538" s="251"/>
      <c r="J538" s="61"/>
      <c r="K538" s="63"/>
      <c r="L538" s="59"/>
      <c r="M538" s="61"/>
      <c r="N538" s="61"/>
      <c r="O538" s="247"/>
      <c r="P538" s="247"/>
      <c r="Q538" s="61"/>
      <c r="R538" s="63"/>
      <c r="S538" s="65"/>
      <c r="T538" s="65"/>
      <c r="U538" s="65"/>
      <c r="V538" s="65"/>
      <c r="W538" s="63"/>
      <c r="X538" s="63"/>
      <c r="Y538" s="63"/>
      <c r="Z538" s="63"/>
      <c r="AA538" s="63"/>
      <c r="AB538" s="63"/>
      <c r="AC538" s="63"/>
      <c r="AD538" s="63"/>
      <c r="AE538" s="247"/>
    </row>
    <row r="539" spans="1:31" x14ac:dyDescent="0.25">
      <c r="A539" s="167">
        <v>592</v>
      </c>
      <c r="B539" s="167">
        <v>592001</v>
      </c>
      <c r="C539" s="168" t="s">
        <v>4234</v>
      </c>
      <c r="D539" s="168" t="s">
        <v>3339</v>
      </c>
      <c r="E539" s="168" t="s">
        <v>3340</v>
      </c>
      <c r="F539" s="58">
        <v>39622</v>
      </c>
      <c r="G539" s="59">
        <f t="shared" ref="G539:G540" si="499">(DATE(2020,12,30)-(F539))/365</f>
        <v>12.528767123287672</v>
      </c>
      <c r="H539" s="61">
        <v>35947.522720000001</v>
      </c>
      <c r="I539" s="63">
        <v>36846.21</v>
      </c>
      <c r="J539" s="61">
        <v>36846.210788000004</v>
      </c>
      <c r="K539" s="63">
        <f>SUM(((J539*$K$3)+$K$2)+J539)</f>
        <v>36846.210788000004</v>
      </c>
      <c r="L539" s="59">
        <f t="shared" ref="L539:L540" si="500">SUM(K539/$L$7)</f>
        <v>17.714524417307693</v>
      </c>
      <c r="M539" s="61">
        <f t="shared" ref="M539:M540" si="501">SUM(K539/$M$7)</f>
        <v>1417.1619533846156</v>
      </c>
      <c r="N539" s="61">
        <f t="shared" ref="N539:N540" si="502">IF(G539&lt;4,0,(G539-1)*264)</f>
        <v>3043.5945205479452</v>
      </c>
      <c r="O539" s="247"/>
      <c r="P539" s="247"/>
      <c r="Q539" s="61">
        <f t="shared" ref="Q539:Q540" si="503">SUM(N539+P539)</f>
        <v>3043.5945205479452</v>
      </c>
      <c r="R539" s="63">
        <f t="shared" ref="R539:R541" si="504">SUM(K539+Q539)</f>
        <v>39889.805308547948</v>
      </c>
      <c r="S539" s="65"/>
      <c r="T539" s="65"/>
      <c r="U539" s="65"/>
      <c r="V539" s="63">
        <f t="shared" ref="V539:V541" si="505">SUM(R539:U539)</f>
        <v>39889.805308547948</v>
      </c>
      <c r="W539" s="63">
        <f t="shared" ref="W539:W541" si="506">SUM(V539*$W$7)</f>
        <v>2473.1679291299729</v>
      </c>
      <c r="X539" s="63">
        <f t="shared" ref="X539:X541" si="507">SUM(V539*$X$7)</f>
        <v>578.4021769739453</v>
      </c>
      <c r="Y539" s="63">
        <f t="shared" ref="Y539:Y541" si="508">SUM(V539*$Y$7)</f>
        <v>5991.4487573439019</v>
      </c>
      <c r="Z539" s="63">
        <f t="shared" ref="Z539:Z541" si="509">SUM(V539*$Z$7)</f>
        <v>63.82368849367672</v>
      </c>
      <c r="AA539" s="63">
        <f t="shared" ref="AA539:AA541" si="510">SUM(V539*$AA$7)</f>
        <v>27.922863715983564</v>
      </c>
      <c r="AB539" s="63">
        <f t="shared" ref="AB539:AB540" si="511">SUM($AB$7)</f>
        <v>335</v>
      </c>
      <c r="AC539" s="63">
        <f t="shared" ref="AC539:AC540" si="512">$AC$7</f>
        <v>10356.36</v>
      </c>
      <c r="AD539" s="63">
        <f t="shared" ref="AD539:AD540" si="513">SUM(AB539+AC539)*$AD$7</f>
        <v>106.9136</v>
      </c>
      <c r="AE539" s="178">
        <v>592</v>
      </c>
    </row>
    <row r="540" spans="1:31" x14ac:dyDescent="0.25">
      <c r="A540" s="167">
        <v>592</v>
      </c>
      <c r="B540" s="167">
        <v>592002</v>
      </c>
      <c r="C540" s="168" t="s">
        <v>4235</v>
      </c>
      <c r="D540" s="168" t="s">
        <v>3848</v>
      </c>
      <c r="E540" s="168" t="s">
        <v>3849</v>
      </c>
      <c r="F540" s="58">
        <v>43101</v>
      </c>
      <c r="G540" s="59">
        <f t="shared" si="499"/>
        <v>2.9972602739726026</v>
      </c>
      <c r="H540" s="61">
        <v>30206.69</v>
      </c>
      <c r="I540" s="63">
        <v>30961.86</v>
      </c>
      <c r="J540" s="61">
        <v>30206.69</v>
      </c>
      <c r="K540" s="63">
        <v>30206.69</v>
      </c>
      <c r="L540" s="59">
        <f t="shared" si="500"/>
        <v>14.522447115384615</v>
      </c>
      <c r="M540" s="61">
        <f t="shared" si="501"/>
        <v>1161.7957692307691</v>
      </c>
      <c r="N540" s="61">
        <f t="shared" si="502"/>
        <v>0</v>
      </c>
      <c r="O540" s="247"/>
      <c r="P540" s="247"/>
      <c r="Q540" s="61">
        <f t="shared" si="503"/>
        <v>0</v>
      </c>
      <c r="R540" s="63">
        <f t="shared" si="504"/>
        <v>30206.69</v>
      </c>
      <c r="S540" s="65"/>
      <c r="T540" s="65"/>
      <c r="U540" s="65"/>
      <c r="V540" s="63">
        <f t="shared" si="505"/>
        <v>30206.69</v>
      </c>
      <c r="W540" s="63">
        <f t="shared" si="506"/>
        <v>1872.8147799999999</v>
      </c>
      <c r="X540" s="63">
        <f t="shared" si="507"/>
        <v>437.997005</v>
      </c>
      <c r="Y540" s="63">
        <f t="shared" si="508"/>
        <v>4537.0448379999998</v>
      </c>
      <c r="Z540" s="63">
        <f t="shared" si="509"/>
        <v>48.330703999999997</v>
      </c>
      <c r="AA540" s="63">
        <f t="shared" si="510"/>
        <v>21.144683000000001</v>
      </c>
      <c r="AB540" s="63">
        <f t="shared" si="511"/>
        <v>335</v>
      </c>
      <c r="AC540" s="63">
        <f t="shared" si="512"/>
        <v>10356.36</v>
      </c>
      <c r="AD540" s="63">
        <f t="shared" si="513"/>
        <v>106.9136</v>
      </c>
      <c r="AE540" s="178">
        <v>592</v>
      </c>
    </row>
    <row r="541" spans="1:31" x14ac:dyDescent="0.25">
      <c r="A541" s="167">
        <v>592</v>
      </c>
      <c r="B541" s="247"/>
      <c r="C541" s="168" t="s">
        <v>3341</v>
      </c>
      <c r="D541" s="271" t="s">
        <v>0</v>
      </c>
      <c r="E541" s="271" t="s">
        <v>0</v>
      </c>
      <c r="F541" s="168" t="s">
        <v>0</v>
      </c>
      <c r="G541" s="167" t="s">
        <v>2422</v>
      </c>
      <c r="H541" s="132">
        <v>0</v>
      </c>
      <c r="I541" s="296"/>
      <c r="J541" s="132">
        <v>0</v>
      </c>
      <c r="K541" s="132">
        <v>0</v>
      </c>
      <c r="L541" s="320"/>
      <c r="M541" s="320"/>
      <c r="N541" s="220" t="s">
        <v>27</v>
      </c>
      <c r="O541" s="320"/>
      <c r="P541" s="320"/>
      <c r="Q541" s="220">
        <v>0</v>
      </c>
      <c r="R541" s="172">
        <f t="shared" si="504"/>
        <v>0</v>
      </c>
      <c r="S541" s="314"/>
      <c r="T541" s="314"/>
      <c r="U541" s="314"/>
      <c r="V541" s="172">
        <f t="shared" si="505"/>
        <v>0</v>
      </c>
      <c r="W541" s="172">
        <f t="shared" si="506"/>
        <v>0</v>
      </c>
      <c r="X541" s="172">
        <f t="shared" si="507"/>
        <v>0</v>
      </c>
      <c r="Y541" s="172">
        <f t="shared" si="508"/>
        <v>0</v>
      </c>
      <c r="Z541" s="172">
        <f t="shared" si="509"/>
        <v>0</v>
      </c>
      <c r="AA541" s="172">
        <f t="shared" si="510"/>
        <v>0</v>
      </c>
      <c r="AB541" s="172" t="s">
        <v>2422</v>
      </c>
      <c r="AC541" s="172" t="s">
        <v>2422</v>
      </c>
      <c r="AD541" s="172" t="s">
        <v>2422</v>
      </c>
      <c r="AE541" s="178">
        <v>592</v>
      </c>
    </row>
    <row r="542" spans="1:31" x14ac:dyDescent="0.25">
      <c r="A542" s="167">
        <v>592</v>
      </c>
      <c r="B542" s="247"/>
      <c r="C542" s="247"/>
      <c r="D542" s="247"/>
      <c r="E542" s="247"/>
      <c r="F542" s="247"/>
      <c r="G542" s="247"/>
      <c r="H542" s="223">
        <v>66154.212719999996</v>
      </c>
      <c r="I542" s="401"/>
      <c r="J542" s="223">
        <v>67052.900787999999</v>
      </c>
      <c r="K542" s="223">
        <f t="shared" ref="K542:AD542" si="514">SUM(K538:K541)</f>
        <v>67052.900787999999</v>
      </c>
      <c r="L542" s="223">
        <f t="shared" si="514"/>
        <v>32.236971532692309</v>
      </c>
      <c r="M542" s="223">
        <f t="shared" si="514"/>
        <v>2578.9577226153847</v>
      </c>
      <c r="N542" s="223">
        <f t="shared" si="514"/>
        <v>3043.5945205479452</v>
      </c>
      <c r="O542" s="223">
        <f t="shared" si="514"/>
        <v>0</v>
      </c>
      <c r="P542" s="223">
        <f t="shared" si="514"/>
        <v>0</v>
      </c>
      <c r="Q542" s="223">
        <f t="shared" si="514"/>
        <v>3043.5945205479452</v>
      </c>
      <c r="R542" s="223">
        <f t="shared" si="514"/>
        <v>70096.49530854795</v>
      </c>
      <c r="S542" s="223">
        <f t="shared" si="514"/>
        <v>0</v>
      </c>
      <c r="T542" s="223">
        <f t="shared" si="514"/>
        <v>0</v>
      </c>
      <c r="U542" s="223">
        <f t="shared" si="514"/>
        <v>0</v>
      </c>
      <c r="V542" s="223">
        <f t="shared" si="514"/>
        <v>70096.49530854795</v>
      </c>
      <c r="W542" s="223">
        <f t="shared" si="514"/>
        <v>4345.982709129973</v>
      </c>
      <c r="X542" s="223">
        <f t="shared" si="514"/>
        <v>1016.3991819739454</v>
      </c>
      <c r="Y542" s="223">
        <f t="shared" si="514"/>
        <v>10528.493595343902</v>
      </c>
      <c r="Z542" s="223">
        <f t="shared" si="514"/>
        <v>112.15439249367671</v>
      </c>
      <c r="AA542" s="223">
        <f t="shared" si="514"/>
        <v>49.067546715983568</v>
      </c>
      <c r="AB542" s="223">
        <f t="shared" si="514"/>
        <v>670</v>
      </c>
      <c r="AC542" s="223">
        <f t="shared" si="514"/>
        <v>20712.72</v>
      </c>
      <c r="AD542" s="223">
        <f t="shared" si="514"/>
        <v>213.8272</v>
      </c>
      <c r="AE542" s="178">
        <v>592</v>
      </c>
    </row>
    <row r="543" spans="1:31" x14ac:dyDescent="0.25">
      <c r="A543" s="247"/>
      <c r="B543" s="247"/>
      <c r="C543" s="247"/>
      <c r="D543" s="247"/>
      <c r="E543" s="247"/>
      <c r="F543" s="247"/>
      <c r="G543" s="247"/>
      <c r="H543" s="69">
        <v>66154.212719999996</v>
      </c>
      <c r="I543" s="169"/>
      <c r="J543" s="69">
        <v>67052.900787999999</v>
      </c>
      <c r="K543" s="69">
        <f>SUM(K538:K540)</f>
        <v>67052.900787999999</v>
      </c>
      <c r="L543" s="247"/>
      <c r="M543" s="247"/>
      <c r="N543" s="247"/>
      <c r="O543" s="247"/>
      <c r="P543" s="247"/>
      <c r="Q543" s="247"/>
      <c r="R543" s="65"/>
      <c r="S543" s="65"/>
      <c r="T543" s="65"/>
      <c r="U543" s="65"/>
      <c r="V543" s="65"/>
      <c r="W543" s="63">
        <f>W542+X542</f>
        <v>5362.381891103918</v>
      </c>
      <c r="X543" s="65"/>
      <c r="Y543" s="65"/>
      <c r="Z543" s="65"/>
      <c r="AA543" s="65"/>
      <c r="AB543" s="65"/>
      <c r="AC543" s="63">
        <f>SUM(AC542:AD542)</f>
        <v>20926.547200000001</v>
      </c>
      <c r="AD543" s="65"/>
      <c r="AE543" s="247"/>
    </row>
    <row r="544" spans="1:31" x14ac:dyDescent="0.25">
      <c r="A544" s="247"/>
      <c r="B544" s="247"/>
      <c r="C544" s="247"/>
      <c r="D544" s="247"/>
      <c r="E544" s="247"/>
      <c r="F544" s="247"/>
      <c r="G544" s="247"/>
      <c r="H544" s="247"/>
      <c r="I544" s="251"/>
      <c r="J544" s="247"/>
      <c r="K544" s="247"/>
      <c r="L544" s="247"/>
      <c r="M544" s="247"/>
      <c r="N544" s="247"/>
      <c r="O544" s="247"/>
      <c r="P544" s="247"/>
      <c r="Q544" s="247"/>
      <c r="R544" s="65"/>
      <c r="S544" s="65"/>
      <c r="T544" s="65"/>
      <c r="U544" s="65"/>
      <c r="V544" s="65"/>
      <c r="W544" s="65"/>
      <c r="X544" s="69">
        <f>SUM(V540:AD540)</f>
        <v>47922.295610000001</v>
      </c>
      <c r="Y544" s="65"/>
      <c r="Z544" s="65"/>
      <c r="AA544" s="65"/>
      <c r="AB544" s="65"/>
      <c r="AC544" s="65"/>
      <c r="AD544" s="65"/>
      <c r="AE544" s="247"/>
    </row>
    <row r="545" spans="1:31" x14ac:dyDescent="0.25">
      <c r="A545" s="247"/>
      <c r="B545" s="247"/>
      <c r="C545" s="247"/>
      <c r="D545" s="247"/>
      <c r="E545" s="247"/>
      <c r="F545" s="247"/>
      <c r="G545" s="247"/>
      <c r="H545" s="247"/>
      <c r="I545" s="251"/>
      <c r="J545" s="247"/>
      <c r="K545" s="247"/>
      <c r="L545" s="247"/>
      <c r="M545" s="247"/>
      <c r="N545" s="247"/>
      <c r="O545" s="247"/>
      <c r="P545" s="247"/>
      <c r="Q545" s="247"/>
      <c r="R545" s="65"/>
      <c r="S545" s="65"/>
      <c r="T545" s="65"/>
      <c r="U545" s="65"/>
      <c r="V545" s="65"/>
      <c r="W545" s="65"/>
      <c r="X545" s="65"/>
      <c r="Y545" s="65"/>
      <c r="Z545" s="65"/>
      <c r="AA545" s="65"/>
      <c r="AB545" s="65"/>
      <c r="AC545" s="65"/>
      <c r="AD545" s="65"/>
      <c r="AE545" s="247"/>
    </row>
    <row r="546" spans="1:31" x14ac:dyDescent="0.25">
      <c r="A546" s="167">
        <v>645</v>
      </c>
      <c r="B546" s="167">
        <v>645001</v>
      </c>
      <c r="C546" s="415" t="s">
        <v>1674</v>
      </c>
      <c r="D546" s="271" t="s">
        <v>2805</v>
      </c>
      <c r="E546" s="271" t="s">
        <v>4236</v>
      </c>
      <c r="F546" s="58">
        <v>43831</v>
      </c>
      <c r="G546" s="59">
        <f>(DATE(2020,12,30)-(F546))/365</f>
        <v>0.99726027397260275</v>
      </c>
      <c r="H546" s="132">
        <v>35948.325600000004</v>
      </c>
      <c r="I546" s="173"/>
      <c r="J546" s="132">
        <v>36847.033740000006</v>
      </c>
      <c r="K546" s="172">
        <v>0</v>
      </c>
      <c r="L546" s="172">
        <f>SUM(K546/2080)</f>
        <v>0</v>
      </c>
      <c r="M546" s="172">
        <f>SUM(K546/26)</f>
        <v>0</v>
      </c>
      <c r="N546" s="172">
        <f>IF(G546&lt;4,0,(G546-1)*$N$7)</f>
        <v>0</v>
      </c>
      <c r="O546" s="314"/>
      <c r="P546" s="172">
        <v>0</v>
      </c>
      <c r="Q546" s="172">
        <f>IF(N546+P546&gt;5000,5000,N546+P546)</f>
        <v>0</v>
      </c>
      <c r="R546" s="172">
        <f>Q546+K546</f>
        <v>0</v>
      </c>
      <c r="S546" s="314"/>
      <c r="T546" s="314"/>
      <c r="U546" s="314"/>
      <c r="V546" s="172">
        <f>SUM(R546:U546)</f>
        <v>0</v>
      </c>
      <c r="W546" s="172">
        <f>SUM(V546*$W$7)</f>
        <v>0</v>
      </c>
      <c r="X546" s="172">
        <f>SUM(V546*$X$7)</f>
        <v>0</v>
      </c>
      <c r="Y546" s="172">
        <f>SUM(V546*$Y$7)</f>
        <v>0</v>
      </c>
      <c r="Z546" s="172">
        <f>SUM(V546*$Z$7)</f>
        <v>0</v>
      </c>
      <c r="AA546" s="172">
        <f>SUM(V546*$AA$7)</f>
        <v>0</v>
      </c>
      <c r="AB546" s="172">
        <v>0</v>
      </c>
      <c r="AC546" s="172">
        <v>0</v>
      </c>
      <c r="AD546" s="172">
        <f>SUM(AB546+AC546)*$AD$7</f>
        <v>0</v>
      </c>
      <c r="AE546" s="178">
        <v>645</v>
      </c>
    </row>
    <row r="547" spans="1:31" x14ac:dyDescent="0.25">
      <c r="A547" s="167">
        <v>645</v>
      </c>
      <c r="B547" s="247"/>
      <c r="C547" s="247"/>
      <c r="D547" s="247"/>
      <c r="E547" s="247"/>
      <c r="F547" s="247"/>
      <c r="G547" s="247"/>
      <c r="H547" s="223">
        <v>35948.325600000004</v>
      </c>
      <c r="I547" s="401"/>
      <c r="J547" s="223">
        <v>36847.033740000006</v>
      </c>
      <c r="K547" s="223">
        <f t="shared" ref="K547:AD547" si="515">SUM(K545:K546)</f>
        <v>0</v>
      </c>
      <c r="L547" s="223">
        <f t="shared" si="515"/>
        <v>0</v>
      </c>
      <c r="M547" s="223">
        <f t="shared" si="515"/>
        <v>0</v>
      </c>
      <c r="N547" s="223">
        <f t="shared" si="515"/>
        <v>0</v>
      </c>
      <c r="O547" s="223">
        <f t="shared" si="515"/>
        <v>0</v>
      </c>
      <c r="P547" s="223">
        <f t="shared" si="515"/>
        <v>0</v>
      </c>
      <c r="Q547" s="223">
        <f t="shared" si="515"/>
        <v>0</v>
      </c>
      <c r="R547" s="223">
        <f t="shared" si="515"/>
        <v>0</v>
      </c>
      <c r="S547" s="223">
        <f t="shared" si="515"/>
        <v>0</v>
      </c>
      <c r="T547" s="223">
        <f t="shared" si="515"/>
        <v>0</v>
      </c>
      <c r="U547" s="223">
        <f t="shared" si="515"/>
        <v>0</v>
      </c>
      <c r="V547" s="223">
        <f t="shared" si="515"/>
        <v>0</v>
      </c>
      <c r="W547" s="223">
        <f t="shared" si="515"/>
        <v>0</v>
      </c>
      <c r="X547" s="223">
        <f t="shared" si="515"/>
        <v>0</v>
      </c>
      <c r="Y547" s="223">
        <f t="shared" si="515"/>
        <v>0</v>
      </c>
      <c r="Z547" s="223">
        <f t="shared" si="515"/>
        <v>0</v>
      </c>
      <c r="AA547" s="223">
        <f t="shared" si="515"/>
        <v>0</v>
      </c>
      <c r="AB547" s="223">
        <f t="shared" si="515"/>
        <v>0</v>
      </c>
      <c r="AC547" s="223">
        <f t="shared" si="515"/>
        <v>0</v>
      </c>
      <c r="AD547" s="223">
        <f t="shared" si="515"/>
        <v>0</v>
      </c>
      <c r="AE547" s="178">
        <v>645</v>
      </c>
    </row>
    <row r="548" spans="1:31" x14ac:dyDescent="0.25">
      <c r="A548" s="247"/>
      <c r="B548" s="247"/>
      <c r="C548" s="247"/>
      <c r="D548" s="247"/>
      <c r="E548" s="247"/>
      <c r="F548" s="247"/>
      <c r="G548" s="247"/>
      <c r="H548" s="247"/>
      <c r="I548" s="138"/>
      <c r="J548" s="247"/>
      <c r="K548" s="247"/>
      <c r="L548" s="247"/>
      <c r="M548" s="247"/>
      <c r="N548" s="247"/>
      <c r="O548" s="247"/>
      <c r="P548" s="247"/>
      <c r="Q548" s="247"/>
      <c r="R548" s="65"/>
      <c r="S548" s="65"/>
      <c r="T548" s="65"/>
      <c r="U548" s="65"/>
      <c r="V548" s="65"/>
      <c r="W548" s="63"/>
      <c r="X548" s="65"/>
      <c r="Y548" s="65"/>
      <c r="Z548" s="65"/>
      <c r="AA548" s="65"/>
      <c r="AB548" s="65"/>
      <c r="AC548" s="63"/>
      <c r="AD548" s="65"/>
      <c r="AE548" s="247"/>
    </row>
    <row r="549" spans="1:31" x14ac:dyDescent="0.25">
      <c r="A549" s="247"/>
      <c r="B549" s="247"/>
      <c r="C549" s="247"/>
      <c r="D549" s="247"/>
      <c r="E549" s="247"/>
      <c r="F549" s="247"/>
      <c r="G549" s="247"/>
      <c r="H549" s="247"/>
      <c r="I549" s="138"/>
      <c r="J549" s="247"/>
      <c r="K549" s="247"/>
      <c r="L549" s="247"/>
      <c r="M549" s="247"/>
      <c r="N549" s="247"/>
      <c r="O549" s="247"/>
      <c r="P549" s="247"/>
      <c r="Q549" s="247"/>
      <c r="R549" s="65"/>
      <c r="S549" s="65"/>
      <c r="T549" s="65"/>
      <c r="U549" s="65"/>
      <c r="V549" s="65"/>
      <c r="W549" s="65"/>
      <c r="X549" s="65"/>
      <c r="Y549" s="65"/>
      <c r="Z549" s="65"/>
      <c r="AA549" s="65"/>
      <c r="AB549" s="65"/>
      <c r="AC549" s="65"/>
      <c r="AD549" s="65"/>
      <c r="AE549" s="247"/>
    </row>
    <row r="550" spans="1:31" x14ac:dyDescent="0.25">
      <c r="A550" s="167">
        <v>650</v>
      </c>
      <c r="B550" s="167">
        <v>650001</v>
      </c>
      <c r="C550" s="168" t="s">
        <v>3343</v>
      </c>
      <c r="D550" s="168" t="s">
        <v>3344</v>
      </c>
      <c r="E550" s="168" t="s">
        <v>3207</v>
      </c>
      <c r="F550" s="58">
        <v>43402</v>
      </c>
      <c r="G550" s="59">
        <f t="shared" ref="G550:G552" si="516">(DATE(2020,12,30)-(F550))/365</f>
        <v>2.1726027397260275</v>
      </c>
      <c r="H550" s="61">
        <v>42672</v>
      </c>
      <c r="I550" s="63">
        <v>43738.8</v>
      </c>
      <c r="J550" s="61">
        <v>43738.8</v>
      </c>
      <c r="K550" s="63">
        <f t="shared" ref="K550:K552" si="517">SUM(((J550*$K$3)+$K$2)+J550)</f>
        <v>43738.8</v>
      </c>
      <c r="L550" s="59">
        <f t="shared" ref="L550:L552" si="518">SUM(K550/$L$7)</f>
        <v>21.028269230769233</v>
      </c>
      <c r="M550" s="61">
        <f t="shared" ref="M550:M552" si="519">SUM(K550/$M$7)</f>
        <v>1682.2615384615385</v>
      </c>
      <c r="N550" s="61">
        <f t="shared" ref="N550:N552" si="520">IF(G550&lt;4,0,(G550-1)*264)</f>
        <v>0</v>
      </c>
      <c r="O550" s="247"/>
      <c r="P550" s="247"/>
      <c r="Q550" s="63">
        <f t="shared" ref="Q550:Q552" si="521">IF(N550+P550&gt;5000,5000,N550+P550)</f>
        <v>0</v>
      </c>
      <c r="R550" s="63">
        <f t="shared" ref="R550:R554" si="522">SUM(K550+Q550)</f>
        <v>43738.8</v>
      </c>
      <c r="S550" s="65"/>
      <c r="T550" s="65"/>
      <c r="U550" s="65"/>
      <c r="V550" s="63">
        <f t="shared" ref="V550:V554" si="523">SUM(R550:U550)</f>
        <v>43738.8</v>
      </c>
      <c r="W550" s="63">
        <f t="shared" ref="W550:W554" si="524">SUM(V550*$W$7)</f>
        <v>2711.8056000000001</v>
      </c>
      <c r="X550" s="63">
        <f t="shared" ref="X550:X554" si="525">SUM(V550*$X$7)</f>
        <v>634.21260000000007</v>
      </c>
      <c r="Y550" s="63">
        <f t="shared" ref="Y550:Y554" si="526">SUM(V550*$Y$7)</f>
        <v>6569.5677600000008</v>
      </c>
      <c r="Z550" s="63">
        <f t="shared" ref="Z550:Z554" si="527">SUM(V550*$Z$7)</f>
        <v>69.982080000000011</v>
      </c>
      <c r="AA550" s="63">
        <f t="shared" ref="AA550:AA554" si="528">SUM(V550*$AA$7)</f>
        <v>30.617160000000002</v>
      </c>
      <c r="AB550" s="63">
        <f t="shared" ref="AB550:AB552" si="529">SUM($AB$7)</f>
        <v>335</v>
      </c>
      <c r="AC550" s="63">
        <f t="shared" ref="AC550:AC552" si="530">$AC$7</f>
        <v>10356.36</v>
      </c>
      <c r="AD550" s="63">
        <f t="shared" ref="AD550:AD552" si="531">SUM(AB550+AC550)*$AD$7</f>
        <v>106.9136</v>
      </c>
      <c r="AE550" s="178">
        <v>650</v>
      </c>
    </row>
    <row r="551" spans="1:31" x14ac:dyDescent="0.25">
      <c r="A551" s="167">
        <v>650</v>
      </c>
      <c r="B551" s="167">
        <v>650002</v>
      </c>
      <c r="C551" s="168" t="s">
        <v>3346</v>
      </c>
      <c r="D551" s="168" t="s">
        <v>3057</v>
      </c>
      <c r="E551" s="168" t="s">
        <v>3347</v>
      </c>
      <c r="F551" s="58">
        <v>43108</v>
      </c>
      <c r="G551" s="59">
        <f t="shared" si="516"/>
        <v>2.978082191780822</v>
      </c>
      <c r="H551" s="61">
        <v>30793.375039999999</v>
      </c>
      <c r="I551" s="63">
        <v>31563.21</v>
      </c>
      <c r="J551" s="61">
        <v>31563.209415999998</v>
      </c>
      <c r="K551" s="63">
        <f t="shared" si="517"/>
        <v>31563.209415999998</v>
      </c>
      <c r="L551" s="59">
        <f t="shared" si="518"/>
        <v>15.174619911538461</v>
      </c>
      <c r="M551" s="61">
        <f t="shared" si="519"/>
        <v>1213.9695929230768</v>
      </c>
      <c r="N551" s="61">
        <f t="shared" si="520"/>
        <v>0</v>
      </c>
      <c r="O551" s="247"/>
      <c r="P551" s="247"/>
      <c r="Q551" s="63">
        <f t="shared" si="521"/>
        <v>0</v>
      </c>
      <c r="R551" s="63">
        <f t="shared" si="522"/>
        <v>31563.209415999998</v>
      </c>
      <c r="S551" s="65"/>
      <c r="T551" s="65"/>
      <c r="U551" s="65"/>
      <c r="V551" s="63">
        <f t="shared" si="523"/>
        <v>31563.209415999998</v>
      </c>
      <c r="W551" s="63">
        <f t="shared" si="524"/>
        <v>1956.9189837919998</v>
      </c>
      <c r="X551" s="63">
        <f t="shared" si="525"/>
        <v>457.66653653200001</v>
      </c>
      <c r="Y551" s="63">
        <f t="shared" si="526"/>
        <v>4740.7940542831993</v>
      </c>
      <c r="Z551" s="63">
        <f t="shared" si="527"/>
        <v>50.501135065599996</v>
      </c>
      <c r="AA551" s="63">
        <f t="shared" si="528"/>
        <v>22.094246591199997</v>
      </c>
      <c r="AB551" s="63">
        <f t="shared" si="529"/>
        <v>335</v>
      </c>
      <c r="AC551" s="63">
        <f t="shared" si="530"/>
        <v>10356.36</v>
      </c>
      <c r="AD551" s="63">
        <f t="shared" si="531"/>
        <v>106.9136</v>
      </c>
      <c r="AE551" s="178">
        <v>650</v>
      </c>
    </row>
    <row r="552" spans="1:31" x14ac:dyDescent="0.25">
      <c r="A552" s="167">
        <v>650</v>
      </c>
      <c r="B552" s="167">
        <v>650003</v>
      </c>
      <c r="C552" s="168" t="s">
        <v>3349</v>
      </c>
      <c r="D552" s="181" t="s">
        <v>2999</v>
      </c>
      <c r="E552" s="181" t="s">
        <v>3350</v>
      </c>
      <c r="F552" s="58">
        <v>42736</v>
      </c>
      <c r="G552" s="59">
        <f t="shared" si="516"/>
        <v>3.9972602739726026</v>
      </c>
      <c r="H552" s="61">
        <v>28448</v>
      </c>
      <c r="I552" s="63">
        <v>29159.200000000001</v>
      </c>
      <c r="J552" s="61">
        <v>29159.200000000001</v>
      </c>
      <c r="K552" s="63">
        <f t="shared" si="517"/>
        <v>29159.200000000001</v>
      </c>
      <c r="L552" s="59">
        <f t="shared" si="518"/>
        <v>14.018846153846154</v>
      </c>
      <c r="M552" s="61">
        <f t="shared" si="519"/>
        <v>1121.5076923076924</v>
      </c>
      <c r="N552" s="61">
        <f t="shared" si="520"/>
        <v>0</v>
      </c>
      <c r="O552" s="247"/>
      <c r="P552" s="247"/>
      <c r="Q552" s="63">
        <f t="shared" si="521"/>
        <v>0</v>
      </c>
      <c r="R552" s="63">
        <f t="shared" si="522"/>
        <v>29159.200000000001</v>
      </c>
      <c r="S552" s="65"/>
      <c r="T552" s="65"/>
      <c r="U552" s="65"/>
      <c r="V552" s="63">
        <f t="shared" si="523"/>
        <v>29159.200000000001</v>
      </c>
      <c r="W552" s="63">
        <f t="shared" si="524"/>
        <v>1807.8704</v>
      </c>
      <c r="X552" s="63">
        <f t="shared" si="525"/>
        <v>422.80840000000001</v>
      </c>
      <c r="Y552" s="63">
        <f t="shared" si="526"/>
        <v>4379.7118399999999</v>
      </c>
      <c r="Z552" s="63">
        <f t="shared" si="527"/>
        <v>46.654720000000005</v>
      </c>
      <c r="AA552" s="63">
        <f t="shared" si="528"/>
        <v>20.411439999999999</v>
      </c>
      <c r="AB552" s="63">
        <f t="shared" si="529"/>
        <v>335</v>
      </c>
      <c r="AC552" s="63">
        <f t="shared" si="530"/>
        <v>10356.36</v>
      </c>
      <c r="AD552" s="63">
        <f t="shared" si="531"/>
        <v>106.9136</v>
      </c>
      <c r="AE552" s="178">
        <v>650</v>
      </c>
    </row>
    <row r="553" spans="1:31" x14ac:dyDescent="0.25">
      <c r="A553" s="167">
        <v>650</v>
      </c>
      <c r="B553" s="247"/>
      <c r="C553" s="168" t="s">
        <v>2495</v>
      </c>
      <c r="D553" s="247" t="s">
        <v>3351</v>
      </c>
      <c r="E553" s="247" t="s">
        <v>3352</v>
      </c>
      <c r="F553" s="84">
        <v>43277</v>
      </c>
      <c r="G553" s="167" t="s">
        <v>2422</v>
      </c>
      <c r="H553" s="63">
        <v>745</v>
      </c>
      <c r="I553" s="169"/>
      <c r="J553" s="63">
        <v>745</v>
      </c>
      <c r="K553" s="63">
        <v>745</v>
      </c>
      <c r="L553" s="247"/>
      <c r="M553" s="247"/>
      <c r="N553" s="167" t="s">
        <v>27</v>
      </c>
      <c r="O553" s="247"/>
      <c r="P553" s="247"/>
      <c r="Q553" s="65"/>
      <c r="R553" s="63">
        <f t="shared" si="522"/>
        <v>745</v>
      </c>
      <c r="S553" s="65"/>
      <c r="T553" s="65"/>
      <c r="U553" s="65"/>
      <c r="V553" s="63">
        <f t="shared" si="523"/>
        <v>745</v>
      </c>
      <c r="W553" s="63">
        <f t="shared" si="524"/>
        <v>46.19</v>
      </c>
      <c r="X553" s="63">
        <f t="shared" si="525"/>
        <v>10.8025</v>
      </c>
      <c r="Y553" s="63">
        <f t="shared" si="526"/>
        <v>111.899</v>
      </c>
      <c r="Z553" s="63">
        <f t="shared" si="527"/>
        <v>1.1919999999999999</v>
      </c>
      <c r="AA553" s="63">
        <f t="shared" si="528"/>
        <v>0.52149999999999996</v>
      </c>
      <c r="AB553" s="63" t="s">
        <v>2422</v>
      </c>
      <c r="AC553" s="63" t="s">
        <v>2422</v>
      </c>
      <c r="AD553" s="63" t="s">
        <v>2422</v>
      </c>
      <c r="AE553" s="178">
        <v>650</v>
      </c>
    </row>
    <row r="554" spans="1:31" x14ac:dyDescent="0.25">
      <c r="A554" s="167">
        <v>650</v>
      </c>
      <c r="B554" s="247"/>
      <c r="C554" s="271" t="s">
        <v>4237</v>
      </c>
      <c r="D554" s="168" t="s">
        <v>4238</v>
      </c>
      <c r="E554" s="168" t="s">
        <v>4239</v>
      </c>
      <c r="F554" s="58">
        <v>43641</v>
      </c>
      <c r="G554" s="167" t="s">
        <v>2422</v>
      </c>
      <c r="H554" s="132">
        <v>45000</v>
      </c>
      <c r="I554" s="286"/>
      <c r="J554" s="132">
        <v>45000</v>
      </c>
      <c r="K554" s="218">
        <v>49920</v>
      </c>
      <c r="L554" s="320"/>
      <c r="M554" s="320"/>
      <c r="N554" s="220" t="s">
        <v>27</v>
      </c>
      <c r="O554" s="320"/>
      <c r="P554" s="320"/>
      <c r="Q554" s="314"/>
      <c r="R554" s="172">
        <f t="shared" si="522"/>
        <v>49920</v>
      </c>
      <c r="S554" s="314"/>
      <c r="T554" s="314"/>
      <c r="U554" s="314"/>
      <c r="V554" s="172">
        <f t="shared" si="523"/>
        <v>49920</v>
      </c>
      <c r="W554" s="172">
        <f t="shared" si="524"/>
        <v>3095.04</v>
      </c>
      <c r="X554" s="172">
        <f t="shared" si="525"/>
        <v>723.84</v>
      </c>
      <c r="Y554" s="172">
        <f t="shared" si="526"/>
        <v>7497.9840000000004</v>
      </c>
      <c r="Z554" s="172">
        <f t="shared" si="527"/>
        <v>79.872</v>
      </c>
      <c r="AA554" s="172">
        <f t="shared" si="528"/>
        <v>34.944000000000003</v>
      </c>
      <c r="AB554" s="172" t="s">
        <v>2422</v>
      </c>
      <c r="AC554" s="172" t="s">
        <v>2422</v>
      </c>
      <c r="AD554" s="172" t="s">
        <v>2422</v>
      </c>
      <c r="AE554" s="178">
        <v>650</v>
      </c>
    </row>
    <row r="555" spans="1:31" x14ac:dyDescent="0.25">
      <c r="A555" s="167">
        <v>650</v>
      </c>
      <c r="B555" s="247"/>
      <c r="C555" s="247"/>
      <c r="D555" s="168" t="s">
        <v>3354</v>
      </c>
      <c r="E555" s="168" t="s">
        <v>3355</v>
      </c>
      <c r="F555" s="58">
        <v>43494</v>
      </c>
      <c r="G555" s="247"/>
      <c r="H555" s="223">
        <v>147658.37504000001</v>
      </c>
      <c r="I555" s="401"/>
      <c r="J555" s="223">
        <v>150206.209416</v>
      </c>
      <c r="K555" s="223">
        <f t="shared" ref="K555:AD555" si="532">SUM(K549:K554)</f>
        <v>155126.209416</v>
      </c>
      <c r="L555" s="223">
        <f t="shared" si="532"/>
        <v>50.221735296153852</v>
      </c>
      <c r="M555" s="223">
        <f t="shared" si="532"/>
        <v>4017.738823692308</v>
      </c>
      <c r="N555" s="223">
        <f t="shared" si="532"/>
        <v>0</v>
      </c>
      <c r="O555" s="223">
        <f t="shared" si="532"/>
        <v>0</v>
      </c>
      <c r="P555" s="223">
        <f t="shared" si="532"/>
        <v>0</v>
      </c>
      <c r="Q555" s="223">
        <f t="shared" si="532"/>
        <v>0</v>
      </c>
      <c r="R555" s="223">
        <f t="shared" si="532"/>
        <v>155126.209416</v>
      </c>
      <c r="S555" s="223">
        <f t="shared" si="532"/>
        <v>0</v>
      </c>
      <c r="T555" s="223">
        <f t="shared" si="532"/>
        <v>0</v>
      </c>
      <c r="U555" s="223">
        <f t="shared" si="532"/>
        <v>0</v>
      </c>
      <c r="V555" s="223">
        <f t="shared" si="532"/>
        <v>155126.209416</v>
      </c>
      <c r="W555" s="223">
        <f t="shared" si="532"/>
        <v>9617.8249837919993</v>
      </c>
      <c r="X555" s="223">
        <f t="shared" si="532"/>
        <v>2249.3300365320001</v>
      </c>
      <c r="Y555" s="223">
        <f t="shared" si="532"/>
        <v>23299.9566542832</v>
      </c>
      <c r="Z555" s="223">
        <f t="shared" si="532"/>
        <v>248.20193506560003</v>
      </c>
      <c r="AA555" s="223">
        <f t="shared" si="532"/>
        <v>108.58834659120001</v>
      </c>
      <c r="AB555" s="223">
        <f t="shared" si="532"/>
        <v>1005</v>
      </c>
      <c r="AC555" s="223">
        <f t="shared" si="532"/>
        <v>31069.08</v>
      </c>
      <c r="AD555" s="223">
        <f t="shared" si="532"/>
        <v>320.74080000000004</v>
      </c>
      <c r="AE555" s="178">
        <v>650</v>
      </c>
    </row>
    <row r="556" spans="1:31" x14ac:dyDescent="0.25">
      <c r="A556" s="247"/>
      <c r="B556" s="247"/>
      <c r="C556" s="247"/>
      <c r="D556" s="168" t="s">
        <v>4240</v>
      </c>
      <c r="E556" s="168" t="s">
        <v>2694</v>
      </c>
      <c r="F556" s="58">
        <v>43661</v>
      </c>
      <c r="G556" s="247"/>
      <c r="H556" s="69">
        <v>101913.37504</v>
      </c>
      <c r="I556" s="169"/>
      <c r="J556" s="69">
        <v>104461.209416</v>
      </c>
      <c r="K556" s="69">
        <f>SUM(K549:K552)</f>
        <v>104461.209416</v>
      </c>
      <c r="L556" s="247"/>
      <c r="M556" s="247"/>
      <c r="N556" s="247"/>
      <c r="O556" s="247"/>
      <c r="P556" s="247"/>
      <c r="Q556" s="247"/>
      <c r="R556" s="65"/>
      <c r="S556" s="65"/>
      <c r="T556" s="65"/>
      <c r="U556" s="65"/>
      <c r="V556" s="65"/>
      <c r="W556" s="63">
        <f>W555+X555</f>
        <v>11867.155020324</v>
      </c>
      <c r="X556" s="65"/>
      <c r="Y556" s="65"/>
      <c r="Z556" s="65"/>
      <c r="AA556" s="65"/>
      <c r="AB556" s="65"/>
      <c r="AC556" s="63">
        <f>SUM(AC555:AD555)</f>
        <v>31389.820800000001</v>
      </c>
      <c r="AD556" s="65"/>
      <c r="AE556" s="247"/>
    </row>
    <row r="557" spans="1:31" x14ac:dyDescent="0.25">
      <c r="A557" s="247"/>
      <c r="B557" s="247"/>
      <c r="C557" s="247"/>
      <c r="D557" s="247"/>
      <c r="E557" s="247"/>
      <c r="F557" s="80"/>
      <c r="G557" s="247"/>
      <c r="H557" s="247"/>
      <c r="I557" s="169"/>
      <c r="J557" s="247"/>
      <c r="K557" s="247"/>
      <c r="L557" s="247"/>
      <c r="M557" s="247"/>
      <c r="N557" s="247"/>
      <c r="O557" s="247"/>
      <c r="P557" s="247"/>
      <c r="Q557" s="247"/>
      <c r="R557" s="65"/>
      <c r="S557" s="65"/>
      <c r="T557" s="65"/>
      <c r="U557" s="65"/>
      <c r="V557" s="65"/>
      <c r="W557" s="65"/>
      <c r="X557" s="65"/>
      <c r="Y557" s="65"/>
      <c r="Z557" s="65"/>
      <c r="AA557" s="65"/>
      <c r="AB557" s="65"/>
      <c r="AC557" s="65"/>
      <c r="AD557" s="65"/>
      <c r="AE557" s="247"/>
    </row>
    <row r="558" spans="1:31" x14ac:dyDescent="0.25">
      <c r="A558" s="247"/>
      <c r="B558" s="247"/>
      <c r="C558" s="247"/>
      <c r="D558" s="247"/>
      <c r="E558" s="247"/>
      <c r="F558" s="247"/>
      <c r="G558" s="247"/>
      <c r="H558" s="320"/>
      <c r="I558" s="251"/>
      <c r="J558" s="320"/>
      <c r="K558" s="320"/>
      <c r="L558" s="320"/>
      <c r="M558" s="320"/>
      <c r="N558" s="320"/>
      <c r="O558" s="320"/>
      <c r="P558" s="320"/>
      <c r="Q558" s="320"/>
      <c r="R558" s="314"/>
      <c r="S558" s="314"/>
      <c r="T558" s="314"/>
      <c r="U558" s="314"/>
      <c r="V558" s="314"/>
      <c r="W558" s="314"/>
      <c r="X558" s="314"/>
      <c r="Y558" s="314"/>
      <c r="Z558" s="314"/>
      <c r="AA558" s="314"/>
      <c r="AB558" s="314"/>
      <c r="AC558" s="314"/>
      <c r="AD558" s="314"/>
      <c r="AE558" s="247"/>
    </row>
    <row r="559" spans="1:31" x14ac:dyDescent="0.25">
      <c r="A559" s="167">
        <v>660</v>
      </c>
      <c r="B559" s="168"/>
      <c r="C559" s="168" t="s">
        <v>3359</v>
      </c>
      <c r="D559" s="168" t="s">
        <v>3360</v>
      </c>
      <c r="E559" s="168" t="s">
        <v>2719</v>
      </c>
      <c r="F559" s="58">
        <v>43243</v>
      </c>
      <c r="G559" s="167" t="s">
        <v>2422</v>
      </c>
      <c r="H559" s="223">
        <v>12460.24</v>
      </c>
      <c r="I559" s="401"/>
      <c r="J559" s="223">
        <v>12460.24</v>
      </c>
      <c r="K559" s="223">
        <v>12460.24</v>
      </c>
      <c r="L559" s="275">
        <f>SUM(K559/$L$7)</f>
        <v>5.9904999999999999</v>
      </c>
      <c r="M559" s="223">
        <f>SUM(K559/$M$7)</f>
        <v>479.24</v>
      </c>
      <c r="N559" s="223">
        <v>0</v>
      </c>
      <c r="O559" s="416"/>
      <c r="P559" s="416"/>
      <c r="Q559" s="223">
        <f>SUM(N559+P559)</f>
        <v>0</v>
      </c>
      <c r="R559" s="175">
        <f>SUM(K559+Q559)</f>
        <v>12460.24</v>
      </c>
      <c r="S559" s="175">
        <v>0</v>
      </c>
      <c r="T559" s="175">
        <v>0</v>
      </c>
      <c r="U559" s="175">
        <v>0</v>
      </c>
      <c r="V559" s="175">
        <f>SUM(R559:U559)</f>
        <v>12460.24</v>
      </c>
      <c r="W559" s="175">
        <f>SUM(V559*$W$7)</f>
        <v>772.53487999999993</v>
      </c>
      <c r="X559" s="175">
        <f>SUM(V559*$X$7)</f>
        <v>180.67348000000001</v>
      </c>
      <c r="Y559" s="175">
        <f>SUM(V559*$Y$7)</f>
        <v>1871.5280479999999</v>
      </c>
      <c r="Z559" s="175">
        <f>SUM(V559*$Z$7)</f>
        <v>19.936384</v>
      </c>
      <c r="AA559" s="175">
        <f>SUM(V559*$AA$7)</f>
        <v>8.7221679999999999</v>
      </c>
      <c r="AB559" s="175">
        <v>0</v>
      </c>
      <c r="AC559" s="175">
        <v>0</v>
      </c>
      <c r="AD559" s="175">
        <v>0</v>
      </c>
      <c r="AE559" s="178">
        <v>660</v>
      </c>
    </row>
    <row r="560" spans="1:31" x14ac:dyDescent="0.25">
      <c r="A560" s="247"/>
      <c r="B560" s="247"/>
      <c r="C560" s="247"/>
      <c r="D560" s="247"/>
      <c r="E560" s="247"/>
      <c r="F560" s="247"/>
      <c r="G560" s="247"/>
      <c r="H560" s="247"/>
      <c r="I560" s="138"/>
      <c r="J560" s="247"/>
      <c r="K560" s="247"/>
      <c r="L560" s="247"/>
      <c r="M560" s="247"/>
      <c r="N560" s="247"/>
      <c r="O560" s="247"/>
      <c r="P560" s="247"/>
      <c r="Q560" s="247"/>
      <c r="R560" s="65"/>
      <c r="S560" s="65"/>
      <c r="T560" s="65"/>
      <c r="U560" s="65"/>
      <c r="V560" s="65"/>
      <c r="W560" s="63">
        <f>W559+X559</f>
        <v>953.20835999999997</v>
      </c>
      <c r="X560" s="65"/>
      <c r="Y560" s="65"/>
      <c r="Z560" s="65"/>
      <c r="AA560" s="65"/>
      <c r="AB560" s="65"/>
      <c r="AC560" s="63">
        <v>0</v>
      </c>
      <c r="AD560" s="65"/>
      <c r="AE560" s="247"/>
    </row>
    <row r="561" spans="1:31" x14ac:dyDescent="0.25">
      <c r="A561" s="247"/>
      <c r="B561" s="247"/>
      <c r="C561" s="247"/>
      <c r="D561" s="247"/>
      <c r="E561" s="247"/>
      <c r="F561" s="247"/>
      <c r="G561" s="247"/>
      <c r="H561" s="247"/>
      <c r="I561" s="138"/>
      <c r="J561" s="247"/>
      <c r="K561" s="247"/>
      <c r="L561" s="247"/>
      <c r="M561" s="247"/>
      <c r="N561" s="247"/>
      <c r="O561" s="247"/>
      <c r="P561" s="247"/>
      <c r="Q561" s="247"/>
      <c r="R561" s="65"/>
      <c r="S561" s="65"/>
      <c r="T561" s="65"/>
      <c r="U561" s="65"/>
      <c r="V561" s="65"/>
      <c r="W561" s="65"/>
      <c r="X561" s="65"/>
      <c r="Y561" s="65"/>
      <c r="Z561" s="65"/>
      <c r="AA561" s="65"/>
      <c r="AB561" s="65"/>
      <c r="AC561" s="65"/>
      <c r="AD561" s="65"/>
      <c r="AE561" s="247"/>
    </row>
    <row r="562" spans="1:31" x14ac:dyDescent="0.25">
      <c r="A562" s="247"/>
      <c r="B562" s="247"/>
      <c r="C562" s="247"/>
      <c r="D562" s="247"/>
      <c r="E562" s="247"/>
      <c r="F562" s="247"/>
      <c r="G562" s="247"/>
      <c r="H562" s="247"/>
      <c r="I562" s="251"/>
      <c r="J562" s="247"/>
      <c r="K562" s="247"/>
      <c r="L562" s="247"/>
      <c r="M562" s="247"/>
      <c r="N562" s="247"/>
      <c r="O562" s="247"/>
      <c r="P562" s="247"/>
      <c r="Q562" s="247"/>
      <c r="R562" s="65"/>
      <c r="S562" s="65"/>
      <c r="T562" s="65"/>
      <c r="U562" s="65"/>
      <c r="V562" s="65"/>
      <c r="W562" s="65"/>
      <c r="X562" s="65"/>
      <c r="Y562" s="65"/>
      <c r="Z562" s="65"/>
      <c r="AA562" s="65"/>
      <c r="AB562" s="65"/>
      <c r="AC562" s="65"/>
      <c r="AD562" s="65"/>
      <c r="AE562" s="247"/>
    </row>
    <row r="563" spans="1:31" x14ac:dyDescent="0.25">
      <c r="A563" s="167">
        <v>665</v>
      </c>
      <c r="B563" s="167">
        <v>665001</v>
      </c>
      <c r="C563" s="168" t="s">
        <v>4241</v>
      </c>
      <c r="D563" s="168" t="s">
        <v>3374</v>
      </c>
      <c r="E563" s="168" t="s">
        <v>2430</v>
      </c>
      <c r="F563" s="58">
        <v>39104</v>
      </c>
      <c r="G563" s="59">
        <f t="shared" ref="G563:G567" si="533">(DATE(2020,12,30)-(F563))/365</f>
        <v>13.947945205479453</v>
      </c>
      <c r="H563" s="61">
        <v>31172.424320000002</v>
      </c>
      <c r="I563" s="63">
        <v>31951.73</v>
      </c>
      <c r="J563" s="61">
        <v>31951.734928000002</v>
      </c>
      <c r="K563" s="63">
        <f>SUM(((J563*$K$3)+$K$2)+J563)</f>
        <v>31951.734928000002</v>
      </c>
      <c r="L563" s="59">
        <f t="shared" ref="L563:L567" si="534">SUM(K563/$L$7)</f>
        <v>15.361411023076924</v>
      </c>
      <c r="M563" s="61">
        <f t="shared" ref="M563:M567" si="535">SUM(K563/$M$7)</f>
        <v>1228.9128818461538</v>
      </c>
      <c r="N563" s="61">
        <f t="shared" ref="N563:N567" si="536">IF(G563&lt;4,0,(G563-1)*264)</f>
        <v>3418.2575342465757</v>
      </c>
      <c r="O563" s="247"/>
      <c r="P563" s="247"/>
      <c r="Q563" s="63">
        <f t="shared" ref="Q563:Q567" si="537">IF(N563+P563&gt;5000,5000,N563+P563)</f>
        <v>3418.2575342465757</v>
      </c>
      <c r="R563" s="63">
        <f t="shared" ref="R563:R567" si="538">SUM(K563+Q563)</f>
        <v>35369.992462246577</v>
      </c>
      <c r="S563" s="65"/>
      <c r="T563" s="65"/>
      <c r="U563" s="65"/>
      <c r="V563" s="63">
        <f t="shared" ref="V563:V567" si="539">SUM(R563:U563)</f>
        <v>35369.992462246577</v>
      </c>
      <c r="W563" s="63">
        <f t="shared" ref="W563:W567" si="540">SUM(V563*$W$7)</f>
        <v>2192.9395326592876</v>
      </c>
      <c r="X563" s="63">
        <f t="shared" ref="X563:X567" si="541">SUM(V563*$X$7)</f>
        <v>512.86489070257539</v>
      </c>
      <c r="Y563" s="63">
        <f t="shared" ref="Y563:Y564" si="542">SUM(V563*$Y$7)</f>
        <v>5312.5728678294363</v>
      </c>
      <c r="Z563" s="63">
        <f t="shared" ref="Z563:Z564" si="543">SUM(V563*$Z$7)</f>
        <v>56.591987939594524</v>
      </c>
      <c r="AA563" s="63">
        <f t="shared" ref="AA563:AA567" si="544">SUM(V563*$AA$7)</f>
        <v>24.758994723572602</v>
      </c>
      <c r="AB563" s="63">
        <f t="shared" ref="AB563:AB564" si="545">SUM($AB$7)</f>
        <v>335</v>
      </c>
      <c r="AC563" s="63">
        <f t="shared" ref="AC563:AC564" si="546">$AC$7</f>
        <v>10356.36</v>
      </c>
      <c r="AD563" s="63">
        <f t="shared" ref="AD563:AD564" si="547">SUM(AB563+AC563)*$AD$7</f>
        <v>106.9136</v>
      </c>
      <c r="AE563" s="178">
        <v>665</v>
      </c>
    </row>
    <row r="564" spans="1:31" x14ac:dyDescent="0.25">
      <c r="A564" s="167">
        <v>665</v>
      </c>
      <c r="B564" s="167">
        <v>665002</v>
      </c>
      <c r="C564" s="168" t="s">
        <v>4242</v>
      </c>
      <c r="D564" s="168" t="s">
        <v>3364</v>
      </c>
      <c r="E564" s="168" t="s">
        <v>3365</v>
      </c>
      <c r="F564" s="108">
        <v>43297</v>
      </c>
      <c r="G564" s="59">
        <f t="shared" si="533"/>
        <v>2.4602739726027396</v>
      </c>
      <c r="H564" s="61">
        <v>26579.626799999998</v>
      </c>
      <c r="I564" s="63">
        <v>27244.12</v>
      </c>
      <c r="J564" s="61">
        <v>27244.117469999997</v>
      </c>
      <c r="K564" s="63">
        <v>31951.73</v>
      </c>
      <c r="L564" s="59">
        <f t="shared" si="534"/>
        <v>15.361408653846153</v>
      </c>
      <c r="M564" s="61">
        <f t="shared" si="535"/>
        <v>1228.9126923076924</v>
      </c>
      <c r="N564" s="61">
        <f t="shared" si="536"/>
        <v>0</v>
      </c>
      <c r="O564" s="247"/>
      <c r="P564" s="247"/>
      <c r="Q564" s="63">
        <f t="shared" si="537"/>
        <v>0</v>
      </c>
      <c r="R564" s="63">
        <f t="shared" si="538"/>
        <v>31951.73</v>
      </c>
      <c r="S564" s="65"/>
      <c r="T564" s="65"/>
      <c r="U564" s="65"/>
      <c r="V564" s="63">
        <f t="shared" si="539"/>
        <v>31951.73</v>
      </c>
      <c r="W564" s="63">
        <f t="shared" si="540"/>
        <v>1981.0072599999999</v>
      </c>
      <c r="X564" s="63">
        <f t="shared" si="541"/>
        <v>463.30008500000002</v>
      </c>
      <c r="Y564" s="63">
        <f t="shared" si="542"/>
        <v>4799.1498460000003</v>
      </c>
      <c r="Z564" s="63">
        <f t="shared" si="543"/>
        <v>51.122768000000001</v>
      </c>
      <c r="AA564" s="63">
        <f t="shared" si="544"/>
        <v>22.366211</v>
      </c>
      <c r="AB564" s="63">
        <f t="shared" si="545"/>
        <v>335</v>
      </c>
      <c r="AC564" s="63">
        <f t="shared" si="546"/>
        <v>10356.36</v>
      </c>
      <c r="AD564" s="63">
        <f t="shared" si="547"/>
        <v>106.9136</v>
      </c>
      <c r="AE564" s="178">
        <v>665</v>
      </c>
    </row>
    <row r="565" spans="1:31" x14ac:dyDescent="0.25">
      <c r="A565" s="167">
        <v>665</v>
      </c>
      <c r="B565" s="167">
        <v>665003</v>
      </c>
      <c r="C565" s="168" t="s">
        <v>3370</v>
      </c>
      <c r="D565" s="168" t="s">
        <v>3371</v>
      </c>
      <c r="E565" s="277" t="s">
        <v>2674</v>
      </c>
      <c r="F565" s="58">
        <v>42484</v>
      </c>
      <c r="G565" s="59">
        <f t="shared" si="533"/>
        <v>4.6876712328767125</v>
      </c>
      <c r="H565" s="61">
        <v>19745.259999999998</v>
      </c>
      <c r="I565" s="61">
        <v>19745.259999999998</v>
      </c>
      <c r="J565" s="61">
        <v>19745.259999999998</v>
      </c>
      <c r="K565" s="61">
        <v>19745.259999999998</v>
      </c>
      <c r="L565" s="59">
        <f t="shared" si="534"/>
        <v>9.4929134615384605</v>
      </c>
      <c r="M565" s="61">
        <f t="shared" si="535"/>
        <v>759.4330769230769</v>
      </c>
      <c r="N565" s="61">
        <f t="shared" si="536"/>
        <v>973.54520547945208</v>
      </c>
      <c r="O565" s="247"/>
      <c r="P565" s="247"/>
      <c r="Q565" s="63">
        <f t="shared" si="537"/>
        <v>973.54520547945208</v>
      </c>
      <c r="R565" s="63">
        <f t="shared" si="538"/>
        <v>20718.80520547945</v>
      </c>
      <c r="S565" s="63">
        <v>4920</v>
      </c>
      <c r="T565" s="65"/>
      <c r="U565" s="65"/>
      <c r="V565" s="63">
        <f t="shared" si="539"/>
        <v>25638.80520547945</v>
      </c>
      <c r="W565" s="63">
        <f t="shared" si="540"/>
        <v>1589.6059227397259</v>
      </c>
      <c r="X565" s="63">
        <f t="shared" si="541"/>
        <v>371.76267547945201</v>
      </c>
      <c r="Y565" s="63" t="s">
        <v>2422</v>
      </c>
      <c r="Z565" s="63" t="s">
        <v>2422</v>
      </c>
      <c r="AA565" s="63">
        <f t="shared" si="544"/>
        <v>17.947163643835616</v>
      </c>
      <c r="AB565" s="63" t="s">
        <v>2422</v>
      </c>
      <c r="AC565" s="63" t="s">
        <v>2422</v>
      </c>
      <c r="AD565" s="63" t="s">
        <v>2422</v>
      </c>
      <c r="AE565" s="178">
        <v>665</v>
      </c>
    </row>
    <row r="566" spans="1:31" x14ac:dyDescent="0.25">
      <c r="A566" s="167">
        <v>665</v>
      </c>
      <c r="B566" s="167">
        <v>665004</v>
      </c>
      <c r="C566" s="168" t="s">
        <v>3373</v>
      </c>
      <c r="D566" s="271" t="s">
        <v>2805</v>
      </c>
      <c r="E566" s="417" t="s">
        <v>2806</v>
      </c>
      <c r="F566" s="403">
        <v>43831</v>
      </c>
      <c r="G566" s="59">
        <f t="shared" si="533"/>
        <v>0.99726027397260275</v>
      </c>
      <c r="H566" s="61">
        <v>16711.080000000002</v>
      </c>
      <c r="I566" s="61">
        <v>16711.080000000002</v>
      </c>
      <c r="J566" s="61">
        <v>16711.080000000002</v>
      </c>
      <c r="K566" s="61">
        <v>16711.080000000002</v>
      </c>
      <c r="L566" s="59">
        <f t="shared" si="534"/>
        <v>8.0341730769230786</v>
      </c>
      <c r="M566" s="61">
        <f t="shared" si="535"/>
        <v>642.73384615384623</v>
      </c>
      <c r="N566" s="61">
        <f t="shared" si="536"/>
        <v>0</v>
      </c>
      <c r="O566" s="247"/>
      <c r="P566" s="247"/>
      <c r="Q566" s="63">
        <f t="shared" si="537"/>
        <v>0</v>
      </c>
      <c r="R566" s="63">
        <f t="shared" si="538"/>
        <v>16711.080000000002</v>
      </c>
      <c r="S566" s="63">
        <v>4200</v>
      </c>
      <c r="T566" s="65"/>
      <c r="U566" s="65"/>
      <c r="V566" s="63">
        <f t="shared" si="539"/>
        <v>20911.080000000002</v>
      </c>
      <c r="W566" s="63">
        <f t="shared" si="540"/>
        <v>1296.4869600000002</v>
      </c>
      <c r="X566" s="63">
        <f t="shared" si="541"/>
        <v>303.21066000000002</v>
      </c>
      <c r="Y566" s="63" t="s">
        <v>2422</v>
      </c>
      <c r="Z566" s="63" t="s">
        <v>2422</v>
      </c>
      <c r="AA566" s="63">
        <f t="shared" si="544"/>
        <v>14.637756000000001</v>
      </c>
      <c r="AB566" s="63" t="s">
        <v>2422</v>
      </c>
      <c r="AC566" s="63" t="s">
        <v>2422</v>
      </c>
      <c r="AD566" s="63" t="s">
        <v>2422</v>
      </c>
      <c r="AE566" s="178">
        <v>665</v>
      </c>
    </row>
    <row r="567" spans="1:31" x14ac:dyDescent="0.25">
      <c r="A567" s="167">
        <v>665</v>
      </c>
      <c r="B567" s="167">
        <v>665005</v>
      </c>
      <c r="C567" s="168" t="s">
        <v>3376</v>
      </c>
      <c r="D567" s="168" t="s">
        <v>3377</v>
      </c>
      <c r="E567" s="277" t="s">
        <v>3378</v>
      </c>
      <c r="F567" s="58">
        <v>41548</v>
      </c>
      <c r="G567" s="59">
        <f t="shared" si="533"/>
        <v>7.2520547945205482</v>
      </c>
      <c r="H567" s="132">
        <v>19745.259999999998</v>
      </c>
      <c r="I567" s="132">
        <v>19745.259999999998</v>
      </c>
      <c r="J567" s="132">
        <v>19745.259999999998</v>
      </c>
      <c r="K567" s="132">
        <v>19745.259999999998</v>
      </c>
      <c r="L567" s="269">
        <f t="shared" si="534"/>
        <v>9.4929134615384605</v>
      </c>
      <c r="M567" s="132">
        <f t="shared" si="535"/>
        <v>759.4330769230769</v>
      </c>
      <c r="N567" s="132">
        <f t="shared" si="536"/>
        <v>1650.5424657534247</v>
      </c>
      <c r="O567" s="320"/>
      <c r="P567" s="320"/>
      <c r="Q567" s="172">
        <f t="shared" si="537"/>
        <v>1650.5424657534247</v>
      </c>
      <c r="R567" s="172">
        <f t="shared" si="538"/>
        <v>21395.802465753422</v>
      </c>
      <c r="S567" s="172">
        <v>4200</v>
      </c>
      <c r="T567" s="314"/>
      <c r="U567" s="314"/>
      <c r="V567" s="172">
        <f t="shared" si="539"/>
        <v>25595.802465753422</v>
      </c>
      <c r="W567" s="172">
        <f t="shared" si="540"/>
        <v>1586.9397528767122</v>
      </c>
      <c r="X567" s="172">
        <f t="shared" si="541"/>
        <v>371.13913575342463</v>
      </c>
      <c r="Y567" s="172" t="s">
        <v>2422</v>
      </c>
      <c r="Z567" s="172" t="s">
        <v>2422</v>
      </c>
      <c r="AA567" s="172">
        <f t="shared" si="544"/>
        <v>17.917061726027395</v>
      </c>
      <c r="AB567" s="172" t="s">
        <v>2422</v>
      </c>
      <c r="AC567" s="172" t="s">
        <v>2422</v>
      </c>
      <c r="AD567" s="172" t="s">
        <v>2422</v>
      </c>
      <c r="AE567" s="178">
        <v>665</v>
      </c>
    </row>
    <row r="568" spans="1:31" x14ac:dyDescent="0.25">
      <c r="A568" s="167">
        <v>665</v>
      </c>
      <c r="B568" s="247"/>
      <c r="C568" s="247"/>
      <c r="D568" s="247"/>
      <c r="E568" s="247"/>
      <c r="F568" s="247"/>
      <c r="G568" s="247"/>
      <c r="H568" s="223">
        <v>113953.65111999999</v>
      </c>
      <c r="I568" s="401"/>
      <c r="J568" s="223">
        <v>115397.45239799999</v>
      </c>
      <c r="K568" s="223">
        <f t="shared" ref="K568:X568" si="548">SUM(K562:K567)</f>
        <v>120105.06492799999</v>
      </c>
      <c r="L568" s="223">
        <f t="shared" si="548"/>
        <v>57.742819676923077</v>
      </c>
      <c r="M568" s="223">
        <f t="shared" si="548"/>
        <v>4619.4255741538454</v>
      </c>
      <c r="N568" s="223">
        <f t="shared" si="548"/>
        <v>6042.3452054794525</v>
      </c>
      <c r="O568" s="223">
        <f t="shared" si="548"/>
        <v>0</v>
      </c>
      <c r="P568" s="223">
        <f t="shared" si="548"/>
        <v>0</v>
      </c>
      <c r="Q568" s="223">
        <f t="shared" si="548"/>
        <v>6042.3452054794525</v>
      </c>
      <c r="R568" s="223">
        <f t="shared" si="548"/>
        <v>126147.41013347945</v>
      </c>
      <c r="S568" s="223">
        <f t="shared" si="548"/>
        <v>13320</v>
      </c>
      <c r="T568" s="223">
        <f t="shared" si="548"/>
        <v>0</v>
      </c>
      <c r="U568" s="223">
        <f t="shared" si="548"/>
        <v>0</v>
      </c>
      <c r="V568" s="223">
        <f t="shared" si="548"/>
        <v>139467.41013347945</v>
      </c>
      <c r="W568" s="223">
        <f t="shared" si="548"/>
        <v>8646.9794282757248</v>
      </c>
      <c r="X568" s="223">
        <f t="shared" si="548"/>
        <v>2022.2774469354522</v>
      </c>
      <c r="Y568" s="223">
        <f t="shared" ref="Y568:Z568" si="549">SUM(Y563:Y564)</f>
        <v>10111.722713829437</v>
      </c>
      <c r="Z568" s="223">
        <f t="shared" si="549"/>
        <v>107.71475593959453</v>
      </c>
      <c r="AA568" s="223">
        <f t="shared" ref="AA568:AD568" si="550">SUM(AA562:AA567)</f>
        <v>97.627187093435609</v>
      </c>
      <c r="AB568" s="223">
        <f t="shared" si="550"/>
        <v>670</v>
      </c>
      <c r="AC568" s="223">
        <f t="shared" si="550"/>
        <v>20712.72</v>
      </c>
      <c r="AD568" s="223">
        <f t="shared" si="550"/>
        <v>213.8272</v>
      </c>
      <c r="AE568" s="178">
        <v>665</v>
      </c>
    </row>
    <row r="569" spans="1:31" x14ac:dyDescent="0.25">
      <c r="A569" s="247"/>
      <c r="B569" s="247"/>
      <c r="C569" s="247"/>
      <c r="D569" s="247"/>
      <c r="E569" s="279" t="s">
        <v>4243</v>
      </c>
      <c r="F569" s="418"/>
      <c r="G569" s="418"/>
      <c r="H569" s="247"/>
      <c r="I569" s="251"/>
      <c r="J569" s="247"/>
      <c r="K569" s="247"/>
      <c r="L569" s="247"/>
      <c r="M569" s="247"/>
      <c r="N569" s="247"/>
      <c r="O569" s="247"/>
      <c r="P569" s="247"/>
      <c r="Q569" s="247"/>
      <c r="R569" s="65"/>
      <c r="S569" s="65"/>
      <c r="T569" s="65"/>
      <c r="U569" s="65"/>
      <c r="V569" s="65"/>
      <c r="W569" s="63">
        <f>W568+X568</f>
        <v>10669.256875211177</v>
      </c>
      <c r="X569" s="65"/>
      <c r="Y569" s="65"/>
      <c r="Z569" s="65"/>
      <c r="AA569" s="65"/>
      <c r="AB569" s="65"/>
      <c r="AC569" s="63">
        <f>SUM(AC568:AD568)</f>
        <v>20926.547200000001</v>
      </c>
      <c r="AD569" s="65"/>
      <c r="AE569" s="247"/>
    </row>
    <row r="570" spans="1:31" x14ac:dyDescent="0.25">
      <c r="A570" s="247"/>
      <c r="B570" s="247"/>
      <c r="C570" s="247"/>
      <c r="D570" s="247"/>
      <c r="E570" s="247"/>
      <c r="F570" s="247"/>
      <c r="G570" s="247"/>
      <c r="H570" s="247"/>
      <c r="I570" s="251"/>
      <c r="J570" s="247"/>
      <c r="K570" s="247"/>
      <c r="L570" s="247"/>
      <c r="M570" s="247"/>
      <c r="N570" s="247"/>
      <c r="O570" s="247"/>
      <c r="P570" s="247"/>
      <c r="Q570" s="247"/>
      <c r="R570" s="65"/>
      <c r="S570" s="65"/>
      <c r="T570" s="65"/>
      <c r="U570" s="65"/>
      <c r="V570" s="65"/>
      <c r="W570" s="65"/>
      <c r="X570" s="65"/>
      <c r="Y570" s="65"/>
      <c r="Z570" s="65"/>
      <c r="AA570" s="65"/>
      <c r="AB570" s="65"/>
      <c r="AC570" s="65"/>
      <c r="AD570" s="65"/>
      <c r="AE570" s="247"/>
    </row>
    <row r="571" spans="1:31" x14ac:dyDescent="0.25">
      <c r="A571" s="498" t="s">
        <v>3380</v>
      </c>
      <c r="B571" s="499"/>
      <c r="C571" s="499"/>
      <c r="D571" s="419"/>
      <c r="E571" s="419"/>
      <c r="F571" s="419"/>
      <c r="G571" s="419"/>
      <c r="H571" s="419"/>
      <c r="I571" s="420"/>
      <c r="J571" s="419"/>
      <c r="K571" s="419"/>
      <c r="L571" s="419"/>
      <c r="M571" s="419"/>
      <c r="N571" s="419"/>
      <c r="O571" s="419"/>
      <c r="P571" s="419"/>
      <c r="Q571" s="419"/>
      <c r="R571" s="110"/>
      <c r="S571" s="110"/>
      <c r="T571" s="110"/>
      <c r="U571" s="110"/>
      <c r="V571" s="110"/>
      <c r="W571" s="110"/>
      <c r="X571" s="110"/>
      <c r="Y571" s="110"/>
      <c r="Z571" s="110"/>
      <c r="AA571" s="110"/>
      <c r="AB571" s="110"/>
      <c r="AC571" s="110"/>
      <c r="AD571" s="110"/>
      <c r="AE571" s="419"/>
    </row>
    <row r="572" spans="1:31" x14ac:dyDescent="0.25">
      <c r="A572" s="247"/>
      <c r="B572" s="247"/>
      <c r="C572" s="247"/>
      <c r="D572" s="247"/>
      <c r="E572" s="247"/>
      <c r="F572" s="247"/>
      <c r="G572" s="247"/>
      <c r="H572" s="247"/>
      <c r="I572" s="138"/>
      <c r="J572" s="247"/>
      <c r="K572" s="247"/>
      <c r="L572" s="247"/>
      <c r="M572" s="247"/>
      <c r="N572" s="247"/>
      <c r="O572" s="247"/>
      <c r="P572" s="247"/>
      <c r="Q572" s="247"/>
      <c r="R572" s="65"/>
      <c r="S572" s="65"/>
      <c r="T572" s="65"/>
      <c r="U572" s="65"/>
      <c r="V572" s="65"/>
      <c r="W572" s="65"/>
      <c r="X572" s="65"/>
      <c r="Y572" s="65"/>
      <c r="Z572" s="65"/>
      <c r="AA572" s="65"/>
      <c r="AB572" s="65"/>
      <c r="AC572" s="65"/>
      <c r="AD572" s="65"/>
      <c r="AE572" s="247"/>
    </row>
    <row r="573" spans="1:31" x14ac:dyDescent="0.25">
      <c r="A573" s="247"/>
      <c r="B573" s="247"/>
      <c r="C573" s="247"/>
      <c r="D573" s="247"/>
      <c r="E573" s="247"/>
      <c r="F573" s="247"/>
      <c r="G573" s="247"/>
      <c r="H573" s="247"/>
      <c r="I573" s="138"/>
      <c r="J573" s="247"/>
      <c r="K573" s="247"/>
      <c r="L573" s="247"/>
      <c r="M573" s="247"/>
      <c r="N573" s="247"/>
      <c r="O573" s="247"/>
      <c r="P573" s="247"/>
      <c r="Q573" s="247"/>
      <c r="R573" s="65"/>
      <c r="S573" s="65"/>
      <c r="T573" s="65"/>
      <c r="U573" s="65"/>
      <c r="V573" s="65"/>
      <c r="W573" s="65"/>
      <c r="X573" s="65"/>
      <c r="Y573" s="65"/>
      <c r="Z573" s="65"/>
      <c r="AA573" s="65"/>
      <c r="AB573" s="65"/>
      <c r="AC573" s="65"/>
      <c r="AD573" s="65"/>
      <c r="AE573" s="247"/>
    </row>
    <row r="574" spans="1:31" x14ac:dyDescent="0.25">
      <c r="A574" s="168" t="s">
        <v>3381</v>
      </c>
      <c r="B574" s="167">
        <v>611001</v>
      </c>
      <c r="C574" s="168" t="s">
        <v>3383</v>
      </c>
      <c r="D574" s="168" t="s">
        <v>2900</v>
      </c>
      <c r="E574" s="168" t="s">
        <v>3851</v>
      </c>
      <c r="F574" s="58">
        <v>43439</v>
      </c>
      <c r="G574" s="59">
        <f>(DATE(2020,12,30)-(F574))/365</f>
        <v>2.0712328767123287</v>
      </c>
      <c r="H574" s="61">
        <v>67192.895840000012</v>
      </c>
      <c r="I574" s="63">
        <v>68872.72</v>
      </c>
      <c r="J574" s="61">
        <v>68872.718236000015</v>
      </c>
      <c r="K574" s="63">
        <f>SUM(((J574*$K$3)+$K$2)+J574)</f>
        <v>68872.718236000015</v>
      </c>
      <c r="L574" s="59">
        <f>SUM(K574/$L$7)</f>
        <v>33.111883767307702</v>
      </c>
      <c r="M574" s="61">
        <f>SUM(K574/$M$7)</f>
        <v>2648.950701384616</v>
      </c>
      <c r="N574" s="61">
        <f>IF(G574&lt;4,0,(G574-1)*264)</f>
        <v>0</v>
      </c>
      <c r="O574" s="247"/>
      <c r="P574" s="247"/>
      <c r="Q574" s="61">
        <f>SUM(N574+P574)</f>
        <v>0</v>
      </c>
      <c r="R574" s="63">
        <f>SUM(K574+Q574)</f>
        <v>68872.718236000015</v>
      </c>
      <c r="S574" s="63">
        <v>4200</v>
      </c>
      <c r="T574" s="65"/>
      <c r="U574" s="65"/>
      <c r="V574" s="63">
        <f t="shared" ref="V574:V586" si="551">SUM(R574:U574)</f>
        <v>73072.718236000015</v>
      </c>
      <c r="W574" s="63">
        <f t="shared" ref="W574:W586" si="552">SUM(V574*$W$7)</f>
        <v>4530.5085306320007</v>
      </c>
      <c r="X574" s="63">
        <f t="shared" ref="X574:X586" si="553">SUM(V574*$X$7)</f>
        <v>1059.5544144220003</v>
      </c>
      <c r="Y574" s="63">
        <f>SUM(V574*$Y$7)</f>
        <v>10975.522279047202</v>
      </c>
      <c r="Z574" s="63">
        <f>SUM(V574*$Z$7)</f>
        <v>116.91634917760003</v>
      </c>
      <c r="AA574" s="63" t="s">
        <v>2420</v>
      </c>
      <c r="AB574" s="63">
        <f>SUM($AB$7)</f>
        <v>335</v>
      </c>
      <c r="AC574" s="63">
        <f>$AC$7</f>
        <v>10356.36</v>
      </c>
      <c r="AD574" s="63">
        <f>SUM(AB574+AC574)*$AD$7</f>
        <v>106.9136</v>
      </c>
      <c r="AE574" s="247" t="s">
        <v>3381</v>
      </c>
    </row>
    <row r="575" spans="1:31" x14ac:dyDescent="0.25">
      <c r="A575" s="247"/>
      <c r="B575" s="247"/>
      <c r="C575" s="168" t="s">
        <v>2901</v>
      </c>
      <c r="D575" s="247"/>
      <c r="E575" s="247"/>
      <c r="F575" s="247"/>
      <c r="G575" s="167" t="s">
        <v>2422</v>
      </c>
      <c r="H575" s="59">
        <v>600</v>
      </c>
      <c r="I575" s="292"/>
      <c r="J575" s="59">
        <v>600</v>
      </c>
      <c r="K575" s="59">
        <v>600</v>
      </c>
      <c r="L575" s="247"/>
      <c r="M575" s="167">
        <v>23.08</v>
      </c>
      <c r="N575" s="167" t="s">
        <v>2420</v>
      </c>
      <c r="O575" s="247"/>
      <c r="P575" s="247"/>
      <c r="Q575" s="167">
        <v>0</v>
      </c>
      <c r="R575" s="63">
        <v>600</v>
      </c>
      <c r="S575" s="65"/>
      <c r="T575" s="65"/>
      <c r="U575" s="65"/>
      <c r="V575" s="63">
        <f t="shared" si="551"/>
        <v>600</v>
      </c>
      <c r="W575" s="63">
        <f t="shared" si="552"/>
        <v>37.200000000000003</v>
      </c>
      <c r="X575" s="63">
        <f t="shared" si="553"/>
        <v>8.7000000000000011</v>
      </c>
      <c r="Y575" s="63" t="s">
        <v>2420</v>
      </c>
      <c r="Z575" s="63" t="s">
        <v>2420</v>
      </c>
      <c r="AA575" s="63" t="s">
        <v>2422</v>
      </c>
      <c r="AB575" s="63" t="s">
        <v>2422</v>
      </c>
      <c r="AC575" s="63" t="s">
        <v>2422</v>
      </c>
      <c r="AD575" s="63" t="s">
        <v>2422</v>
      </c>
      <c r="AE575" s="247" t="s">
        <v>3434</v>
      </c>
    </row>
    <row r="576" spans="1:31" x14ac:dyDescent="0.25">
      <c r="A576" s="168" t="s">
        <v>3381</v>
      </c>
      <c r="B576" s="167">
        <v>611002</v>
      </c>
      <c r="C576" s="168" t="s">
        <v>4244</v>
      </c>
      <c r="D576" s="185" t="s">
        <v>2437</v>
      </c>
      <c r="E576" s="185" t="s">
        <v>2664</v>
      </c>
      <c r="F576" s="58">
        <v>35906</v>
      </c>
      <c r="G576" s="59">
        <f t="shared" ref="G576:G584" si="554">(DATE(2020,12,30)-(F576))/365</f>
        <v>22.709589041095889</v>
      </c>
      <c r="H576" s="61">
        <v>41117.519999999997</v>
      </c>
      <c r="I576" s="400">
        <v>42145.46</v>
      </c>
      <c r="J576" s="61">
        <v>42145.457999999999</v>
      </c>
      <c r="K576" s="255">
        <f t="shared" ref="K576:K577" si="555">SUM(((J576*$K$3)+$K$2)+J576)</f>
        <v>42145.457999999999</v>
      </c>
      <c r="L576" s="59">
        <f t="shared" ref="L576:L584" si="556">SUM(K576/$L$7)</f>
        <v>20.262239423076924</v>
      </c>
      <c r="M576" s="61">
        <f t="shared" ref="M576:M584" si="557">SUM(K576/$M$7)</f>
        <v>1620.9791538461538</v>
      </c>
      <c r="N576" s="61">
        <f t="shared" ref="N576:N584" si="558">IF(G576&lt;4,0,(G576-1)*264)</f>
        <v>5731.3315068493148</v>
      </c>
      <c r="O576" s="247"/>
      <c r="P576" s="247"/>
      <c r="Q576" s="61">
        <f t="shared" ref="Q576:Q584" si="559">IF(N576+P576&gt;5000,5000,N576+P576)</f>
        <v>5000</v>
      </c>
      <c r="R576" s="63">
        <f t="shared" ref="R576:R584" si="560">SUM(K576+Q576)</f>
        <v>47145.457999999999</v>
      </c>
      <c r="S576" s="65"/>
      <c r="T576" s="65"/>
      <c r="U576" s="65"/>
      <c r="V576" s="63">
        <f t="shared" si="551"/>
        <v>47145.457999999999</v>
      </c>
      <c r="W576" s="63">
        <f t="shared" si="552"/>
        <v>2923.0183959999999</v>
      </c>
      <c r="X576" s="63">
        <f t="shared" si="553"/>
        <v>683.60914100000002</v>
      </c>
      <c r="Y576" s="63">
        <f t="shared" ref="Y576:Y586" si="561">SUM(V576*$Y$7)</f>
        <v>7081.2477915999998</v>
      </c>
      <c r="Z576" s="63">
        <f t="shared" ref="Z576:Z586" si="562">SUM(V576*$Z$7)</f>
        <v>75.432732799999997</v>
      </c>
      <c r="AA576" s="63">
        <f t="shared" ref="AA576:AA586" si="563">SUM(V576*$AA$7)</f>
        <v>33.001820600000002</v>
      </c>
      <c r="AB576" s="63">
        <f t="shared" ref="AB576:AB584" si="564">SUM($AB$7)</f>
        <v>335</v>
      </c>
      <c r="AC576" s="63">
        <f t="shared" ref="AC576:AC584" si="565">$AC$7</f>
        <v>10356.36</v>
      </c>
      <c r="AD576" s="63">
        <f t="shared" ref="AD576:AD584" si="566">SUM(AB576+AC576)*$AD$7</f>
        <v>106.9136</v>
      </c>
      <c r="AE576" s="247" t="s">
        <v>3381</v>
      </c>
    </row>
    <row r="577" spans="1:31" x14ac:dyDescent="0.25">
      <c r="A577" s="168" t="s">
        <v>3381</v>
      </c>
      <c r="B577" s="167">
        <v>611003</v>
      </c>
      <c r="C577" s="168" t="s">
        <v>4245</v>
      </c>
      <c r="D577" s="168" t="s">
        <v>3384</v>
      </c>
      <c r="E577" s="168" t="s">
        <v>3083</v>
      </c>
      <c r="F577" s="58">
        <v>42002</v>
      </c>
      <c r="G577" s="59">
        <f t="shared" si="554"/>
        <v>6.0082191780821921</v>
      </c>
      <c r="H577" s="61">
        <v>32764.80112</v>
      </c>
      <c r="I577" s="63">
        <v>33583.919999999998</v>
      </c>
      <c r="J577" s="61">
        <v>33583.921148000001</v>
      </c>
      <c r="K577" s="63">
        <f t="shared" si="555"/>
        <v>33583.921148000001</v>
      </c>
      <c r="L577" s="59">
        <f t="shared" si="556"/>
        <v>16.146115936538461</v>
      </c>
      <c r="M577" s="61">
        <f t="shared" si="557"/>
        <v>1291.6892749230769</v>
      </c>
      <c r="N577" s="61">
        <f t="shared" si="558"/>
        <v>1322.1698630136987</v>
      </c>
      <c r="O577" s="247"/>
      <c r="P577" s="247"/>
      <c r="Q577" s="61">
        <f t="shared" si="559"/>
        <v>1322.1698630136987</v>
      </c>
      <c r="R577" s="63">
        <f t="shared" si="560"/>
        <v>34906.091011013697</v>
      </c>
      <c r="S577" s="65"/>
      <c r="T577" s="65"/>
      <c r="U577" s="65"/>
      <c r="V577" s="63">
        <f t="shared" si="551"/>
        <v>34906.091011013697</v>
      </c>
      <c r="W577" s="63">
        <f t="shared" si="552"/>
        <v>2164.1776426828492</v>
      </c>
      <c r="X577" s="63">
        <f t="shared" si="553"/>
        <v>506.13831965969865</v>
      </c>
      <c r="Y577" s="63">
        <f t="shared" si="561"/>
        <v>5242.8948698542572</v>
      </c>
      <c r="Z577" s="63">
        <f t="shared" si="562"/>
        <v>55.84974561762192</v>
      </c>
      <c r="AA577" s="63">
        <f t="shared" si="563"/>
        <v>24.434263707709587</v>
      </c>
      <c r="AB577" s="63">
        <f t="shared" si="564"/>
        <v>335</v>
      </c>
      <c r="AC577" s="63">
        <f t="shared" si="565"/>
        <v>10356.36</v>
      </c>
      <c r="AD577" s="63">
        <f t="shared" si="566"/>
        <v>106.9136</v>
      </c>
      <c r="AE577" s="247" t="s">
        <v>3381</v>
      </c>
    </row>
    <row r="578" spans="1:31" x14ac:dyDescent="0.25">
      <c r="A578" s="168" t="s">
        <v>3381</v>
      </c>
      <c r="B578" s="167">
        <v>611004</v>
      </c>
      <c r="C578" s="168" t="s">
        <v>4246</v>
      </c>
      <c r="D578" s="168" t="s">
        <v>3388</v>
      </c>
      <c r="E578" s="168" t="s">
        <v>2971</v>
      </c>
      <c r="F578" s="108">
        <v>43347</v>
      </c>
      <c r="G578" s="59">
        <f t="shared" si="554"/>
        <v>2.3232876712328765</v>
      </c>
      <c r="H578" s="61">
        <v>40008.535680000001</v>
      </c>
      <c r="I578" s="400">
        <v>38130.04</v>
      </c>
      <c r="J578" s="61">
        <v>38500</v>
      </c>
      <c r="K578" s="255">
        <v>38500</v>
      </c>
      <c r="L578" s="59">
        <f t="shared" si="556"/>
        <v>18.509615384615383</v>
      </c>
      <c r="M578" s="61">
        <f t="shared" si="557"/>
        <v>1480.7692307692307</v>
      </c>
      <c r="N578" s="61">
        <f t="shared" si="558"/>
        <v>0</v>
      </c>
      <c r="O578" s="247"/>
      <c r="P578" s="247"/>
      <c r="Q578" s="61">
        <f t="shared" si="559"/>
        <v>0</v>
      </c>
      <c r="R578" s="63">
        <f t="shared" si="560"/>
        <v>38500</v>
      </c>
      <c r="S578" s="65"/>
      <c r="T578" s="65"/>
      <c r="U578" s="65"/>
      <c r="V578" s="63">
        <f t="shared" si="551"/>
        <v>38500</v>
      </c>
      <c r="W578" s="63">
        <f t="shared" si="552"/>
        <v>2387</v>
      </c>
      <c r="X578" s="63">
        <f t="shared" si="553"/>
        <v>558.25</v>
      </c>
      <c r="Y578" s="63">
        <f t="shared" si="561"/>
        <v>5782.7</v>
      </c>
      <c r="Z578" s="63">
        <f t="shared" si="562"/>
        <v>61.6</v>
      </c>
      <c r="AA578" s="63">
        <f t="shared" si="563"/>
        <v>26.95</v>
      </c>
      <c r="AB578" s="63">
        <f t="shared" si="564"/>
        <v>335</v>
      </c>
      <c r="AC578" s="63">
        <f t="shared" si="565"/>
        <v>10356.36</v>
      </c>
      <c r="AD578" s="63">
        <f t="shared" si="566"/>
        <v>106.9136</v>
      </c>
      <c r="AE578" s="247" t="s">
        <v>3381</v>
      </c>
    </row>
    <row r="579" spans="1:31" x14ac:dyDescent="0.25">
      <c r="A579" s="168" t="s">
        <v>3381</v>
      </c>
      <c r="B579" s="167">
        <v>611005</v>
      </c>
      <c r="C579" s="168" t="s">
        <v>4247</v>
      </c>
      <c r="D579" s="247" t="s">
        <v>3175</v>
      </c>
      <c r="E579" s="247" t="s">
        <v>3404</v>
      </c>
      <c r="F579" s="58">
        <v>42891</v>
      </c>
      <c r="G579" s="59">
        <f t="shared" si="554"/>
        <v>3.5726027397260274</v>
      </c>
      <c r="H579" s="61">
        <v>37221.13968</v>
      </c>
      <c r="I579" s="63">
        <v>38151.67</v>
      </c>
      <c r="J579" s="61">
        <v>37975.410000000003</v>
      </c>
      <c r="K579" s="255">
        <v>37975.410000000003</v>
      </c>
      <c r="L579" s="59">
        <f t="shared" si="556"/>
        <v>18.257408653846156</v>
      </c>
      <c r="M579" s="61">
        <f t="shared" si="557"/>
        <v>1460.5926923076925</v>
      </c>
      <c r="N579" s="61">
        <f t="shared" si="558"/>
        <v>0</v>
      </c>
      <c r="O579" s="247"/>
      <c r="P579" s="247"/>
      <c r="Q579" s="61">
        <f t="shared" si="559"/>
        <v>0</v>
      </c>
      <c r="R579" s="63">
        <f t="shared" si="560"/>
        <v>37975.410000000003</v>
      </c>
      <c r="S579" s="65"/>
      <c r="T579" s="65"/>
      <c r="U579" s="65"/>
      <c r="V579" s="63">
        <f t="shared" si="551"/>
        <v>37975.410000000003</v>
      </c>
      <c r="W579" s="63">
        <f t="shared" si="552"/>
        <v>2354.4754200000002</v>
      </c>
      <c r="X579" s="63">
        <f t="shared" si="553"/>
        <v>550.64344500000004</v>
      </c>
      <c r="Y579" s="63">
        <f t="shared" si="561"/>
        <v>5703.9065820000005</v>
      </c>
      <c r="Z579" s="63">
        <f t="shared" si="562"/>
        <v>60.760656000000012</v>
      </c>
      <c r="AA579" s="63">
        <f t="shared" si="563"/>
        <v>26.582787000000003</v>
      </c>
      <c r="AB579" s="63">
        <f t="shared" si="564"/>
        <v>335</v>
      </c>
      <c r="AC579" s="63">
        <f t="shared" si="565"/>
        <v>10356.36</v>
      </c>
      <c r="AD579" s="63">
        <f t="shared" si="566"/>
        <v>106.9136</v>
      </c>
      <c r="AE579" s="247" t="s">
        <v>3381</v>
      </c>
    </row>
    <row r="580" spans="1:31" x14ac:dyDescent="0.25">
      <c r="A580" s="168" t="s">
        <v>3381</v>
      </c>
      <c r="B580" s="167">
        <v>611006</v>
      </c>
      <c r="C580" s="168" t="s">
        <v>4248</v>
      </c>
      <c r="D580" s="168" t="s">
        <v>3398</v>
      </c>
      <c r="E580" s="168" t="s">
        <v>3399</v>
      </c>
      <c r="F580" s="58">
        <v>42450</v>
      </c>
      <c r="G580" s="59">
        <f t="shared" si="554"/>
        <v>4.7808219178082192</v>
      </c>
      <c r="H580" s="61">
        <v>38646.608719999997</v>
      </c>
      <c r="I580" s="63">
        <v>39612.769999999997</v>
      </c>
      <c r="J580" s="61">
        <v>40358.853938</v>
      </c>
      <c r="K580" s="63">
        <v>40358.85</v>
      </c>
      <c r="L580" s="59">
        <f t="shared" si="556"/>
        <v>19.403293269230769</v>
      </c>
      <c r="M580" s="61">
        <f t="shared" si="557"/>
        <v>1552.2634615384616</v>
      </c>
      <c r="N580" s="61">
        <f t="shared" si="558"/>
        <v>998.13698630136992</v>
      </c>
      <c r="O580" s="247"/>
      <c r="P580" s="247"/>
      <c r="Q580" s="61">
        <f t="shared" si="559"/>
        <v>998.13698630136992</v>
      </c>
      <c r="R580" s="63">
        <f t="shared" si="560"/>
        <v>41356.986986301366</v>
      </c>
      <c r="S580" s="65"/>
      <c r="T580" s="65"/>
      <c r="U580" s="65"/>
      <c r="V580" s="63">
        <f t="shared" si="551"/>
        <v>41356.986986301366</v>
      </c>
      <c r="W580" s="63">
        <f t="shared" si="552"/>
        <v>2564.1331931506847</v>
      </c>
      <c r="X580" s="63">
        <f t="shared" si="553"/>
        <v>599.67631130136988</v>
      </c>
      <c r="Y580" s="63">
        <f t="shared" si="561"/>
        <v>6211.8194453424649</v>
      </c>
      <c r="Z580" s="63">
        <f t="shared" si="562"/>
        <v>66.171179178082184</v>
      </c>
      <c r="AA580" s="63">
        <f t="shared" si="563"/>
        <v>28.949890890410956</v>
      </c>
      <c r="AB580" s="63">
        <f t="shared" si="564"/>
        <v>335</v>
      </c>
      <c r="AC580" s="63">
        <f t="shared" si="565"/>
        <v>10356.36</v>
      </c>
      <c r="AD580" s="63">
        <f t="shared" si="566"/>
        <v>106.9136</v>
      </c>
      <c r="AE580" s="247" t="s">
        <v>3381</v>
      </c>
    </row>
    <row r="581" spans="1:31" x14ac:dyDescent="0.25">
      <c r="A581" s="168" t="s">
        <v>3381</v>
      </c>
      <c r="B581" s="167">
        <v>611007</v>
      </c>
      <c r="C581" s="168" t="s">
        <v>4249</v>
      </c>
      <c r="D581" s="168" t="s">
        <v>2988</v>
      </c>
      <c r="E581" s="168" t="s">
        <v>2615</v>
      </c>
      <c r="F581" s="58">
        <v>43250</v>
      </c>
      <c r="G581" s="59">
        <f t="shared" si="554"/>
        <v>2.5890410958904111</v>
      </c>
      <c r="H581" s="61">
        <v>38886.373119999997</v>
      </c>
      <c r="I581" s="400">
        <v>38950.080000000002</v>
      </c>
      <c r="J581" s="61">
        <v>39112.452447999996</v>
      </c>
      <c r="K581" s="63">
        <v>39112.449999999997</v>
      </c>
      <c r="L581" s="59">
        <f t="shared" si="556"/>
        <v>18.804062499999997</v>
      </c>
      <c r="M581" s="61">
        <f t="shared" si="557"/>
        <v>1504.3249999999998</v>
      </c>
      <c r="N581" s="61">
        <f t="shared" si="558"/>
        <v>0</v>
      </c>
      <c r="O581" s="247"/>
      <c r="P581" s="247"/>
      <c r="Q581" s="61">
        <f t="shared" si="559"/>
        <v>0</v>
      </c>
      <c r="R581" s="63">
        <f t="shared" si="560"/>
        <v>39112.449999999997</v>
      </c>
      <c r="S581" s="65"/>
      <c r="T581" s="65"/>
      <c r="U581" s="65"/>
      <c r="V581" s="63">
        <f t="shared" si="551"/>
        <v>39112.449999999997</v>
      </c>
      <c r="W581" s="63">
        <f t="shared" si="552"/>
        <v>2424.9719</v>
      </c>
      <c r="X581" s="63">
        <f t="shared" si="553"/>
        <v>567.13052500000003</v>
      </c>
      <c r="Y581" s="63">
        <f t="shared" si="561"/>
        <v>5874.6899899999999</v>
      </c>
      <c r="Z581" s="63">
        <f t="shared" si="562"/>
        <v>62.579920000000001</v>
      </c>
      <c r="AA581" s="63">
        <f t="shared" si="563"/>
        <v>27.378714999999996</v>
      </c>
      <c r="AB581" s="63">
        <f t="shared" si="564"/>
        <v>335</v>
      </c>
      <c r="AC581" s="63">
        <f t="shared" si="565"/>
        <v>10356.36</v>
      </c>
      <c r="AD581" s="63">
        <f t="shared" si="566"/>
        <v>106.9136</v>
      </c>
      <c r="AE581" s="247" t="s">
        <v>3381</v>
      </c>
    </row>
    <row r="582" spans="1:31" x14ac:dyDescent="0.25">
      <c r="A582" s="168" t="s">
        <v>3381</v>
      </c>
      <c r="B582" s="167">
        <v>611008</v>
      </c>
      <c r="C582" s="168" t="s">
        <v>4250</v>
      </c>
      <c r="D582" s="168" t="s">
        <v>2437</v>
      </c>
      <c r="E582" s="168" t="s">
        <v>3401</v>
      </c>
      <c r="F582" s="58">
        <v>42814</v>
      </c>
      <c r="G582" s="59">
        <f t="shared" si="554"/>
        <v>3.7835616438356166</v>
      </c>
      <c r="H582" s="61">
        <v>36054.863120000002</v>
      </c>
      <c r="I582" s="400">
        <v>33787.58</v>
      </c>
      <c r="J582" s="61">
        <v>36809.129999999997</v>
      </c>
      <c r="K582" s="63">
        <v>36809.129999999997</v>
      </c>
      <c r="L582" s="59">
        <f t="shared" si="556"/>
        <v>17.696697115384612</v>
      </c>
      <c r="M582" s="61">
        <f t="shared" si="557"/>
        <v>1415.7357692307692</v>
      </c>
      <c r="N582" s="61">
        <f t="shared" si="558"/>
        <v>0</v>
      </c>
      <c r="O582" s="247"/>
      <c r="P582" s="247"/>
      <c r="Q582" s="61">
        <f t="shared" si="559"/>
        <v>0</v>
      </c>
      <c r="R582" s="63">
        <f t="shared" si="560"/>
        <v>36809.129999999997</v>
      </c>
      <c r="S582" s="65"/>
      <c r="T582" s="65"/>
      <c r="U582" s="65"/>
      <c r="V582" s="63">
        <f t="shared" si="551"/>
        <v>36809.129999999997</v>
      </c>
      <c r="W582" s="63">
        <f t="shared" si="552"/>
        <v>2282.16606</v>
      </c>
      <c r="X582" s="63">
        <f t="shared" si="553"/>
        <v>533.73238500000002</v>
      </c>
      <c r="Y582" s="63">
        <f t="shared" si="561"/>
        <v>5528.7313259999992</v>
      </c>
      <c r="Z582" s="63">
        <f t="shared" si="562"/>
        <v>58.894607999999998</v>
      </c>
      <c r="AA582" s="63">
        <f t="shared" si="563"/>
        <v>25.766390999999999</v>
      </c>
      <c r="AB582" s="63">
        <f t="shared" si="564"/>
        <v>335</v>
      </c>
      <c r="AC582" s="63">
        <f t="shared" si="565"/>
        <v>10356.36</v>
      </c>
      <c r="AD582" s="63">
        <f t="shared" si="566"/>
        <v>106.9136</v>
      </c>
      <c r="AE582" s="247" t="s">
        <v>3381</v>
      </c>
    </row>
    <row r="583" spans="1:31" x14ac:dyDescent="0.25">
      <c r="A583" s="168" t="s">
        <v>3381</v>
      </c>
      <c r="B583" s="167">
        <v>611009</v>
      </c>
      <c r="C583" s="168" t="s">
        <v>4251</v>
      </c>
      <c r="D583" s="168" t="s">
        <v>3390</v>
      </c>
      <c r="E583" s="168" t="s">
        <v>4252</v>
      </c>
      <c r="F583" s="58">
        <v>43488</v>
      </c>
      <c r="G583" s="59">
        <f t="shared" si="554"/>
        <v>1.9369863013698629</v>
      </c>
      <c r="H583" s="61">
        <v>33594.00952</v>
      </c>
      <c r="I583" s="57">
        <v>34433.86</v>
      </c>
      <c r="J583" s="61">
        <v>34433.859757999999</v>
      </c>
      <c r="K583" s="63">
        <f t="shared" ref="K583:K584" si="567">SUM(((J583*$K$3)+$K$2)+J583)</f>
        <v>34433.859757999999</v>
      </c>
      <c r="L583" s="59">
        <f t="shared" si="556"/>
        <v>16.554740268269232</v>
      </c>
      <c r="M583" s="61">
        <f t="shared" si="557"/>
        <v>1324.3792214615385</v>
      </c>
      <c r="N583" s="61">
        <f t="shared" si="558"/>
        <v>0</v>
      </c>
      <c r="O583" s="247"/>
      <c r="P583" s="247"/>
      <c r="Q583" s="61">
        <f t="shared" si="559"/>
        <v>0</v>
      </c>
      <c r="R583" s="63">
        <f t="shared" si="560"/>
        <v>34433.859757999999</v>
      </c>
      <c r="S583" s="65"/>
      <c r="T583" s="65"/>
      <c r="U583" s="65"/>
      <c r="V583" s="63">
        <f t="shared" si="551"/>
        <v>34433.859757999999</v>
      </c>
      <c r="W583" s="63">
        <f t="shared" si="552"/>
        <v>2134.899304996</v>
      </c>
      <c r="X583" s="63">
        <f t="shared" si="553"/>
        <v>499.29096649100001</v>
      </c>
      <c r="Y583" s="63">
        <f t="shared" si="561"/>
        <v>5171.9657356516</v>
      </c>
      <c r="Z583" s="63">
        <f t="shared" si="562"/>
        <v>55.094175612800001</v>
      </c>
      <c r="AA583" s="63">
        <f t="shared" si="563"/>
        <v>24.103701830599999</v>
      </c>
      <c r="AB583" s="63">
        <f t="shared" si="564"/>
        <v>335</v>
      </c>
      <c r="AC583" s="63">
        <f t="shared" si="565"/>
        <v>10356.36</v>
      </c>
      <c r="AD583" s="63">
        <f t="shared" si="566"/>
        <v>106.9136</v>
      </c>
      <c r="AE583" s="247" t="s">
        <v>3381</v>
      </c>
    </row>
    <row r="584" spans="1:31" x14ac:dyDescent="0.25">
      <c r="A584" s="168" t="s">
        <v>3381</v>
      </c>
      <c r="B584" s="167">
        <v>611010</v>
      </c>
      <c r="C584" s="168" t="s">
        <v>4253</v>
      </c>
      <c r="D584" s="168" t="s">
        <v>3384</v>
      </c>
      <c r="E584" s="168" t="s">
        <v>3473</v>
      </c>
      <c r="F584" s="58">
        <v>41491</v>
      </c>
      <c r="G584" s="59">
        <f t="shared" si="554"/>
        <v>7.4082191780821915</v>
      </c>
      <c r="H584" s="61">
        <v>39425.402479999997</v>
      </c>
      <c r="I584" s="63">
        <v>40411.040000000001</v>
      </c>
      <c r="J584" s="61">
        <v>40411.037541999998</v>
      </c>
      <c r="K584" s="63">
        <f t="shared" si="567"/>
        <v>40411.037541999998</v>
      </c>
      <c r="L584" s="59">
        <f t="shared" si="556"/>
        <v>19.428383433653845</v>
      </c>
      <c r="M584" s="61">
        <f t="shared" si="557"/>
        <v>1554.2706746923077</v>
      </c>
      <c r="N584" s="61">
        <f t="shared" si="558"/>
        <v>1691.7698630136986</v>
      </c>
      <c r="O584" s="247"/>
      <c r="P584" s="247"/>
      <c r="Q584" s="61">
        <f t="shared" si="559"/>
        <v>1691.7698630136986</v>
      </c>
      <c r="R584" s="63">
        <f t="shared" si="560"/>
        <v>42102.8074050137</v>
      </c>
      <c r="S584" s="65"/>
      <c r="T584" s="65"/>
      <c r="U584" s="65"/>
      <c r="V584" s="63">
        <f t="shared" si="551"/>
        <v>42102.8074050137</v>
      </c>
      <c r="W584" s="63">
        <f t="shared" si="552"/>
        <v>2610.3740591108494</v>
      </c>
      <c r="X584" s="63">
        <f t="shared" si="553"/>
        <v>610.49070737269869</v>
      </c>
      <c r="Y584" s="63">
        <f t="shared" si="561"/>
        <v>6323.8416722330576</v>
      </c>
      <c r="Z584" s="63">
        <f t="shared" si="562"/>
        <v>67.364491848021927</v>
      </c>
      <c r="AA584" s="63">
        <f t="shared" si="563"/>
        <v>29.471965183509589</v>
      </c>
      <c r="AB584" s="63">
        <f t="shared" si="564"/>
        <v>335</v>
      </c>
      <c r="AC584" s="63">
        <f t="shared" si="565"/>
        <v>10356.36</v>
      </c>
      <c r="AD584" s="63">
        <f t="shared" si="566"/>
        <v>106.9136</v>
      </c>
      <c r="AE584" s="247" t="s">
        <v>3381</v>
      </c>
    </row>
    <row r="585" spans="1:31" x14ac:dyDescent="0.25">
      <c r="A585" s="168" t="s">
        <v>3381</v>
      </c>
      <c r="B585" s="247"/>
      <c r="C585" s="168" t="s">
        <v>1627</v>
      </c>
      <c r="D585" s="168" t="s">
        <v>3852</v>
      </c>
      <c r="E585" s="168" t="s">
        <v>2486</v>
      </c>
      <c r="F585" s="58">
        <v>43250</v>
      </c>
      <c r="G585" s="167" t="s">
        <v>2422</v>
      </c>
      <c r="H585" s="132">
        <v>20800</v>
      </c>
      <c r="I585" s="296"/>
      <c r="J585" s="132">
        <v>40200</v>
      </c>
      <c r="K585" s="132">
        <v>20800</v>
      </c>
      <c r="L585" s="320"/>
      <c r="M585" s="320"/>
      <c r="N585" s="220" t="s">
        <v>27</v>
      </c>
      <c r="O585" s="320"/>
      <c r="P585" s="320"/>
      <c r="Q585" s="220">
        <v>0</v>
      </c>
      <c r="R585" s="172">
        <v>20800</v>
      </c>
      <c r="S585" s="314"/>
      <c r="T585" s="314"/>
      <c r="U585" s="314"/>
      <c r="V585" s="172">
        <f t="shared" si="551"/>
        <v>20800</v>
      </c>
      <c r="W585" s="172">
        <f t="shared" si="552"/>
        <v>1289.5999999999999</v>
      </c>
      <c r="X585" s="172">
        <f t="shared" si="553"/>
        <v>301.60000000000002</v>
      </c>
      <c r="Y585" s="172">
        <f t="shared" si="561"/>
        <v>3124.16</v>
      </c>
      <c r="Z585" s="172">
        <f t="shared" si="562"/>
        <v>33.28</v>
      </c>
      <c r="AA585" s="172">
        <f t="shared" si="563"/>
        <v>14.56</v>
      </c>
      <c r="AB585" s="172" t="s">
        <v>2422</v>
      </c>
      <c r="AC585" s="172" t="s">
        <v>2422</v>
      </c>
      <c r="AD585" s="172" t="s">
        <v>2422</v>
      </c>
      <c r="AE585" s="247" t="s">
        <v>3381</v>
      </c>
    </row>
    <row r="586" spans="1:31" x14ac:dyDescent="0.25">
      <c r="A586" s="168" t="s">
        <v>3381</v>
      </c>
      <c r="B586" s="178">
        <v>611099</v>
      </c>
      <c r="C586" s="247" t="s">
        <v>3407</v>
      </c>
      <c r="D586" s="247" t="s">
        <v>3408</v>
      </c>
      <c r="E586" s="247" t="s">
        <v>3409</v>
      </c>
      <c r="F586" s="84">
        <v>39450</v>
      </c>
      <c r="G586" s="59">
        <f>(DATE(2020,12,30)-(F586))/365</f>
        <v>13</v>
      </c>
      <c r="H586" s="61">
        <v>39425.402479999997</v>
      </c>
      <c r="I586" s="286"/>
      <c r="J586" s="61">
        <v>40411.037541999998</v>
      </c>
      <c r="K586" s="63">
        <f>SUM(((J586*$K$3)+$K$2)+J586)</f>
        <v>40411.037541999998</v>
      </c>
      <c r="L586" s="59">
        <f>SUM(K586/$L$7)</f>
        <v>19.428383433653845</v>
      </c>
      <c r="M586" s="61">
        <f>SUM(K586/$M$7)</f>
        <v>1554.2706746923077</v>
      </c>
      <c r="N586" s="61">
        <f>IF(G586&lt;4,0,(G586-1)*264)</f>
        <v>3168</v>
      </c>
      <c r="O586" s="247"/>
      <c r="P586" s="247"/>
      <c r="Q586" s="61">
        <f>IF(N586+P586&gt;5000,5000,N586+P586)</f>
        <v>3168</v>
      </c>
      <c r="R586" s="63">
        <f>SUM(K586+Q586)</f>
        <v>43579.037541999998</v>
      </c>
      <c r="S586" s="65"/>
      <c r="T586" s="65"/>
      <c r="U586" s="65"/>
      <c r="V586" s="63">
        <f t="shared" si="551"/>
        <v>43579.037541999998</v>
      </c>
      <c r="W586" s="63">
        <f t="shared" si="552"/>
        <v>2701.9003276039998</v>
      </c>
      <c r="X586" s="63">
        <f t="shared" si="553"/>
        <v>631.89604435900003</v>
      </c>
      <c r="Y586" s="63">
        <f t="shared" si="561"/>
        <v>6545.5714388083998</v>
      </c>
      <c r="Z586" s="63">
        <f t="shared" si="562"/>
        <v>69.726460067199994</v>
      </c>
      <c r="AA586" s="63">
        <f t="shared" si="563"/>
        <v>30.505326279399998</v>
      </c>
      <c r="AB586" s="172" t="s">
        <v>2422</v>
      </c>
      <c r="AC586" s="172" t="s">
        <v>2422</v>
      </c>
      <c r="AD586" s="172" t="s">
        <v>2422</v>
      </c>
      <c r="AE586" s="247" t="s">
        <v>3381</v>
      </c>
    </row>
    <row r="587" spans="1:31" x14ac:dyDescent="0.25">
      <c r="B587" s="247"/>
      <c r="C587" s="247"/>
      <c r="D587" s="247"/>
      <c r="E587" s="247"/>
      <c r="F587" s="247"/>
      <c r="G587" s="247"/>
      <c r="H587" s="223">
        <v>426312.14927999995</v>
      </c>
      <c r="I587" s="401"/>
      <c r="J587" s="223">
        <v>433602.84107000002</v>
      </c>
      <c r="K587" s="223">
        <f t="shared" ref="K587:AD587" si="568">SUM(K574:K586)</f>
        <v>474013.87222600006</v>
      </c>
      <c r="L587" s="223">
        <f t="shared" si="568"/>
        <v>217.60282318557691</v>
      </c>
      <c r="M587" s="223">
        <f t="shared" si="568"/>
        <v>17431.305854846156</v>
      </c>
      <c r="N587" s="223">
        <f t="shared" si="568"/>
        <v>12911.408219178082</v>
      </c>
      <c r="O587" s="223">
        <f t="shared" si="568"/>
        <v>0</v>
      </c>
      <c r="P587" s="223">
        <f t="shared" si="568"/>
        <v>0</v>
      </c>
      <c r="Q587" s="223">
        <f t="shared" si="568"/>
        <v>12180.076712328768</v>
      </c>
      <c r="R587" s="223">
        <f t="shared" si="568"/>
        <v>486193.94893832883</v>
      </c>
      <c r="S587" s="223">
        <f t="shared" si="568"/>
        <v>4200</v>
      </c>
      <c r="T587" s="223">
        <f t="shared" si="568"/>
        <v>0</v>
      </c>
      <c r="U587" s="223">
        <f t="shared" si="568"/>
        <v>0</v>
      </c>
      <c r="V587" s="223">
        <f t="shared" si="568"/>
        <v>490393.94893832883</v>
      </c>
      <c r="W587" s="223">
        <f t="shared" si="568"/>
        <v>30404.424834176381</v>
      </c>
      <c r="X587" s="223">
        <f t="shared" si="568"/>
        <v>7110.7122596057698</v>
      </c>
      <c r="Y587" s="223">
        <f t="shared" si="568"/>
        <v>73567.051130536987</v>
      </c>
      <c r="Z587" s="223">
        <f t="shared" si="568"/>
        <v>783.67031830132601</v>
      </c>
      <c r="AA587" s="223">
        <f t="shared" si="568"/>
        <v>291.70486149163008</v>
      </c>
      <c r="AB587" s="223">
        <f t="shared" si="568"/>
        <v>3350</v>
      </c>
      <c r="AC587" s="223">
        <f t="shared" si="568"/>
        <v>103563.6</v>
      </c>
      <c r="AD587" s="223">
        <f t="shared" si="568"/>
        <v>1069.136</v>
      </c>
      <c r="AE587" s="247" t="s">
        <v>3381</v>
      </c>
    </row>
    <row r="588" spans="1:31" x14ac:dyDescent="0.25">
      <c r="A588" s="247"/>
      <c r="B588" s="247"/>
      <c r="C588" s="247"/>
      <c r="D588" s="247"/>
      <c r="E588" s="247"/>
      <c r="F588" s="247"/>
      <c r="G588" s="247"/>
      <c r="H588" s="100">
        <v>337719.25344</v>
      </c>
      <c r="I588" s="169"/>
      <c r="J588" s="100">
        <v>343330.12283399998</v>
      </c>
      <c r="K588" s="69">
        <f>SUM(K576+K577+K578+K579+K580+K581+K582+K583+K584)</f>
        <v>343330.11644800002</v>
      </c>
      <c r="L588" s="247"/>
      <c r="M588" s="247"/>
      <c r="N588" s="247"/>
      <c r="O588" s="247"/>
      <c r="P588" s="247"/>
      <c r="Q588" s="247"/>
      <c r="R588" s="65"/>
      <c r="S588" s="65"/>
      <c r="T588" s="65"/>
      <c r="U588" s="65"/>
      <c r="V588" s="65"/>
      <c r="W588" s="63">
        <f>W587+X587</f>
        <v>37515.137093782148</v>
      </c>
      <c r="X588" s="65"/>
      <c r="Y588" s="65"/>
      <c r="Z588" s="65"/>
      <c r="AA588" s="65"/>
      <c r="AB588" s="65"/>
      <c r="AC588" s="65">
        <f>SUM(AC587:AD587)</f>
        <v>104632.736</v>
      </c>
      <c r="AD588" s="65"/>
      <c r="AE588" s="247"/>
    </row>
    <row r="589" spans="1:31" x14ac:dyDescent="0.25">
      <c r="A589" s="247"/>
      <c r="B589" s="247"/>
      <c r="C589" s="247"/>
      <c r="D589" s="247"/>
      <c r="E589" s="247"/>
      <c r="F589" s="247"/>
      <c r="G589" s="247"/>
      <c r="H589" s="247"/>
      <c r="I589" s="251"/>
      <c r="J589" s="247"/>
      <c r="K589" s="247"/>
      <c r="L589" s="247"/>
      <c r="M589" s="247"/>
      <c r="N589" s="247"/>
      <c r="O589" s="247"/>
      <c r="P589" s="247"/>
      <c r="Q589" s="247"/>
      <c r="R589" s="65"/>
      <c r="S589" s="65"/>
      <c r="T589" s="65"/>
      <c r="U589" s="65"/>
      <c r="V589" s="65"/>
      <c r="W589" s="65"/>
      <c r="X589" s="65"/>
      <c r="Y589" s="65"/>
      <c r="Z589" s="65"/>
      <c r="AA589" s="65"/>
      <c r="AB589" s="65"/>
      <c r="AC589" s="65"/>
      <c r="AD589" s="65"/>
      <c r="AE589" s="247"/>
    </row>
    <row r="590" spans="1:31" x14ac:dyDescent="0.25">
      <c r="A590" s="247"/>
      <c r="B590" s="247"/>
      <c r="C590" s="247"/>
      <c r="D590" s="247"/>
      <c r="E590" s="247"/>
      <c r="F590" s="247"/>
      <c r="G590" s="247"/>
      <c r="H590" s="247"/>
      <c r="I590" s="251"/>
      <c r="J590" s="247"/>
      <c r="K590" s="247"/>
      <c r="L590" s="247"/>
      <c r="M590" s="247"/>
      <c r="N590" s="247"/>
      <c r="O590" s="247"/>
      <c r="P590" s="247"/>
      <c r="Q590" s="247"/>
      <c r="R590" s="65"/>
      <c r="S590" s="65"/>
      <c r="T590" s="65"/>
      <c r="U590" s="65"/>
      <c r="V590" s="65"/>
      <c r="W590" s="65"/>
      <c r="X590" s="65"/>
      <c r="Y590" s="65"/>
      <c r="Z590" s="65"/>
      <c r="AA590" s="65"/>
      <c r="AB590" s="65"/>
      <c r="AC590" s="65"/>
      <c r="AD590" s="65"/>
      <c r="AE590" s="247"/>
    </row>
    <row r="591" spans="1:31" x14ac:dyDescent="0.25">
      <c r="A591" s="168" t="s">
        <v>3410</v>
      </c>
      <c r="B591" s="167">
        <v>612001</v>
      </c>
      <c r="C591" s="168" t="s">
        <v>3412</v>
      </c>
      <c r="D591" s="168" t="s">
        <v>3413</v>
      </c>
      <c r="E591" s="168" t="s">
        <v>3414</v>
      </c>
      <c r="F591" s="58">
        <v>43466</v>
      </c>
      <c r="G591" s="59">
        <f>(DATE(2020,12,30)-(F591))/365</f>
        <v>1.9972602739726026</v>
      </c>
      <c r="H591" s="61">
        <v>67192.895840000012</v>
      </c>
      <c r="I591" s="63">
        <v>68872.72</v>
      </c>
      <c r="J591" s="61">
        <v>68872.718236000015</v>
      </c>
      <c r="K591" s="63">
        <f>SUM(((J591*$K$3)+$K$2)+J591)</f>
        <v>68872.718236000015</v>
      </c>
      <c r="L591" s="59">
        <f>SUM(K591/$L$7)</f>
        <v>33.111883767307702</v>
      </c>
      <c r="M591" s="61">
        <f>SUM(K591/$M$7)</f>
        <v>2648.950701384616</v>
      </c>
      <c r="N591" s="61">
        <f>IF(G591&lt;4,0,(G591-1)*$N$7)</f>
        <v>0</v>
      </c>
      <c r="O591" s="247"/>
      <c r="P591" s="247"/>
      <c r="Q591" s="61">
        <f>IF(N591+P591&gt;5000,5000,N591+P591)</f>
        <v>0</v>
      </c>
      <c r="R591" s="63">
        <f>SUM(K591+Q591)</f>
        <v>68872.718236000015</v>
      </c>
      <c r="S591" s="63">
        <v>4200</v>
      </c>
      <c r="T591" s="65"/>
      <c r="U591" s="65"/>
      <c r="V591" s="63">
        <f t="shared" ref="V591:V603" si="569">SUM(R591:U591)</f>
        <v>73072.718236000015</v>
      </c>
      <c r="W591" s="63">
        <f t="shared" ref="W591:W603" si="570">SUM(V591*$W$7)</f>
        <v>4530.5085306320007</v>
      </c>
      <c r="X591" s="63">
        <f t="shared" ref="X591:X603" si="571">SUM(V591*$X$7)</f>
        <v>1059.5544144220003</v>
      </c>
      <c r="Y591" s="63">
        <f>SUM(V591*$Y$7)</f>
        <v>10975.522279047202</v>
      </c>
      <c r="Z591" s="63">
        <f>SUM(V591*$Z$7)</f>
        <v>116.91634917760003</v>
      </c>
      <c r="AA591" s="63" t="s">
        <v>2420</v>
      </c>
      <c r="AB591" s="63">
        <f>SUM($AB$7)</f>
        <v>335</v>
      </c>
      <c r="AC591" s="63">
        <f>$AC$7</f>
        <v>10356.36</v>
      </c>
      <c r="AD591" s="63">
        <f>SUM(AB591+AC591)*$AD$7</f>
        <v>106.9136</v>
      </c>
      <c r="AE591" s="247" t="s">
        <v>3410</v>
      </c>
    </row>
    <row r="592" spans="1:31" x14ac:dyDescent="0.25">
      <c r="A592" s="247"/>
      <c r="B592" s="247"/>
      <c r="C592" s="168" t="s">
        <v>2901</v>
      </c>
      <c r="D592" s="168" t="s">
        <v>3413</v>
      </c>
      <c r="E592" s="168" t="s">
        <v>3414</v>
      </c>
      <c r="F592" s="247"/>
      <c r="G592" s="167" t="s">
        <v>2422</v>
      </c>
      <c r="H592" s="59">
        <v>600</v>
      </c>
      <c r="I592" s="292"/>
      <c r="J592" s="59">
        <v>600</v>
      </c>
      <c r="K592" s="59">
        <v>600</v>
      </c>
      <c r="L592" s="247"/>
      <c r="M592" s="167">
        <v>23.08</v>
      </c>
      <c r="N592" s="167" t="s">
        <v>2420</v>
      </c>
      <c r="O592" s="247"/>
      <c r="P592" s="247"/>
      <c r="Q592" s="167">
        <v>0</v>
      </c>
      <c r="R592" s="63">
        <v>600</v>
      </c>
      <c r="S592" s="65"/>
      <c r="T592" s="65"/>
      <c r="U592" s="65"/>
      <c r="V592" s="63">
        <f t="shared" si="569"/>
        <v>600</v>
      </c>
      <c r="W592" s="63">
        <f t="shared" si="570"/>
        <v>37.200000000000003</v>
      </c>
      <c r="X592" s="63">
        <f t="shared" si="571"/>
        <v>8.7000000000000011</v>
      </c>
      <c r="Y592" s="63" t="s">
        <v>2420</v>
      </c>
      <c r="Z592" s="63" t="s">
        <v>2420</v>
      </c>
      <c r="AA592" s="63" t="s">
        <v>2422</v>
      </c>
      <c r="AB592" s="63" t="s">
        <v>2422</v>
      </c>
      <c r="AC592" s="63" t="s">
        <v>2422</v>
      </c>
      <c r="AD592" s="63" t="s">
        <v>2422</v>
      </c>
      <c r="AE592" s="247" t="s">
        <v>3434</v>
      </c>
    </row>
    <row r="593" spans="1:31" x14ac:dyDescent="0.25">
      <c r="A593" s="168" t="s">
        <v>3410</v>
      </c>
      <c r="B593" s="167">
        <v>612002</v>
      </c>
      <c r="C593" s="168" t="s">
        <v>4244</v>
      </c>
      <c r="D593" s="185" t="s">
        <v>3433</v>
      </c>
      <c r="E593" s="185" t="s">
        <v>2675</v>
      </c>
      <c r="F593" s="58">
        <v>36290</v>
      </c>
      <c r="G593" s="59">
        <f t="shared" ref="G593:G601" si="572">(DATE(2020,12,30)-(F593))/365</f>
        <v>21.657534246575342</v>
      </c>
      <c r="H593" s="61">
        <v>41117.519999999997</v>
      </c>
      <c r="I593" s="63">
        <v>42145.46</v>
      </c>
      <c r="J593" s="61">
        <v>42145.457999999999</v>
      </c>
      <c r="K593" s="63">
        <f t="shared" ref="K593:K601" si="573">SUM(((J593*$K$3)+$K$2)+J593)</f>
        <v>42145.457999999999</v>
      </c>
      <c r="L593" s="59">
        <f t="shared" ref="L593:L601" si="574">SUM(K593/$L$7)</f>
        <v>20.262239423076924</v>
      </c>
      <c r="M593" s="61">
        <f t="shared" ref="M593:M601" si="575">SUM(K593/$M$7)</f>
        <v>1620.9791538461538</v>
      </c>
      <c r="N593" s="61">
        <f t="shared" ref="N593:N601" si="576">IF(G593&lt;4,0,(G593-1)*$N$7)</f>
        <v>5453.58904109589</v>
      </c>
      <c r="O593" s="247"/>
      <c r="P593" s="247"/>
      <c r="Q593" s="61">
        <f t="shared" ref="Q593:Q601" si="577">IF(N593+P593&gt;5000,5000,N593+P593)</f>
        <v>5000</v>
      </c>
      <c r="R593" s="63">
        <f t="shared" ref="R593:R603" si="578">SUM(K593+Q593)</f>
        <v>47145.457999999999</v>
      </c>
      <c r="S593" s="65"/>
      <c r="T593" s="65"/>
      <c r="U593" s="65"/>
      <c r="V593" s="63">
        <f t="shared" si="569"/>
        <v>47145.457999999999</v>
      </c>
      <c r="W593" s="63">
        <f t="shared" si="570"/>
        <v>2923.0183959999999</v>
      </c>
      <c r="X593" s="63">
        <f t="shared" si="571"/>
        <v>683.60914100000002</v>
      </c>
      <c r="Y593" s="63">
        <f t="shared" ref="Y593:Y603" si="579">SUM(V593*$Y$7)</f>
        <v>7081.2477915999998</v>
      </c>
      <c r="Z593" s="63">
        <f t="shared" ref="Z593:Z603" si="580">SUM(V593*$Z$7)</f>
        <v>75.432732799999997</v>
      </c>
      <c r="AA593" s="63">
        <f t="shared" ref="AA593:AA603" si="581">SUM(V593*$AA$7)</f>
        <v>33.001820600000002</v>
      </c>
      <c r="AB593" s="63">
        <f t="shared" ref="AB593:AB601" si="582">SUM($AB$7)</f>
        <v>335</v>
      </c>
      <c r="AC593" s="63">
        <f t="shared" ref="AC593:AC601" si="583">$AC$7</f>
        <v>10356.36</v>
      </c>
      <c r="AD593" s="63">
        <f t="shared" ref="AD593:AD601" si="584">SUM(AB593+AC593)*$AD$7</f>
        <v>106.9136</v>
      </c>
      <c r="AE593" s="247" t="s">
        <v>3410</v>
      </c>
    </row>
    <row r="594" spans="1:31" x14ac:dyDescent="0.25">
      <c r="A594" s="168" t="s">
        <v>3410</v>
      </c>
      <c r="B594" s="167">
        <v>612003</v>
      </c>
      <c r="C594" s="168" t="s">
        <v>4254</v>
      </c>
      <c r="D594" s="181" t="s">
        <v>2429</v>
      </c>
      <c r="E594" s="181" t="s">
        <v>3431</v>
      </c>
      <c r="F594" s="58">
        <v>36753</v>
      </c>
      <c r="G594" s="59">
        <f t="shared" si="572"/>
        <v>20.389041095890413</v>
      </c>
      <c r="H594" s="61">
        <v>38346.603520000004</v>
      </c>
      <c r="I594" s="63">
        <v>39305.269999999997</v>
      </c>
      <c r="J594" s="61">
        <v>39305.268608000006</v>
      </c>
      <c r="K594" s="63">
        <f t="shared" si="573"/>
        <v>39305.268608000006</v>
      </c>
      <c r="L594" s="59">
        <f t="shared" si="574"/>
        <v>18.896763753846155</v>
      </c>
      <c r="M594" s="61">
        <f t="shared" si="575"/>
        <v>1511.7411003076925</v>
      </c>
      <c r="N594" s="61">
        <f t="shared" si="576"/>
        <v>5118.7068493150691</v>
      </c>
      <c r="O594" s="247"/>
      <c r="P594" s="247"/>
      <c r="Q594" s="61">
        <f t="shared" si="577"/>
        <v>5000</v>
      </c>
      <c r="R594" s="63">
        <f t="shared" si="578"/>
        <v>44305.268608000006</v>
      </c>
      <c r="S594" s="65"/>
      <c r="T594" s="65"/>
      <c r="U594" s="65"/>
      <c r="V594" s="63">
        <f t="shared" si="569"/>
        <v>44305.268608000006</v>
      </c>
      <c r="W594" s="63">
        <f t="shared" si="570"/>
        <v>2746.9266536960004</v>
      </c>
      <c r="X594" s="63">
        <f t="shared" si="571"/>
        <v>642.42639481600008</v>
      </c>
      <c r="Y594" s="63">
        <f t="shared" si="579"/>
        <v>6654.6513449216009</v>
      </c>
      <c r="Z594" s="63">
        <f t="shared" si="580"/>
        <v>70.888429772800009</v>
      </c>
      <c r="AA594" s="63">
        <f t="shared" si="581"/>
        <v>31.013688025600004</v>
      </c>
      <c r="AB594" s="63">
        <f t="shared" si="582"/>
        <v>335</v>
      </c>
      <c r="AC594" s="63">
        <f t="shared" si="583"/>
        <v>10356.36</v>
      </c>
      <c r="AD594" s="63">
        <f t="shared" si="584"/>
        <v>106.9136</v>
      </c>
      <c r="AE594" s="247" t="s">
        <v>3410</v>
      </c>
    </row>
    <row r="595" spans="1:31" x14ac:dyDescent="0.25">
      <c r="A595" s="168" t="s">
        <v>3410</v>
      </c>
      <c r="B595" s="167">
        <v>612004</v>
      </c>
      <c r="C595" s="168" t="s">
        <v>4245</v>
      </c>
      <c r="D595" s="185" t="s">
        <v>2452</v>
      </c>
      <c r="E595" s="185" t="s">
        <v>3416</v>
      </c>
      <c r="F595" s="58">
        <v>38082</v>
      </c>
      <c r="G595" s="59">
        <f t="shared" si="572"/>
        <v>16.747945205479454</v>
      </c>
      <c r="H595" s="61">
        <v>33420.1008</v>
      </c>
      <c r="I595" s="63">
        <v>34255.599999999999</v>
      </c>
      <c r="J595" s="61">
        <v>34255.603320000002</v>
      </c>
      <c r="K595" s="63">
        <f t="shared" si="573"/>
        <v>34255.603320000002</v>
      </c>
      <c r="L595" s="59">
        <f t="shared" si="574"/>
        <v>16.469040057692307</v>
      </c>
      <c r="M595" s="61">
        <f t="shared" si="575"/>
        <v>1317.5232046153847</v>
      </c>
      <c r="N595" s="61">
        <f t="shared" si="576"/>
        <v>4157.457534246576</v>
      </c>
      <c r="O595" s="247"/>
      <c r="P595" s="247"/>
      <c r="Q595" s="61">
        <f t="shared" si="577"/>
        <v>4157.457534246576</v>
      </c>
      <c r="R595" s="63">
        <f t="shared" si="578"/>
        <v>38413.060854246578</v>
      </c>
      <c r="S595" s="65"/>
      <c r="T595" s="65"/>
      <c r="U595" s="65"/>
      <c r="V595" s="63">
        <f t="shared" si="569"/>
        <v>38413.060854246578</v>
      </c>
      <c r="W595" s="63">
        <f t="shared" si="570"/>
        <v>2381.6097729632879</v>
      </c>
      <c r="X595" s="63">
        <f t="shared" si="571"/>
        <v>556.98938238657536</v>
      </c>
      <c r="Y595" s="63">
        <f t="shared" si="579"/>
        <v>5769.6417403078358</v>
      </c>
      <c r="Z595" s="63">
        <f t="shared" si="580"/>
        <v>61.460897366794526</v>
      </c>
      <c r="AA595" s="63">
        <f t="shared" si="581"/>
        <v>26.889142597972604</v>
      </c>
      <c r="AB595" s="63">
        <f t="shared" si="582"/>
        <v>335</v>
      </c>
      <c r="AC595" s="63">
        <f t="shared" si="583"/>
        <v>10356.36</v>
      </c>
      <c r="AD595" s="63">
        <f t="shared" si="584"/>
        <v>106.9136</v>
      </c>
      <c r="AE595" s="247" t="s">
        <v>3410</v>
      </c>
    </row>
    <row r="596" spans="1:31" x14ac:dyDescent="0.25">
      <c r="A596" s="168" t="s">
        <v>3410</v>
      </c>
      <c r="B596" s="167">
        <v>612006</v>
      </c>
      <c r="C596" s="168" t="s">
        <v>4247</v>
      </c>
      <c r="D596" s="168" t="s">
        <v>3244</v>
      </c>
      <c r="E596" s="168" t="s">
        <v>2486</v>
      </c>
      <c r="F596" s="58">
        <v>39818</v>
      </c>
      <c r="G596" s="59">
        <f t="shared" si="572"/>
        <v>11.991780821917809</v>
      </c>
      <c r="H596" s="61">
        <v>38346.603520000004</v>
      </c>
      <c r="I596" s="63">
        <v>39305.269999999997</v>
      </c>
      <c r="J596" s="61">
        <v>39305.268608000006</v>
      </c>
      <c r="K596" s="63">
        <f t="shared" si="573"/>
        <v>39305.268608000006</v>
      </c>
      <c r="L596" s="59">
        <f t="shared" si="574"/>
        <v>18.896763753846155</v>
      </c>
      <c r="M596" s="61">
        <f t="shared" si="575"/>
        <v>1511.7411003076925</v>
      </c>
      <c r="N596" s="61">
        <f t="shared" si="576"/>
        <v>2901.8301369863016</v>
      </c>
      <c r="O596" s="247"/>
      <c r="P596" s="247"/>
      <c r="Q596" s="61">
        <f t="shared" si="577"/>
        <v>2901.8301369863016</v>
      </c>
      <c r="R596" s="63">
        <f t="shared" si="578"/>
        <v>42207.09874498631</v>
      </c>
      <c r="S596" s="65"/>
      <c r="T596" s="65"/>
      <c r="U596" s="65"/>
      <c r="V596" s="63">
        <f t="shared" si="569"/>
        <v>42207.09874498631</v>
      </c>
      <c r="W596" s="63">
        <f t="shared" si="570"/>
        <v>2616.8401221891513</v>
      </c>
      <c r="X596" s="63">
        <f t="shared" si="571"/>
        <v>612.00293180230153</v>
      </c>
      <c r="Y596" s="63">
        <f t="shared" si="579"/>
        <v>6339.5062314969437</v>
      </c>
      <c r="Z596" s="63">
        <f t="shared" si="580"/>
        <v>67.531357991978098</v>
      </c>
      <c r="AA596" s="63">
        <f t="shared" si="581"/>
        <v>29.544969121490418</v>
      </c>
      <c r="AB596" s="63">
        <f t="shared" si="582"/>
        <v>335</v>
      </c>
      <c r="AC596" s="63">
        <f t="shared" si="583"/>
        <v>10356.36</v>
      </c>
      <c r="AD596" s="63">
        <f t="shared" si="584"/>
        <v>106.9136</v>
      </c>
      <c r="AE596" s="247" t="s">
        <v>3410</v>
      </c>
    </row>
    <row r="597" spans="1:31" x14ac:dyDescent="0.25">
      <c r="A597" s="168" t="s">
        <v>3410</v>
      </c>
      <c r="B597" s="167">
        <v>612007</v>
      </c>
      <c r="C597" s="168" t="s">
        <v>4248</v>
      </c>
      <c r="D597" s="247" t="s">
        <v>4255</v>
      </c>
      <c r="E597" s="247" t="s">
        <v>3519</v>
      </c>
      <c r="F597" s="84">
        <v>43318</v>
      </c>
      <c r="G597" s="59">
        <f t="shared" si="572"/>
        <v>2.4027397260273973</v>
      </c>
      <c r="H597" s="61">
        <v>38346.603520000004</v>
      </c>
      <c r="I597" s="400">
        <v>37744</v>
      </c>
      <c r="J597" s="61">
        <v>39305.268608000006</v>
      </c>
      <c r="K597" s="63">
        <f t="shared" si="573"/>
        <v>39305.268608000006</v>
      </c>
      <c r="L597" s="59">
        <f t="shared" si="574"/>
        <v>18.896763753846155</v>
      </c>
      <c r="M597" s="61">
        <f t="shared" si="575"/>
        <v>1511.7411003076925</v>
      </c>
      <c r="N597" s="61">
        <f t="shared" si="576"/>
        <v>0</v>
      </c>
      <c r="O597" s="247"/>
      <c r="P597" s="247"/>
      <c r="Q597" s="61">
        <f t="shared" si="577"/>
        <v>0</v>
      </c>
      <c r="R597" s="63">
        <f t="shared" si="578"/>
        <v>39305.268608000006</v>
      </c>
      <c r="S597" s="65"/>
      <c r="T597" s="65"/>
      <c r="U597" s="65"/>
      <c r="V597" s="63">
        <f t="shared" si="569"/>
        <v>39305.268608000006</v>
      </c>
      <c r="W597" s="63">
        <f t="shared" si="570"/>
        <v>2436.9266536960004</v>
      </c>
      <c r="X597" s="63">
        <f t="shared" si="571"/>
        <v>569.92639481600008</v>
      </c>
      <c r="Y597" s="63">
        <f t="shared" si="579"/>
        <v>5903.6513449216009</v>
      </c>
      <c r="Z597" s="63">
        <f t="shared" si="580"/>
        <v>62.888429772800009</v>
      </c>
      <c r="AA597" s="63">
        <f t="shared" si="581"/>
        <v>27.513688025600004</v>
      </c>
      <c r="AB597" s="63">
        <f t="shared" si="582"/>
        <v>335</v>
      </c>
      <c r="AC597" s="63">
        <f t="shared" si="583"/>
        <v>10356.36</v>
      </c>
      <c r="AD597" s="63">
        <f t="shared" si="584"/>
        <v>106.9136</v>
      </c>
      <c r="AE597" s="247" t="s">
        <v>3410</v>
      </c>
    </row>
    <row r="598" spans="1:31" x14ac:dyDescent="0.25">
      <c r="A598" s="168" t="s">
        <v>3410</v>
      </c>
      <c r="B598" s="167">
        <v>612008</v>
      </c>
      <c r="C598" s="168" t="s">
        <v>4249</v>
      </c>
      <c r="D598" s="181" t="s">
        <v>3854</v>
      </c>
      <c r="E598" s="181" t="s">
        <v>3855</v>
      </c>
      <c r="F598" s="58">
        <v>43402</v>
      </c>
      <c r="G598" s="59">
        <f t="shared" si="572"/>
        <v>2.1726027397260275</v>
      </c>
      <c r="H598" s="61">
        <v>38346.603520000004</v>
      </c>
      <c r="I598" s="63">
        <v>39305.269999999997</v>
      </c>
      <c r="J598" s="61">
        <v>39305.268608000006</v>
      </c>
      <c r="K598" s="63">
        <f t="shared" si="573"/>
        <v>39305.268608000006</v>
      </c>
      <c r="L598" s="59">
        <f t="shared" si="574"/>
        <v>18.896763753846155</v>
      </c>
      <c r="M598" s="61">
        <f t="shared" si="575"/>
        <v>1511.7411003076925</v>
      </c>
      <c r="N598" s="61">
        <f t="shared" si="576"/>
        <v>0</v>
      </c>
      <c r="O598" s="247"/>
      <c r="P598" s="61">
        <f>52.15*$P$7</f>
        <v>1355.8999999999999</v>
      </c>
      <c r="Q598" s="61">
        <f t="shared" si="577"/>
        <v>1355.8999999999999</v>
      </c>
      <c r="R598" s="63">
        <f t="shared" si="578"/>
        <v>40661.168608000007</v>
      </c>
      <c r="S598" s="65"/>
      <c r="T598" s="65"/>
      <c r="U598" s="65"/>
      <c r="V598" s="63">
        <f t="shared" si="569"/>
        <v>40661.168608000007</v>
      </c>
      <c r="W598" s="63">
        <f t="shared" si="570"/>
        <v>2520.9924536960002</v>
      </c>
      <c r="X598" s="63">
        <f t="shared" si="571"/>
        <v>589.58694481600014</v>
      </c>
      <c r="Y598" s="63">
        <f t="shared" si="579"/>
        <v>6107.3075249216008</v>
      </c>
      <c r="Z598" s="63">
        <f t="shared" si="580"/>
        <v>65.057869772800018</v>
      </c>
      <c r="AA598" s="63">
        <f t="shared" si="581"/>
        <v>28.462818025600004</v>
      </c>
      <c r="AB598" s="63">
        <f t="shared" si="582"/>
        <v>335</v>
      </c>
      <c r="AC598" s="63">
        <f t="shared" si="583"/>
        <v>10356.36</v>
      </c>
      <c r="AD598" s="63">
        <f t="shared" si="584"/>
        <v>106.9136</v>
      </c>
      <c r="AE598" s="247" t="s">
        <v>3410</v>
      </c>
    </row>
    <row r="599" spans="1:31" x14ac:dyDescent="0.25">
      <c r="A599" s="168" t="s">
        <v>3410</v>
      </c>
      <c r="B599" s="167">
        <v>612009</v>
      </c>
      <c r="C599" s="168" t="s">
        <v>4256</v>
      </c>
      <c r="D599" s="168" t="s">
        <v>3429</v>
      </c>
      <c r="E599" s="168" t="s">
        <v>2796</v>
      </c>
      <c r="F599" s="58">
        <v>39118</v>
      </c>
      <c r="G599" s="59">
        <f t="shared" si="572"/>
        <v>13.90958904109589</v>
      </c>
      <c r="H599" s="61">
        <v>38346.603520000004</v>
      </c>
      <c r="I599" s="63">
        <v>39305.269999999997</v>
      </c>
      <c r="J599" s="61">
        <v>39305.268608000006</v>
      </c>
      <c r="K599" s="63">
        <f t="shared" si="573"/>
        <v>39305.268608000006</v>
      </c>
      <c r="L599" s="59">
        <f t="shared" si="574"/>
        <v>18.896763753846155</v>
      </c>
      <c r="M599" s="61">
        <f t="shared" si="575"/>
        <v>1511.7411003076925</v>
      </c>
      <c r="N599" s="61">
        <f t="shared" si="576"/>
        <v>3408.131506849315</v>
      </c>
      <c r="O599" s="247"/>
      <c r="P599" s="247"/>
      <c r="Q599" s="61">
        <f t="shared" si="577"/>
        <v>3408.131506849315</v>
      </c>
      <c r="R599" s="63">
        <f t="shared" si="578"/>
        <v>42713.400114849319</v>
      </c>
      <c r="S599" s="65"/>
      <c r="T599" s="65"/>
      <c r="U599" s="65"/>
      <c r="V599" s="63">
        <f t="shared" si="569"/>
        <v>42713.400114849319</v>
      </c>
      <c r="W599" s="63">
        <f t="shared" si="570"/>
        <v>2648.2308071206576</v>
      </c>
      <c r="X599" s="63">
        <f t="shared" si="571"/>
        <v>619.34430166531513</v>
      </c>
      <c r="Y599" s="63">
        <f t="shared" si="579"/>
        <v>6415.5526972503676</v>
      </c>
      <c r="Z599" s="63">
        <f t="shared" si="580"/>
        <v>68.34144018375892</v>
      </c>
      <c r="AA599" s="63">
        <f t="shared" si="581"/>
        <v>29.899380080394522</v>
      </c>
      <c r="AB599" s="63">
        <f t="shared" si="582"/>
        <v>335</v>
      </c>
      <c r="AC599" s="63">
        <f t="shared" si="583"/>
        <v>10356.36</v>
      </c>
      <c r="AD599" s="63">
        <f t="shared" si="584"/>
        <v>106.9136</v>
      </c>
      <c r="AE599" s="247" t="s">
        <v>3410</v>
      </c>
    </row>
    <row r="600" spans="1:31" x14ac:dyDescent="0.25">
      <c r="A600" s="168" t="s">
        <v>3410</v>
      </c>
      <c r="B600" s="167">
        <v>612010</v>
      </c>
      <c r="C600" s="168" t="s">
        <v>4250</v>
      </c>
      <c r="D600" s="168" t="s">
        <v>3856</v>
      </c>
      <c r="E600" s="168" t="s">
        <v>3455</v>
      </c>
      <c r="F600" s="58">
        <v>43277</v>
      </c>
      <c r="G600" s="59">
        <f t="shared" si="572"/>
        <v>2.515068493150685</v>
      </c>
      <c r="H600" s="61">
        <v>38346.603520000004</v>
      </c>
      <c r="I600" s="63">
        <v>39305.269999999997</v>
      </c>
      <c r="J600" s="61">
        <v>39305.268608000006</v>
      </c>
      <c r="K600" s="63">
        <f t="shared" si="573"/>
        <v>39305.268608000006</v>
      </c>
      <c r="L600" s="59">
        <f t="shared" si="574"/>
        <v>18.896763753846155</v>
      </c>
      <c r="M600" s="61">
        <f t="shared" si="575"/>
        <v>1511.7411003076925</v>
      </c>
      <c r="N600" s="61">
        <f t="shared" si="576"/>
        <v>0</v>
      </c>
      <c r="O600" s="247"/>
      <c r="P600" s="247"/>
      <c r="Q600" s="61">
        <f t="shared" si="577"/>
        <v>0</v>
      </c>
      <c r="R600" s="63">
        <f t="shared" si="578"/>
        <v>39305.268608000006</v>
      </c>
      <c r="S600" s="65"/>
      <c r="T600" s="65"/>
      <c r="U600" s="65"/>
      <c r="V600" s="63">
        <f t="shared" si="569"/>
        <v>39305.268608000006</v>
      </c>
      <c r="W600" s="63">
        <f t="shared" si="570"/>
        <v>2436.9266536960004</v>
      </c>
      <c r="X600" s="63">
        <f t="shared" si="571"/>
        <v>569.92639481600008</v>
      </c>
      <c r="Y600" s="63">
        <f t="shared" si="579"/>
        <v>5903.6513449216009</v>
      </c>
      <c r="Z600" s="63">
        <f t="shared" si="580"/>
        <v>62.888429772800009</v>
      </c>
      <c r="AA600" s="63">
        <f t="shared" si="581"/>
        <v>27.513688025600004</v>
      </c>
      <c r="AB600" s="63">
        <f t="shared" si="582"/>
        <v>335</v>
      </c>
      <c r="AC600" s="63">
        <f t="shared" si="583"/>
        <v>10356.36</v>
      </c>
      <c r="AD600" s="63">
        <f t="shared" si="584"/>
        <v>106.9136</v>
      </c>
      <c r="AE600" s="247" t="s">
        <v>3410</v>
      </c>
    </row>
    <row r="601" spans="1:31" x14ac:dyDescent="0.25">
      <c r="A601" s="168" t="s">
        <v>3410</v>
      </c>
      <c r="B601" s="167">
        <v>612011</v>
      </c>
      <c r="C601" s="168" t="s">
        <v>4253</v>
      </c>
      <c r="D601" s="271" t="s">
        <v>2805</v>
      </c>
      <c r="E601" s="271" t="s">
        <v>2806</v>
      </c>
      <c r="F601" s="403">
        <v>43831</v>
      </c>
      <c r="G601" s="59">
        <f t="shared" si="572"/>
        <v>0.99726027397260275</v>
      </c>
      <c r="H601" s="61">
        <v>38346.603520000004</v>
      </c>
      <c r="I601" s="63">
        <v>39305.269999999997</v>
      </c>
      <c r="J601" s="61">
        <v>39305.268608000006</v>
      </c>
      <c r="K601" s="63">
        <f t="shared" si="573"/>
        <v>39305.268608000006</v>
      </c>
      <c r="L601" s="59">
        <f t="shared" si="574"/>
        <v>18.896763753846155</v>
      </c>
      <c r="M601" s="61">
        <f t="shared" si="575"/>
        <v>1511.7411003076925</v>
      </c>
      <c r="N601" s="61">
        <f t="shared" si="576"/>
        <v>0</v>
      </c>
      <c r="O601" s="247"/>
      <c r="P601" s="247"/>
      <c r="Q601" s="61">
        <f t="shared" si="577"/>
        <v>0</v>
      </c>
      <c r="R601" s="63">
        <f t="shared" si="578"/>
        <v>39305.268608000006</v>
      </c>
      <c r="S601" s="65"/>
      <c r="T601" s="65"/>
      <c r="U601" s="65"/>
      <c r="V601" s="63">
        <f t="shared" si="569"/>
        <v>39305.268608000006</v>
      </c>
      <c r="W601" s="63">
        <f t="shared" si="570"/>
        <v>2436.9266536960004</v>
      </c>
      <c r="X601" s="63">
        <f t="shared" si="571"/>
        <v>569.92639481600008</v>
      </c>
      <c r="Y601" s="63">
        <f t="shared" si="579"/>
        <v>5903.6513449216009</v>
      </c>
      <c r="Z601" s="63">
        <f t="shared" si="580"/>
        <v>62.888429772800009</v>
      </c>
      <c r="AA601" s="63">
        <f t="shared" si="581"/>
        <v>27.513688025600004</v>
      </c>
      <c r="AB601" s="63">
        <f t="shared" si="582"/>
        <v>335</v>
      </c>
      <c r="AC601" s="63">
        <f t="shared" si="583"/>
        <v>10356.36</v>
      </c>
      <c r="AD601" s="63">
        <f t="shared" si="584"/>
        <v>106.9136</v>
      </c>
      <c r="AE601" s="247" t="s">
        <v>3410</v>
      </c>
    </row>
    <row r="602" spans="1:31" x14ac:dyDescent="0.25">
      <c r="A602" s="168" t="s">
        <v>3410</v>
      </c>
      <c r="B602" s="247"/>
      <c r="C602" s="168" t="s">
        <v>1627</v>
      </c>
      <c r="D602" s="168"/>
      <c r="E602" s="168"/>
      <c r="F602" s="58"/>
      <c r="G602" s="167" t="s">
        <v>2422</v>
      </c>
      <c r="H602" s="61">
        <v>15000</v>
      </c>
      <c r="I602" s="251"/>
      <c r="J602" s="61">
        <v>15000</v>
      </c>
      <c r="K602" s="61">
        <v>40000</v>
      </c>
      <c r="L602" s="247"/>
      <c r="M602" s="247"/>
      <c r="N602" s="167" t="s">
        <v>27</v>
      </c>
      <c r="O602" s="247"/>
      <c r="P602" s="247"/>
      <c r="Q602" s="167">
        <v>0</v>
      </c>
      <c r="R602" s="63">
        <f t="shared" si="578"/>
        <v>40000</v>
      </c>
      <c r="S602" s="65"/>
      <c r="T602" s="65"/>
      <c r="U602" s="65"/>
      <c r="V602" s="63">
        <f t="shared" si="569"/>
        <v>40000</v>
      </c>
      <c r="W602" s="63">
        <f t="shared" si="570"/>
        <v>2480</v>
      </c>
      <c r="X602" s="63">
        <f t="shared" si="571"/>
        <v>580</v>
      </c>
      <c r="Y602" s="63">
        <f t="shared" si="579"/>
        <v>6008</v>
      </c>
      <c r="Z602" s="63">
        <f t="shared" si="580"/>
        <v>64</v>
      </c>
      <c r="AA602" s="63">
        <f t="shared" si="581"/>
        <v>28</v>
      </c>
      <c r="AB602" s="63" t="s">
        <v>2422</v>
      </c>
      <c r="AC602" s="63" t="s">
        <v>2422</v>
      </c>
      <c r="AD602" s="63" t="s">
        <v>2422</v>
      </c>
      <c r="AE602" s="247" t="s">
        <v>3410</v>
      </c>
    </row>
    <row r="603" spans="1:31" x14ac:dyDescent="0.25">
      <c r="A603" s="168" t="s">
        <v>3410</v>
      </c>
      <c r="B603" s="247"/>
      <c r="C603" s="168" t="s">
        <v>2495</v>
      </c>
      <c r="D603" s="168" t="s">
        <v>3857</v>
      </c>
      <c r="E603" s="168" t="s">
        <v>2773</v>
      </c>
      <c r="F603" s="111"/>
      <c r="G603" s="167" t="s">
        <v>2422</v>
      </c>
      <c r="H603" s="132">
        <v>15000</v>
      </c>
      <c r="I603" s="296"/>
      <c r="J603" s="132">
        <v>15000</v>
      </c>
      <c r="K603" s="132">
        <v>15000</v>
      </c>
      <c r="L603" s="320"/>
      <c r="M603" s="320"/>
      <c r="N603" s="220" t="s">
        <v>27</v>
      </c>
      <c r="O603" s="320"/>
      <c r="P603" s="320"/>
      <c r="Q603" s="220">
        <v>0</v>
      </c>
      <c r="R603" s="172">
        <f t="shared" si="578"/>
        <v>15000</v>
      </c>
      <c r="S603" s="314"/>
      <c r="T603" s="314"/>
      <c r="U603" s="314"/>
      <c r="V603" s="172">
        <f t="shared" si="569"/>
        <v>15000</v>
      </c>
      <c r="W603" s="172">
        <f t="shared" si="570"/>
        <v>930</v>
      </c>
      <c r="X603" s="172">
        <f t="shared" si="571"/>
        <v>217.5</v>
      </c>
      <c r="Y603" s="172">
        <f t="shared" si="579"/>
        <v>2253</v>
      </c>
      <c r="Z603" s="172">
        <f t="shared" si="580"/>
        <v>24</v>
      </c>
      <c r="AA603" s="172">
        <f t="shared" si="581"/>
        <v>10.5</v>
      </c>
      <c r="AB603" s="172" t="s">
        <v>2422</v>
      </c>
      <c r="AC603" s="172" t="s">
        <v>2422</v>
      </c>
      <c r="AD603" s="172" t="s">
        <v>2422</v>
      </c>
      <c r="AE603" s="247" t="s">
        <v>3410</v>
      </c>
    </row>
    <row r="604" spans="1:31" x14ac:dyDescent="0.25">
      <c r="A604" s="168" t="s">
        <v>3410</v>
      </c>
      <c r="B604" s="247"/>
      <c r="C604" s="247"/>
      <c r="D604" s="247"/>
      <c r="E604" s="247"/>
      <c r="F604" s="247"/>
      <c r="G604" s="247"/>
      <c r="H604" s="223">
        <v>440156.74128000002</v>
      </c>
      <c r="I604" s="401"/>
      <c r="J604" s="223">
        <v>451010.65981200006</v>
      </c>
      <c r="K604" s="223">
        <f t="shared" ref="K604:AD604" si="585">SUM(K590:K603)</f>
        <v>476010.65981200006</v>
      </c>
      <c r="L604" s="223">
        <f t="shared" si="585"/>
        <v>202.12050952500005</v>
      </c>
      <c r="M604" s="223">
        <f t="shared" si="585"/>
        <v>16192.720762000001</v>
      </c>
      <c r="N604" s="223">
        <f t="shared" si="585"/>
        <v>21039.715068493148</v>
      </c>
      <c r="O604" s="223">
        <f t="shared" si="585"/>
        <v>0</v>
      </c>
      <c r="P604" s="223">
        <f t="shared" si="585"/>
        <v>1355.8999999999999</v>
      </c>
      <c r="Q604" s="223">
        <f t="shared" si="585"/>
        <v>21823.319178082194</v>
      </c>
      <c r="R604" s="223">
        <f t="shared" si="585"/>
        <v>497833.97899008228</v>
      </c>
      <c r="S604" s="223">
        <f t="shared" si="585"/>
        <v>4200</v>
      </c>
      <c r="T604" s="223">
        <f t="shared" si="585"/>
        <v>0</v>
      </c>
      <c r="U604" s="223">
        <f t="shared" si="585"/>
        <v>0</v>
      </c>
      <c r="V604" s="223">
        <f t="shared" si="585"/>
        <v>502033.97899008228</v>
      </c>
      <c r="W604" s="223">
        <f t="shared" si="585"/>
        <v>31126.106697385098</v>
      </c>
      <c r="X604" s="223">
        <f t="shared" si="585"/>
        <v>7279.4926953561935</v>
      </c>
      <c r="Y604" s="223">
        <f t="shared" si="585"/>
        <v>75315.38364431035</v>
      </c>
      <c r="Z604" s="223">
        <f t="shared" si="585"/>
        <v>802.29436638413165</v>
      </c>
      <c r="AA604" s="223">
        <f t="shared" si="585"/>
        <v>299.85288252785756</v>
      </c>
      <c r="AB604" s="223">
        <f t="shared" si="585"/>
        <v>3350</v>
      </c>
      <c r="AC604" s="223">
        <f t="shared" si="585"/>
        <v>103563.6</v>
      </c>
      <c r="AD604" s="223">
        <f t="shared" si="585"/>
        <v>1069.136</v>
      </c>
      <c r="AE604" s="247" t="s">
        <v>3410</v>
      </c>
    </row>
    <row r="605" spans="1:31" x14ac:dyDescent="0.25">
      <c r="A605" s="247"/>
      <c r="B605" s="247"/>
      <c r="C605" s="247"/>
      <c r="D605" s="247"/>
      <c r="E605" s="247"/>
      <c r="F605" s="247"/>
      <c r="G605" s="247"/>
      <c r="H605" s="69">
        <v>342963.84544</v>
      </c>
      <c r="I605" s="169"/>
      <c r="J605" s="69">
        <v>351537.94157600007</v>
      </c>
      <c r="K605" s="69">
        <f>SUM(K593:K601)</f>
        <v>351537.94157600007</v>
      </c>
      <c r="L605" s="247"/>
      <c r="M605" s="247"/>
      <c r="N605" s="247"/>
      <c r="O605" s="247"/>
      <c r="P605" s="247"/>
      <c r="Q605" s="247"/>
      <c r="R605" s="65"/>
      <c r="S605" s="65"/>
      <c r="T605" s="65"/>
      <c r="U605" s="65"/>
      <c r="V605" s="65"/>
      <c r="W605" s="63">
        <f>W604+X604</f>
        <v>38405.599392741293</v>
      </c>
      <c r="X605" s="65"/>
      <c r="Y605" s="65"/>
      <c r="Z605" s="65"/>
      <c r="AA605" s="65"/>
      <c r="AB605" s="65"/>
      <c r="AC605" s="63">
        <f>SUM(AC604:AD604)</f>
        <v>104632.736</v>
      </c>
      <c r="AD605" s="65"/>
      <c r="AE605" s="247"/>
    </row>
    <row r="606" spans="1:31" x14ac:dyDescent="0.25">
      <c r="A606" s="247"/>
      <c r="B606" s="247"/>
      <c r="C606" s="247"/>
      <c r="D606" s="247"/>
      <c r="E606" s="247"/>
      <c r="F606" s="247"/>
      <c r="G606" s="247"/>
      <c r="H606" s="247"/>
      <c r="I606" s="251"/>
      <c r="J606" s="247"/>
      <c r="K606" s="247"/>
      <c r="L606" s="247"/>
      <c r="M606" s="247"/>
      <c r="N606" s="247"/>
      <c r="O606" s="247"/>
      <c r="P606" s="247"/>
      <c r="Q606" s="247"/>
      <c r="R606" s="65"/>
      <c r="S606" s="65"/>
      <c r="T606" s="65"/>
      <c r="U606" s="65"/>
      <c r="V606" s="65"/>
      <c r="W606" s="65"/>
      <c r="X606" s="65"/>
      <c r="Y606" s="65"/>
      <c r="Z606" s="65"/>
      <c r="AA606" s="65"/>
      <c r="AB606" s="65"/>
      <c r="AC606" s="65"/>
      <c r="AD606" s="65"/>
      <c r="AE606" s="247"/>
    </row>
    <row r="607" spans="1:31" x14ac:dyDescent="0.25">
      <c r="A607" s="247"/>
      <c r="B607" s="247"/>
      <c r="C607" s="247"/>
      <c r="D607" s="247"/>
      <c r="E607" s="247"/>
      <c r="F607" s="247"/>
      <c r="G607" s="247"/>
      <c r="H607" s="247"/>
      <c r="I607" s="251"/>
      <c r="J607" s="247"/>
      <c r="K607" s="247"/>
      <c r="L607" s="247"/>
      <c r="M607" s="247"/>
      <c r="N607" s="247"/>
      <c r="O607" s="247"/>
      <c r="P607" s="247"/>
      <c r="Q607" s="247"/>
      <c r="R607" s="65"/>
      <c r="S607" s="65"/>
      <c r="T607" s="65"/>
      <c r="U607" s="65"/>
      <c r="V607" s="65"/>
      <c r="W607" s="65"/>
      <c r="X607" s="65"/>
      <c r="Y607" s="65"/>
      <c r="Z607" s="65"/>
      <c r="AA607" s="65"/>
      <c r="AB607" s="65"/>
      <c r="AC607" s="65"/>
      <c r="AD607" s="65"/>
      <c r="AE607" s="247"/>
    </row>
    <row r="608" spans="1:31" x14ac:dyDescent="0.25">
      <c r="A608" s="168" t="s">
        <v>3434</v>
      </c>
      <c r="B608" s="167">
        <v>613001</v>
      </c>
      <c r="C608" s="168" t="s">
        <v>3436</v>
      </c>
      <c r="D608" s="181" t="s">
        <v>3437</v>
      </c>
      <c r="E608" s="181" t="s">
        <v>3438</v>
      </c>
      <c r="F608" s="58">
        <v>42736</v>
      </c>
      <c r="G608" s="59">
        <f>(DATE(2020,12,30)-(F608))/365</f>
        <v>3.9972602739726026</v>
      </c>
      <c r="H608" s="61">
        <v>67192.895840000012</v>
      </c>
      <c r="I608" s="63">
        <v>68872.72</v>
      </c>
      <c r="J608" s="61">
        <v>68872.718236000015</v>
      </c>
      <c r="K608" s="63">
        <f>SUM(((J608*$K$3)+$K$2)+J608)</f>
        <v>68872.718236000015</v>
      </c>
      <c r="L608" s="59">
        <f>SUM(K608/$L$7)</f>
        <v>33.111883767307702</v>
      </c>
      <c r="M608" s="61">
        <f>SUM(K608/$M$7)</f>
        <v>2648.950701384616</v>
      </c>
      <c r="N608" s="61">
        <f>IF(G608&lt;4,0,(G608-1)*264)</f>
        <v>0</v>
      </c>
      <c r="O608" s="247"/>
      <c r="P608" s="247"/>
      <c r="Q608" s="61">
        <f>IF(N608+P608&gt;5000,5000,N608+P608)</f>
        <v>0</v>
      </c>
      <c r="R608" s="63">
        <f>SUM(K608+Q608)</f>
        <v>68872.718236000015</v>
      </c>
      <c r="S608" s="63">
        <v>4200</v>
      </c>
      <c r="T608" s="65"/>
      <c r="U608" s="65"/>
      <c r="V608" s="63">
        <f t="shared" ref="V608:V619" si="586">SUM(R608:U608)</f>
        <v>73072.718236000015</v>
      </c>
      <c r="W608" s="63">
        <f t="shared" ref="W608:W619" si="587">SUM(V608*$W$7)</f>
        <v>4530.5085306320007</v>
      </c>
      <c r="X608" s="63">
        <f t="shared" ref="X608:X619" si="588">SUM(V608*$X$7)</f>
        <v>1059.5544144220003</v>
      </c>
      <c r="Y608" s="63">
        <f>SUM(V608*$Y$7)</f>
        <v>10975.522279047202</v>
      </c>
      <c r="Z608" s="63">
        <f>SUM(V608*$Z$7)</f>
        <v>116.91634917760003</v>
      </c>
      <c r="AA608" s="63" t="s">
        <v>2420</v>
      </c>
      <c r="AB608" s="63">
        <f>SUM($AB$7)</f>
        <v>335</v>
      </c>
      <c r="AC608" s="63">
        <f>$AC$7</f>
        <v>10356.36</v>
      </c>
      <c r="AD608" s="63">
        <f>SUM(AB608+AC608)*$AD$7</f>
        <v>106.9136</v>
      </c>
      <c r="AE608" s="247" t="s">
        <v>3434</v>
      </c>
    </row>
    <row r="609" spans="1:31" x14ac:dyDescent="0.25">
      <c r="A609" s="247"/>
      <c r="B609" s="247"/>
      <c r="C609" s="168" t="s">
        <v>2901</v>
      </c>
      <c r="D609" s="181" t="s">
        <v>3437</v>
      </c>
      <c r="E609" s="181" t="s">
        <v>3438</v>
      </c>
      <c r="F609" s="247"/>
      <c r="G609" s="167" t="s">
        <v>2422</v>
      </c>
      <c r="H609" s="59">
        <v>600</v>
      </c>
      <c r="I609" s="292"/>
      <c r="J609" s="59">
        <v>600</v>
      </c>
      <c r="K609" s="59">
        <v>600</v>
      </c>
      <c r="L609" s="247"/>
      <c r="M609" s="167">
        <v>23.08</v>
      </c>
      <c r="N609" s="167" t="s">
        <v>2420</v>
      </c>
      <c r="O609" s="247"/>
      <c r="P609" s="247"/>
      <c r="Q609" s="61">
        <v>0</v>
      </c>
      <c r="R609" s="63">
        <v>600</v>
      </c>
      <c r="S609" s="65"/>
      <c r="T609" s="65"/>
      <c r="U609" s="65"/>
      <c r="V609" s="63">
        <f t="shared" si="586"/>
        <v>600</v>
      </c>
      <c r="W609" s="63">
        <f t="shared" si="587"/>
        <v>37.200000000000003</v>
      </c>
      <c r="X609" s="63">
        <f t="shared" si="588"/>
        <v>8.7000000000000011</v>
      </c>
      <c r="Y609" s="63" t="s">
        <v>2422</v>
      </c>
      <c r="Z609" s="63" t="s">
        <v>2422</v>
      </c>
      <c r="AA609" s="63" t="s">
        <v>2422</v>
      </c>
      <c r="AB609" s="63" t="s">
        <v>2422</v>
      </c>
      <c r="AC609" s="63" t="s">
        <v>2422</v>
      </c>
      <c r="AD609" s="63" t="s">
        <v>2422</v>
      </c>
      <c r="AE609" s="247" t="s">
        <v>3434</v>
      </c>
    </row>
    <row r="610" spans="1:31" x14ac:dyDescent="0.25">
      <c r="A610" s="168" t="s">
        <v>3434</v>
      </c>
      <c r="B610" s="167">
        <v>613002</v>
      </c>
      <c r="C610" s="168" t="s">
        <v>4244</v>
      </c>
      <c r="D610" s="168" t="s">
        <v>2810</v>
      </c>
      <c r="E610" s="168" t="s">
        <v>2527</v>
      </c>
      <c r="F610" s="58">
        <v>42821</v>
      </c>
      <c r="G610" s="59">
        <f t="shared" ref="G610:G618" si="589">(DATE(2020,12,30)-(F610))/365</f>
        <v>3.7643835616438355</v>
      </c>
      <c r="H610" s="61">
        <v>41117.519999999997</v>
      </c>
      <c r="I610" s="400">
        <v>41059.199999999997</v>
      </c>
      <c r="J610" s="61">
        <v>42145.457999999999</v>
      </c>
      <c r="K610" s="63">
        <f t="shared" ref="K610:K618" si="590">SUM(((J610*$K$3)+$K$2)+J610)</f>
        <v>42145.457999999999</v>
      </c>
      <c r="L610" s="59">
        <f t="shared" ref="L610:L618" si="591">SUM(K610/$L$7)</f>
        <v>20.262239423076924</v>
      </c>
      <c r="M610" s="61">
        <f t="shared" ref="M610:M619" si="592">SUM(K610/$M$7)</f>
        <v>1620.9791538461538</v>
      </c>
      <c r="N610" s="61">
        <f t="shared" ref="N610:N618" si="593">IF(G610&lt;4,0,(G610-1)*264)</f>
        <v>0</v>
      </c>
      <c r="O610" s="247"/>
      <c r="P610" s="167"/>
      <c r="Q610" s="61">
        <f t="shared" ref="Q610:Q618" si="594">IF(N610+P610&gt;5000,5000,N610+P610)</f>
        <v>0</v>
      </c>
      <c r="R610" s="63">
        <f t="shared" ref="R610:R619" si="595">SUM(K610+Q610)</f>
        <v>42145.457999999999</v>
      </c>
      <c r="S610" s="65"/>
      <c r="T610" s="65"/>
      <c r="U610" s="65"/>
      <c r="V610" s="63">
        <f t="shared" si="586"/>
        <v>42145.457999999999</v>
      </c>
      <c r="W610" s="63">
        <f t="shared" si="587"/>
        <v>2613.0183959999999</v>
      </c>
      <c r="X610" s="63">
        <f t="shared" si="588"/>
        <v>611.10914100000002</v>
      </c>
      <c r="Y610" s="63">
        <f t="shared" ref="Y610:Y619" si="596">SUM(V610*$Y$7)</f>
        <v>6330.2477915999998</v>
      </c>
      <c r="Z610" s="63">
        <f t="shared" ref="Z610:Z619" si="597">SUM(V610*$Z$7)</f>
        <v>67.432732799999997</v>
      </c>
      <c r="AA610" s="63">
        <f t="shared" ref="AA610:AA619" si="598">SUM(V610*$AA$7)</f>
        <v>29.501820599999999</v>
      </c>
      <c r="AB610" s="63">
        <f t="shared" ref="AB610:AB618" si="599">SUM($AB$7)</f>
        <v>335</v>
      </c>
      <c r="AC610" s="63">
        <f t="shared" ref="AC610:AC618" si="600">$AC$7</f>
        <v>10356.36</v>
      </c>
      <c r="AD610" s="63">
        <f t="shared" ref="AD610:AD618" si="601">SUM(AB610+AC610)*$AD$7</f>
        <v>106.9136</v>
      </c>
      <c r="AE610" s="247" t="s">
        <v>3434</v>
      </c>
    </row>
    <row r="611" spans="1:31" x14ac:dyDescent="0.25">
      <c r="A611" s="168" t="s">
        <v>3434</v>
      </c>
      <c r="B611" s="167">
        <v>613003</v>
      </c>
      <c r="C611" s="168" t="s">
        <v>4247</v>
      </c>
      <c r="D611" s="185" t="s">
        <v>3800</v>
      </c>
      <c r="E611" s="185" t="s">
        <v>3862</v>
      </c>
      <c r="F611" s="87">
        <v>34995</v>
      </c>
      <c r="G611" s="59">
        <f t="shared" si="589"/>
        <v>25.205479452054796</v>
      </c>
      <c r="H611" s="61">
        <v>39425.402479999997</v>
      </c>
      <c r="I611" s="63">
        <v>40411.040000000001</v>
      </c>
      <c r="J611" s="61">
        <v>40411.037541999998</v>
      </c>
      <c r="K611" s="63">
        <f t="shared" si="590"/>
        <v>40411.037541999998</v>
      </c>
      <c r="L611" s="59">
        <f t="shared" si="591"/>
        <v>19.428383433653845</v>
      </c>
      <c r="M611" s="61">
        <f t="shared" si="592"/>
        <v>1554.2706746923077</v>
      </c>
      <c r="N611" s="61">
        <f t="shared" si="593"/>
        <v>6390.2465753424658</v>
      </c>
      <c r="O611" s="247"/>
      <c r="P611" s="247"/>
      <c r="Q611" s="61">
        <f t="shared" si="594"/>
        <v>5000</v>
      </c>
      <c r="R611" s="63">
        <f t="shared" si="595"/>
        <v>45411.037541999998</v>
      </c>
      <c r="S611" s="65"/>
      <c r="T611" s="65"/>
      <c r="U611" s="65"/>
      <c r="V611" s="63">
        <f t="shared" si="586"/>
        <v>45411.037541999998</v>
      </c>
      <c r="W611" s="63">
        <f t="shared" si="587"/>
        <v>2815.4843276039996</v>
      </c>
      <c r="X611" s="63">
        <f t="shared" si="588"/>
        <v>658.46004435899999</v>
      </c>
      <c r="Y611" s="63">
        <f t="shared" si="596"/>
        <v>6820.7378388083998</v>
      </c>
      <c r="Z611" s="63">
        <f t="shared" si="597"/>
        <v>72.657660067199998</v>
      </c>
      <c r="AA611" s="63">
        <f t="shared" si="598"/>
        <v>31.787726279399998</v>
      </c>
      <c r="AB611" s="63">
        <f t="shared" si="599"/>
        <v>335</v>
      </c>
      <c r="AC611" s="63">
        <f t="shared" si="600"/>
        <v>10356.36</v>
      </c>
      <c r="AD611" s="63">
        <f t="shared" si="601"/>
        <v>106.9136</v>
      </c>
      <c r="AE611" s="247" t="s">
        <v>3434</v>
      </c>
    </row>
    <row r="612" spans="1:31" x14ac:dyDescent="0.25">
      <c r="A612" s="168" t="s">
        <v>3434</v>
      </c>
      <c r="B612" s="167">
        <v>613004</v>
      </c>
      <c r="C612" s="168" t="s">
        <v>4248</v>
      </c>
      <c r="D612" s="168" t="s">
        <v>3860</v>
      </c>
      <c r="E612" s="168" t="s">
        <v>3861</v>
      </c>
      <c r="F612" s="58">
        <v>38082</v>
      </c>
      <c r="G612" s="59">
        <f t="shared" si="589"/>
        <v>16.747945205479454</v>
      </c>
      <c r="H612" s="61">
        <v>38497.855439999999</v>
      </c>
      <c r="I612" s="63">
        <v>39460.300000000003</v>
      </c>
      <c r="J612" s="61">
        <v>39460.301826000003</v>
      </c>
      <c r="K612" s="63">
        <f t="shared" si="590"/>
        <v>39460.301826000003</v>
      </c>
      <c r="L612" s="59">
        <f t="shared" si="591"/>
        <v>18.971298954807693</v>
      </c>
      <c r="M612" s="61">
        <f t="shared" si="592"/>
        <v>1517.7039163846155</v>
      </c>
      <c r="N612" s="61">
        <f t="shared" si="593"/>
        <v>4157.457534246576</v>
      </c>
      <c r="O612" s="247"/>
      <c r="P612" s="247"/>
      <c r="Q612" s="61">
        <f t="shared" si="594"/>
        <v>4157.457534246576</v>
      </c>
      <c r="R612" s="63">
        <f t="shared" si="595"/>
        <v>43617.759360246579</v>
      </c>
      <c r="S612" s="65"/>
      <c r="T612" s="65"/>
      <c r="U612" s="65"/>
      <c r="V612" s="63">
        <f t="shared" si="586"/>
        <v>43617.759360246579</v>
      </c>
      <c r="W612" s="63">
        <f t="shared" si="587"/>
        <v>2704.3010803352877</v>
      </c>
      <c r="X612" s="63">
        <f t="shared" si="588"/>
        <v>632.45751072357541</v>
      </c>
      <c r="Y612" s="63">
        <f t="shared" si="596"/>
        <v>6551.3874559090364</v>
      </c>
      <c r="Z612" s="63">
        <f t="shared" si="597"/>
        <v>69.788414976394535</v>
      </c>
      <c r="AA612" s="63">
        <f t="shared" si="598"/>
        <v>30.532431552172604</v>
      </c>
      <c r="AB612" s="63">
        <f t="shared" si="599"/>
        <v>335</v>
      </c>
      <c r="AC612" s="63">
        <f t="shared" si="600"/>
        <v>10356.36</v>
      </c>
      <c r="AD612" s="63">
        <f t="shared" si="601"/>
        <v>106.9136</v>
      </c>
      <c r="AE612" s="247" t="s">
        <v>3434</v>
      </c>
    </row>
    <row r="613" spans="1:31" x14ac:dyDescent="0.25">
      <c r="A613" s="168" t="s">
        <v>3434</v>
      </c>
      <c r="B613" s="167">
        <v>613005</v>
      </c>
      <c r="C613" s="168" t="s">
        <v>4249</v>
      </c>
      <c r="D613" s="168" t="s">
        <v>3446</v>
      </c>
      <c r="E613" s="168" t="s">
        <v>3447</v>
      </c>
      <c r="F613" s="58">
        <v>41001</v>
      </c>
      <c r="G613" s="59">
        <f t="shared" si="589"/>
        <v>8.75068493150685</v>
      </c>
      <c r="H613" s="61">
        <v>38152.02936</v>
      </c>
      <c r="I613" s="400">
        <v>37906.959999999999</v>
      </c>
      <c r="J613" s="61">
        <v>39105.830093999997</v>
      </c>
      <c r="K613" s="63">
        <f t="shared" si="590"/>
        <v>39105.830093999997</v>
      </c>
      <c r="L613" s="59">
        <f t="shared" si="591"/>
        <v>18.800879852884613</v>
      </c>
      <c r="M613" s="61">
        <f t="shared" si="592"/>
        <v>1504.0703882307691</v>
      </c>
      <c r="N613" s="61">
        <f t="shared" si="593"/>
        <v>2046.1808219178083</v>
      </c>
      <c r="O613" s="247"/>
      <c r="P613" s="247"/>
      <c r="Q613" s="61">
        <f t="shared" si="594"/>
        <v>2046.1808219178083</v>
      </c>
      <c r="R613" s="63">
        <f t="shared" si="595"/>
        <v>41152.010915917803</v>
      </c>
      <c r="S613" s="65"/>
      <c r="T613" s="65"/>
      <c r="U613" s="65"/>
      <c r="V613" s="63">
        <f t="shared" si="586"/>
        <v>41152.010915917803</v>
      </c>
      <c r="W613" s="63">
        <f t="shared" si="587"/>
        <v>2551.4246767869035</v>
      </c>
      <c r="X613" s="63">
        <f t="shared" si="588"/>
        <v>596.7041582808082</v>
      </c>
      <c r="Y613" s="63">
        <f t="shared" si="596"/>
        <v>6181.0320395708541</v>
      </c>
      <c r="Z613" s="63">
        <f t="shared" si="597"/>
        <v>65.843217465468484</v>
      </c>
      <c r="AA613" s="63">
        <f t="shared" si="598"/>
        <v>28.80640764114246</v>
      </c>
      <c r="AB613" s="63">
        <f t="shared" si="599"/>
        <v>335</v>
      </c>
      <c r="AC613" s="63">
        <f t="shared" si="600"/>
        <v>10356.36</v>
      </c>
      <c r="AD613" s="63">
        <f t="shared" si="601"/>
        <v>106.9136</v>
      </c>
      <c r="AE613" s="247" t="s">
        <v>3434</v>
      </c>
    </row>
    <row r="614" spans="1:31" x14ac:dyDescent="0.25">
      <c r="A614" s="168" t="s">
        <v>3434</v>
      </c>
      <c r="B614" s="167">
        <v>613006</v>
      </c>
      <c r="C614" s="168" t="s">
        <v>4256</v>
      </c>
      <c r="D614" s="168" t="s">
        <v>2433</v>
      </c>
      <c r="E614" s="168" t="s">
        <v>2909</v>
      </c>
      <c r="F614" s="58">
        <v>42800</v>
      </c>
      <c r="G614" s="59">
        <f t="shared" si="589"/>
        <v>3.8219178082191783</v>
      </c>
      <c r="H614" s="61">
        <v>38368.356079999998</v>
      </c>
      <c r="I614" s="400">
        <v>36969.660000000003</v>
      </c>
      <c r="J614" s="61">
        <v>39327.564981999996</v>
      </c>
      <c r="K614" s="63">
        <f t="shared" si="590"/>
        <v>39327.564981999996</v>
      </c>
      <c r="L614" s="59">
        <f t="shared" si="591"/>
        <v>18.907483164423073</v>
      </c>
      <c r="M614" s="61">
        <f t="shared" si="592"/>
        <v>1512.598653153846</v>
      </c>
      <c r="N614" s="61">
        <f t="shared" si="593"/>
        <v>0</v>
      </c>
      <c r="O614" s="247"/>
      <c r="P614" s="247"/>
      <c r="Q614" s="61">
        <f t="shared" si="594"/>
        <v>0</v>
      </c>
      <c r="R614" s="63">
        <f t="shared" si="595"/>
        <v>39327.564981999996</v>
      </c>
      <c r="S614" s="65"/>
      <c r="T614" s="65"/>
      <c r="U614" s="65"/>
      <c r="V614" s="63">
        <f t="shared" si="586"/>
        <v>39327.564981999996</v>
      </c>
      <c r="W614" s="63">
        <f t="shared" si="587"/>
        <v>2438.3090288839999</v>
      </c>
      <c r="X614" s="63">
        <f t="shared" si="588"/>
        <v>570.24969223899996</v>
      </c>
      <c r="Y614" s="63">
        <f t="shared" si="596"/>
        <v>5907.0002602963996</v>
      </c>
      <c r="Z614" s="63">
        <f t="shared" si="597"/>
        <v>62.924103971199997</v>
      </c>
      <c r="AA614" s="63">
        <f t="shared" si="598"/>
        <v>27.529295487399995</v>
      </c>
      <c r="AB614" s="63">
        <f t="shared" si="599"/>
        <v>335</v>
      </c>
      <c r="AC614" s="63">
        <f t="shared" si="600"/>
        <v>10356.36</v>
      </c>
      <c r="AD614" s="63">
        <f t="shared" si="601"/>
        <v>106.9136</v>
      </c>
      <c r="AE614" s="247" t="s">
        <v>3434</v>
      </c>
    </row>
    <row r="615" spans="1:31" x14ac:dyDescent="0.25">
      <c r="A615" s="168" t="s">
        <v>3434</v>
      </c>
      <c r="B615" s="167">
        <v>613007</v>
      </c>
      <c r="C615" s="168" t="s">
        <v>4250</v>
      </c>
      <c r="D615" s="168" t="s">
        <v>3858</v>
      </c>
      <c r="E615" s="168" t="s">
        <v>3859</v>
      </c>
      <c r="F615" s="58">
        <v>41134</v>
      </c>
      <c r="G615" s="59">
        <f t="shared" si="589"/>
        <v>8.3863013698630144</v>
      </c>
      <c r="H615" s="61">
        <v>38609.005839999998</v>
      </c>
      <c r="I615" s="400">
        <v>38448.54</v>
      </c>
      <c r="J615" s="61">
        <v>39574.230985999995</v>
      </c>
      <c r="K615" s="63">
        <f t="shared" si="590"/>
        <v>39574.230985999995</v>
      </c>
      <c r="L615" s="59">
        <f t="shared" si="591"/>
        <v>19.026072589423073</v>
      </c>
      <c r="M615" s="61">
        <f t="shared" si="592"/>
        <v>1522.085807153846</v>
      </c>
      <c r="N615" s="61">
        <f t="shared" si="593"/>
        <v>1949.9835616438359</v>
      </c>
      <c r="O615" s="247"/>
      <c r="P615" s="247"/>
      <c r="Q615" s="61">
        <f t="shared" si="594"/>
        <v>1949.9835616438359</v>
      </c>
      <c r="R615" s="63">
        <f t="shared" si="595"/>
        <v>41524.214547643831</v>
      </c>
      <c r="S615" s="65"/>
      <c r="T615" s="65"/>
      <c r="U615" s="65"/>
      <c r="V615" s="63">
        <f t="shared" si="586"/>
        <v>41524.214547643831</v>
      </c>
      <c r="W615" s="63">
        <f t="shared" si="587"/>
        <v>2574.5013019539174</v>
      </c>
      <c r="X615" s="63">
        <f t="shared" si="588"/>
        <v>602.10111094083561</v>
      </c>
      <c r="Y615" s="63">
        <f t="shared" si="596"/>
        <v>6236.9370250561033</v>
      </c>
      <c r="Z615" s="63">
        <f t="shared" si="597"/>
        <v>66.438743276230127</v>
      </c>
      <c r="AA615" s="63">
        <f t="shared" si="598"/>
        <v>29.066950183350681</v>
      </c>
      <c r="AB615" s="63">
        <f t="shared" si="599"/>
        <v>335</v>
      </c>
      <c r="AC615" s="63">
        <f t="shared" si="600"/>
        <v>10356.36</v>
      </c>
      <c r="AD615" s="63">
        <f t="shared" si="601"/>
        <v>106.9136</v>
      </c>
      <c r="AE615" s="247" t="s">
        <v>3434</v>
      </c>
    </row>
    <row r="616" spans="1:31" x14ac:dyDescent="0.25">
      <c r="A616" s="168" t="s">
        <v>3434</v>
      </c>
      <c r="B616" s="167">
        <v>613008</v>
      </c>
      <c r="C616" s="168" t="s">
        <v>4253</v>
      </c>
      <c r="D616" s="168" t="s">
        <v>2614</v>
      </c>
      <c r="E616" s="168" t="s">
        <v>3443</v>
      </c>
      <c r="F616" s="58">
        <v>40232</v>
      </c>
      <c r="G616" s="59">
        <f t="shared" si="589"/>
        <v>10.857534246575343</v>
      </c>
      <c r="H616" s="61">
        <v>37566.752400000005</v>
      </c>
      <c r="I616" s="63">
        <v>38505.919999999998</v>
      </c>
      <c r="J616" s="61">
        <v>38505.921210000008</v>
      </c>
      <c r="K616" s="63">
        <f t="shared" si="590"/>
        <v>38505.921210000008</v>
      </c>
      <c r="L616" s="59">
        <f t="shared" si="591"/>
        <v>18.512462120192311</v>
      </c>
      <c r="M616" s="61">
        <f t="shared" si="592"/>
        <v>1480.9969696153848</v>
      </c>
      <c r="N616" s="61">
        <f t="shared" si="593"/>
        <v>2602.3890410958907</v>
      </c>
      <c r="O616" s="247"/>
      <c r="P616" s="247"/>
      <c r="Q616" s="61">
        <f t="shared" si="594"/>
        <v>2602.3890410958907</v>
      </c>
      <c r="R616" s="63">
        <f t="shared" si="595"/>
        <v>41108.3102510959</v>
      </c>
      <c r="S616" s="65"/>
      <c r="T616" s="65"/>
      <c r="U616" s="65"/>
      <c r="V616" s="63">
        <f t="shared" si="586"/>
        <v>41108.3102510959</v>
      </c>
      <c r="W616" s="63">
        <f t="shared" si="587"/>
        <v>2548.7152355679459</v>
      </c>
      <c r="X616" s="63">
        <f t="shared" si="588"/>
        <v>596.07049864089061</v>
      </c>
      <c r="Y616" s="63">
        <f t="shared" si="596"/>
        <v>6174.4681997146045</v>
      </c>
      <c r="Z616" s="63">
        <f t="shared" si="597"/>
        <v>65.773296401753441</v>
      </c>
      <c r="AA616" s="63">
        <f t="shared" si="598"/>
        <v>28.775817175767131</v>
      </c>
      <c r="AB616" s="63">
        <f t="shared" si="599"/>
        <v>335</v>
      </c>
      <c r="AC616" s="63">
        <f t="shared" si="600"/>
        <v>10356.36</v>
      </c>
      <c r="AD616" s="63">
        <f t="shared" si="601"/>
        <v>106.9136</v>
      </c>
      <c r="AE616" s="247" t="s">
        <v>3434</v>
      </c>
    </row>
    <row r="617" spans="1:31" x14ac:dyDescent="0.25">
      <c r="A617" s="168" t="s">
        <v>3434</v>
      </c>
      <c r="B617" s="167">
        <v>613009</v>
      </c>
      <c r="C617" s="168" t="s">
        <v>4251</v>
      </c>
      <c r="D617" s="247" t="s">
        <v>2655</v>
      </c>
      <c r="E617" s="247" t="s">
        <v>3443</v>
      </c>
      <c r="F617" s="84">
        <v>43444</v>
      </c>
      <c r="G617" s="59">
        <f t="shared" si="589"/>
        <v>2.0575342465753423</v>
      </c>
      <c r="H617" s="61">
        <v>36920.302079999994</v>
      </c>
      <c r="I617" s="400">
        <v>34112</v>
      </c>
      <c r="J617" s="61">
        <v>37843.309631999997</v>
      </c>
      <c r="K617" s="63">
        <f t="shared" si="590"/>
        <v>37843.309631999997</v>
      </c>
      <c r="L617" s="59">
        <f t="shared" si="591"/>
        <v>18.193898861538461</v>
      </c>
      <c r="M617" s="61">
        <f t="shared" si="592"/>
        <v>1455.5119089230768</v>
      </c>
      <c r="N617" s="61">
        <f t="shared" si="593"/>
        <v>0</v>
      </c>
      <c r="O617" s="247"/>
      <c r="P617" s="247"/>
      <c r="Q617" s="61">
        <f t="shared" si="594"/>
        <v>0</v>
      </c>
      <c r="R617" s="63">
        <f t="shared" si="595"/>
        <v>37843.309631999997</v>
      </c>
      <c r="S617" s="65"/>
      <c r="T617" s="65"/>
      <c r="U617" s="65"/>
      <c r="V617" s="63">
        <f t="shared" si="586"/>
        <v>37843.309631999997</v>
      </c>
      <c r="W617" s="63">
        <f t="shared" si="587"/>
        <v>2346.2851971839996</v>
      </c>
      <c r="X617" s="63">
        <f t="shared" si="588"/>
        <v>548.72798966400001</v>
      </c>
      <c r="Y617" s="63">
        <f t="shared" si="596"/>
        <v>5684.0651067263998</v>
      </c>
      <c r="Z617" s="63">
        <f t="shared" si="597"/>
        <v>60.549295411199999</v>
      </c>
      <c r="AA617" s="63">
        <f t="shared" si="598"/>
        <v>26.490316742399997</v>
      </c>
      <c r="AB617" s="63">
        <f t="shared" si="599"/>
        <v>335</v>
      </c>
      <c r="AC617" s="63">
        <f t="shared" si="600"/>
        <v>10356.36</v>
      </c>
      <c r="AD617" s="63">
        <f t="shared" si="601"/>
        <v>106.9136</v>
      </c>
      <c r="AE617" s="247" t="s">
        <v>3434</v>
      </c>
    </row>
    <row r="618" spans="1:31" x14ac:dyDescent="0.25">
      <c r="A618" s="168" t="s">
        <v>3434</v>
      </c>
      <c r="B618" s="167">
        <v>613010</v>
      </c>
      <c r="C618" s="168" t="s">
        <v>4245</v>
      </c>
      <c r="D618" s="168" t="s">
        <v>2603</v>
      </c>
      <c r="E618" s="168" t="s">
        <v>3440</v>
      </c>
      <c r="F618" s="58">
        <v>42921</v>
      </c>
      <c r="G618" s="59">
        <f t="shared" si="589"/>
        <v>3.4904109589041097</v>
      </c>
      <c r="H618" s="61">
        <v>30480</v>
      </c>
      <c r="I618" s="400">
        <v>28080</v>
      </c>
      <c r="J618" s="61">
        <v>31242</v>
      </c>
      <c r="K618" s="63">
        <f t="shared" si="590"/>
        <v>31242</v>
      </c>
      <c r="L618" s="59">
        <f t="shared" si="591"/>
        <v>15.020192307692307</v>
      </c>
      <c r="M618" s="61">
        <f t="shared" si="592"/>
        <v>1201.6153846153845</v>
      </c>
      <c r="N618" s="61">
        <f t="shared" si="593"/>
        <v>0</v>
      </c>
      <c r="O618" s="247"/>
      <c r="P618" s="247"/>
      <c r="Q618" s="61">
        <f t="shared" si="594"/>
        <v>0</v>
      </c>
      <c r="R618" s="63">
        <f t="shared" si="595"/>
        <v>31242</v>
      </c>
      <c r="S618" s="65"/>
      <c r="T618" s="65"/>
      <c r="U618" s="65"/>
      <c r="V618" s="63">
        <f t="shared" si="586"/>
        <v>31242</v>
      </c>
      <c r="W618" s="63">
        <f t="shared" si="587"/>
        <v>1937.0039999999999</v>
      </c>
      <c r="X618" s="63">
        <f t="shared" si="588"/>
        <v>453.00900000000001</v>
      </c>
      <c r="Y618" s="63">
        <f t="shared" si="596"/>
        <v>4692.5483999999997</v>
      </c>
      <c r="Z618" s="63">
        <f t="shared" si="597"/>
        <v>49.987200000000001</v>
      </c>
      <c r="AA618" s="63">
        <f t="shared" si="598"/>
        <v>21.869399999999999</v>
      </c>
      <c r="AB618" s="63">
        <f t="shared" si="599"/>
        <v>335</v>
      </c>
      <c r="AC618" s="63">
        <f t="shared" si="600"/>
        <v>10356.36</v>
      </c>
      <c r="AD618" s="63">
        <f t="shared" si="601"/>
        <v>106.9136</v>
      </c>
      <c r="AE618" s="247" t="s">
        <v>3434</v>
      </c>
    </row>
    <row r="619" spans="1:31" x14ac:dyDescent="0.25">
      <c r="A619" s="168" t="s">
        <v>3434</v>
      </c>
      <c r="B619" s="247"/>
      <c r="C619" s="168" t="s">
        <v>1627</v>
      </c>
      <c r="D619" s="247" t="s">
        <v>3452</v>
      </c>
      <c r="E619" s="247" t="s">
        <v>3453</v>
      </c>
      <c r="F619" s="84">
        <v>43102</v>
      </c>
      <c r="G619" s="167" t="s">
        <v>2422</v>
      </c>
      <c r="H619" s="132">
        <v>15000</v>
      </c>
      <c r="I619" s="296"/>
      <c r="J619" s="132">
        <v>15000</v>
      </c>
      <c r="K619" s="132">
        <v>22000</v>
      </c>
      <c r="L619" s="269">
        <f>SUM(K619/1040)</f>
        <v>21.153846153846153</v>
      </c>
      <c r="M619" s="132">
        <f t="shared" si="592"/>
        <v>846.15384615384619</v>
      </c>
      <c r="N619" s="220" t="s">
        <v>27</v>
      </c>
      <c r="O619" s="320"/>
      <c r="P619" s="320"/>
      <c r="Q619" s="220">
        <v>0</v>
      </c>
      <c r="R619" s="172">
        <f t="shared" si="595"/>
        <v>22000</v>
      </c>
      <c r="S619" s="314"/>
      <c r="T619" s="314"/>
      <c r="U619" s="314"/>
      <c r="V619" s="172">
        <f t="shared" si="586"/>
        <v>22000</v>
      </c>
      <c r="W619" s="172">
        <f t="shared" si="587"/>
        <v>1364</v>
      </c>
      <c r="X619" s="172">
        <f t="shared" si="588"/>
        <v>319</v>
      </c>
      <c r="Y619" s="172">
        <f t="shared" si="596"/>
        <v>3304.4</v>
      </c>
      <c r="Z619" s="172">
        <f t="shared" si="597"/>
        <v>35.200000000000003</v>
      </c>
      <c r="AA619" s="172">
        <f t="shared" si="598"/>
        <v>15.4</v>
      </c>
      <c r="AB619" s="172" t="s">
        <v>2422</v>
      </c>
      <c r="AC619" s="172" t="s">
        <v>2422</v>
      </c>
      <c r="AD619" s="172" t="s">
        <v>2422</v>
      </c>
      <c r="AE619" s="247" t="s">
        <v>3434</v>
      </c>
    </row>
    <row r="620" spans="1:31" x14ac:dyDescent="0.25">
      <c r="A620" s="168" t="s">
        <v>3434</v>
      </c>
      <c r="B620" s="247"/>
      <c r="C620" s="247"/>
      <c r="D620" s="247" t="s">
        <v>4257</v>
      </c>
      <c r="E620" s="247" t="s">
        <v>4258</v>
      </c>
      <c r="F620" s="120">
        <v>43605</v>
      </c>
      <c r="G620" s="247"/>
      <c r="H620" s="223">
        <v>421930.11951999995</v>
      </c>
      <c r="I620" s="401"/>
      <c r="J620" s="223">
        <v>432088.372508</v>
      </c>
      <c r="K620" s="223">
        <f t="shared" ref="K620:AD620" si="602">SUM(K607:K619)</f>
        <v>439088.372508</v>
      </c>
      <c r="L620" s="223">
        <f t="shared" si="602"/>
        <v>221.38864062884616</v>
      </c>
      <c r="M620" s="223">
        <f t="shared" si="602"/>
        <v>16888.017404153848</v>
      </c>
      <c r="N620" s="223">
        <f t="shared" si="602"/>
        <v>17146.257534246579</v>
      </c>
      <c r="O620" s="223">
        <f t="shared" si="602"/>
        <v>0</v>
      </c>
      <c r="P620" s="223">
        <f t="shared" si="602"/>
        <v>0</v>
      </c>
      <c r="Q620" s="223">
        <f t="shared" si="602"/>
        <v>15756.010958904111</v>
      </c>
      <c r="R620" s="223">
        <f t="shared" si="602"/>
        <v>454844.38346690411</v>
      </c>
      <c r="S620" s="223">
        <f t="shared" si="602"/>
        <v>4200</v>
      </c>
      <c r="T620" s="223">
        <f t="shared" si="602"/>
        <v>0</v>
      </c>
      <c r="U620" s="223">
        <f t="shared" si="602"/>
        <v>0</v>
      </c>
      <c r="V620" s="223">
        <f t="shared" si="602"/>
        <v>459044.38346690411</v>
      </c>
      <c r="W620" s="223">
        <f t="shared" si="602"/>
        <v>28460.751774948054</v>
      </c>
      <c r="X620" s="223">
        <f t="shared" si="602"/>
        <v>6656.1435602701113</v>
      </c>
      <c r="Y620" s="223">
        <f t="shared" si="602"/>
        <v>68858.346396729001</v>
      </c>
      <c r="Z620" s="223">
        <f t="shared" si="602"/>
        <v>733.51101354704667</v>
      </c>
      <c r="AA620" s="223">
        <f t="shared" si="602"/>
        <v>269.76016566163287</v>
      </c>
      <c r="AB620" s="223">
        <f t="shared" si="602"/>
        <v>3350</v>
      </c>
      <c r="AC620" s="223">
        <f t="shared" si="602"/>
        <v>103563.6</v>
      </c>
      <c r="AD620" s="223">
        <f t="shared" si="602"/>
        <v>1069.136</v>
      </c>
      <c r="AE620" s="247" t="s">
        <v>3434</v>
      </c>
    </row>
    <row r="621" spans="1:31" x14ac:dyDescent="0.25">
      <c r="A621" s="247"/>
      <c r="B621" s="247"/>
      <c r="C621" s="247"/>
      <c r="D621" s="247"/>
      <c r="E621" s="247"/>
      <c r="F621" s="247"/>
      <c r="G621" s="247"/>
      <c r="H621" s="69">
        <v>339137.22368</v>
      </c>
      <c r="I621" s="169"/>
      <c r="J621" s="69">
        <v>347615.65427199996</v>
      </c>
      <c r="K621" s="69">
        <f>SUM(K610:K618)</f>
        <v>347615.65427199996</v>
      </c>
      <c r="L621" s="247"/>
      <c r="M621" s="247"/>
      <c r="N621" s="61">
        <v>19611.82</v>
      </c>
      <c r="O621" s="247"/>
      <c r="P621" s="247"/>
      <c r="Q621" s="247"/>
      <c r="R621" s="65"/>
      <c r="S621" s="65"/>
      <c r="T621" s="65"/>
      <c r="U621" s="65"/>
      <c r="V621" s="65"/>
      <c r="W621" s="63">
        <f>W620+X620</f>
        <v>35116.895335218163</v>
      </c>
      <c r="X621" s="65"/>
      <c r="Y621" s="65"/>
      <c r="Z621" s="65"/>
      <c r="AA621" s="65"/>
      <c r="AB621" s="65"/>
      <c r="AC621" s="63">
        <f>SUM(AC620:AD620)</f>
        <v>104632.736</v>
      </c>
      <c r="AD621" s="65"/>
      <c r="AE621" s="247"/>
    </row>
    <row r="622" spans="1:31" x14ac:dyDescent="0.25">
      <c r="A622" s="247"/>
      <c r="B622" s="247"/>
      <c r="C622" s="247"/>
      <c r="D622" s="247"/>
      <c r="E622" s="247"/>
      <c r="F622" s="247"/>
      <c r="G622" s="247"/>
      <c r="H622" s="247"/>
      <c r="I622" s="251"/>
      <c r="J622" s="247"/>
      <c r="K622" s="247"/>
      <c r="L622" s="247"/>
      <c r="M622" s="247"/>
      <c r="N622" s="247"/>
      <c r="O622" s="247"/>
      <c r="P622" s="247"/>
      <c r="Q622" s="247"/>
      <c r="R622" s="65"/>
      <c r="S622" s="65"/>
      <c r="T622" s="65"/>
      <c r="U622" s="65"/>
      <c r="V622" s="65"/>
      <c r="W622" s="65"/>
      <c r="X622" s="65"/>
      <c r="Y622" s="65"/>
      <c r="Z622" s="65"/>
      <c r="AA622" s="65"/>
      <c r="AB622" s="65"/>
      <c r="AC622" s="65"/>
      <c r="AD622" s="65"/>
      <c r="AE622" s="247"/>
    </row>
    <row r="623" spans="1:31" x14ac:dyDescent="0.25">
      <c r="A623" s="247"/>
      <c r="B623" s="247"/>
      <c r="C623" s="247"/>
      <c r="D623" s="247"/>
      <c r="E623" s="247"/>
      <c r="F623" s="247"/>
      <c r="G623" s="247"/>
      <c r="H623" s="247"/>
      <c r="I623" s="251"/>
      <c r="J623" s="247"/>
      <c r="K623" s="247"/>
      <c r="L623" s="247"/>
      <c r="M623" s="247"/>
      <c r="N623" s="247"/>
      <c r="O623" s="247"/>
      <c r="P623" s="247"/>
      <c r="Q623" s="247"/>
      <c r="R623" s="65"/>
      <c r="S623" s="65"/>
      <c r="T623" s="65"/>
      <c r="U623" s="65"/>
      <c r="V623" s="65"/>
      <c r="W623" s="65"/>
      <c r="X623" s="65"/>
      <c r="Y623" s="65"/>
      <c r="Z623" s="65"/>
      <c r="AA623" s="65"/>
      <c r="AB623" s="65"/>
      <c r="AC623" s="65"/>
      <c r="AD623" s="65"/>
      <c r="AE623" s="247"/>
    </row>
    <row r="624" spans="1:31" x14ac:dyDescent="0.25">
      <c r="A624" s="168" t="s">
        <v>3458</v>
      </c>
      <c r="B624" s="167">
        <v>614001</v>
      </c>
      <c r="C624" s="168" t="s">
        <v>3460</v>
      </c>
      <c r="D624" s="168" t="s">
        <v>4259</v>
      </c>
      <c r="E624" s="168" t="s">
        <v>4260</v>
      </c>
      <c r="F624" s="58">
        <v>40544</v>
      </c>
      <c r="G624" s="59">
        <f>(DATE(2020,12,30)-(F624))/365</f>
        <v>10.002739726027396</v>
      </c>
      <c r="H624" s="61">
        <v>67192.895840000012</v>
      </c>
      <c r="I624" s="63">
        <v>68872.72</v>
      </c>
      <c r="J624" s="61">
        <v>68872.718236000015</v>
      </c>
      <c r="K624" s="63">
        <f>SUM(((J624*$K$3)+$K$2)+J624)</f>
        <v>68872.718236000015</v>
      </c>
      <c r="L624" s="59">
        <f>SUM(K624/$L$7)</f>
        <v>33.111883767307702</v>
      </c>
      <c r="M624" s="61">
        <f>SUM(K624/$M$7)</f>
        <v>2648.950701384616</v>
      </c>
      <c r="N624" s="61">
        <f>IF(G624&lt;4,0,(G624-1)*264)</f>
        <v>2376.7232876712328</v>
      </c>
      <c r="O624" s="247"/>
      <c r="P624" s="247"/>
      <c r="Q624" s="61">
        <f>IF(N624+P624&gt;5000,5000,N624+P624)</f>
        <v>2376.7232876712328</v>
      </c>
      <c r="R624" s="63">
        <f>SUM(K624+Q624)</f>
        <v>71249.441523671252</v>
      </c>
      <c r="S624" s="63">
        <v>4200</v>
      </c>
      <c r="T624" s="65"/>
      <c r="U624" s="65"/>
      <c r="V624" s="63">
        <f t="shared" ref="V624:V636" si="603">SUM(R624:U624)</f>
        <v>75449.441523671252</v>
      </c>
      <c r="W624" s="63">
        <f t="shared" ref="W624:W636" si="604">SUM(V624*$W$7)</f>
        <v>4677.8653744676176</v>
      </c>
      <c r="X624" s="63">
        <f t="shared" ref="X624:X636" si="605">SUM(V624*$X$7)</f>
        <v>1094.0169020932333</v>
      </c>
      <c r="Y624" s="63">
        <f>SUM(V624*$Y$7)</f>
        <v>11332.506116855422</v>
      </c>
      <c r="Z624" s="63">
        <f>SUM(V624*$Z$7)</f>
        <v>120.719106437874</v>
      </c>
      <c r="AA624" s="63" t="s">
        <v>2420</v>
      </c>
      <c r="AB624" s="63">
        <f>SUM($AB$7)</f>
        <v>335</v>
      </c>
      <c r="AC624" s="63">
        <f>$AC$7</f>
        <v>10356.36</v>
      </c>
      <c r="AD624" s="63">
        <f>SUM(AB624+AC624)*$AD$7</f>
        <v>106.9136</v>
      </c>
      <c r="AE624" s="247" t="s">
        <v>3458</v>
      </c>
    </row>
    <row r="625" spans="1:31" x14ac:dyDescent="0.25">
      <c r="A625" s="247"/>
      <c r="B625" s="247"/>
      <c r="C625" s="168" t="s">
        <v>2901</v>
      </c>
      <c r="D625" s="247"/>
      <c r="E625" s="247"/>
      <c r="F625" s="247"/>
      <c r="G625" s="167" t="s">
        <v>2422</v>
      </c>
      <c r="H625" s="59">
        <v>600</v>
      </c>
      <c r="I625" s="292"/>
      <c r="J625" s="59">
        <v>600</v>
      </c>
      <c r="K625" s="59">
        <v>600</v>
      </c>
      <c r="L625" s="247"/>
      <c r="M625" s="167">
        <v>23.08</v>
      </c>
      <c r="N625" s="247"/>
      <c r="O625" s="247"/>
      <c r="P625" s="247"/>
      <c r="Q625" s="247"/>
      <c r="R625" s="63">
        <v>600</v>
      </c>
      <c r="S625" s="65"/>
      <c r="T625" s="65"/>
      <c r="U625" s="65"/>
      <c r="V625" s="63">
        <f t="shared" si="603"/>
        <v>600</v>
      </c>
      <c r="W625" s="63">
        <f t="shared" si="604"/>
        <v>37.200000000000003</v>
      </c>
      <c r="X625" s="63">
        <f t="shared" si="605"/>
        <v>8.7000000000000011</v>
      </c>
      <c r="Y625" s="63" t="s">
        <v>2422</v>
      </c>
      <c r="Z625" s="63" t="s">
        <v>2422</v>
      </c>
      <c r="AA625" s="63" t="s">
        <v>2422</v>
      </c>
      <c r="AB625" s="63" t="s">
        <v>2422</v>
      </c>
      <c r="AC625" s="63" t="s">
        <v>2422</v>
      </c>
      <c r="AD625" s="63" t="s">
        <v>2422</v>
      </c>
      <c r="AE625" s="247"/>
    </row>
    <row r="626" spans="1:31" x14ac:dyDescent="0.25">
      <c r="A626" s="168" t="s">
        <v>3458</v>
      </c>
      <c r="B626" s="167">
        <v>614003</v>
      </c>
      <c r="C626" s="168" t="s">
        <v>4246</v>
      </c>
      <c r="D626" s="168" t="s">
        <v>3339</v>
      </c>
      <c r="E626" s="168" t="s">
        <v>3431</v>
      </c>
      <c r="F626" s="58">
        <v>42100</v>
      </c>
      <c r="G626" s="59">
        <f t="shared" ref="G626:G634" si="606">(DATE(2020,12,30)-(F626))/365</f>
        <v>5.7397260273972606</v>
      </c>
      <c r="H626" s="61">
        <v>38317.932000000001</v>
      </c>
      <c r="I626" s="400">
        <v>37845.64</v>
      </c>
      <c r="J626" s="61">
        <v>39275.880300000004</v>
      </c>
      <c r="K626" s="63">
        <f t="shared" ref="K626:K634" si="607">SUM(((J626*$K$3)+$K$2)+J626)</f>
        <v>39275.880300000004</v>
      </c>
      <c r="L626" s="59">
        <f t="shared" ref="L626:L634" si="608">SUM(K626/$L$7)</f>
        <v>18.882634759615385</v>
      </c>
      <c r="M626" s="61">
        <f t="shared" ref="M626:M634" si="609">SUM(K626/$M$7)</f>
        <v>1510.610780769231</v>
      </c>
      <c r="N626" s="61">
        <f t="shared" ref="N626:N634" si="610">IF(G626&lt;4,0,(G626-1)*264)</f>
        <v>1251.2876712328768</v>
      </c>
      <c r="O626" s="247"/>
      <c r="P626" s="247"/>
      <c r="Q626" s="61">
        <f t="shared" ref="Q626:Q634" si="611">IF(N626+P626&gt;5000,5000,N626+P626)</f>
        <v>1251.2876712328768</v>
      </c>
      <c r="R626" s="63">
        <f t="shared" ref="R626:R636" si="612">SUM(K626+Q626)</f>
        <v>40527.167971232884</v>
      </c>
      <c r="S626" s="65"/>
      <c r="T626" s="65"/>
      <c r="U626" s="65"/>
      <c r="V626" s="63">
        <f t="shared" si="603"/>
        <v>40527.167971232884</v>
      </c>
      <c r="W626" s="63">
        <f t="shared" si="604"/>
        <v>2512.6844142164387</v>
      </c>
      <c r="X626" s="63">
        <f t="shared" si="605"/>
        <v>587.64393558287691</v>
      </c>
      <c r="Y626" s="63">
        <f t="shared" ref="Y626:Y636" si="613">SUM(V626*$Y$7)</f>
        <v>6087.1806292791789</v>
      </c>
      <c r="Z626" s="63">
        <f t="shared" ref="Z626:Z636" si="614">SUM(V626*$Z$7)</f>
        <v>64.843468753972616</v>
      </c>
      <c r="AA626" s="63">
        <f t="shared" ref="AA626:AA636" si="615">SUM(V626*$AA$7)</f>
        <v>28.369017579863019</v>
      </c>
      <c r="AB626" s="63">
        <f t="shared" ref="AB626:AB634" si="616">SUM($AB$7)</f>
        <v>335</v>
      </c>
      <c r="AC626" s="63">
        <f t="shared" ref="AC626:AC634" si="617">$AC$7</f>
        <v>10356.36</v>
      </c>
      <c r="AD626" s="63">
        <f t="shared" ref="AD626:AD634" si="618">SUM(AB626+AC626)*$AD$7</f>
        <v>106.9136</v>
      </c>
      <c r="AE626" s="247" t="s">
        <v>3458</v>
      </c>
    </row>
    <row r="627" spans="1:31" x14ac:dyDescent="0.25">
      <c r="A627" s="168" t="s">
        <v>3458</v>
      </c>
      <c r="B627" s="167">
        <v>614004</v>
      </c>
      <c r="C627" s="168" t="s">
        <v>4261</v>
      </c>
      <c r="D627" s="168" t="s">
        <v>3477</v>
      </c>
      <c r="E627" s="168" t="s">
        <v>3475</v>
      </c>
      <c r="F627" s="58">
        <v>37138</v>
      </c>
      <c r="G627" s="59">
        <f t="shared" si="606"/>
        <v>19.334246575342465</v>
      </c>
      <c r="H627" s="61">
        <v>40053.767999999996</v>
      </c>
      <c r="I627" s="63">
        <v>41055.11</v>
      </c>
      <c r="J627" s="61">
        <v>41055.112199999996</v>
      </c>
      <c r="K627" s="63">
        <f t="shared" si="607"/>
        <v>41055.112199999996</v>
      </c>
      <c r="L627" s="59">
        <f t="shared" si="608"/>
        <v>19.738034711538461</v>
      </c>
      <c r="M627" s="61">
        <f t="shared" si="609"/>
        <v>1579.0427769230769</v>
      </c>
      <c r="N627" s="61">
        <f t="shared" si="610"/>
        <v>4840.2410958904111</v>
      </c>
      <c r="O627" s="247"/>
      <c r="P627" s="167">
        <v>937.04</v>
      </c>
      <c r="Q627" s="61">
        <f t="shared" si="611"/>
        <v>5000</v>
      </c>
      <c r="R627" s="63">
        <f t="shared" si="612"/>
        <v>46055.112199999996</v>
      </c>
      <c r="S627" s="65"/>
      <c r="T627" s="65"/>
      <c r="U627" s="65"/>
      <c r="V627" s="63">
        <f t="shared" si="603"/>
        <v>46055.112199999996</v>
      </c>
      <c r="W627" s="63">
        <f t="shared" si="604"/>
        <v>2855.4169563999999</v>
      </c>
      <c r="X627" s="63">
        <f t="shared" si="605"/>
        <v>667.79912689999992</v>
      </c>
      <c r="Y627" s="63">
        <f t="shared" si="613"/>
        <v>6917.477852439999</v>
      </c>
      <c r="Z627" s="63">
        <f t="shared" si="614"/>
        <v>73.688179519999991</v>
      </c>
      <c r="AA627" s="63">
        <f t="shared" si="615"/>
        <v>32.238578539999999</v>
      </c>
      <c r="AB627" s="63">
        <f t="shared" si="616"/>
        <v>335</v>
      </c>
      <c r="AC627" s="63">
        <f t="shared" si="617"/>
        <v>10356.36</v>
      </c>
      <c r="AD627" s="63">
        <f t="shared" si="618"/>
        <v>106.9136</v>
      </c>
      <c r="AE627" s="247" t="s">
        <v>3458</v>
      </c>
    </row>
    <row r="628" spans="1:31" x14ac:dyDescent="0.25">
      <c r="A628" s="168" t="s">
        <v>3458</v>
      </c>
      <c r="B628" s="167">
        <v>614005</v>
      </c>
      <c r="C628" s="168" t="s">
        <v>4248</v>
      </c>
      <c r="D628" s="168" t="s">
        <v>3468</v>
      </c>
      <c r="E628" s="168" t="s">
        <v>3012</v>
      </c>
      <c r="F628" s="58">
        <v>42897</v>
      </c>
      <c r="G628" s="59">
        <f t="shared" si="606"/>
        <v>3.5561643835616437</v>
      </c>
      <c r="H628" s="61">
        <v>38317.932000000001</v>
      </c>
      <c r="I628" s="400">
        <v>37104.400000000001</v>
      </c>
      <c r="J628" s="61">
        <v>39275.880300000004</v>
      </c>
      <c r="K628" s="63">
        <f t="shared" si="607"/>
        <v>39275.880300000004</v>
      </c>
      <c r="L628" s="59">
        <f t="shared" si="608"/>
        <v>18.882634759615385</v>
      </c>
      <c r="M628" s="61">
        <f t="shared" si="609"/>
        <v>1510.610780769231</v>
      </c>
      <c r="N628" s="61">
        <f t="shared" si="610"/>
        <v>0</v>
      </c>
      <c r="O628" s="247"/>
      <c r="P628" s="247"/>
      <c r="Q628" s="61">
        <f t="shared" si="611"/>
        <v>0</v>
      </c>
      <c r="R628" s="63">
        <f t="shared" si="612"/>
        <v>39275.880300000004</v>
      </c>
      <c r="S628" s="65"/>
      <c r="T628" s="65"/>
      <c r="U628" s="65"/>
      <c r="V628" s="63">
        <f t="shared" si="603"/>
        <v>39275.880300000004</v>
      </c>
      <c r="W628" s="63">
        <f t="shared" si="604"/>
        <v>2435.1045786000004</v>
      </c>
      <c r="X628" s="63">
        <f t="shared" si="605"/>
        <v>569.50026435000007</v>
      </c>
      <c r="Y628" s="63">
        <f t="shared" si="613"/>
        <v>5899.2372210600006</v>
      </c>
      <c r="Z628" s="63">
        <f t="shared" si="614"/>
        <v>62.841408480000013</v>
      </c>
      <c r="AA628" s="63">
        <f t="shared" si="615"/>
        <v>27.493116210000004</v>
      </c>
      <c r="AB628" s="63">
        <f t="shared" si="616"/>
        <v>335</v>
      </c>
      <c r="AC628" s="63">
        <f t="shared" si="617"/>
        <v>10356.36</v>
      </c>
      <c r="AD628" s="63">
        <f t="shared" si="618"/>
        <v>106.9136</v>
      </c>
      <c r="AE628" s="247" t="s">
        <v>3458</v>
      </c>
    </row>
    <row r="629" spans="1:31" x14ac:dyDescent="0.25">
      <c r="A629" s="168" t="s">
        <v>3458</v>
      </c>
      <c r="B629" s="167">
        <v>614006</v>
      </c>
      <c r="C629" s="168" t="s">
        <v>4249</v>
      </c>
      <c r="D629" s="168" t="s">
        <v>3471</v>
      </c>
      <c r="E629" s="168" t="s">
        <v>2738</v>
      </c>
      <c r="F629" s="58">
        <v>42079</v>
      </c>
      <c r="G629" s="59">
        <f t="shared" si="606"/>
        <v>5.7972602739726025</v>
      </c>
      <c r="H629" s="61">
        <v>38620.334239999996</v>
      </c>
      <c r="I629" s="400">
        <v>37847.06</v>
      </c>
      <c r="J629" s="61">
        <v>39585.842595999995</v>
      </c>
      <c r="K629" s="63">
        <f t="shared" si="607"/>
        <v>39585.842595999995</v>
      </c>
      <c r="L629" s="59">
        <f t="shared" si="608"/>
        <v>19.031655094230768</v>
      </c>
      <c r="M629" s="61">
        <f t="shared" si="609"/>
        <v>1522.5324075384613</v>
      </c>
      <c r="N629" s="61">
        <f t="shared" si="610"/>
        <v>1266.476712328767</v>
      </c>
      <c r="O629" s="247"/>
      <c r="P629" s="247"/>
      <c r="Q629" s="61">
        <f t="shared" si="611"/>
        <v>1266.476712328767</v>
      </c>
      <c r="R629" s="63">
        <f t="shared" si="612"/>
        <v>40852.319308328762</v>
      </c>
      <c r="S629" s="65"/>
      <c r="T629" s="65"/>
      <c r="U629" s="65"/>
      <c r="V629" s="63">
        <f t="shared" si="603"/>
        <v>40852.319308328762</v>
      </c>
      <c r="W629" s="63">
        <f t="shared" si="604"/>
        <v>2532.843797116383</v>
      </c>
      <c r="X629" s="63">
        <f t="shared" si="605"/>
        <v>592.35862997076708</v>
      </c>
      <c r="Y629" s="63">
        <f t="shared" si="613"/>
        <v>6136.0183601109802</v>
      </c>
      <c r="Z629" s="63">
        <f t="shared" si="614"/>
        <v>65.363710893326029</v>
      </c>
      <c r="AA629" s="63">
        <f t="shared" si="615"/>
        <v>28.596623515830135</v>
      </c>
      <c r="AB629" s="63">
        <f t="shared" si="616"/>
        <v>335</v>
      </c>
      <c r="AC629" s="63">
        <f t="shared" si="617"/>
        <v>10356.36</v>
      </c>
      <c r="AD629" s="63">
        <f t="shared" si="618"/>
        <v>106.9136</v>
      </c>
      <c r="AE629" s="247" t="s">
        <v>3458</v>
      </c>
    </row>
    <row r="630" spans="1:31" x14ac:dyDescent="0.25">
      <c r="A630" s="168" t="s">
        <v>3458</v>
      </c>
      <c r="B630" s="167">
        <v>614007</v>
      </c>
      <c r="C630" s="168" t="s">
        <v>4256</v>
      </c>
      <c r="D630" s="168" t="s">
        <v>3367</v>
      </c>
      <c r="E630" s="168" t="s">
        <v>3473</v>
      </c>
      <c r="F630" s="58">
        <v>41078</v>
      </c>
      <c r="G630" s="59">
        <f t="shared" si="606"/>
        <v>8.5397260273972595</v>
      </c>
      <c r="H630" s="61">
        <v>39374.9784</v>
      </c>
      <c r="I630" s="400">
        <v>38066.379999999997</v>
      </c>
      <c r="J630" s="61">
        <v>40359.352859999999</v>
      </c>
      <c r="K630" s="63">
        <f t="shared" si="607"/>
        <v>40359.352859999999</v>
      </c>
      <c r="L630" s="59">
        <f t="shared" si="608"/>
        <v>19.403535028846154</v>
      </c>
      <c r="M630" s="61">
        <f t="shared" si="609"/>
        <v>1552.2828023076922</v>
      </c>
      <c r="N630" s="61">
        <f t="shared" si="610"/>
        <v>1990.4876712328764</v>
      </c>
      <c r="O630" s="247"/>
      <c r="P630" s="247"/>
      <c r="Q630" s="61">
        <f t="shared" si="611"/>
        <v>1990.4876712328764</v>
      </c>
      <c r="R630" s="63">
        <f t="shared" si="612"/>
        <v>42349.840531232876</v>
      </c>
      <c r="S630" s="65"/>
      <c r="T630" s="65"/>
      <c r="U630" s="65"/>
      <c r="V630" s="63">
        <f t="shared" si="603"/>
        <v>42349.840531232876</v>
      </c>
      <c r="W630" s="63">
        <f t="shared" si="604"/>
        <v>2625.6901129364383</v>
      </c>
      <c r="X630" s="63">
        <f t="shared" si="605"/>
        <v>614.07268770287669</v>
      </c>
      <c r="Y630" s="63">
        <f t="shared" si="613"/>
        <v>6360.946047791178</v>
      </c>
      <c r="Z630" s="63">
        <f t="shared" si="614"/>
        <v>67.759744849972606</v>
      </c>
      <c r="AA630" s="63">
        <f t="shared" si="615"/>
        <v>29.644888371863011</v>
      </c>
      <c r="AB630" s="63">
        <f t="shared" si="616"/>
        <v>335</v>
      </c>
      <c r="AC630" s="63">
        <f t="shared" si="617"/>
        <v>10356.36</v>
      </c>
      <c r="AD630" s="63">
        <f t="shared" si="618"/>
        <v>106.9136</v>
      </c>
      <c r="AE630" s="247" t="s">
        <v>3458</v>
      </c>
    </row>
    <row r="631" spans="1:31" x14ac:dyDescent="0.25">
      <c r="A631" s="168" t="s">
        <v>3458</v>
      </c>
      <c r="B631" s="167">
        <v>614002</v>
      </c>
      <c r="C631" s="168" t="s">
        <v>4250</v>
      </c>
      <c r="D631" s="181" t="s">
        <v>3464</v>
      </c>
      <c r="E631" s="181" t="s">
        <v>2909</v>
      </c>
      <c r="F631" s="87">
        <v>43002</v>
      </c>
      <c r="G631" s="59">
        <f t="shared" si="606"/>
        <v>3.2684931506849315</v>
      </c>
      <c r="H631" s="61">
        <v>39639.24</v>
      </c>
      <c r="I631" s="400">
        <v>36240.9</v>
      </c>
      <c r="J631" s="61">
        <v>40630.220999999998</v>
      </c>
      <c r="K631" s="63">
        <f t="shared" si="607"/>
        <v>40630.220999999998</v>
      </c>
      <c r="L631" s="59">
        <f t="shared" si="608"/>
        <v>19.533760096153845</v>
      </c>
      <c r="M631" s="61">
        <f t="shared" si="609"/>
        <v>1562.7008076923075</v>
      </c>
      <c r="N631" s="61">
        <f t="shared" si="610"/>
        <v>0</v>
      </c>
      <c r="O631" s="247"/>
      <c r="P631" s="247"/>
      <c r="Q631" s="61">
        <f t="shared" si="611"/>
        <v>0</v>
      </c>
      <c r="R631" s="63">
        <f t="shared" si="612"/>
        <v>40630.220999999998</v>
      </c>
      <c r="S631" s="65"/>
      <c r="T631" s="65"/>
      <c r="U631" s="65"/>
      <c r="V631" s="63">
        <f t="shared" si="603"/>
        <v>40630.220999999998</v>
      </c>
      <c r="W631" s="63">
        <f t="shared" si="604"/>
        <v>2519.0737019999997</v>
      </c>
      <c r="X631" s="63">
        <f t="shared" si="605"/>
        <v>589.13820450000003</v>
      </c>
      <c r="Y631" s="63">
        <f t="shared" si="613"/>
        <v>6102.6591941999995</v>
      </c>
      <c r="Z631" s="63">
        <f t="shared" si="614"/>
        <v>65.008353599999992</v>
      </c>
      <c r="AA631" s="63">
        <f t="shared" si="615"/>
        <v>28.441154699999998</v>
      </c>
      <c r="AB631" s="63">
        <f t="shared" si="616"/>
        <v>335</v>
      </c>
      <c r="AC631" s="63">
        <f t="shared" si="617"/>
        <v>10356.36</v>
      </c>
      <c r="AD631" s="63">
        <f t="shared" si="618"/>
        <v>106.9136</v>
      </c>
      <c r="AE631" s="247" t="s">
        <v>3458</v>
      </c>
    </row>
    <row r="632" spans="1:31" x14ac:dyDescent="0.25">
      <c r="A632" s="168" t="s">
        <v>3458</v>
      </c>
      <c r="B632" s="167">
        <v>614008</v>
      </c>
      <c r="C632" s="168" t="s">
        <v>3406</v>
      </c>
      <c r="D632" s="168" t="s">
        <v>3250</v>
      </c>
      <c r="E632" s="168" t="s">
        <v>3461</v>
      </c>
      <c r="F632" s="58">
        <v>36787</v>
      </c>
      <c r="G632" s="59">
        <f t="shared" si="606"/>
        <v>20.295890410958904</v>
      </c>
      <c r="H632" s="61">
        <v>41117.519999999997</v>
      </c>
      <c r="I632" s="63">
        <v>42145.46</v>
      </c>
      <c r="J632" s="61">
        <v>42145.457999999999</v>
      </c>
      <c r="K632" s="63">
        <f t="shared" si="607"/>
        <v>42145.457999999999</v>
      </c>
      <c r="L632" s="59">
        <f t="shared" si="608"/>
        <v>20.262239423076924</v>
      </c>
      <c r="M632" s="61">
        <f t="shared" si="609"/>
        <v>1620.9791538461538</v>
      </c>
      <c r="N632" s="61">
        <f t="shared" si="610"/>
        <v>5094.1150684931508</v>
      </c>
      <c r="O632" s="247"/>
      <c r="P632" s="247"/>
      <c r="Q632" s="61">
        <f t="shared" si="611"/>
        <v>5000</v>
      </c>
      <c r="R632" s="63">
        <f t="shared" si="612"/>
        <v>47145.457999999999</v>
      </c>
      <c r="S632" s="65"/>
      <c r="T632" s="65"/>
      <c r="U632" s="65"/>
      <c r="V632" s="63">
        <f t="shared" si="603"/>
        <v>47145.457999999999</v>
      </c>
      <c r="W632" s="63">
        <f t="shared" si="604"/>
        <v>2923.0183959999999</v>
      </c>
      <c r="X632" s="63">
        <f t="shared" si="605"/>
        <v>683.60914100000002</v>
      </c>
      <c r="Y632" s="63">
        <f t="shared" si="613"/>
        <v>7081.2477915999998</v>
      </c>
      <c r="Z632" s="63">
        <f t="shared" si="614"/>
        <v>75.432732799999997</v>
      </c>
      <c r="AA632" s="63">
        <f t="shared" si="615"/>
        <v>33.001820600000002</v>
      </c>
      <c r="AB632" s="63">
        <f t="shared" si="616"/>
        <v>335</v>
      </c>
      <c r="AC632" s="63">
        <f t="shared" si="617"/>
        <v>10356.36</v>
      </c>
      <c r="AD632" s="63">
        <f t="shared" si="618"/>
        <v>106.9136</v>
      </c>
      <c r="AE632" s="247" t="s">
        <v>3458</v>
      </c>
    </row>
    <row r="633" spans="1:31" x14ac:dyDescent="0.25">
      <c r="A633" s="168" t="s">
        <v>3458</v>
      </c>
      <c r="B633" s="167">
        <v>614009</v>
      </c>
      <c r="C633" s="168" t="s">
        <v>4253</v>
      </c>
      <c r="D633" s="168" t="s">
        <v>3367</v>
      </c>
      <c r="E633" s="168" t="s">
        <v>3475</v>
      </c>
      <c r="F633" s="58">
        <v>40819</v>
      </c>
      <c r="G633" s="59">
        <f t="shared" si="606"/>
        <v>9.24931506849315</v>
      </c>
      <c r="H633" s="61">
        <v>39374.9784</v>
      </c>
      <c r="I633" s="400">
        <v>38638.379999999997</v>
      </c>
      <c r="J633" s="61">
        <v>40359.352859999999</v>
      </c>
      <c r="K633" s="63">
        <f t="shared" si="607"/>
        <v>40359.352859999999</v>
      </c>
      <c r="L633" s="59">
        <f t="shared" si="608"/>
        <v>19.403535028846154</v>
      </c>
      <c r="M633" s="61">
        <f t="shared" si="609"/>
        <v>1552.2828023076922</v>
      </c>
      <c r="N633" s="61">
        <f t="shared" si="610"/>
        <v>2177.8191780821917</v>
      </c>
      <c r="O633" s="247"/>
      <c r="P633" s="247"/>
      <c r="Q633" s="61">
        <f t="shared" si="611"/>
        <v>2177.8191780821917</v>
      </c>
      <c r="R633" s="63">
        <f t="shared" si="612"/>
        <v>42537.172038082193</v>
      </c>
      <c r="S633" s="65"/>
      <c r="T633" s="65"/>
      <c r="U633" s="65"/>
      <c r="V633" s="63">
        <f t="shared" si="603"/>
        <v>42537.172038082193</v>
      </c>
      <c r="W633" s="63">
        <f t="shared" si="604"/>
        <v>2637.3046663610958</v>
      </c>
      <c r="X633" s="63">
        <f t="shared" si="605"/>
        <v>616.78899455219187</v>
      </c>
      <c r="Y633" s="63">
        <f t="shared" si="613"/>
        <v>6389.0832401199459</v>
      </c>
      <c r="Z633" s="63">
        <f t="shared" si="614"/>
        <v>68.059475260931507</v>
      </c>
      <c r="AA633" s="63">
        <f t="shared" si="615"/>
        <v>29.776020426657535</v>
      </c>
      <c r="AB633" s="63">
        <f t="shared" si="616"/>
        <v>335</v>
      </c>
      <c r="AC633" s="63">
        <f t="shared" si="617"/>
        <v>10356.36</v>
      </c>
      <c r="AD633" s="63">
        <f t="shared" si="618"/>
        <v>106.9136</v>
      </c>
      <c r="AE633" s="247" t="s">
        <v>3458</v>
      </c>
    </row>
    <row r="634" spans="1:31" x14ac:dyDescent="0.25">
      <c r="A634" s="168" t="s">
        <v>3458</v>
      </c>
      <c r="B634" s="167">
        <v>614010</v>
      </c>
      <c r="C634" s="168" t="s">
        <v>4262</v>
      </c>
      <c r="D634" s="168" t="s">
        <v>3466</v>
      </c>
      <c r="E634" s="168" t="s">
        <v>2486</v>
      </c>
      <c r="F634" s="58">
        <v>42905</v>
      </c>
      <c r="G634" s="59">
        <f t="shared" si="606"/>
        <v>3.5342465753424657</v>
      </c>
      <c r="H634" s="61">
        <v>40053.767999999996</v>
      </c>
      <c r="I634" s="400">
        <v>34574.839999999997</v>
      </c>
      <c r="J634" s="61">
        <v>41055.112199999996</v>
      </c>
      <c r="K634" s="63">
        <f t="shared" si="607"/>
        <v>41055.112199999996</v>
      </c>
      <c r="L634" s="59">
        <f t="shared" si="608"/>
        <v>19.738034711538461</v>
      </c>
      <c r="M634" s="61">
        <f t="shared" si="609"/>
        <v>1579.0427769230769</v>
      </c>
      <c r="N634" s="61">
        <f t="shared" si="610"/>
        <v>0</v>
      </c>
      <c r="O634" s="247"/>
      <c r="P634" s="247"/>
      <c r="Q634" s="61">
        <f t="shared" si="611"/>
        <v>0</v>
      </c>
      <c r="R634" s="63">
        <f t="shared" si="612"/>
        <v>41055.112199999996</v>
      </c>
      <c r="S634" s="65"/>
      <c r="T634" s="65"/>
      <c r="U634" s="65"/>
      <c r="V634" s="63">
        <f t="shared" si="603"/>
        <v>41055.112199999996</v>
      </c>
      <c r="W634" s="63">
        <f t="shared" si="604"/>
        <v>2545.4169563999999</v>
      </c>
      <c r="X634" s="63">
        <f t="shared" si="605"/>
        <v>595.29912689999992</v>
      </c>
      <c r="Y634" s="63">
        <f t="shared" si="613"/>
        <v>6166.477852439999</v>
      </c>
      <c r="Z634" s="63">
        <f t="shared" si="614"/>
        <v>65.688179519999991</v>
      </c>
      <c r="AA634" s="63">
        <f t="shared" si="615"/>
        <v>28.738578539999995</v>
      </c>
      <c r="AB634" s="63">
        <f t="shared" si="616"/>
        <v>335</v>
      </c>
      <c r="AC634" s="63">
        <f t="shared" si="617"/>
        <v>10356.36</v>
      </c>
      <c r="AD634" s="63">
        <f t="shared" si="618"/>
        <v>106.9136</v>
      </c>
      <c r="AE634" s="247" t="s">
        <v>3458</v>
      </c>
    </row>
    <row r="635" spans="1:31" x14ac:dyDescent="0.25">
      <c r="A635" s="168" t="s">
        <v>3458</v>
      </c>
      <c r="B635" s="167">
        <v>614099</v>
      </c>
      <c r="C635" s="168" t="s">
        <v>3479</v>
      </c>
      <c r="D635" s="168"/>
      <c r="E635" s="168"/>
      <c r="F635" s="112"/>
      <c r="G635" s="167" t="s">
        <v>2422</v>
      </c>
      <c r="H635" s="61">
        <v>22800</v>
      </c>
      <c r="I635" s="251"/>
      <c r="J635" s="61">
        <v>22800</v>
      </c>
      <c r="K635" s="61">
        <v>22800</v>
      </c>
      <c r="L635" s="247"/>
      <c r="M635" s="247"/>
      <c r="N635" s="167" t="s">
        <v>27</v>
      </c>
      <c r="O635" s="247"/>
      <c r="P635" s="247"/>
      <c r="Q635" s="167">
        <v>0</v>
      </c>
      <c r="R635" s="63">
        <f t="shared" si="612"/>
        <v>22800</v>
      </c>
      <c r="S635" s="65"/>
      <c r="T635" s="65"/>
      <c r="U635" s="65"/>
      <c r="V635" s="63">
        <f t="shared" si="603"/>
        <v>22800</v>
      </c>
      <c r="W635" s="63">
        <f t="shared" si="604"/>
        <v>1413.6</v>
      </c>
      <c r="X635" s="63">
        <f t="shared" si="605"/>
        <v>330.6</v>
      </c>
      <c r="Y635" s="63">
        <f t="shared" si="613"/>
        <v>3424.56</v>
      </c>
      <c r="Z635" s="63">
        <f t="shared" si="614"/>
        <v>36.480000000000004</v>
      </c>
      <c r="AA635" s="63">
        <f t="shared" si="615"/>
        <v>15.959999999999999</v>
      </c>
      <c r="AB635" s="63" t="s">
        <v>2422</v>
      </c>
      <c r="AC635" s="63" t="s">
        <v>2422</v>
      </c>
      <c r="AD635" s="63" t="s">
        <v>2422</v>
      </c>
      <c r="AE635" s="247" t="s">
        <v>3458</v>
      </c>
    </row>
    <row r="636" spans="1:31" x14ac:dyDescent="0.25">
      <c r="A636" s="168" t="s">
        <v>3458</v>
      </c>
      <c r="B636" s="247"/>
      <c r="C636" s="168" t="s">
        <v>2495</v>
      </c>
      <c r="D636" s="168" t="s">
        <v>3480</v>
      </c>
      <c r="E636" s="168" t="s">
        <v>3393</v>
      </c>
      <c r="F636" s="58">
        <v>42130</v>
      </c>
      <c r="G636" s="167" t="s">
        <v>2422</v>
      </c>
      <c r="H636" s="132">
        <v>11257</v>
      </c>
      <c r="I636" s="296"/>
      <c r="J636" s="132">
        <v>11257</v>
      </c>
      <c r="K636" s="132">
        <v>11257</v>
      </c>
      <c r="L636" s="320"/>
      <c r="M636" s="320"/>
      <c r="N636" s="220" t="s">
        <v>27</v>
      </c>
      <c r="O636" s="320"/>
      <c r="P636" s="320"/>
      <c r="Q636" s="220">
        <v>0</v>
      </c>
      <c r="R636" s="172">
        <f t="shared" si="612"/>
        <v>11257</v>
      </c>
      <c r="S636" s="314"/>
      <c r="T636" s="314"/>
      <c r="U636" s="314"/>
      <c r="V636" s="172">
        <f t="shared" si="603"/>
        <v>11257</v>
      </c>
      <c r="W636" s="172">
        <f t="shared" si="604"/>
        <v>697.93399999999997</v>
      </c>
      <c r="X636" s="172">
        <f t="shared" si="605"/>
        <v>163.22650000000002</v>
      </c>
      <c r="Y636" s="172">
        <f t="shared" si="613"/>
        <v>1690.8014000000001</v>
      </c>
      <c r="Z636" s="172">
        <f t="shared" si="614"/>
        <v>18.011200000000002</v>
      </c>
      <c r="AA636" s="172">
        <f t="shared" si="615"/>
        <v>7.8799000000000001</v>
      </c>
      <c r="AB636" s="172" t="s">
        <v>2422</v>
      </c>
      <c r="AC636" s="172" t="s">
        <v>2422</v>
      </c>
      <c r="AD636" s="172" t="s">
        <v>2422</v>
      </c>
      <c r="AE636" s="247" t="s">
        <v>3458</v>
      </c>
    </row>
    <row r="637" spans="1:31" x14ac:dyDescent="0.25">
      <c r="A637" s="168" t="s">
        <v>3458</v>
      </c>
      <c r="B637" s="247"/>
      <c r="C637" s="247"/>
      <c r="D637" s="247"/>
      <c r="E637" s="247"/>
      <c r="F637" s="247"/>
      <c r="G637" s="247"/>
      <c r="H637" s="223">
        <v>456720.34688000003</v>
      </c>
      <c r="I637" s="401"/>
      <c r="J637" s="223">
        <v>467271.93055199995</v>
      </c>
      <c r="K637" s="223">
        <f t="shared" ref="K637:AD637" si="619">SUM(K623:K636)</f>
        <v>467271.93055199995</v>
      </c>
      <c r="L637" s="223">
        <f t="shared" si="619"/>
        <v>207.98794738076927</v>
      </c>
      <c r="M637" s="223">
        <f t="shared" si="619"/>
        <v>16662.115790461539</v>
      </c>
      <c r="N637" s="223">
        <f t="shared" si="619"/>
        <v>18997.150684931508</v>
      </c>
      <c r="O637" s="223">
        <f t="shared" si="619"/>
        <v>0</v>
      </c>
      <c r="P637" s="223">
        <f t="shared" si="619"/>
        <v>937.04</v>
      </c>
      <c r="Q637" s="223">
        <f t="shared" si="619"/>
        <v>19062.794520547945</v>
      </c>
      <c r="R637" s="223">
        <f t="shared" si="619"/>
        <v>486334.72507254797</v>
      </c>
      <c r="S637" s="223">
        <f t="shared" si="619"/>
        <v>4200</v>
      </c>
      <c r="T637" s="223">
        <f t="shared" si="619"/>
        <v>0</v>
      </c>
      <c r="U637" s="223">
        <f t="shared" si="619"/>
        <v>0</v>
      </c>
      <c r="V637" s="223">
        <f t="shared" si="619"/>
        <v>490534.72507254797</v>
      </c>
      <c r="W637" s="223">
        <f t="shared" si="619"/>
        <v>30413.152954497975</v>
      </c>
      <c r="X637" s="223">
        <f t="shared" si="619"/>
        <v>7112.7535135519456</v>
      </c>
      <c r="Y637" s="223">
        <f t="shared" si="619"/>
        <v>73588.195705896695</v>
      </c>
      <c r="Z637" s="223">
        <f t="shared" si="619"/>
        <v>783.89556011607681</v>
      </c>
      <c r="AA637" s="223">
        <f t="shared" si="619"/>
        <v>290.13969848421374</v>
      </c>
      <c r="AB637" s="223">
        <f t="shared" si="619"/>
        <v>3350</v>
      </c>
      <c r="AC637" s="223">
        <f t="shared" si="619"/>
        <v>103563.6</v>
      </c>
      <c r="AD637" s="223">
        <f t="shared" si="619"/>
        <v>1069.136</v>
      </c>
      <c r="AE637" s="247" t="s">
        <v>3458</v>
      </c>
    </row>
    <row r="638" spans="1:31" x14ac:dyDescent="0.25">
      <c r="A638" s="247"/>
      <c r="B638" s="247"/>
      <c r="C638" s="247"/>
      <c r="D638" s="247"/>
      <c r="E638" s="247"/>
      <c r="F638" s="247"/>
      <c r="G638" s="247"/>
      <c r="H638" s="100">
        <v>354870.45103999996</v>
      </c>
      <c r="J638" s="100">
        <v>363742.21231599996</v>
      </c>
      <c r="K638" s="69">
        <f>SUM(K626:K634)</f>
        <v>363742.21231599996</v>
      </c>
      <c r="L638" s="247"/>
      <c r="M638" s="247"/>
      <c r="N638" s="61">
        <v>19996.39</v>
      </c>
      <c r="O638" s="247"/>
      <c r="P638" s="247"/>
      <c r="Q638" s="247"/>
      <c r="R638" s="65"/>
      <c r="S638" s="65"/>
      <c r="T638" s="65"/>
      <c r="U638" s="65"/>
      <c r="V638" s="65"/>
      <c r="W638" s="63">
        <f>W637+X637</f>
        <v>37525.906468049921</v>
      </c>
      <c r="X638" s="65"/>
      <c r="Y638" s="65"/>
      <c r="Z638" s="65"/>
      <c r="AA638" s="65"/>
      <c r="AB638" s="65"/>
      <c r="AC638" s="63">
        <f>SUM(AC637:AD637)</f>
        <v>104632.736</v>
      </c>
      <c r="AD638" s="65"/>
      <c r="AE638" s="247"/>
    </row>
    <row r="639" spans="1:31" x14ac:dyDescent="0.25">
      <c r="A639" s="247"/>
      <c r="B639" s="247"/>
      <c r="C639" s="247"/>
      <c r="D639" s="247"/>
      <c r="E639" s="247"/>
      <c r="F639" s="247"/>
      <c r="G639" s="247"/>
      <c r="H639" s="247"/>
      <c r="I639" s="169"/>
      <c r="J639" s="247"/>
      <c r="K639" s="247"/>
      <c r="L639" s="247"/>
      <c r="M639" s="247"/>
      <c r="N639" s="247"/>
      <c r="O639" s="247"/>
      <c r="P639" s="247"/>
      <c r="Q639" s="247"/>
      <c r="R639" s="65"/>
      <c r="S639" s="65"/>
      <c r="T639" s="65"/>
      <c r="U639" s="65"/>
      <c r="V639" s="65"/>
      <c r="W639" s="65"/>
      <c r="X639" s="65"/>
      <c r="Y639" s="65"/>
      <c r="Z639" s="65"/>
      <c r="AA639" s="65"/>
      <c r="AB639" s="65"/>
      <c r="AC639" s="65"/>
      <c r="AD639" s="65"/>
      <c r="AE639" s="247"/>
    </row>
    <row r="640" spans="1:31" x14ac:dyDescent="0.25">
      <c r="A640" s="247"/>
      <c r="B640" s="247"/>
      <c r="C640" s="247"/>
      <c r="D640" s="247"/>
      <c r="E640" s="247"/>
      <c r="F640" s="247"/>
      <c r="G640" s="247"/>
      <c r="H640" s="320"/>
      <c r="I640" s="251"/>
      <c r="J640" s="320"/>
      <c r="K640" s="320"/>
      <c r="L640" s="320"/>
      <c r="M640" s="320"/>
      <c r="N640" s="320"/>
      <c r="O640" s="320"/>
      <c r="P640" s="320"/>
      <c r="Q640" s="320"/>
      <c r="R640" s="314"/>
      <c r="S640" s="314"/>
      <c r="T640" s="314"/>
      <c r="U640" s="314"/>
      <c r="V640" s="314"/>
      <c r="W640" s="314"/>
      <c r="X640" s="314"/>
      <c r="Y640" s="314"/>
      <c r="Z640" s="314"/>
      <c r="AA640" s="314"/>
      <c r="AB640" s="314"/>
      <c r="AC640" s="314"/>
      <c r="AD640" s="314"/>
      <c r="AE640" s="247"/>
    </row>
    <row r="641" spans="1:31" x14ac:dyDescent="0.25">
      <c r="A641" s="168" t="s">
        <v>3481</v>
      </c>
      <c r="B641" s="247"/>
      <c r="C641" s="168" t="s">
        <v>1627</v>
      </c>
      <c r="D641" s="247" t="s">
        <v>3339</v>
      </c>
      <c r="E641" s="247" t="s">
        <v>3866</v>
      </c>
      <c r="F641" s="285">
        <v>12</v>
      </c>
      <c r="G641" s="167" t="s">
        <v>2422</v>
      </c>
      <c r="H641" s="223">
        <v>66404</v>
      </c>
      <c r="I641" s="401"/>
      <c r="J641" s="223">
        <v>66404</v>
      </c>
      <c r="K641" s="223">
        <v>66404</v>
      </c>
      <c r="L641" s="275"/>
      <c r="M641" s="223"/>
      <c r="N641" s="223">
        <v>0</v>
      </c>
      <c r="O641" s="416"/>
      <c r="P641" s="416"/>
      <c r="Q641" s="223">
        <f>SUM(N641+P641)</f>
        <v>0</v>
      </c>
      <c r="R641" s="175">
        <f>SUM(K641+Q641)</f>
        <v>66404</v>
      </c>
      <c r="S641" s="175">
        <v>0</v>
      </c>
      <c r="T641" s="175">
        <v>0</v>
      </c>
      <c r="U641" s="175">
        <v>0</v>
      </c>
      <c r="V641" s="175">
        <f>SUM(R641:U641)</f>
        <v>66404</v>
      </c>
      <c r="W641" s="175">
        <f>SUM(V641*$W$7)</f>
        <v>4117.0479999999998</v>
      </c>
      <c r="X641" s="175">
        <f>SUM(V641*$X$7)</f>
        <v>962.85800000000006</v>
      </c>
      <c r="Y641" s="175">
        <f>SUM(V641*$Y$7)</f>
        <v>9973.8808000000008</v>
      </c>
      <c r="Z641" s="175">
        <f>SUM(V641*$Z$7)</f>
        <v>106.24640000000001</v>
      </c>
      <c r="AA641" s="175">
        <f>SUM(V641*$AA$7)</f>
        <v>46.482799999999997</v>
      </c>
      <c r="AB641" s="175">
        <v>0</v>
      </c>
      <c r="AC641" s="175">
        <v>0</v>
      </c>
      <c r="AD641" s="175">
        <v>0</v>
      </c>
      <c r="AE641" s="247" t="s">
        <v>3481</v>
      </c>
    </row>
    <row r="642" spans="1:31" x14ac:dyDescent="0.25">
      <c r="A642" s="247"/>
      <c r="B642" s="247"/>
      <c r="C642" s="247"/>
      <c r="D642" s="31" t="s">
        <v>2988</v>
      </c>
      <c r="E642" s="31" t="s">
        <v>4263</v>
      </c>
      <c r="F642" s="421">
        <v>11</v>
      </c>
      <c r="I642" s="138"/>
      <c r="J642" s="247"/>
      <c r="K642" s="247"/>
      <c r="L642" s="247"/>
      <c r="M642" s="247"/>
      <c r="N642" s="247"/>
      <c r="O642" s="247"/>
      <c r="P642" s="247"/>
      <c r="Q642" s="247"/>
      <c r="R642" s="65"/>
      <c r="S642" s="65"/>
      <c r="T642" s="65"/>
      <c r="U642" s="65"/>
      <c r="V642" s="65"/>
      <c r="W642" s="63">
        <f>W641+X641</f>
        <v>5079.9059999999999</v>
      </c>
      <c r="X642" s="65"/>
      <c r="Y642" s="65"/>
      <c r="Z642" s="65"/>
      <c r="AA642" s="65"/>
      <c r="AB642" s="65"/>
      <c r="AC642" s="63">
        <v>0</v>
      </c>
      <c r="AD642" s="65"/>
      <c r="AE642" s="247"/>
    </row>
    <row r="643" spans="1:31" x14ac:dyDescent="0.25">
      <c r="A643" s="247"/>
      <c r="B643" s="247"/>
      <c r="C643" s="247"/>
      <c r="D643" s="247" t="s">
        <v>3867</v>
      </c>
      <c r="E643" s="247" t="s">
        <v>3868</v>
      </c>
      <c r="F643" s="285">
        <v>11.76</v>
      </c>
      <c r="G643" s="247"/>
      <c r="H643" s="247"/>
      <c r="I643" s="251"/>
      <c r="J643" s="247"/>
      <c r="K643" s="247"/>
      <c r="L643" s="247"/>
      <c r="M643" s="247"/>
      <c r="N643" s="247"/>
      <c r="O643" s="247"/>
      <c r="P643" s="247"/>
      <c r="Q643" s="247"/>
      <c r="R643" s="65"/>
      <c r="S643" s="65"/>
      <c r="T643" s="65"/>
      <c r="U643" s="65"/>
      <c r="V643" s="65"/>
      <c r="W643" s="65"/>
      <c r="X643" s="65"/>
      <c r="Y643" s="65"/>
      <c r="Z643" s="65"/>
      <c r="AA643" s="65"/>
      <c r="AB643" s="65"/>
      <c r="AC643" s="65"/>
      <c r="AD643" s="65"/>
      <c r="AE643" s="247"/>
    </row>
    <row r="644" spans="1:31" x14ac:dyDescent="0.25">
      <c r="A644" s="247"/>
      <c r="B644" s="247"/>
      <c r="C644" s="247"/>
      <c r="D644" s="247" t="s">
        <v>2603</v>
      </c>
      <c r="E644" s="247" t="s">
        <v>3869</v>
      </c>
      <c r="F644" s="285">
        <v>11.5</v>
      </c>
      <c r="G644" s="247"/>
      <c r="H644" s="247"/>
      <c r="I644" s="138"/>
      <c r="J644" s="247"/>
      <c r="K644" s="247"/>
      <c r="L644" s="247"/>
      <c r="M644" s="247"/>
      <c r="N644" s="247"/>
      <c r="O644" s="247"/>
      <c r="P644" s="247"/>
      <c r="Q644" s="247"/>
      <c r="R644" s="65"/>
      <c r="S644" s="65"/>
      <c r="T644" s="65"/>
      <c r="U644" s="65"/>
      <c r="V644" s="65"/>
      <c r="W644" s="65"/>
      <c r="X644" s="65"/>
      <c r="Y644" s="65"/>
      <c r="Z644" s="65"/>
      <c r="AA644" s="65"/>
      <c r="AB644" s="65"/>
      <c r="AC644" s="65"/>
      <c r="AD644" s="65"/>
      <c r="AE644" s="247"/>
    </row>
    <row r="645" spans="1:31" x14ac:dyDescent="0.25">
      <c r="A645" s="247"/>
      <c r="B645" s="247"/>
      <c r="C645" s="247"/>
      <c r="D645" s="247" t="s">
        <v>3870</v>
      </c>
      <c r="E645" s="247" t="s">
        <v>3871</v>
      </c>
      <c r="F645" s="291">
        <v>11.4</v>
      </c>
      <c r="G645" s="247"/>
      <c r="H645" s="247"/>
      <c r="I645" s="138"/>
      <c r="J645" s="422"/>
      <c r="K645" s="247"/>
      <c r="L645" s="247"/>
      <c r="M645" s="247"/>
      <c r="N645" s="247"/>
      <c r="O645" s="247"/>
      <c r="P645" s="247"/>
      <c r="Q645" s="247"/>
      <c r="R645" s="65"/>
      <c r="S645" s="65"/>
      <c r="T645" s="65"/>
      <c r="U645" s="65"/>
      <c r="V645" s="65"/>
      <c r="W645" s="65"/>
      <c r="X645" s="65"/>
      <c r="Y645" s="65"/>
      <c r="Z645" s="65"/>
      <c r="AA645" s="65"/>
      <c r="AB645" s="65"/>
      <c r="AC645" s="65"/>
      <c r="AD645" s="65"/>
      <c r="AE645" s="247"/>
    </row>
    <row r="646" spans="1:31" x14ac:dyDescent="0.25">
      <c r="A646" s="247"/>
      <c r="B646" s="247"/>
      <c r="C646" s="247"/>
      <c r="D646" s="247"/>
      <c r="E646" s="247"/>
      <c r="F646" s="285">
        <f>SUM(F641:F645)</f>
        <v>57.66</v>
      </c>
      <c r="G646" s="247" t="s">
        <v>3872</v>
      </c>
      <c r="H646" s="422">
        <f>((E646*24)*52)</f>
        <v>0</v>
      </c>
      <c r="I646" s="138"/>
      <c r="J646" s="247"/>
      <c r="K646" s="247"/>
      <c r="L646" s="247"/>
      <c r="M646" s="247"/>
      <c r="N646" s="247"/>
      <c r="O646" s="247"/>
      <c r="P646" s="247"/>
      <c r="Q646" s="247"/>
      <c r="R646" s="65"/>
      <c r="S646" s="65"/>
      <c r="T646" s="65"/>
      <c r="U646" s="65"/>
      <c r="V646" s="65"/>
      <c r="W646" s="65"/>
      <c r="X646" s="65"/>
      <c r="Y646" s="65"/>
      <c r="Z646" s="65"/>
      <c r="AA646" s="65"/>
      <c r="AB646" s="65"/>
      <c r="AC646" s="65"/>
      <c r="AD646" s="65"/>
      <c r="AE646" s="247"/>
    </row>
    <row r="647" spans="1:31" x14ac:dyDescent="0.25">
      <c r="A647" s="247"/>
      <c r="B647" s="247"/>
      <c r="C647" s="247"/>
      <c r="D647" s="247"/>
      <c r="E647" s="247"/>
      <c r="F647" s="247"/>
      <c r="G647" s="247"/>
      <c r="H647" s="247"/>
      <c r="I647" s="423"/>
      <c r="J647" s="247"/>
      <c r="K647" s="247"/>
      <c r="L647" s="247"/>
      <c r="M647" s="247"/>
      <c r="N647" s="247"/>
      <c r="O647" s="247"/>
      <c r="P647" s="247"/>
      <c r="Q647" s="247"/>
      <c r="R647" s="65"/>
      <c r="S647" s="65"/>
      <c r="T647" s="65"/>
      <c r="U647" s="65"/>
      <c r="V647" s="65"/>
      <c r="W647" s="65"/>
      <c r="X647" s="65"/>
      <c r="Y647" s="65"/>
      <c r="Z647" s="65"/>
      <c r="AA647" s="65"/>
      <c r="AB647" s="65"/>
      <c r="AC647" s="65"/>
      <c r="AD647" s="65"/>
      <c r="AE647" s="247"/>
    </row>
    <row r="648" spans="1:31" x14ac:dyDescent="0.25">
      <c r="A648" s="168" t="s">
        <v>3482</v>
      </c>
      <c r="B648" s="168" t="s">
        <v>3482</v>
      </c>
      <c r="C648" s="168" t="s">
        <v>3483</v>
      </c>
      <c r="D648" s="247"/>
      <c r="E648" s="247"/>
      <c r="F648" s="247"/>
      <c r="G648" s="247"/>
      <c r="H648" s="247"/>
      <c r="I648" s="251"/>
      <c r="J648" s="247"/>
      <c r="K648" s="247"/>
      <c r="L648" s="247"/>
      <c r="M648" s="247"/>
      <c r="N648" s="247"/>
      <c r="O648" s="247"/>
      <c r="P648" s="247"/>
      <c r="Q648" s="247"/>
      <c r="R648" s="65"/>
      <c r="S648" s="65"/>
      <c r="T648" s="65"/>
      <c r="U648" s="65"/>
      <c r="V648" s="65"/>
      <c r="W648" s="65"/>
      <c r="X648" s="65"/>
      <c r="Y648" s="65"/>
      <c r="Z648" s="65"/>
      <c r="AA648" s="65"/>
      <c r="AB648" s="65"/>
      <c r="AC648" s="65"/>
      <c r="AD648" s="65"/>
      <c r="AE648" s="247"/>
    </row>
    <row r="649" spans="1:31" x14ac:dyDescent="0.25">
      <c r="A649" s="168" t="s">
        <v>3482</v>
      </c>
      <c r="B649" s="167">
        <v>475013</v>
      </c>
      <c r="C649" s="168" t="s">
        <v>3484</v>
      </c>
      <c r="D649" s="168" t="s">
        <v>2699</v>
      </c>
      <c r="E649" s="168" t="s">
        <v>2683</v>
      </c>
      <c r="F649" s="247"/>
      <c r="G649" s="167" t="s">
        <v>2422</v>
      </c>
      <c r="H649" s="61">
        <v>2500</v>
      </c>
      <c r="I649" s="251"/>
      <c r="J649" s="61">
        <v>2500</v>
      </c>
      <c r="K649" s="61">
        <v>2500</v>
      </c>
      <c r="L649" s="59"/>
      <c r="M649" s="61">
        <f t="shared" ref="M649:M653" si="620">SUM(K649/$M$7)</f>
        <v>96.15384615384616</v>
      </c>
      <c r="N649" s="61"/>
      <c r="O649" s="247"/>
      <c r="P649" s="247"/>
      <c r="Q649" s="61">
        <f t="shared" ref="Q649:Q653" si="621">SUM(N649+P649)</f>
        <v>0</v>
      </c>
      <c r="R649" s="63">
        <f t="shared" ref="R649:R653" si="622">SUM(K649+Q649)</f>
        <v>2500</v>
      </c>
      <c r="S649" s="65"/>
      <c r="T649" s="65"/>
      <c r="U649" s="65"/>
      <c r="V649" s="63">
        <f t="shared" ref="V649:V653" si="623">SUM(R649:U649)</f>
        <v>2500</v>
      </c>
      <c r="W649" s="63">
        <f t="shared" ref="W649:W652" si="624">SUM(V649*$W$7)</f>
        <v>155</v>
      </c>
      <c r="X649" s="63">
        <f t="shared" ref="X649:X652" si="625">SUM(V649*$X$7)</f>
        <v>36.25</v>
      </c>
      <c r="Y649" s="63">
        <f t="shared" ref="Y649:Y652" si="626">SUM(V649*$Y$7)</f>
        <v>375.5</v>
      </c>
      <c r="Z649" s="63">
        <f t="shared" ref="Z649:Z652" si="627">SUM(V649*$Z$7)</f>
        <v>4</v>
      </c>
      <c r="AA649" s="63">
        <f t="shared" ref="AA649:AA652" si="628">SUM(V649*$AA$7)</f>
        <v>1.75</v>
      </c>
      <c r="AB649" s="63" t="s">
        <v>2422</v>
      </c>
      <c r="AC649" s="63" t="s">
        <v>2422</v>
      </c>
      <c r="AD649" s="63" t="s">
        <v>2422</v>
      </c>
      <c r="AE649" s="424" t="s">
        <v>3873</v>
      </c>
    </row>
    <row r="650" spans="1:31" x14ac:dyDescent="0.25">
      <c r="A650" s="168" t="s">
        <v>3482</v>
      </c>
      <c r="B650" s="167">
        <v>475015</v>
      </c>
      <c r="C650" s="168" t="s">
        <v>3485</v>
      </c>
      <c r="D650" s="168" t="s">
        <v>3486</v>
      </c>
      <c r="E650" s="168" t="s">
        <v>2687</v>
      </c>
      <c r="F650" s="247"/>
      <c r="G650" s="167" t="s">
        <v>2422</v>
      </c>
      <c r="H650" s="61">
        <v>2500</v>
      </c>
      <c r="I650" s="251"/>
      <c r="J650" s="61">
        <v>2500</v>
      </c>
      <c r="K650" s="61">
        <v>2500</v>
      </c>
      <c r="L650" s="59"/>
      <c r="M650" s="61">
        <f t="shared" si="620"/>
        <v>96.15384615384616</v>
      </c>
      <c r="N650" s="61"/>
      <c r="O650" s="247"/>
      <c r="P650" s="247"/>
      <c r="Q650" s="61">
        <f t="shared" si="621"/>
        <v>0</v>
      </c>
      <c r="R650" s="63">
        <f t="shared" si="622"/>
        <v>2500</v>
      </c>
      <c r="S650" s="65"/>
      <c r="T650" s="65"/>
      <c r="U650" s="65"/>
      <c r="V650" s="63">
        <f t="shared" si="623"/>
        <v>2500</v>
      </c>
      <c r="W650" s="63">
        <f t="shared" si="624"/>
        <v>155</v>
      </c>
      <c r="X650" s="63">
        <f t="shared" si="625"/>
        <v>36.25</v>
      </c>
      <c r="Y650" s="63">
        <f t="shared" si="626"/>
        <v>375.5</v>
      </c>
      <c r="Z650" s="63">
        <f t="shared" si="627"/>
        <v>4</v>
      </c>
      <c r="AA650" s="63">
        <f t="shared" si="628"/>
        <v>1.75</v>
      </c>
      <c r="AB650" s="63" t="s">
        <v>2422</v>
      </c>
      <c r="AC650" s="63" t="s">
        <v>2422</v>
      </c>
      <c r="AD650" s="63" t="s">
        <v>2422</v>
      </c>
      <c r="AE650" s="247"/>
    </row>
    <row r="651" spans="1:31" x14ac:dyDescent="0.25">
      <c r="A651" s="168" t="s">
        <v>3482</v>
      </c>
      <c r="B651" s="167">
        <v>475011</v>
      </c>
      <c r="C651" s="168" t="s">
        <v>2685</v>
      </c>
      <c r="D651" s="168" t="s">
        <v>3487</v>
      </c>
      <c r="E651" s="247" t="s">
        <v>2479</v>
      </c>
      <c r="F651" s="247"/>
      <c r="G651" s="167" t="s">
        <v>2422</v>
      </c>
      <c r="H651" s="61">
        <v>1500</v>
      </c>
      <c r="I651" s="251"/>
      <c r="J651" s="61">
        <v>1500</v>
      </c>
      <c r="K651" s="61">
        <v>1500</v>
      </c>
      <c r="L651" s="59"/>
      <c r="M651" s="61">
        <f t="shared" si="620"/>
        <v>57.692307692307693</v>
      </c>
      <c r="N651" s="61"/>
      <c r="O651" s="247"/>
      <c r="P651" s="247"/>
      <c r="Q651" s="61">
        <f t="shared" si="621"/>
        <v>0</v>
      </c>
      <c r="R651" s="63">
        <f t="shared" si="622"/>
        <v>1500</v>
      </c>
      <c r="S651" s="65"/>
      <c r="T651" s="65"/>
      <c r="U651" s="65"/>
      <c r="V651" s="63">
        <f t="shared" si="623"/>
        <v>1500</v>
      </c>
      <c r="W651" s="63">
        <f t="shared" si="624"/>
        <v>93</v>
      </c>
      <c r="X651" s="63">
        <f t="shared" si="625"/>
        <v>21.75</v>
      </c>
      <c r="Y651" s="63">
        <f t="shared" si="626"/>
        <v>225.3</v>
      </c>
      <c r="Z651" s="63">
        <f t="shared" si="627"/>
        <v>2.4</v>
      </c>
      <c r="AA651" s="63">
        <f t="shared" si="628"/>
        <v>1.05</v>
      </c>
      <c r="AB651" s="63" t="s">
        <v>2422</v>
      </c>
      <c r="AC651" s="63" t="s">
        <v>2422</v>
      </c>
      <c r="AD651" s="63" t="s">
        <v>2422</v>
      </c>
      <c r="AE651" s="247"/>
    </row>
    <row r="652" spans="1:31" x14ac:dyDescent="0.25">
      <c r="A652" s="168" t="s">
        <v>3482</v>
      </c>
      <c r="B652" s="167">
        <v>475004</v>
      </c>
      <c r="C652" s="168" t="s">
        <v>3488</v>
      </c>
      <c r="D652" s="168" t="s">
        <v>2674</v>
      </c>
      <c r="E652" s="168" t="s">
        <v>2675</v>
      </c>
      <c r="F652" s="247"/>
      <c r="G652" s="167" t="s">
        <v>2422</v>
      </c>
      <c r="H652" s="61">
        <v>2000</v>
      </c>
      <c r="I652" s="61">
        <v>2000</v>
      </c>
      <c r="J652" s="61">
        <v>2000</v>
      </c>
      <c r="K652" s="61">
        <v>2000</v>
      </c>
      <c r="L652" s="59"/>
      <c r="M652" s="61">
        <f t="shared" si="620"/>
        <v>76.92307692307692</v>
      </c>
      <c r="N652" s="61"/>
      <c r="O652" s="247"/>
      <c r="P652" s="247"/>
      <c r="Q652" s="61">
        <f t="shared" si="621"/>
        <v>0</v>
      </c>
      <c r="R652" s="63">
        <f t="shared" si="622"/>
        <v>2000</v>
      </c>
      <c r="S652" s="65"/>
      <c r="T652" s="65"/>
      <c r="U652" s="65"/>
      <c r="V652" s="63">
        <f t="shared" si="623"/>
        <v>2000</v>
      </c>
      <c r="W652" s="63">
        <f t="shared" si="624"/>
        <v>124</v>
      </c>
      <c r="X652" s="63">
        <f t="shared" si="625"/>
        <v>29</v>
      </c>
      <c r="Y652" s="63">
        <f t="shared" si="626"/>
        <v>300.39999999999998</v>
      </c>
      <c r="Z652" s="63">
        <f t="shared" si="627"/>
        <v>3.2</v>
      </c>
      <c r="AA652" s="63">
        <f t="shared" si="628"/>
        <v>1.4</v>
      </c>
      <c r="AB652" s="63" t="s">
        <v>2422</v>
      </c>
      <c r="AC652" s="63" t="s">
        <v>2422</v>
      </c>
      <c r="AD652" s="63" t="s">
        <v>2422</v>
      </c>
      <c r="AE652" s="247"/>
    </row>
    <row r="653" spans="1:31" x14ac:dyDescent="0.25">
      <c r="A653" s="168"/>
      <c r="B653" s="168"/>
      <c r="C653" s="168"/>
      <c r="D653" s="168"/>
      <c r="E653" s="168"/>
      <c r="F653" s="247"/>
      <c r="G653" s="167"/>
      <c r="H653" s="229">
        <v>1500</v>
      </c>
      <c r="I653" s="296"/>
      <c r="J653" s="229">
        <v>8400</v>
      </c>
      <c r="K653" s="132">
        <v>8400</v>
      </c>
      <c r="L653" s="269"/>
      <c r="M653" s="132">
        <f t="shared" si="620"/>
        <v>323.07692307692309</v>
      </c>
      <c r="N653" s="132"/>
      <c r="O653" s="320"/>
      <c r="P653" s="320"/>
      <c r="Q653" s="132">
        <f t="shared" si="621"/>
        <v>0</v>
      </c>
      <c r="R653" s="172">
        <f t="shared" si="622"/>
        <v>8400</v>
      </c>
      <c r="S653" s="314"/>
      <c r="T653" s="314"/>
      <c r="U653" s="314"/>
      <c r="V653" s="172">
        <f t="shared" si="623"/>
        <v>8400</v>
      </c>
      <c r="W653" s="172"/>
      <c r="X653" s="172"/>
      <c r="Y653" s="172"/>
      <c r="Z653" s="172"/>
      <c r="AA653" s="172"/>
      <c r="AB653" s="172"/>
      <c r="AC653" s="172"/>
      <c r="AD653" s="172"/>
      <c r="AE653" s="247"/>
    </row>
    <row r="654" spans="1:31" x14ac:dyDescent="0.25">
      <c r="A654" s="168" t="s">
        <v>3482</v>
      </c>
      <c r="B654" s="247"/>
      <c r="C654" s="247"/>
      <c r="D654" s="247"/>
      <c r="E654" s="247"/>
      <c r="F654" s="247"/>
      <c r="G654" s="247"/>
      <c r="H654" s="223">
        <f>SUM(H649:H653)</f>
        <v>10000</v>
      </c>
      <c r="I654" s="401"/>
      <c r="J654" s="223">
        <v>16900</v>
      </c>
      <c r="K654" s="223">
        <f>SUM(K649:K653)</f>
        <v>16900</v>
      </c>
      <c r="L654" s="223">
        <f t="shared" ref="L654:U654" si="629">SUM(L648:L652)</f>
        <v>0</v>
      </c>
      <c r="M654" s="223">
        <f t="shared" si="629"/>
        <v>326.92307692307691</v>
      </c>
      <c r="N654" s="223">
        <f t="shared" si="629"/>
        <v>0</v>
      </c>
      <c r="O654" s="223">
        <f t="shared" si="629"/>
        <v>0</v>
      </c>
      <c r="P654" s="223">
        <f t="shared" si="629"/>
        <v>0</v>
      </c>
      <c r="Q654" s="223">
        <f t="shared" si="629"/>
        <v>0</v>
      </c>
      <c r="R654" s="223">
        <f t="shared" si="629"/>
        <v>8500</v>
      </c>
      <c r="S654" s="223">
        <f t="shared" si="629"/>
        <v>0</v>
      </c>
      <c r="T654" s="223">
        <f t="shared" si="629"/>
        <v>0</v>
      </c>
      <c r="U654" s="223">
        <f t="shared" si="629"/>
        <v>0</v>
      </c>
      <c r="V654" s="223">
        <f>SUM(V648:V653)</f>
        <v>16900</v>
      </c>
      <c r="W654" s="223">
        <f t="shared" ref="W654:AD654" si="630">SUM(W648:W652)</f>
        <v>527</v>
      </c>
      <c r="X654" s="223">
        <f t="shared" si="630"/>
        <v>123.25</v>
      </c>
      <c r="Y654" s="223">
        <f t="shared" si="630"/>
        <v>1276.6999999999998</v>
      </c>
      <c r="Z654" s="223">
        <f t="shared" si="630"/>
        <v>13.600000000000001</v>
      </c>
      <c r="AA654" s="223">
        <f t="shared" si="630"/>
        <v>5.9499999999999993</v>
      </c>
      <c r="AB654" s="223">
        <f t="shared" si="630"/>
        <v>0</v>
      </c>
      <c r="AC654" s="223">
        <f t="shared" si="630"/>
        <v>0</v>
      </c>
      <c r="AD654" s="223">
        <f t="shared" si="630"/>
        <v>0</v>
      </c>
      <c r="AE654" s="247" t="s">
        <v>3482</v>
      </c>
    </row>
    <row r="655" spans="1:31" x14ac:dyDescent="0.25">
      <c r="A655" s="247"/>
      <c r="B655" s="247"/>
      <c r="C655" s="247"/>
      <c r="D655" s="247"/>
      <c r="E655" s="247"/>
      <c r="F655" s="247"/>
      <c r="G655" s="247"/>
      <c r="H655" s="247"/>
      <c r="I655" s="251"/>
      <c r="J655" s="247"/>
      <c r="K655" s="247"/>
      <c r="L655" s="247"/>
      <c r="M655" s="247"/>
      <c r="N655" s="247"/>
      <c r="O655" s="247"/>
      <c r="P655" s="247"/>
      <c r="Q655" s="247"/>
      <c r="R655" s="65"/>
      <c r="S655" s="65"/>
      <c r="T655" s="65"/>
      <c r="U655" s="65"/>
      <c r="V655" s="65"/>
      <c r="W655" s="63">
        <f>W654+X654</f>
        <v>650.25</v>
      </c>
      <c r="X655" s="65"/>
      <c r="Y655" s="65"/>
      <c r="Z655" s="65"/>
      <c r="AA655" s="65"/>
      <c r="AB655" s="65"/>
      <c r="AC655" s="65"/>
      <c r="AD655" s="65"/>
      <c r="AE655" s="247"/>
    </row>
    <row r="656" spans="1:31" x14ac:dyDescent="0.25">
      <c r="A656" s="247"/>
      <c r="B656" s="247"/>
      <c r="C656" s="247"/>
      <c r="D656" s="247"/>
      <c r="E656" s="247"/>
      <c r="F656" s="247"/>
      <c r="G656" s="247"/>
      <c r="H656" s="247"/>
      <c r="I656" s="251"/>
      <c r="J656" s="247"/>
      <c r="K656" s="247"/>
      <c r="L656" s="247"/>
      <c r="M656" s="247"/>
      <c r="N656" s="247"/>
      <c r="O656" s="247"/>
      <c r="P656" s="247"/>
      <c r="Q656" s="247"/>
      <c r="R656" s="65"/>
      <c r="S656" s="65"/>
      <c r="T656" s="65"/>
      <c r="U656" s="65"/>
      <c r="V656" s="65"/>
      <c r="W656" s="65"/>
      <c r="X656" s="65"/>
      <c r="Y656" s="65"/>
      <c r="Z656" s="65"/>
      <c r="AA656" s="65"/>
      <c r="AB656" s="65"/>
      <c r="AC656" s="65"/>
      <c r="AD656" s="65"/>
      <c r="AE656" s="247"/>
    </row>
    <row r="657" spans="1:31" x14ac:dyDescent="0.25">
      <c r="A657" s="247"/>
      <c r="B657" s="168" t="s">
        <v>3489</v>
      </c>
      <c r="C657" s="168" t="s">
        <v>3490</v>
      </c>
      <c r="D657" s="247"/>
      <c r="E657" s="247"/>
      <c r="F657" s="247"/>
      <c r="G657" s="247"/>
      <c r="H657" s="247"/>
      <c r="I657" s="251"/>
      <c r="J657" s="247"/>
      <c r="K657" s="247"/>
      <c r="L657" s="247"/>
      <c r="M657" s="247"/>
      <c r="N657" s="247"/>
      <c r="O657" s="247"/>
      <c r="P657" s="247"/>
      <c r="Q657" s="247"/>
      <c r="R657" s="65"/>
      <c r="S657" s="65"/>
      <c r="T657" s="65"/>
      <c r="U657" s="65"/>
      <c r="V657" s="65"/>
      <c r="W657" s="65"/>
      <c r="X657" s="65"/>
      <c r="Y657" s="65"/>
      <c r="Z657" s="65"/>
      <c r="AA657" s="65"/>
      <c r="AB657" s="65"/>
      <c r="AC657" s="65"/>
      <c r="AD657" s="65"/>
      <c r="AE657" s="247"/>
    </row>
    <row r="658" spans="1:31" x14ac:dyDescent="0.25">
      <c r="A658" s="247"/>
      <c r="B658" s="167">
        <v>475002</v>
      </c>
      <c r="C658" s="168" t="s">
        <v>4264</v>
      </c>
      <c r="D658" s="247" t="s">
        <v>2678</v>
      </c>
      <c r="E658" s="247" t="s">
        <v>2679</v>
      </c>
      <c r="F658" s="108">
        <v>38810</v>
      </c>
      <c r="G658" s="167" t="s">
        <v>2422</v>
      </c>
      <c r="H658" s="138"/>
      <c r="I658" s="285">
        <v>2000</v>
      </c>
      <c r="J658" s="425">
        <v>2000</v>
      </c>
      <c r="K658" s="103">
        <v>2000</v>
      </c>
      <c r="L658" s="63">
        <f t="shared" ref="L658:L663" si="631">SUM(K658/2080)</f>
        <v>0.96153846153846156</v>
      </c>
      <c r="M658" s="61">
        <f t="shared" ref="M658:M662" si="632">SUM(K658/$M$7)</f>
        <v>76.92307692307692</v>
      </c>
      <c r="N658" s="247"/>
      <c r="O658" s="247"/>
      <c r="P658" s="247"/>
      <c r="Q658" s="61">
        <f t="shared" ref="Q658:Q662" si="633">SUM(N658+P658)</f>
        <v>0</v>
      </c>
      <c r="R658" s="63">
        <f t="shared" ref="R658:R662" si="634">SUM(K658+Q658)</f>
        <v>2000</v>
      </c>
      <c r="S658" s="65"/>
      <c r="T658" s="65"/>
      <c r="U658" s="65"/>
      <c r="V658" s="63">
        <f t="shared" ref="V658:V663" si="635">SUM(R658:U658)</f>
        <v>2000</v>
      </c>
      <c r="W658" s="63">
        <f t="shared" ref="W658:W663" si="636">SUM(V658*$W$7)</f>
        <v>124</v>
      </c>
      <c r="X658" s="63">
        <f t="shared" ref="X658:X663" si="637">SUM(V658*$X$7)</f>
        <v>29</v>
      </c>
      <c r="Y658" s="63">
        <f t="shared" ref="Y658:Y663" si="638">SUM(V658*$Y$7)</f>
        <v>300.39999999999998</v>
      </c>
      <c r="Z658" s="63">
        <f t="shared" ref="Z658:Z663" si="639">SUM(V658*$Z$7)</f>
        <v>3.2</v>
      </c>
      <c r="AA658" s="63">
        <f t="shared" ref="AA658:AA663" si="640">SUM(V658*$AA$7)</f>
        <v>1.4</v>
      </c>
      <c r="AB658" s="63" t="s">
        <v>2422</v>
      </c>
      <c r="AC658" s="63" t="s">
        <v>2422</v>
      </c>
      <c r="AD658" s="63" t="s">
        <v>2422</v>
      </c>
      <c r="AE658" s="247" t="s">
        <v>3489</v>
      </c>
    </row>
    <row r="659" spans="1:31" x14ac:dyDescent="0.25">
      <c r="A659" s="247"/>
      <c r="B659" s="167">
        <v>475004</v>
      </c>
      <c r="C659" s="168" t="s">
        <v>4265</v>
      </c>
      <c r="D659" s="181" t="s">
        <v>2674</v>
      </c>
      <c r="E659" s="181" t="s">
        <v>2675</v>
      </c>
      <c r="F659" s="108">
        <v>41996</v>
      </c>
      <c r="G659" s="167" t="s">
        <v>2422</v>
      </c>
      <c r="H659" s="61">
        <v>3267</v>
      </c>
      <c r="I659" s="284">
        <v>2000</v>
      </c>
      <c r="J659" s="284">
        <v>2000</v>
      </c>
      <c r="K659" s="103">
        <v>2000</v>
      </c>
      <c r="L659" s="63">
        <f t="shared" si="631"/>
        <v>0.96153846153846156</v>
      </c>
      <c r="M659" s="61">
        <f t="shared" si="632"/>
        <v>76.92307692307692</v>
      </c>
      <c r="N659" s="247"/>
      <c r="O659" s="247"/>
      <c r="P659" s="247"/>
      <c r="Q659" s="61">
        <f t="shared" si="633"/>
        <v>0</v>
      </c>
      <c r="R659" s="63">
        <f t="shared" si="634"/>
        <v>2000</v>
      </c>
      <c r="S659" s="65"/>
      <c r="T659" s="65"/>
      <c r="U659" s="65"/>
      <c r="V659" s="63">
        <f t="shared" si="635"/>
        <v>2000</v>
      </c>
      <c r="W659" s="63">
        <f t="shared" si="636"/>
        <v>124</v>
      </c>
      <c r="X659" s="63">
        <f t="shared" si="637"/>
        <v>29</v>
      </c>
      <c r="Y659" s="63">
        <f t="shared" si="638"/>
        <v>300.39999999999998</v>
      </c>
      <c r="Z659" s="63">
        <f t="shared" si="639"/>
        <v>3.2</v>
      </c>
      <c r="AA659" s="63">
        <f t="shared" si="640"/>
        <v>1.4</v>
      </c>
      <c r="AB659" s="63" t="s">
        <v>2422</v>
      </c>
      <c r="AC659" s="63" t="s">
        <v>2422</v>
      </c>
      <c r="AD659" s="63" t="s">
        <v>2422</v>
      </c>
      <c r="AE659" s="247" t="s">
        <v>3489</v>
      </c>
    </row>
    <row r="660" spans="1:31" x14ac:dyDescent="0.25">
      <c r="A660" s="247"/>
      <c r="B660" s="167">
        <v>475010</v>
      </c>
      <c r="C660" s="168" t="s">
        <v>4266</v>
      </c>
      <c r="D660" s="247" t="s">
        <v>2682</v>
      </c>
      <c r="E660" s="247" t="s">
        <v>2683</v>
      </c>
      <c r="F660" s="108">
        <v>34470</v>
      </c>
      <c r="G660" s="167" t="s">
        <v>2422</v>
      </c>
      <c r="H660" s="138"/>
      <c r="I660" s="285">
        <v>1500</v>
      </c>
      <c r="J660" s="425">
        <v>1500</v>
      </c>
      <c r="K660" s="103">
        <v>1500</v>
      </c>
      <c r="L660" s="63">
        <f t="shared" si="631"/>
        <v>0.72115384615384615</v>
      </c>
      <c r="M660" s="61">
        <f t="shared" si="632"/>
        <v>57.692307692307693</v>
      </c>
      <c r="N660" s="247"/>
      <c r="O660" s="247"/>
      <c r="P660" s="247"/>
      <c r="Q660" s="61">
        <f t="shared" si="633"/>
        <v>0</v>
      </c>
      <c r="R660" s="63">
        <f t="shared" si="634"/>
        <v>1500</v>
      </c>
      <c r="S660" s="65"/>
      <c r="T660" s="65"/>
      <c r="U660" s="65"/>
      <c r="V660" s="63">
        <f t="shared" si="635"/>
        <v>1500</v>
      </c>
      <c r="W660" s="63">
        <f t="shared" si="636"/>
        <v>93</v>
      </c>
      <c r="X660" s="63">
        <f t="shared" si="637"/>
        <v>21.75</v>
      </c>
      <c r="Y660" s="63">
        <f t="shared" si="638"/>
        <v>225.3</v>
      </c>
      <c r="Z660" s="63">
        <f t="shared" si="639"/>
        <v>2.4</v>
      </c>
      <c r="AA660" s="63">
        <f t="shared" si="640"/>
        <v>1.05</v>
      </c>
      <c r="AB660" s="63" t="s">
        <v>2422</v>
      </c>
      <c r="AC660" s="63" t="s">
        <v>2422</v>
      </c>
      <c r="AD660" s="63" t="s">
        <v>2422</v>
      </c>
      <c r="AE660" s="247" t="s">
        <v>3489</v>
      </c>
    </row>
    <row r="661" spans="1:31" x14ac:dyDescent="0.25">
      <c r="A661" s="247"/>
      <c r="B661" s="167">
        <v>475014</v>
      </c>
      <c r="C661" s="168" t="s">
        <v>4267</v>
      </c>
      <c r="D661" s="247" t="s">
        <v>3987</v>
      </c>
      <c r="E661" s="247" t="s">
        <v>4268</v>
      </c>
      <c r="F661" s="108">
        <v>40574</v>
      </c>
      <c r="G661" s="167" t="s">
        <v>2422</v>
      </c>
      <c r="H661" s="138"/>
      <c r="I661" s="285">
        <v>1500</v>
      </c>
      <c r="J661" s="425">
        <v>1500</v>
      </c>
      <c r="K661" s="103">
        <v>1500</v>
      </c>
      <c r="L661" s="63">
        <f t="shared" si="631"/>
        <v>0.72115384615384615</v>
      </c>
      <c r="M661" s="61">
        <f t="shared" si="632"/>
        <v>57.692307692307693</v>
      </c>
      <c r="N661" s="247"/>
      <c r="O661" s="247"/>
      <c r="P661" s="247"/>
      <c r="Q661" s="61">
        <f t="shared" si="633"/>
        <v>0</v>
      </c>
      <c r="R661" s="63">
        <f t="shared" si="634"/>
        <v>1500</v>
      </c>
      <c r="S661" s="65"/>
      <c r="T661" s="65"/>
      <c r="U661" s="65"/>
      <c r="V661" s="63">
        <f t="shared" si="635"/>
        <v>1500</v>
      </c>
      <c r="W661" s="63">
        <f t="shared" si="636"/>
        <v>93</v>
      </c>
      <c r="X661" s="63">
        <f t="shared" si="637"/>
        <v>21.75</v>
      </c>
      <c r="Y661" s="63">
        <f t="shared" si="638"/>
        <v>225.3</v>
      </c>
      <c r="Z661" s="63">
        <f t="shared" si="639"/>
        <v>2.4</v>
      </c>
      <c r="AA661" s="63">
        <f t="shared" si="640"/>
        <v>1.05</v>
      </c>
      <c r="AB661" s="63" t="s">
        <v>2422</v>
      </c>
      <c r="AC661" s="63" t="s">
        <v>2422</v>
      </c>
      <c r="AD661" s="63" t="s">
        <v>2422</v>
      </c>
      <c r="AE661" s="247" t="s">
        <v>3489</v>
      </c>
    </row>
    <row r="662" spans="1:31" x14ac:dyDescent="0.25">
      <c r="A662" s="168" t="s">
        <v>3489</v>
      </c>
      <c r="B662" s="167">
        <v>475015</v>
      </c>
      <c r="C662" s="168" t="s">
        <v>4269</v>
      </c>
      <c r="D662" s="247" t="s">
        <v>3466</v>
      </c>
      <c r="E662" s="247" t="s">
        <v>2687</v>
      </c>
      <c r="F662" s="108">
        <v>40126</v>
      </c>
      <c r="G662" s="167" t="s">
        <v>2422</v>
      </c>
      <c r="H662" s="138"/>
      <c r="I662" s="285">
        <v>2500</v>
      </c>
      <c r="J662" s="425">
        <v>2500</v>
      </c>
      <c r="K662" s="103">
        <v>2500</v>
      </c>
      <c r="L662" s="63">
        <f t="shared" si="631"/>
        <v>1.2019230769230769</v>
      </c>
      <c r="M662" s="61">
        <f t="shared" si="632"/>
        <v>96.15384615384616</v>
      </c>
      <c r="N662" s="247"/>
      <c r="O662" s="247"/>
      <c r="P662" s="247"/>
      <c r="Q662" s="61">
        <f t="shared" si="633"/>
        <v>0</v>
      </c>
      <c r="R662" s="63">
        <f t="shared" si="634"/>
        <v>2500</v>
      </c>
      <c r="S662" s="65"/>
      <c r="T662" s="65"/>
      <c r="U662" s="65"/>
      <c r="V662" s="63">
        <f t="shared" si="635"/>
        <v>2500</v>
      </c>
      <c r="W662" s="63">
        <f t="shared" si="636"/>
        <v>155</v>
      </c>
      <c r="X662" s="63">
        <f t="shared" si="637"/>
        <v>36.25</v>
      </c>
      <c r="Y662" s="63">
        <f t="shared" si="638"/>
        <v>375.5</v>
      </c>
      <c r="Z662" s="63">
        <f t="shared" si="639"/>
        <v>4</v>
      </c>
      <c r="AA662" s="63">
        <f t="shared" si="640"/>
        <v>1.75</v>
      </c>
      <c r="AB662" s="63" t="s">
        <v>2422</v>
      </c>
      <c r="AC662" s="63" t="s">
        <v>2422</v>
      </c>
      <c r="AD662" s="63" t="s">
        <v>2422</v>
      </c>
      <c r="AE662" s="247" t="s">
        <v>3489</v>
      </c>
    </row>
    <row r="663" spans="1:31" x14ac:dyDescent="0.25">
      <c r="A663" s="168" t="s">
        <v>3489</v>
      </c>
      <c r="B663" s="167">
        <v>475000</v>
      </c>
      <c r="C663" s="168" t="s">
        <v>2703</v>
      </c>
      <c r="D663" s="297" t="s">
        <v>3421</v>
      </c>
      <c r="E663" s="297" t="s">
        <v>3491</v>
      </c>
      <c r="F663" s="247"/>
      <c r="G663" s="167" t="s">
        <v>2422</v>
      </c>
      <c r="H663" s="132">
        <v>3267</v>
      </c>
      <c r="I663" s="296"/>
      <c r="J663" s="132">
        <v>500</v>
      </c>
      <c r="K663" s="218">
        <v>5500</v>
      </c>
      <c r="L663" s="172">
        <f t="shared" si="631"/>
        <v>2.6442307692307692</v>
      </c>
      <c r="M663" s="172">
        <f>SUM(K663/26)</f>
        <v>211.53846153846155</v>
      </c>
      <c r="N663" s="220" t="s">
        <v>27</v>
      </c>
      <c r="O663" s="320"/>
      <c r="P663" s="320"/>
      <c r="Q663" s="172">
        <v>0</v>
      </c>
      <c r="R663" s="172">
        <f>Q663+K663</f>
        <v>5500</v>
      </c>
      <c r="S663" s="314"/>
      <c r="T663" s="314"/>
      <c r="U663" s="314"/>
      <c r="V663" s="172">
        <f t="shared" si="635"/>
        <v>5500</v>
      </c>
      <c r="W663" s="172">
        <f t="shared" si="636"/>
        <v>341</v>
      </c>
      <c r="X663" s="172">
        <f t="shared" si="637"/>
        <v>79.75</v>
      </c>
      <c r="Y663" s="172">
        <f t="shared" si="638"/>
        <v>826.1</v>
      </c>
      <c r="Z663" s="172">
        <f t="shared" si="639"/>
        <v>8.8000000000000007</v>
      </c>
      <c r="AA663" s="172">
        <f t="shared" si="640"/>
        <v>3.85</v>
      </c>
      <c r="AB663" s="172" t="s">
        <v>2422</v>
      </c>
      <c r="AC663" s="172" t="s">
        <v>2422</v>
      </c>
      <c r="AD663" s="172" t="s">
        <v>2422</v>
      </c>
      <c r="AE663" s="247" t="s">
        <v>3489</v>
      </c>
    </row>
    <row r="664" spans="1:31" x14ac:dyDescent="0.25">
      <c r="A664" s="168" t="s">
        <v>3489</v>
      </c>
      <c r="B664" s="247"/>
      <c r="C664" s="247"/>
      <c r="D664" s="247"/>
      <c r="E664" s="247"/>
      <c r="F664" s="247"/>
      <c r="G664" s="247"/>
      <c r="H664" s="223">
        <f t="shared" ref="H664:AD664" si="641">SUM(H657:H663)</f>
        <v>6534</v>
      </c>
      <c r="I664" s="223">
        <f t="shared" si="641"/>
        <v>9500</v>
      </c>
      <c r="J664" s="223">
        <f t="shared" si="641"/>
        <v>10000</v>
      </c>
      <c r="K664" s="223">
        <f t="shared" si="641"/>
        <v>15000</v>
      </c>
      <c r="L664" s="223">
        <f t="shared" si="641"/>
        <v>7.2115384615384617</v>
      </c>
      <c r="M664" s="223">
        <f t="shared" si="641"/>
        <v>576.92307692307691</v>
      </c>
      <c r="N664" s="223">
        <f t="shared" si="641"/>
        <v>0</v>
      </c>
      <c r="O664" s="223">
        <f t="shared" si="641"/>
        <v>0</v>
      </c>
      <c r="P664" s="223">
        <f t="shared" si="641"/>
        <v>0</v>
      </c>
      <c r="Q664" s="223">
        <f t="shared" si="641"/>
        <v>0</v>
      </c>
      <c r="R664" s="223">
        <f t="shared" si="641"/>
        <v>15000</v>
      </c>
      <c r="S664" s="223">
        <f t="shared" si="641"/>
        <v>0</v>
      </c>
      <c r="T664" s="223">
        <f t="shared" si="641"/>
        <v>0</v>
      </c>
      <c r="U664" s="223">
        <f t="shared" si="641"/>
        <v>0</v>
      </c>
      <c r="V664" s="223">
        <f t="shared" si="641"/>
        <v>15000</v>
      </c>
      <c r="W664" s="223">
        <f t="shared" si="641"/>
        <v>930</v>
      </c>
      <c r="X664" s="223">
        <f t="shared" si="641"/>
        <v>217.5</v>
      </c>
      <c r="Y664" s="223">
        <f t="shared" si="641"/>
        <v>2253</v>
      </c>
      <c r="Z664" s="223">
        <f t="shared" si="641"/>
        <v>24</v>
      </c>
      <c r="AA664" s="223">
        <f t="shared" si="641"/>
        <v>10.5</v>
      </c>
      <c r="AB664" s="223">
        <f t="shared" si="641"/>
        <v>0</v>
      </c>
      <c r="AC664" s="223">
        <f t="shared" si="641"/>
        <v>0</v>
      </c>
      <c r="AD664" s="223">
        <f t="shared" si="641"/>
        <v>0</v>
      </c>
      <c r="AE664" s="247" t="s">
        <v>3489</v>
      </c>
    </row>
    <row r="665" spans="1:31" x14ac:dyDescent="0.25">
      <c r="A665" s="247"/>
      <c r="B665" s="247"/>
      <c r="C665" s="247"/>
      <c r="D665" s="247"/>
      <c r="E665" s="247"/>
      <c r="F665" s="247"/>
      <c r="G665" s="247"/>
      <c r="H665" s="178"/>
      <c r="I665" s="251"/>
      <c r="J665" s="178"/>
      <c r="K665" s="69"/>
      <c r="L665" s="247"/>
      <c r="M665" s="247"/>
      <c r="N665" s="247"/>
      <c r="O665" s="247"/>
      <c r="P665" s="247"/>
      <c r="Q665" s="247"/>
      <c r="R665" s="65"/>
      <c r="S665" s="65"/>
      <c r="T665" s="65"/>
      <c r="U665" s="65"/>
      <c r="V665" s="65"/>
      <c r="W665" s="65">
        <f>W664+X664</f>
        <v>1147.5</v>
      </c>
      <c r="X665" s="65"/>
      <c r="Y665" s="65"/>
      <c r="Z665" s="65"/>
      <c r="AA665" s="65"/>
      <c r="AB665" s="65"/>
      <c r="AC665" s="65"/>
      <c r="AD665" s="65"/>
      <c r="AE665" s="247"/>
    </row>
    <row r="666" spans="1:31" x14ac:dyDescent="0.25">
      <c r="A666" s="168"/>
      <c r="B666" s="168"/>
      <c r="C666" s="168"/>
      <c r="D666" s="247"/>
      <c r="E666" s="247"/>
      <c r="F666" s="247"/>
      <c r="G666" s="247"/>
      <c r="H666" s="247"/>
      <c r="I666" s="251"/>
      <c r="J666" s="247"/>
      <c r="K666" s="247"/>
      <c r="L666" s="247"/>
      <c r="M666" s="247"/>
      <c r="N666" s="247"/>
      <c r="O666" s="247"/>
      <c r="P666" s="247"/>
      <c r="Q666" s="247"/>
      <c r="R666" s="65"/>
      <c r="S666" s="65"/>
      <c r="T666" s="65"/>
      <c r="U666" s="65"/>
      <c r="V666" s="65"/>
      <c r="W666" s="65"/>
      <c r="X666" s="65"/>
      <c r="Y666" s="247"/>
      <c r="Z666" s="65"/>
      <c r="AA666" s="65"/>
      <c r="AB666" s="65"/>
      <c r="AC666" s="65"/>
      <c r="AD666" s="65"/>
      <c r="AE666" s="247"/>
    </row>
    <row r="667" spans="1:31" x14ac:dyDescent="0.25">
      <c r="A667" s="247"/>
      <c r="B667" s="247"/>
      <c r="C667" s="247"/>
      <c r="D667" s="247"/>
      <c r="E667" s="247"/>
      <c r="F667" s="247"/>
      <c r="G667" s="247"/>
      <c r="H667" s="247"/>
      <c r="I667" s="251"/>
      <c r="J667" s="247"/>
      <c r="K667" s="247"/>
      <c r="L667" s="247"/>
      <c r="M667" s="247"/>
      <c r="N667" s="247"/>
      <c r="O667" s="247"/>
      <c r="P667" s="247"/>
      <c r="Q667" s="247"/>
      <c r="R667" s="65"/>
      <c r="S667" s="65"/>
      <c r="T667" s="65"/>
      <c r="U667" s="65"/>
      <c r="V667" s="65"/>
      <c r="W667" s="65"/>
      <c r="X667" s="65"/>
      <c r="Y667" s="65"/>
      <c r="Z667" s="65"/>
      <c r="AA667" s="65"/>
      <c r="AB667" s="65"/>
      <c r="AC667" s="65"/>
      <c r="AD667" s="65"/>
      <c r="AE667" s="247"/>
    </row>
    <row r="668" spans="1:31" x14ac:dyDescent="0.25">
      <c r="A668" s="247"/>
      <c r="B668" s="247"/>
      <c r="C668" s="247"/>
      <c r="D668" s="247"/>
      <c r="E668" s="247"/>
      <c r="F668" s="247"/>
      <c r="G668" s="247"/>
      <c r="H668" s="247"/>
      <c r="I668" s="251"/>
      <c r="J668" s="247"/>
      <c r="K668" s="247"/>
      <c r="L668" s="247"/>
      <c r="M668" s="247"/>
      <c r="N668" s="247"/>
      <c r="O668" s="247"/>
      <c r="P668" s="247"/>
      <c r="Q668" s="247"/>
      <c r="R668" s="65"/>
      <c r="S668" s="65"/>
      <c r="T668" s="65"/>
      <c r="U668" s="65"/>
      <c r="V668" s="65"/>
      <c r="W668" s="65"/>
      <c r="X668" s="65"/>
      <c r="Y668" s="65"/>
      <c r="Z668" s="65"/>
      <c r="AA668" s="65"/>
      <c r="AB668" s="65"/>
      <c r="AC668" s="65"/>
      <c r="AD668" s="65"/>
      <c r="AE668" s="247"/>
    </row>
    <row r="669" spans="1:31" x14ac:dyDescent="0.25">
      <c r="A669" s="168" t="s">
        <v>3492</v>
      </c>
      <c r="B669" s="168" t="s">
        <v>3492</v>
      </c>
      <c r="C669" s="168" t="s">
        <v>3493</v>
      </c>
      <c r="D669" s="247"/>
      <c r="E669" s="247"/>
      <c r="F669" s="247"/>
      <c r="G669" s="247"/>
      <c r="H669" s="247"/>
      <c r="I669" s="138"/>
      <c r="J669" s="247"/>
      <c r="K669" s="247"/>
      <c r="L669" s="247"/>
      <c r="M669" s="247"/>
      <c r="N669" s="247"/>
      <c r="O669" s="247"/>
      <c r="P669" s="247"/>
      <c r="Q669" s="247"/>
      <c r="R669" s="65"/>
      <c r="S669" s="65"/>
      <c r="T669" s="65"/>
      <c r="U669" s="65"/>
      <c r="V669" s="65"/>
      <c r="W669" s="65"/>
      <c r="X669" s="65"/>
      <c r="Y669" s="65"/>
      <c r="Z669" s="65"/>
      <c r="AA669" s="65"/>
      <c r="AB669" s="65"/>
      <c r="AC669" s="65"/>
      <c r="AD669" s="65"/>
      <c r="AE669" s="247"/>
    </row>
    <row r="670" spans="1:31" x14ac:dyDescent="0.25">
      <c r="A670" s="168" t="s">
        <v>3492</v>
      </c>
      <c r="B670" s="167">
        <v>485015</v>
      </c>
      <c r="C670" s="168" t="s">
        <v>3494</v>
      </c>
      <c r="D670" s="168" t="s">
        <v>2478</v>
      </c>
      <c r="E670" s="168" t="s">
        <v>2479</v>
      </c>
      <c r="F670" s="247"/>
      <c r="G670" s="167" t="s">
        <v>2422</v>
      </c>
      <c r="H670" s="61">
        <v>2500</v>
      </c>
      <c r="I670" s="61">
        <v>2500</v>
      </c>
      <c r="J670" s="61">
        <v>2500</v>
      </c>
      <c r="K670" s="61">
        <f t="shared" ref="K670:K676" si="642">SUM(J670)</f>
        <v>2500</v>
      </c>
      <c r="L670" s="59"/>
      <c r="M670" s="61">
        <f t="shared" ref="M670:M671" si="643">SUM(K670/$M$7)</f>
        <v>96.15384615384616</v>
      </c>
      <c r="N670" s="61"/>
      <c r="O670" s="247"/>
      <c r="P670" s="247"/>
      <c r="Q670" s="61">
        <f t="shared" ref="Q670:Q677" si="644">SUM(N670+P670)</f>
        <v>0</v>
      </c>
      <c r="R670" s="63">
        <f t="shared" ref="R670:R677" si="645">SUM(K670+Q670)</f>
        <v>2500</v>
      </c>
      <c r="S670" s="65"/>
      <c r="T670" s="65"/>
      <c r="U670" s="65"/>
      <c r="V670" s="63">
        <f t="shared" ref="V670:V677" si="646">SUM(R670:U670)</f>
        <v>2500</v>
      </c>
      <c r="W670" s="63">
        <f t="shared" ref="W670:W677" si="647">SUM(V670*$W$7)</f>
        <v>155</v>
      </c>
      <c r="X670" s="63">
        <f t="shared" ref="X670:X677" si="648">SUM(V670*$X$7)</f>
        <v>36.25</v>
      </c>
      <c r="Y670" s="63">
        <f t="shared" ref="Y670:Y677" si="649">SUM(V670*$Y$7)</f>
        <v>375.5</v>
      </c>
      <c r="Z670" s="63">
        <f t="shared" ref="Z670:Z677" si="650">SUM(V670*$Z$7)</f>
        <v>4</v>
      </c>
      <c r="AA670" s="63">
        <f t="shared" ref="AA670:AA677" si="651">SUM(V670*$AA$7)</f>
        <v>1.75</v>
      </c>
      <c r="AB670" s="63" t="s">
        <v>2422</v>
      </c>
      <c r="AC670" s="63" t="s">
        <v>2422</v>
      </c>
      <c r="AD670" s="63" t="s">
        <v>2422</v>
      </c>
      <c r="AE670" s="247" t="s">
        <v>3492</v>
      </c>
    </row>
    <row r="671" spans="1:31" x14ac:dyDescent="0.25">
      <c r="A671" s="168" t="s">
        <v>3492</v>
      </c>
      <c r="B671" s="167">
        <v>485016</v>
      </c>
      <c r="C671" s="168" t="s">
        <v>3495</v>
      </c>
      <c r="D671" s="168" t="s">
        <v>3779</v>
      </c>
      <c r="E671" s="168" t="s">
        <v>2492</v>
      </c>
      <c r="F671" s="247"/>
      <c r="G671" s="167" t="s">
        <v>2422</v>
      </c>
      <c r="H671" s="61">
        <v>1000</v>
      </c>
      <c r="I671" s="61">
        <v>1000</v>
      </c>
      <c r="J671" s="61">
        <v>1000</v>
      </c>
      <c r="K671" s="61">
        <f t="shared" si="642"/>
        <v>1000</v>
      </c>
      <c r="L671" s="59"/>
      <c r="M671" s="61">
        <f t="shared" si="643"/>
        <v>38.46153846153846</v>
      </c>
      <c r="N671" s="61"/>
      <c r="O671" s="247"/>
      <c r="P671" s="247"/>
      <c r="Q671" s="61">
        <f t="shared" si="644"/>
        <v>0</v>
      </c>
      <c r="R671" s="63">
        <f t="shared" si="645"/>
        <v>1000</v>
      </c>
      <c r="S671" s="65"/>
      <c r="T671" s="65"/>
      <c r="U671" s="65"/>
      <c r="V671" s="63">
        <f t="shared" si="646"/>
        <v>1000</v>
      </c>
      <c r="W671" s="63">
        <f t="shared" si="647"/>
        <v>62</v>
      </c>
      <c r="X671" s="63">
        <f t="shared" si="648"/>
        <v>14.5</v>
      </c>
      <c r="Y671" s="63">
        <f t="shared" si="649"/>
        <v>150.19999999999999</v>
      </c>
      <c r="Z671" s="63">
        <f t="shared" si="650"/>
        <v>1.6</v>
      </c>
      <c r="AA671" s="63">
        <f t="shared" si="651"/>
        <v>0.7</v>
      </c>
      <c r="AB671" s="63" t="s">
        <v>2422</v>
      </c>
      <c r="AC671" s="63" t="s">
        <v>2422</v>
      </c>
      <c r="AD671" s="63" t="s">
        <v>2422</v>
      </c>
      <c r="AE671" s="247" t="s">
        <v>3492</v>
      </c>
    </row>
    <row r="672" spans="1:31" x14ac:dyDescent="0.25">
      <c r="A672" s="168" t="s">
        <v>3492</v>
      </c>
      <c r="B672" s="167">
        <v>485006</v>
      </c>
      <c r="C672" s="168" t="s">
        <v>3496</v>
      </c>
      <c r="D672" s="168" t="s">
        <v>3009</v>
      </c>
      <c r="E672" s="168" t="s">
        <v>3877</v>
      </c>
      <c r="F672" s="247"/>
      <c r="G672" s="167" t="s">
        <v>2422</v>
      </c>
      <c r="H672" s="61">
        <v>1000</v>
      </c>
      <c r="I672" s="61">
        <v>1000</v>
      </c>
      <c r="J672" s="61">
        <v>1000</v>
      </c>
      <c r="K672" s="61">
        <f t="shared" si="642"/>
        <v>1000</v>
      </c>
      <c r="L672" s="59"/>
      <c r="M672" s="61"/>
      <c r="N672" s="61"/>
      <c r="O672" s="247"/>
      <c r="P672" s="247"/>
      <c r="Q672" s="61">
        <f t="shared" si="644"/>
        <v>0</v>
      </c>
      <c r="R672" s="63">
        <f t="shared" si="645"/>
        <v>1000</v>
      </c>
      <c r="S672" s="65"/>
      <c r="T672" s="65"/>
      <c r="U672" s="65"/>
      <c r="V672" s="63">
        <f t="shared" si="646"/>
        <v>1000</v>
      </c>
      <c r="W672" s="63">
        <f t="shared" si="647"/>
        <v>62</v>
      </c>
      <c r="X672" s="63">
        <f t="shared" si="648"/>
        <v>14.5</v>
      </c>
      <c r="Y672" s="63">
        <f t="shared" si="649"/>
        <v>150.19999999999999</v>
      </c>
      <c r="Z672" s="63">
        <f t="shared" si="650"/>
        <v>1.6</v>
      </c>
      <c r="AA672" s="63">
        <f t="shared" si="651"/>
        <v>0.7</v>
      </c>
      <c r="AB672" s="63" t="s">
        <v>2422</v>
      </c>
      <c r="AC672" s="63" t="s">
        <v>2422</v>
      </c>
      <c r="AD672" s="63" t="s">
        <v>2422</v>
      </c>
      <c r="AE672" s="247" t="s">
        <v>3492</v>
      </c>
    </row>
    <row r="673" spans="1:31" x14ac:dyDescent="0.25">
      <c r="A673" s="168" t="s">
        <v>3492</v>
      </c>
      <c r="B673" s="167">
        <v>485018</v>
      </c>
      <c r="C673" s="168" t="s">
        <v>3878</v>
      </c>
      <c r="D673" s="168"/>
      <c r="E673" s="168"/>
      <c r="F673" s="247"/>
      <c r="G673" s="167" t="s">
        <v>2422</v>
      </c>
      <c r="H673" s="61">
        <v>1500</v>
      </c>
      <c r="I673" s="251"/>
      <c r="J673" s="61">
        <v>1500</v>
      </c>
      <c r="K673" s="61">
        <f t="shared" si="642"/>
        <v>1500</v>
      </c>
      <c r="L673" s="59"/>
      <c r="M673" s="61"/>
      <c r="N673" s="61"/>
      <c r="O673" s="247"/>
      <c r="P673" s="247"/>
      <c r="Q673" s="61">
        <f t="shared" si="644"/>
        <v>0</v>
      </c>
      <c r="R673" s="63">
        <f t="shared" si="645"/>
        <v>1500</v>
      </c>
      <c r="S673" s="65"/>
      <c r="T673" s="65"/>
      <c r="U673" s="65"/>
      <c r="V673" s="63">
        <f t="shared" si="646"/>
        <v>1500</v>
      </c>
      <c r="W673" s="63">
        <f t="shared" si="647"/>
        <v>93</v>
      </c>
      <c r="X673" s="63">
        <f t="shared" si="648"/>
        <v>21.75</v>
      </c>
      <c r="Y673" s="63">
        <f t="shared" si="649"/>
        <v>225.3</v>
      </c>
      <c r="Z673" s="63">
        <f t="shared" si="650"/>
        <v>2.4</v>
      </c>
      <c r="AA673" s="63">
        <f t="shared" si="651"/>
        <v>1.05</v>
      </c>
      <c r="AB673" s="63" t="s">
        <v>2422</v>
      </c>
      <c r="AC673" s="63" t="s">
        <v>2422</v>
      </c>
      <c r="AD673" s="63" t="s">
        <v>2422</v>
      </c>
      <c r="AE673" s="247" t="s">
        <v>3492</v>
      </c>
    </row>
    <row r="674" spans="1:31" x14ac:dyDescent="0.25">
      <c r="A674" s="168" t="s">
        <v>3492</v>
      </c>
      <c r="B674" s="167">
        <v>485040</v>
      </c>
      <c r="C674" s="168" t="s">
        <v>3497</v>
      </c>
      <c r="D674" s="168" t="s">
        <v>2761</v>
      </c>
      <c r="E674" s="168" t="s">
        <v>2762</v>
      </c>
      <c r="F674" s="247"/>
      <c r="G674" s="167" t="s">
        <v>2422</v>
      </c>
      <c r="H674" s="61">
        <v>2000</v>
      </c>
      <c r="I674" s="61">
        <v>2000</v>
      </c>
      <c r="J674" s="61">
        <v>2000</v>
      </c>
      <c r="K674" s="61">
        <f t="shared" si="642"/>
        <v>2000</v>
      </c>
      <c r="L674" s="59"/>
      <c r="M674" s="61"/>
      <c r="N674" s="61"/>
      <c r="O674" s="247"/>
      <c r="P674" s="247"/>
      <c r="Q674" s="61">
        <f t="shared" si="644"/>
        <v>0</v>
      </c>
      <c r="R674" s="63">
        <f t="shared" si="645"/>
        <v>2000</v>
      </c>
      <c r="S674" s="65"/>
      <c r="T674" s="65"/>
      <c r="U674" s="65"/>
      <c r="V674" s="63">
        <f t="shared" si="646"/>
        <v>2000</v>
      </c>
      <c r="W674" s="63">
        <f t="shared" si="647"/>
        <v>124</v>
      </c>
      <c r="X674" s="63">
        <f t="shared" si="648"/>
        <v>29</v>
      </c>
      <c r="Y674" s="63">
        <f t="shared" si="649"/>
        <v>300.39999999999998</v>
      </c>
      <c r="Z674" s="63">
        <f t="shared" si="650"/>
        <v>3.2</v>
      </c>
      <c r="AA674" s="63">
        <f t="shared" si="651"/>
        <v>1.4</v>
      </c>
      <c r="AB674" s="63" t="s">
        <v>2422</v>
      </c>
      <c r="AC674" s="63" t="s">
        <v>2422</v>
      </c>
      <c r="AD674" s="63" t="s">
        <v>2422</v>
      </c>
      <c r="AE674" s="247" t="s">
        <v>3492</v>
      </c>
    </row>
    <row r="675" spans="1:31" x14ac:dyDescent="0.25">
      <c r="A675" s="168" t="s">
        <v>3492</v>
      </c>
      <c r="B675" s="167">
        <v>485041</v>
      </c>
      <c r="C675" s="168" t="s">
        <v>2713</v>
      </c>
      <c r="D675" s="168" t="s">
        <v>3183</v>
      </c>
      <c r="E675" s="168" t="s">
        <v>2483</v>
      </c>
      <c r="F675" s="247"/>
      <c r="G675" s="167" t="s">
        <v>2422</v>
      </c>
      <c r="H675" s="61">
        <v>1000</v>
      </c>
      <c r="I675" s="61">
        <v>1000</v>
      </c>
      <c r="J675" s="61">
        <v>1000</v>
      </c>
      <c r="K675" s="61">
        <f t="shared" si="642"/>
        <v>1000</v>
      </c>
      <c r="L675" s="59"/>
      <c r="M675" s="61"/>
      <c r="N675" s="61"/>
      <c r="O675" s="247"/>
      <c r="P675" s="247"/>
      <c r="Q675" s="61">
        <f t="shared" si="644"/>
        <v>0</v>
      </c>
      <c r="R675" s="63">
        <f t="shared" si="645"/>
        <v>1000</v>
      </c>
      <c r="S675" s="65"/>
      <c r="T675" s="65"/>
      <c r="U675" s="65"/>
      <c r="V675" s="63">
        <f t="shared" si="646"/>
        <v>1000</v>
      </c>
      <c r="W675" s="63">
        <f t="shared" si="647"/>
        <v>62</v>
      </c>
      <c r="X675" s="63">
        <f t="shared" si="648"/>
        <v>14.5</v>
      </c>
      <c r="Y675" s="63">
        <f t="shared" si="649"/>
        <v>150.19999999999999</v>
      </c>
      <c r="Z675" s="63">
        <f t="shared" si="650"/>
        <v>1.6</v>
      </c>
      <c r="AA675" s="63">
        <f t="shared" si="651"/>
        <v>0.7</v>
      </c>
      <c r="AB675" s="63" t="s">
        <v>2422</v>
      </c>
      <c r="AC675" s="63" t="s">
        <v>2422</v>
      </c>
      <c r="AD675" s="63" t="s">
        <v>2422</v>
      </c>
      <c r="AE675" s="247" t="s">
        <v>3492</v>
      </c>
    </row>
    <row r="676" spans="1:31" x14ac:dyDescent="0.25">
      <c r="A676" s="168" t="s">
        <v>3492</v>
      </c>
      <c r="B676" s="167">
        <v>485004</v>
      </c>
      <c r="C676" s="168" t="s">
        <v>3879</v>
      </c>
      <c r="D676" s="168"/>
      <c r="E676" s="168"/>
      <c r="F676" s="247"/>
      <c r="G676" s="167" t="s">
        <v>2422</v>
      </c>
      <c r="H676" s="61">
        <v>1000</v>
      </c>
      <c r="I676" s="251"/>
      <c r="J676" s="61">
        <v>1000</v>
      </c>
      <c r="K676" s="61">
        <f t="shared" si="642"/>
        <v>1000</v>
      </c>
      <c r="L676" s="59"/>
      <c r="M676" s="61"/>
      <c r="N676" s="61"/>
      <c r="O676" s="247"/>
      <c r="P676" s="247"/>
      <c r="Q676" s="61">
        <f t="shared" si="644"/>
        <v>0</v>
      </c>
      <c r="R676" s="63">
        <f t="shared" si="645"/>
        <v>1000</v>
      </c>
      <c r="S676" s="65"/>
      <c r="T676" s="65"/>
      <c r="U676" s="65"/>
      <c r="V676" s="63">
        <f t="shared" si="646"/>
        <v>1000</v>
      </c>
      <c r="W676" s="63">
        <f t="shared" si="647"/>
        <v>62</v>
      </c>
      <c r="X676" s="63">
        <f t="shared" si="648"/>
        <v>14.5</v>
      </c>
      <c r="Y676" s="63">
        <f t="shared" si="649"/>
        <v>150.19999999999999</v>
      </c>
      <c r="Z676" s="63">
        <f t="shared" si="650"/>
        <v>1.6</v>
      </c>
      <c r="AA676" s="63">
        <f t="shared" si="651"/>
        <v>0.7</v>
      </c>
      <c r="AB676" s="63" t="s">
        <v>2422</v>
      </c>
      <c r="AC676" s="63" t="s">
        <v>2422</v>
      </c>
      <c r="AD676" s="63" t="s">
        <v>2422</v>
      </c>
      <c r="AE676" s="247" t="s">
        <v>3492</v>
      </c>
    </row>
    <row r="677" spans="1:31" x14ac:dyDescent="0.25">
      <c r="A677" s="168" t="s">
        <v>3492</v>
      </c>
      <c r="B677" s="168"/>
      <c r="C677" s="168"/>
      <c r="D677" s="168"/>
      <c r="E677" s="168"/>
      <c r="F677" s="247"/>
      <c r="G677" s="167" t="s">
        <v>2422</v>
      </c>
      <c r="H677" s="132"/>
      <c r="I677" s="296"/>
      <c r="J677" s="132"/>
      <c r="K677" s="132"/>
      <c r="L677" s="269"/>
      <c r="M677" s="132">
        <f>SUM(K677/$M$7)</f>
        <v>0</v>
      </c>
      <c r="N677" s="132"/>
      <c r="O677" s="320"/>
      <c r="P677" s="320"/>
      <c r="Q677" s="132">
        <f t="shared" si="644"/>
        <v>0</v>
      </c>
      <c r="R677" s="172">
        <f t="shared" si="645"/>
        <v>0</v>
      </c>
      <c r="S677" s="314"/>
      <c r="T677" s="314"/>
      <c r="U677" s="314"/>
      <c r="V677" s="172">
        <f t="shared" si="646"/>
        <v>0</v>
      </c>
      <c r="W677" s="172">
        <f t="shared" si="647"/>
        <v>0</v>
      </c>
      <c r="X677" s="172">
        <f t="shared" si="648"/>
        <v>0</v>
      </c>
      <c r="Y677" s="172">
        <f t="shared" si="649"/>
        <v>0</v>
      </c>
      <c r="Z677" s="172">
        <f t="shared" si="650"/>
        <v>0</v>
      </c>
      <c r="AA677" s="172">
        <f t="shared" si="651"/>
        <v>0</v>
      </c>
      <c r="AB677" s="172" t="s">
        <v>2422</v>
      </c>
      <c r="AC677" s="172" t="s">
        <v>2422</v>
      </c>
      <c r="AD677" s="172" t="s">
        <v>2422</v>
      </c>
      <c r="AE677" s="247" t="s">
        <v>3492</v>
      </c>
    </row>
    <row r="678" spans="1:31" x14ac:dyDescent="0.25">
      <c r="A678" s="247"/>
      <c r="B678" s="247"/>
      <c r="C678" s="247"/>
      <c r="D678" s="247"/>
      <c r="E678" s="247"/>
      <c r="F678" s="247"/>
      <c r="G678" s="247"/>
      <c r="H678" s="223">
        <v>10000</v>
      </c>
      <c r="I678" s="401"/>
      <c r="J678" s="223">
        <v>10000</v>
      </c>
      <c r="K678" s="223">
        <f t="shared" ref="K678:AD678" si="652">SUM(K669:K677)</f>
        <v>10000</v>
      </c>
      <c r="L678" s="223">
        <f t="shared" si="652"/>
        <v>0</v>
      </c>
      <c r="M678" s="223">
        <f t="shared" si="652"/>
        <v>134.61538461538461</v>
      </c>
      <c r="N678" s="223">
        <f t="shared" si="652"/>
        <v>0</v>
      </c>
      <c r="O678" s="223">
        <f t="shared" si="652"/>
        <v>0</v>
      </c>
      <c r="P678" s="223">
        <f t="shared" si="652"/>
        <v>0</v>
      </c>
      <c r="Q678" s="223">
        <f t="shared" si="652"/>
        <v>0</v>
      </c>
      <c r="R678" s="223">
        <f t="shared" si="652"/>
        <v>10000</v>
      </c>
      <c r="S678" s="223">
        <f t="shared" si="652"/>
        <v>0</v>
      </c>
      <c r="T678" s="223">
        <f t="shared" si="652"/>
        <v>0</v>
      </c>
      <c r="U678" s="223">
        <f t="shared" si="652"/>
        <v>0</v>
      </c>
      <c r="V678" s="223">
        <f t="shared" si="652"/>
        <v>10000</v>
      </c>
      <c r="W678" s="223">
        <f t="shared" si="652"/>
        <v>620</v>
      </c>
      <c r="X678" s="223">
        <f t="shared" si="652"/>
        <v>145</v>
      </c>
      <c r="Y678" s="223">
        <f t="shared" si="652"/>
        <v>1502</v>
      </c>
      <c r="Z678" s="223">
        <f t="shared" si="652"/>
        <v>16</v>
      </c>
      <c r="AA678" s="223">
        <f t="shared" si="652"/>
        <v>7</v>
      </c>
      <c r="AB678" s="223">
        <f t="shared" si="652"/>
        <v>0</v>
      </c>
      <c r="AC678" s="223">
        <f t="shared" si="652"/>
        <v>0</v>
      </c>
      <c r="AD678" s="223">
        <f t="shared" si="652"/>
        <v>0</v>
      </c>
      <c r="AE678" s="247" t="s">
        <v>3492</v>
      </c>
    </row>
    <row r="679" spans="1:31" x14ac:dyDescent="0.25">
      <c r="A679" s="247"/>
      <c r="B679" s="247"/>
      <c r="C679" s="247"/>
      <c r="D679" s="247"/>
      <c r="E679" s="247"/>
      <c r="F679" s="247"/>
      <c r="G679" s="247"/>
      <c r="H679" s="247"/>
      <c r="I679" s="251"/>
      <c r="J679" s="247"/>
      <c r="K679" s="247"/>
      <c r="L679" s="247"/>
      <c r="M679" s="247"/>
      <c r="N679" s="247"/>
      <c r="O679" s="247"/>
      <c r="P679" s="247"/>
      <c r="Q679" s="247"/>
      <c r="R679" s="65"/>
      <c r="S679" s="65"/>
      <c r="T679" s="65"/>
      <c r="U679" s="65"/>
      <c r="V679" s="65"/>
      <c r="W679" s="63">
        <f>W678+X678</f>
        <v>765</v>
      </c>
      <c r="X679" s="65"/>
      <c r="Y679" s="65"/>
      <c r="Z679" s="65"/>
      <c r="AA679" s="65"/>
      <c r="AB679" s="65"/>
      <c r="AC679" s="63">
        <v>0</v>
      </c>
      <c r="AD679" s="65"/>
      <c r="AE679" s="247"/>
    </row>
    <row r="680" spans="1:31" x14ac:dyDescent="0.25">
      <c r="A680" s="247"/>
      <c r="B680" s="247"/>
      <c r="C680" s="247"/>
      <c r="D680" s="247"/>
      <c r="E680" s="247"/>
      <c r="F680" s="247"/>
      <c r="G680" s="247"/>
      <c r="H680" s="320"/>
      <c r="I680" s="296"/>
      <c r="J680" s="320"/>
      <c r="K680" s="320"/>
      <c r="L680" s="320"/>
      <c r="M680" s="320"/>
      <c r="N680" s="320"/>
      <c r="O680" s="320"/>
      <c r="P680" s="320"/>
      <c r="Q680" s="320"/>
      <c r="R680" s="314"/>
      <c r="S680" s="314"/>
      <c r="T680" s="314"/>
      <c r="U680" s="314"/>
      <c r="V680" s="314"/>
      <c r="W680" s="314"/>
      <c r="X680" s="314"/>
      <c r="Y680" s="314"/>
      <c r="Z680" s="314"/>
      <c r="AA680" s="314"/>
      <c r="AB680" s="314"/>
      <c r="AC680" s="314"/>
      <c r="AD680" s="314"/>
      <c r="AE680" s="247"/>
    </row>
    <row r="681" spans="1:31" x14ac:dyDescent="0.25">
      <c r="A681" s="168" t="s">
        <v>3500</v>
      </c>
      <c r="B681" s="247"/>
      <c r="C681" s="168" t="s">
        <v>3501</v>
      </c>
      <c r="D681" s="300" t="s">
        <v>3502</v>
      </c>
      <c r="E681" s="300" t="s">
        <v>3503</v>
      </c>
      <c r="F681" s="247"/>
      <c r="G681" s="167" t="s">
        <v>2422</v>
      </c>
      <c r="H681" s="223">
        <v>3000</v>
      </c>
      <c r="I681" s="401"/>
      <c r="J681" s="223">
        <v>3000</v>
      </c>
      <c r="K681" s="223">
        <v>3000</v>
      </c>
      <c r="L681" s="275">
        <f>SUM(K681/L7)</f>
        <v>1.4423076923076923</v>
      </c>
      <c r="M681" s="302">
        <v>115.38</v>
      </c>
      <c r="N681" s="302">
        <v>0</v>
      </c>
      <c r="O681" s="416"/>
      <c r="P681" s="416"/>
      <c r="Q681" s="302">
        <v>0</v>
      </c>
      <c r="R681" s="175">
        <f>SUM(K681+Q681)</f>
        <v>3000</v>
      </c>
      <c r="S681" s="407"/>
      <c r="T681" s="407"/>
      <c r="U681" s="407"/>
      <c r="V681" s="175">
        <f>SUM(R681:U681)</f>
        <v>3000</v>
      </c>
      <c r="W681" s="175">
        <f>SUM(V681*$W$7)</f>
        <v>186</v>
      </c>
      <c r="X681" s="175">
        <f>SUM(V681*$X$7)</f>
        <v>43.5</v>
      </c>
      <c r="Y681" s="175">
        <f>SUM(V681*$Y$7)</f>
        <v>450.6</v>
      </c>
      <c r="Z681" s="175">
        <f>SUM(V681*$Z$7)</f>
        <v>4.8</v>
      </c>
      <c r="AA681" s="175">
        <f>SUM(V681*$AA$7)</f>
        <v>2.1</v>
      </c>
      <c r="AB681" s="175">
        <v>0</v>
      </c>
      <c r="AC681" s="175">
        <v>0</v>
      </c>
      <c r="AD681" s="175">
        <v>0</v>
      </c>
      <c r="AE681" s="247" t="s">
        <v>3500</v>
      </c>
    </row>
    <row r="682" spans="1:31" x14ac:dyDescent="0.25">
      <c r="A682" s="247"/>
      <c r="B682" s="247"/>
      <c r="C682" s="247"/>
      <c r="D682" s="247"/>
      <c r="E682" s="247"/>
      <c r="F682" s="247"/>
      <c r="G682" s="247"/>
      <c r="H682" s="247"/>
      <c r="I682" s="138"/>
      <c r="J682" s="247"/>
      <c r="K682" s="247"/>
      <c r="L682" s="247"/>
      <c r="M682" s="247"/>
      <c r="N682" s="247"/>
      <c r="O682" s="247"/>
      <c r="P682" s="247"/>
      <c r="Q682" s="247"/>
      <c r="R682" s="65"/>
      <c r="S682" s="65"/>
      <c r="T682" s="65"/>
      <c r="U682" s="65"/>
      <c r="V682" s="65"/>
      <c r="W682" s="63">
        <f>W681+X681</f>
        <v>229.5</v>
      </c>
      <c r="X682" s="65"/>
      <c r="Y682" s="65"/>
      <c r="Z682" s="65"/>
      <c r="AA682" s="65"/>
      <c r="AB682" s="65"/>
      <c r="AC682" s="65"/>
      <c r="AD682" s="65"/>
      <c r="AE682" s="247"/>
    </row>
    <row r="683" spans="1:31" x14ac:dyDescent="0.25">
      <c r="A683" s="247"/>
      <c r="B683" s="247"/>
      <c r="C683" s="247"/>
      <c r="D683" s="247"/>
      <c r="E683" s="247"/>
      <c r="F683" s="247"/>
      <c r="G683" s="247"/>
      <c r="H683" s="247"/>
      <c r="I683" s="251"/>
      <c r="J683" s="247"/>
      <c r="K683" s="247"/>
      <c r="L683" s="247"/>
      <c r="M683" s="247"/>
      <c r="N683" s="247"/>
      <c r="O683" s="247"/>
      <c r="P683" s="247"/>
      <c r="Q683" s="247"/>
      <c r="R683" s="65"/>
      <c r="S683" s="65"/>
      <c r="T683" s="65"/>
      <c r="U683" s="65"/>
      <c r="V683" s="65"/>
      <c r="W683" s="65"/>
      <c r="X683" s="65"/>
      <c r="Y683" s="65"/>
      <c r="Z683" s="65"/>
      <c r="AA683" s="65"/>
      <c r="AB683" s="65"/>
      <c r="AC683" s="65"/>
      <c r="AD683" s="65"/>
      <c r="AE683" s="247"/>
    </row>
    <row r="684" spans="1:31" x14ac:dyDescent="0.25">
      <c r="A684" s="247" t="s">
        <v>3880</v>
      </c>
      <c r="B684" s="247" t="s">
        <v>3880</v>
      </c>
      <c r="C684" s="247" t="s">
        <v>3881</v>
      </c>
      <c r="D684" s="247"/>
      <c r="E684" s="247"/>
      <c r="F684" s="247"/>
      <c r="G684" s="247"/>
      <c r="H684" s="247"/>
      <c r="I684" s="138"/>
      <c r="J684" s="247"/>
      <c r="K684" s="247"/>
      <c r="L684" s="247"/>
      <c r="M684" s="247"/>
      <c r="N684" s="247"/>
      <c r="O684" s="247"/>
      <c r="P684" s="247"/>
      <c r="Q684" s="247"/>
      <c r="R684" s="65"/>
      <c r="S684" s="65"/>
      <c r="T684" s="65"/>
      <c r="U684" s="65"/>
      <c r="V684" s="65"/>
      <c r="W684" s="65"/>
      <c r="X684" s="65"/>
      <c r="Y684" s="65"/>
      <c r="Z684" s="65"/>
      <c r="AA684" s="65"/>
      <c r="AB684" s="65"/>
      <c r="AC684" s="65"/>
      <c r="AD684" s="65"/>
      <c r="AE684" s="247"/>
    </row>
    <row r="685" spans="1:31" x14ac:dyDescent="0.25">
      <c r="A685" s="167">
        <v>595</v>
      </c>
      <c r="B685" s="426">
        <v>595001</v>
      </c>
      <c r="C685" s="168" t="s">
        <v>3883</v>
      </c>
      <c r="D685" s="247" t="s">
        <v>3884</v>
      </c>
      <c r="E685" s="247" t="s">
        <v>3885</v>
      </c>
      <c r="F685" s="58">
        <v>43101</v>
      </c>
      <c r="G685" s="59">
        <f t="shared" ref="G685:G689" si="653">(DATE(2020,12,30)-(F685))/365</f>
        <v>2.9972602739726026</v>
      </c>
      <c r="H685" s="63">
        <v>35948.33</v>
      </c>
      <c r="I685" s="63">
        <v>36847.040000000001</v>
      </c>
      <c r="J685" s="63">
        <v>36847.038250000005</v>
      </c>
      <c r="K685" s="63">
        <f t="shared" ref="K685:K689" si="654">SUM(((J685*$K$3)+$K$2)+J685)</f>
        <v>36847.038250000005</v>
      </c>
      <c r="L685" s="61">
        <f t="shared" ref="L685:L691" si="655">SUM(J685/$L$7)</f>
        <v>17.714922235576925</v>
      </c>
      <c r="M685" s="61">
        <f t="shared" ref="M685:M690" si="656">SUM(K685/$M$7)</f>
        <v>1417.1937788461541</v>
      </c>
      <c r="N685" s="61">
        <f t="shared" ref="N685:N688" si="657">IF(G685&lt;4,0,(G685-1)*264)</f>
        <v>0</v>
      </c>
      <c r="O685" s="247"/>
      <c r="P685" s="61"/>
      <c r="Q685" s="61">
        <f t="shared" ref="Q685:Q690" si="658">SUM(N685+P685)</f>
        <v>0</v>
      </c>
      <c r="R685" s="63">
        <f t="shared" ref="R685:R691" si="659">SUM(K685+Q685)</f>
        <v>36847.038250000005</v>
      </c>
      <c r="S685" s="63"/>
      <c r="T685" s="65"/>
      <c r="U685" s="63"/>
      <c r="V685" s="63">
        <f t="shared" ref="V685:V691" si="660">SUM(R685:U685)</f>
        <v>36847.038250000005</v>
      </c>
      <c r="W685" s="63">
        <f t="shared" ref="W685:W691" si="661">SUM(V685*$W$7)</f>
        <v>2284.5163715000003</v>
      </c>
      <c r="X685" s="63">
        <f t="shared" ref="X685:X691" si="662">SUM(V685*$X$7)</f>
        <v>534.28205462500011</v>
      </c>
      <c r="Y685" s="63">
        <f t="shared" ref="Y685:Y691" si="663">SUM(V685*$Y$7)</f>
        <v>5534.4251451500004</v>
      </c>
      <c r="Z685" s="63">
        <f t="shared" ref="Z685:Z691" si="664">SUM(V685*$Z$7)</f>
        <v>58.95526120000001</v>
      </c>
      <c r="AA685" s="63">
        <f t="shared" ref="AA685:AA689" si="665">SUM(V685*$AA$7)</f>
        <v>25.792926775000002</v>
      </c>
      <c r="AB685" s="63">
        <f t="shared" ref="AB685:AB689" si="666">SUM($AB$7)</f>
        <v>335</v>
      </c>
      <c r="AC685" s="63">
        <f t="shared" ref="AC685:AC689" si="667">$AC$7</f>
        <v>10356.36</v>
      </c>
      <c r="AD685" s="63">
        <f t="shared" ref="AD685:AD689" si="668">SUM(AB685+AC685)*$AD$7</f>
        <v>106.9136</v>
      </c>
      <c r="AE685" s="247" t="s">
        <v>3880</v>
      </c>
    </row>
    <row r="686" spans="1:31" x14ac:dyDescent="0.25">
      <c r="A686" s="167">
        <v>595</v>
      </c>
      <c r="B686" s="426">
        <v>595002</v>
      </c>
      <c r="C686" s="168" t="s">
        <v>4270</v>
      </c>
      <c r="D686" s="247" t="s">
        <v>4271</v>
      </c>
      <c r="E686" s="247" t="s">
        <v>4272</v>
      </c>
      <c r="F686" s="58">
        <v>43661</v>
      </c>
      <c r="G686" s="59">
        <f t="shared" si="653"/>
        <v>1.463013698630137</v>
      </c>
      <c r="H686" s="63">
        <v>25554.880000000001</v>
      </c>
      <c r="I686" s="411"/>
      <c r="J686" s="63">
        <v>26193.752</v>
      </c>
      <c r="K686" s="63">
        <f t="shared" si="654"/>
        <v>26193.752</v>
      </c>
      <c r="L686" s="61">
        <f t="shared" si="655"/>
        <v>12.59315</v>
      </c>
      <c r="M686" s="61">
        <f t="shared" si="656"/>
        <v>1007.452</v>
      </c>
      <c r="N686" s="61">
        <f t="shared" si="657"/>
        <v>0</v>
      </c>
      <c r="O686" s="247"/>
      <c r="P686" s="61"/>
      <c r="Q686" s="61">
        <f t="shared" si="658"/>
        <v>0</v>
      </c>
      <c r="R686" s="63">
        <f t="shared" si="659"/>
        <v>26193.752</v>
      </c>
      <c r="S686" s="63"/>
      <c r="T686" s="65"/>
      <c r="U686" s="63"/>
      <c r="V686" s="63">
        <f t="shared" si="660"/>
        <v>26193.752</v>
      </c>
      <c r="W686" s="63">
        <f t="shared" si="661"/>
        <v>1624.012624</v>
      </c>
      <c r="X686" s="63">
        <f t="shared" si="662"/>
        <v>379.80940400000003</v>
      </c>
      <c r="Y686" s="63">
        <f t="shared" si="663"/>
        <v>3934.3015504</v>
      </c>
      <c r="Z686" s="63">
        <f t="shared" si="664"/>
        <v>41.910003200000006</v>
      </c>
      <c r="AA686" s="63">
        <f t="shared" si="665"/>
        <v>18.335626399999999</v>
      </c>
      <c r="AB686" s="63">
        <f t="shared" si="666"/>
        <v>335</v>
      </c>
      <c r="AC686" s="63">
        <f t="shared" si="667"/>
        <v>10356.36</v>
      </c>
      <c r="AD686" s="63">
        <f t="shared" si="668"/>
        <v>106.9136</v>
      </c>
      <c r="AE686" s="247" t="s">
        <v>3880</v>
      </c>
    </row>
    <row r="687" spans="1:31" x14ac:dyDescent="0.25">
      <c r="A687" s="167">
        <v>595</v>
      </c>
      <c r="B687" s="426">
        <v>595003</v>
      </c>
      <c r="C687" s="168" t="s">
        <v>4273</v>
      </c>
      <c r="D687" s="247" t="s">
        <v>3894</v>
      </c>
      <c r="E687" s="247" t="s">
        <v>3895</v>
      </c>
      <c r="F687" s="58">
        <v>43101</v>
      </c>
      <c r="G687" s="59">
        <f t="shared" si="653"/>
        <v>2.9972602739726026</v>
      </c>
      <c r="H687" s="63">
        <v>25554.880000000001</v>
      </c>
      <c r="I687" s="411">
        <v>24134.240000000002</v>
      </c>
      <c r="J687" s="63">
        <v>26193.752</v>
      </c>
      <c r="K687" s="63">
        <f t="shared" si="654"/>
        <v>26193.752</v>
      </c>
      <c r="L687" s="61">
        <f t="shared" si="655"/>
        <v>12.59315</v>
      </c>
      <c r="M687" s="61">
        <f t="shared" si="656"/>
        <v>1007.452</v>
      </c>
      <c r="N687" s="61">
        <f t="shared" si="657"/>
        <v>0</v>
      </c>
      <c r="O687" s="247"/>
      <c r="P687" s="61"/>
      <c r="Q687" s="61">
        <f t="shared" si="658"/>
        <v>0</v>
      </c>
      <c r="R687" s="63">
        <f t="shared" si="659"/>
        <v>26193.752</v>
      </c>
      <c r="S687" s="63"/>
      <c r="T687" s="65"/>
      <c r="U687" s="63"/>
      <c r="V687" s="63">
        <f t="shared" si="660"/>
        <v>26193.752</v>
      </c>
      <c r="W687" s="63">
        <f t="shared" si="661"/>
        <v>1624.012624</v>
      </c>
      <c r="X687" s="63">
        <f t="shared" si="662"/>
        <v>379.80940400000003</v>
      </c>
      <c r="Y687" s="63">
        <f t="shared" si="663"/>
        <v>3934.3015504</v>
      </c>
      <c r="Z687" s="63">
        <f t="shared" si="664"/>
        <v>41.910003200000006</v>
      </c>
      <c r="AA687" s="63">
        <f t="shared" si="665"/>
        <v>18.335626399999999</v>
      </c>
      <c r="AB687" s="63">
        <f t="shared" si="666"/>
        <v>335</v>
      </c>
      <c r="AC687" s="63">
        <f t="shared" si="667"/>
        <v>10356.36</v>
      </c>
      <c r="AD687" s="63">
        <f t="shared" si="668"/>
        <v>106.9136</v>
      </c>
      <c r="AE687" s="247" t="s">
        <v>3880</v>
      </c>
    </row>
    <row r="688" spans="1:31" x14ac:dyDescent="0.25">
      <c r="A688" s="167">
        <v>595</v>
      </c>
      <c r="B688" s="426">
        <v>595004</v>
      </c>
      <c r="C688" s="168" t="s">
        <v>4274</v>
      </c>
      <c r="D688" s="247" t="s">
        <v>2988</v>
      </c>
      <c r="E688" s="247" t="s">
        <v>2792</v>
      </c>
      <c r="F688" s="58">
        <v>43102</v>
      </c>
      <c r="G688" s="59">
        <f t="shared" si="653"/>
        <v>2.9945205479452053</v>
      </c>
      <c r="H688" s="63">
        <v>25554.880000000001</v>
      </c>
      <c r="I688" s="63">
        <v>26193.7</v>
      </c>
      <c r="J688" s="63">
        <v>26193.752</v>
      </c>
      <c r="K688" s="63">
        <f t="shared" si="654"/>
        <v>26193.752</v>
      </c>
      <c r="L688" s="61">
        <f t="shared" si="655"/>
        <v>12.59315</v>
      </c>
      <c r="M688" s="61">
        <f t="shared" si="656"/>
        <v>1007.452</v>
      </c>
      <c r="N688" s="61">
        <f t="shared" si="657"/>
        <v>0</v>
      </c>
      <c r="O688" s="247"/>
      <c r="P688" s="61"/>
      <c r="Q688" s="61">
        <f t="shared" si="658"/>
        <v>0</v>
      </c>
      <c r="R688" s="63">
        <f t="shared" si="659"/>
        <v>26193.752</v>
      </c>
      <c r="S688" s="63"/>
      <c r="T688" s="65"/>
      <c r="U688" s="63"/>
      <c r="V688" s="63">
        <f t="shared" si="660"/>
        <v>26193.752</v>
      </c>
      <c r="W688" s="63">
        <f t="shared" si="661"/>
        <v>1624.012624</v>
      </c>
      <c r="X688" s="63">
        <f t="shared" si="662"/>
        <v>379.80940400000003</v>
      </c>
      <c r="Y688" s="63">
        <f t="shared" si="663"/>
        <v>3934.3015504</v>
      </c>
      <c r="Z688" s="63">
        <f t="shared" si="664"/>
        <v>41.910003200000006</v>
      </c>
      <c r="AA688" s="63">
        <f t="shared" si="665"/>
        <v>18.335626399999999</v>
      </c>
      <c r="AB688" s="63">
        <f t="shared" si="666"/>
        <v>335</v>
      </c>
      <c r="AC688" s="63">
        <f t="shared" si="667"/>
        <v>10356.36</v>
      </c>
      <c r="AD688" s="63">
        <f t="shared" si="668"/>
        <v>106.9136</v>
      </c>
      <c r="AE688" s="247" t="s">
        <v>3880</v>
      </c>
    </row>
    <row r="689" spans="1:31" x14ac:dyDescent="0.25">
      <c r="A689" s="167">
        <v>595</v>
      </c>
      <c r="B689" s="426">
        <v>595005</v>
      </c>
      <c r="C689" s="168" t="s">
        <v>4275</v>
      </c>
      <c r="D689" s="247" t="s">
        <v>3898</v>
      </c>
      <c r="E689" s="247" t="s">
        <v>3440</v>
      </c>
      <c r="F689" s="58">
        <v>43326</v>
      </c>
      <c r="G689" s="59">
        <f t="shared" si="653"/>
        <v>2.3808219178082193</v>
      </c>
      <c r="H689" s="63">
        <v>25554.880000000001</v>
      </c>
      <c r="I689" s="411">
        <v>22386</v>
      </c>
      <c r="J689" s="63">
        <v>26193.752</v>
      </c>
      <c r="K689" s="63">
        <f t="shared" si="654"/>
        <v>26193.752</v>
      </c>
      <c r="L689" s="61">
        <f t="shared" si="655"/>
        <v>12.59315</v>
      </c>
      <c r="M689" s="61">
        <f t="shared" si="656"/>
        <v>1007.452</v>
      </c>
      <c r="N689" s="61">
        <v>997</v>
      </c>
      <c r="O689" s="247"/>
      <c r="P689" s="61"/>
      <c r="Q689" s="61">
        <f t="shared" si="658"/>
        <v>997</v>
      </c>
      <c r="R689" s="63">
        <f t="shared" si="659"/>
        <v>27190.752</v>
      </c>
      <c r="S689" s="63"/>
      <c r="T689" s="65"/>
      <c r="U689" s="63"/>
      <c r="V689" s="63">
        <f t="shared" si="660"/>
        <v>27190.752</v>
      </c>
      <c r="W689" s="63">
        <f t="shared" si="661"/>
        <v>1685.826624</v>
      </c>
      <c r="X689" s="63">
        <f t="shared" si="662"/>
        <v>394.26590400000003</v>
      </c>
      <c r="Y689" s="63">
        <f t="shared" si="663"/>
        <v>4084.0509504000001</v>
      </c>
      <c r="Z689" s="63">
        <f t="shared" si="664"/>
        <v>43.505203200000004</v>
      </c>
      <c r="AA689" s="63">
        <f t="shared" si="665"/>
        <v>19.0335264</v>
      </c>
      <c r="AB689" s="63">
        <f t="shared" si="666"/>
        <v>335</v>
      </c>
      <c r="AC689" s="63">
        <f t="shared" si="667"/>
        <v>10356.36</v>
      </c>
      <c r="AD689" s="63">
        <f t="shared" si="668"/>
        <v>106.9136</v>
      </c>
      <c r="AE689" s="247" t="s">
        <v>3880</v>
      </c>
    </row>
    <row r="690" spans="1:31" x14ac:dyDescent="0.25">
      <c r="A690" s="167">
        <v>595</v>
      </c>
      <c r="B690" s="247"/>
      <c r="C690" s="168" t="s">
        <v>3899</v>
      </c>
      <c r="D690" s="247" t="s">
        <v>3900</v>
      </c>
      <c r="E690" s="247" t="s">
        <v>3901</v>
      </c>
      <c r="F690" s="58"/>
      <c r="G690" s="59"/>
      <c r="H690" s="61">
        <v>20800</v>
      </c>
      <c r="I690" s="169"/>
      <c r="J690" s="61">
        <v>24700</v>
      </c>
      <c r="K690" s="63">
        <v>24700</v>
      </c>
      <c r="L690" s="61">
        <f t="shared" si="655"/>
        <v>11.875</v>
      </c>
      <c r="M690" s="61">
        <f t="shared" si="656"/>
        <v>950</v>
      </c>
      <c r="N690" s="61">
        <f>IF(G690&lt;4,0,(G690-1)*264)</f>
        <v>0</v>
      </c>
      <c r="O690" s="247"/>
      <c r="P690" s="61"/>
      <c r="Q690" s="61">
        <f t="shared" si="658"/>
        <v>0</v>
      </c>
      <c r="R690" s="63">
        <f t="shared" si="659"/>
        <v>24700</v>
      </c>
      <c r="S690" s="65"/>
      <c r="T690" s="65"/>
      <c r="U690" s="63"/>
      <c r="V690" s="63">
        <f t="shared" si="660"/>
        <v>24700</v>
      </c>
      <c r="W690" s="63">
        <f t="shared" si="661"/>
        <v>1531.4</v>
      </c>
      <c r="X690" s="63">
        <f t="shared" si="662"/>
        <v>358.15000000000003</v>
      </c>
      <c r="Y690" s="63">
        <f t="shared" si="663"/>
        <v>3709.94</v>
      </c>
      <c r="Z690" s="63">
        <f t="shared" si="664"/>
        <v>39.520000000000003</v>
      </c>
      <c r="AA690" s="63" t="s">
        <v>2422</v>
      </c>
      <c r="AB690" s="63" t="s">
        <v>2422</v>
      </c>
      <c r="AC690" s="63" t="s">
        <v>2422</v>
      </c>
      <c r="AD690" s="63" t="s">
        <v>2422</v>
      </c>
      <c r="AE690" s="247" t="s">
        <v>3880</v>
      </c>
    </row>
    <row r="691" spans="1:31" x14ac:dyDescent="0.25">
      <c r="A691" s="167">
        <v>595</v>
      </c>
      <c r="B691" s="247"/>
      <c r="C691" s="168" t="s">
        <v>2495</v>
      </c>
      <c r="D691" s="247" t="s">
        <v>3902</v>
      </c>
      <c r="E691" s="247" t="s">
        <v>3885</v>
      </c>
      <c r="F691" s="120"/>
      <c r="G691" s="247"/>
      <c r="H691" s="132">
        <v>2000</v>
      </c>
      <c r="I691" s="295"/>
      <c r="J691" s="132">
        <v>2000</v>
      </c>
      <c r="K691" s="291">
        <v>2000</v>
      </c>
      <c r="L691" s="132">
        <f t="shared" si="655"/>
        <v>0.96153846153846156</v>
      </c>
      <c r="M691" s="132">
        <f>IF(G691&lt;4,0,(G691-1)*264)</f>
        <v>0</v>
      </c>
      <c r="N691" s="320"/>
      <c r="O691" s="320"/>
      <c r="P691" s="132"/>
      <c r="Q691" s="88">
        <v>0</v>
      </c>
      <c r="R691" s="63">
        <f t="shared" si="659"/>
        <v>2000</v>
      </c>
      <c r="S691" s="314"/>
      <c r="T691" s="314"/>
      <c r="U691" s="172"/>
      <c r="V691" s="172">
        <f t="shared" si="660"/>
        <v>2000</v>
      </c>
      <c r="W691" s="172">
        <f t="shared" si="661"/>
        <v>124</v>
      </c>
      <c r="X691" s="172">
        <f t="shared" si="662"/>
        <v>29</v>
      </c>
      <c r="Y691" s="172">
        <f t="shared" si="663"/>
        <v>300.39999999999998</v>
      </c>
      <c r="Z691" s="172">
        <f t="shared" si="664"/>
        <v>3.2</v>
      </c>
      <c r="AA691" s="172" t="s">
        <v>2422</v>
      </c>
      <c r="AB691" s="172" t="s">
        <v>2422</v>
      </c>
      <c r="AC691" s="172" t="s">
        <v>2422</v>
      </c>
      <c r="AD691" s="172" t="s">
        <v>2422</v>
      </c>
      <c r="AE691" s="247" t="s">
        <v>3880</v>
      </c>
    </row>
    <row r="692" spans="1:31" x14ac:dyDescent="0.25">
      <c r="A692" s="167">
        <v>595</v>
      </c>
      <c r="B692" s="247"/>
      <c r="C692" s="247"/>
      <c r="F692" s="247"/>
      <c r="G692" s="247"/>
      <c r="H692" s="223">
        <f>SUM(H685:H691)</f>
        <v>160967.85</v>
      </c>
      <c r="I692" s="401"/>
      <c r="J692" s="223">
        <v>168322.04625000001</v>
      </c>
      <c r="K692" s="223">
        <f t="shared" ref="K692:AD692" si="669">SUM(K685:K691)</f>
        <v>168322.04625000001</v>
      </c>
      <c r="L692" s="223">
        <f t="shared" si="669"/>
        <v>80.924060697115394</v>
      </c>
      <c r="M692" s="223">
        <f t="shared" si="669"/>
        <v>6397.0017788461546</v>
      </c>
      <c r="N692" s="223">
        <f t="shared" si="669"/>
        <v>997</v>
      </c>
      <c r="O692" s="223">
        <f t="shared" si="669"/>
        <v>0</v>
      </c>
      <c r="P692" s="223">
        <f t="shared" si="669"/>
        <v>0</v>
      </c>
      <c r="Q692" s="222">
        <f t="shared" si="669"/>
        <v>997</v>
      </c>
      <c r="R692" s="222">
        <f t="shared" si="669"/>
        <v>169319.04625000001</v>
      </c>
      <c r="S692" s="223">
        <f t="shared" si="669"/>
        <v>0</v>
      </c>
      <c r="T692" s="223">
        <f t="shared" si="669"/>
        <v>0</v>
      </c>
      <c r="U692" s="223">
        <f t="shared" si="669"/>
        <v>0</v>
      </c>
      <c r="V692" s="223">
        <f t="shared" si="669"/>
        <v>169319.04625000001</v>
      </c>
      <c r="W692" s="223">
        <f t="shared" si="669"/>
        <v>10497.7808675</v>
      </c>
      <c r="X692" s="223">
        <f t="shared" si="669"/>
        <v>2455.1261706250002</v>
      </c>
      <c r="Y692" s="223">
        <f t="shared" si="669"/>
        <v>25431.720746750001</v>
      </c>
      <c r="Z692" s="223">
        <f t="shared" si="669"/>
        <v>270.91047400000002</v>
      </c>
      <c r="AA692" s="223">
        <f t="shared" si="669"/>
        <v>99.833332374999998</v>
      </c>
      <c r="AB692" s="223">
        <f t="shared" si="669"/>
        <v>1675</v>
      </c>
      <c r="AC692" s="223">
        <f t="shared" si="669"/>
        <v>51781.8</v>
      </c>
      <c r="AD692" s="223">
        <f t="shared" si="669"/>
        <v>534.56799999999998</v>
      </c>
      <c r="AE692" s="247"/>
    </row>
    <row r="693" spans="1:31" x14ac:dyDescent="0.25">
      <c r="A693" s="247"/>
      <c r="B693" s="247"/>
      <c r="C693" s="247"/>
      <c r="F693" s="247"/>
      <c r="G693" s="247"/>
      <c r="H693" s="63">
        <f>SUM(H685:H689)</f>
        <v>138167.85</v>
      </c>
      <c r="I693" s="251"/>
      <c r="J693" s="63">
        <v>141622.04625000001</v>
      </c>
      <c r="K693" s="69">
        <f>SUM(K685:K689)</f>
        <v>141622.04625000001</v>
      </c>
      <c r="L693" s="247"/>
      <c r="M693" s="247"/>
      <c r="N693" s="247"/>
      <c r="O693" s="247"/>
      <c r="P693" s="247"/>
      <c r="Q693" s="65"/>
      <c r="R693" s="65"/>
      <c r="S693" s="65"/>
      <c r="T693" s="65"/>
      <c r="U693" s="65"/>
      <c r="V693" s="63"/>
      <c r="W693" s="69">
        <f>W692+X692</f>
        <v>12952.907038125</v>
      </c>
      <c r="X693" s="65"/>
      <c r="Y693" s="65"/>
      <c r="Z693" s="65"/>
      <c r="AA693" s="65"/>
      <c r="AB693" s="63"/>
      <c r="AC693" s="63">
        <f>SUM(AC692:AD692)</f>
        <v>52316.368000000002</v>
      </c>
      <c r="AD693" s="65"/>
      <c r="AE693" s="247"/>
    </row>
    <row r="694" spans="1:31" x14ac:dyDescent="0.25">
      <c r="A694" s="247"/>
      <c r="B694" s="247"/>
      <c r="C694" s="247"/>
      <c r="D694" s="247"/>
      <c r="E694" s="247"/>
      <c r="F694" s="247"/>
      <c r="G694" s="247"/>
      <c r="H694" s="247"/>
      <c r="I694" s="251"/>
      <c r="J694" s="247"/>
      <c r="K694" s="247"/>
      <c r="L694" s="247"/>
      <c r="M694" s="247"/>
      <c r="N694" s="247"/>
      <c r="O694" s="247"/>
      <c r="P694" s="247"/>
      <c r="Q694" s="247"/>
      <c r="R694" s="65"/>
      <c r="S694" s="65"/>
      <c r="T694" s="65"/>
      <c r="U694" s="65"/>
      <c r="V694" s="65"/>
      <c r="W694" s="65"/>
      <c r="X694" s="65"/>
      <c r="Y694" s="65"/>
      <c r="Z694" s="65"/>
      <c r="AA694" s="65"/>
      <c r="AB694" s="65"/>
      <c r="AC694" s="65"/>
      <c r="AD694" s="65"/>
      <c r="AE694" s="247"/>
    </row>
    <row r="695" spans="1:31" x14ac:dyDescent="0.25">
      <c r="A695" s="247"/>
      <c r="B695" s="247"/>
      <c r="C695" s="247"/>
      <c r="D695" s="247"/>
      <c r="E695" s="247"/>
      <c r="F695" s="247"/>
      <c r="G695" s="247"/>
      <c r="H695" s="247"/>
      <c r="I695" s="138"/>
      <c r="J695" s="247"/>
      <c r="K695" s="247"/>
      <c r="L695" s="247"/>
      <c r="M695" s="247"/>
      <c r="N695" s="247"/>
      <c r="O695" s="247"/>
      <c r="P695" s="247"/>
      <c r="Q695" s="247"/>
      <c r="R695" s="65"/>
      <c r="S695" s="65"/>
      <c r="T695" s="65"/>
      <c r="U695" s="65"/>
      <c r="V695" s="65"/>
      <c r="W695" s="65"/>
      <c r="X695" s="65"/>
      <c r="Y695" s="63"/>
      <c r="Z695" s="65"/>
      <c r="AA695" s="63"/>
      <c r="AB695" s="63"/>
      <c r="AC695" s="63"/>
      <c r="AD695" s="65"/>
      <c r="AE695" s="247"/>
    </row>
    <row r="696" spans="1:31" x14ac:dyDescent="0.25">
      <c r="A696" s="168" t="s">
        <v>3506</v>
      </c>
      <c r="B696" s="167">
        <v>673001</v>
      </c>
      <c r="C696" s="168" t="s">
        <v>3508</v>
      </c>
      <c r="D696" s="168" t="s">
        <v>3256</v>
      </c>
      <c r="E696" s="168" t="s">
        <v>3903</v>
      </c>
      <c r="F696" s="58">
        <v>36934</v>
      </c>
      <c r="G696" s="59">
        <f t="shared" ref="G696:G698" si="670">(DATE(2020,12,30)-(F696))/365</f>
        <v>19.893150684931506</v>
      </c>
      <c r="H696" s="61">
        <v>54160.084719999999</v>
      </c>
      <c r="I696" s="63">
        <v>55514.09</v>
      </c>
      <c r="J696" s="61">
        <v>55514.086837999996</v>
      </c>
      <c r="K696" s="63">
        <f t="shared" ref="K696:K697" si="671">SUM(((J696*$K$3)+$K$2)+J696)</f>
        <v>55514.086837999996</v>
      </c>
      <c r="L696" s="59">
        <f t="shared" ref="L696:L699" si="672">SUM(K696/$L$7)</f>
        <v>26.689464825961537</v>
      </c>
      <c r="M696" s="61">
        <f t="shared" ref="M696:M699" si="673">SUM(K696/$M$7)</f>
        <v>2135.1571860769227</v>
      </c>
      <c r="N696" s="61">
        <f t="shared" ref="N696:N698" si="674">IF(G696&lt;4,0,(G696-1)*264)</f>
        <v>4987.7917808219172</v>
      </c>
      <c r="O696" s="247"/>
      <c r="P696" s="247"/>
      <c r="Q696" s="61">
        <f t="shared" ref="Q696:Q698" si="675">IF(N696+P696&gt;5000,5000,N696+P696)</f>
        <v>4987.7917808219172</v>
      </c>
      <c r="R696" s="63">
        <f t="shared" ref="R696:R699" si="676">SUM(K696+Q696)</f>
        <v>60501.878618821909</v>
      </c>
      <c r="S696" s="63">
        <v>9500</v>
      </c>
      <c r="T696" s="65"/>
      <c r="U696" s="65"/>
      <c r="V696" s="63">
        <f t="shared" ref="V696:V700" si="677">SUM(R696:U696)</f>
        <v>70001.878618821909</v>
      </c>
      <c r="W696" s="63">
        <f t="shared" ref="W696:W700" si="678">SUM(V696*$W$7)</f>
        <v>4340.1164743669588</v>
      </c>
      <c r="X696" s="63">
        <f t="shared" ref="X696:X700" si="679">SUM(V696*$X$7)</f>
        <v>1015.0272399729178</v>
      </c>
      <c r="Y696" s="63">
        <f t="shared" ref="Y696:Y700" si="680">SUM(V696*$Y$7)</f>
        <v>10514.28216854705</v>
      </c>
      <c r="Z696" s="63">
        <f t="shared" ref="Z696:Z700" si="681">SUM(V696*$Z$7)</f>
        <v>112.00300579011505</v>
      </c>
      <c r="AA696" s="63">
        <f t="shared" ref="AA696:AA700" si="682">SUM(V696*$AA$7)</f>
        <v>49.001315033175338</v>
      </c>
      <c r="AB696" s="63">
        <f t="shared" ref="AB696:AB698" si="683">SUM($AB$7)</f>
        <v>335</v>
      </c>
      <c r="AC696" s="63">
        <f t="shared" ref="AC696:AC698" si="684">$AC$7</f>
        <v>10356.36</v>
      </c>
      <c r="AD696" s="63">
        <f t="shared" ref="AD696:AD698" si="685">SUM(AB696+AC696)*$AD$7</f>
        <v>106.9136</v>
      </c>
      <c r="AE696" s="247" t="s">
        <v>3506</v>
      </c>
    </row>
    <row r="697" spans="1:31" x14ac:dyDescent="0.25">
      <c r="A697" s="168" t="s">
        <v>3506</v>
      </c>
      <c r="B697" s="167">
        <v>673002</v>
      </c>
      <c r="C697" s="168" t="s">
        <v>4276</v>
      </c>
      <c r="D697" s="168" t="s">
        <v>3509</v>
      </c>
      <c r="E697" s="168" t="s">
        <v>3510</v>
      </c>
      <c r="F697" s="58">
        <v>41641</v>
      </c>
      <c r="G697" s="59">
        <f t="shared" si="670"/>
        <v>6.9972602739726026</v>
      </c>
      <c r="H697" s="427">
        <v>36000</v>
      </c>
      <c r="I697" s="63">
        <v>36900</v>
      </c>
      <c r="J697" s="427">
        <v>36900</v>
      </c>
      <c r="K697" s="63">
        <f t="shared" si="671"/>
        <v>36900</v>
      </c>
      <c r="L697" s="59">
        <f t="shared" si="672"/>
        <v>17.740384615384617</v>
      </c>
      <c r="M697" s="61">
        <f t="shared" si="673"/>
        <v>1419.2307692307693</v>
      </c>
      <c r="N697" s="61">
        <f t="shared" si="674"/>
        <v>1583.2767123287672</v>
      </c>
      <c r="O697" s="247"/>
      <c r="P697" s="247"/>
      <c r="Q697" s="61">
        <f t="shared" si="675"/>
        <v>1583.2767123287672</v>
      </c>
      <c r="R697" s="63">
        <f t="shared" si="676"/>
        <v>38483.27671232877</v>
      </c>
      <c r="S697" s="65"/>
      <c r="T697" s="65"/>
      <c r="U697" s="65"/>
      <c r="V697" s="63">
        <f t="shared" si="677"/>
        <v>38483.27671232877</v>
      </c>
      <c r="W697" s="63">
        <f t="shared" si="678"/>
        <v>2385.9631561643837</v>
      </c>
      <c r="X697" s="63">
        <f t="shared" si="679"/>
        <v>558.00751232876723</v>
      </c>
      <c r="Y697" s="63">
        <f t="shared" si="680"/>
        <v>5780.188162191781</v>
      </c>
      <c r="Z697" s="63">
        <f t="shared" si="681"/>
        <v>61.573242739726034</v>
      </c>
      <c r="AA697" s="63">
        <f t="shared" si="682"/>
        <v>26.93829369863014</v>
      </c>
      <c r="AB697" s="63">
        <f t="shared" si="683"/>
        <v>335</v>
      </c>
      <c r="AC697" s="63">
        <f t="shared" si="684"/>
        <v>10356.36</v>
      </c>
      <c r="AD697" s="63">
        <f t="shared" si="685"/>
        <v>106.9136</v>
      </c>
      <c r="AE697" s="247" t="s">
        <v>3506</v>
      </c>
    </row>
    <row r="698" spans="1:31" x14ac:dyDescent="0.25">
      <c r="A698" s="168" t="s">
        <v>3506</v>
      </c>
      <c r="B698" s="178">
        <v>673003</v>
      </c>
      <c r="C698" s="168" t="s">
        <v>4277</v>
      </c>
      <c r="D698" s="168" t="s">
        <v>2478</v>
      </c>
      <c r="E698" s="168" t="s">
        <v>4159</v>
      </c>
      <c r="F698" s="108">
        <v>43614</v>
      </c>
      <c r="G698" s="59">
        <f t="shared" si="670"/>
        <v>1.5917808219178082</v>
      </c>
      <c r="H698" s="61">
        <v>0</v>
      </c>
      <c r="I698" s="63">
        <v>32000</v>
      </c>
      <c r="J698" s="61">
        <v>36900</v>
      </c>
      <c r="K698" s="63">
        <v>36900</v>
      </c>
      <c r="L698" s="59">
        <f t="shared" si="672"/>
        <v>17.740384615384617</v>
      </c>
      <c r="M698" s="61">
        <f t="shared" si="673"/>
        <v>1419.2307692307693</v>
      </c>
      <c r="N698" s="61">
        <f t="shared" si="674"/>
        <v>0</v>
      </c>
      <c r="O698" s="247"/>
      <c r="P698" s="247"/>
      <c r="Q698" s="61">
        <f t="shared" si="675"/>
        <v>0</v>
      </c>
      <c r="R698" s="63">
        <f t="shared" si="676"/>
        <v>36900</v>
      </c>
      <c r="S698" s="65"/>
      <c r="T698" s="65"/>
      <c r="U698" s="65"/>
      <c r="V698" s="63">
        <f t="shared" si="677"/>
        <v>36900</v>
      </c>
      <c r="W698" s="63">
        <f t="shared" si="678"/>
        <v>2287.8000000000002</v>
      </c>
      <c r="X698" s="63">
        <f t="shared" si="679"/>
        <v>535.05000000000007</v>
      </c>
      <c r="Y698" s="63">
        <f t="shared" si="680"/>
        <v>5542.38</v>
      </c>
      <c r="Z698" s="63">
        <f t="shared" si="681"/>
        <v>59.040000000000006</v>
      </c>
      <c r="AA698" s="63">
        <f t="shared" si="682"/>
        <v>25.83</v>
      </c>
      <c r="AB698" s="63">
        <f t="shared" si="683"/>
        <v>335</v>
      </c>
      <c r="AC698" s="63">
        <f t="shared" si="684"/>
        <v>10356.36</v>
      </c>
      <c r="AD698" s="63">
        <f t="shared" si="685"/>
        <v>106.9136</v>
      </c>
      <c r="AE698" s="247" t="s">
        <v>3906</v>
      </c>
    </row>
    <row r="699" spans="1:31" x14ac:dyDescent="0.25">
      <c r="A699" s="168" t="s">
        <v>3506</v>
      </c>
      <c r="B699" s="247"/>
      <c r="C699" s="168" t="s">
        <v>1627</v>
      </c>
      <c r="D699" s="168" t="s">
        <v>2584</v>
      </c>
      <c r="E699" s="168" t="s">
        <v>3907</v>
      </c>
      <c r="F699" s="247"/>
      <c r="G699" s="167" t="s">
        <v>2422</v>
      </c>
      <c r="H699" s="61">
        <v>42000</v>
      </c>
      <c r="I699" s="251"/>
      <c r="J699" s="61">
        <v>21000</v>
      </c>
      <c r="K699" s="61">
        <v>21000</v>
      </c>
      <c r="L699" s="59">
        <f t="shared" si="672"/>
        <v>10.096153846153847</v>
      </c>
      <c r="M699" s="61">
        <f t="shared" si="673"/>
        <v>807.69230769230774</v>
      </c>
      <c r="N699" s="61">
        <v>0</v>
      </c>
      <c r="O699" s="247"/>
      <c r="P699" s="247"/>
      <c r="Q699" s="61">
        <f>SUM(N699+P699)</f>
        <v>0</v>
      </c>
      <c r="R699" s="63">
        <f t="shared" si="676"/>
        <v>21000</v>
      </c>
      <c r="S699" s="65"/>
      <c r="T699" s="65"/>
      <c r="U699" s="65"/>
      <c r="V699" s="63">
        <f t="shared" si="677"/>
        <v>21000</v>
      </c>
      <c r="W699" s="63">
        <f t="shared" si="678"/>
        <v>1302</v>
      </c>
      <c r="X699" s="63">
        <f t="shared" si="679"/>
        <v>304.5</v>
      </c>
      <c r="Y699" s="63">
        <f t="shared" si="680"/>
        <v>3154.2</v>
      </c>
      <c r="Z699" s="63">
        <f t="shared" si="681"/>
        <v>33.6</v>
      </c>
      <c r="AA699" s="63">
        <f t="shared" si="682"/>
        <v>14.7</v>
      </c>
      <c r="AB699" s="63" t="s">
        <v>2422</v>
      </c>
      <c r="AC699" s="63" t="s">
        <v>2422</v>
      </c>
      <c r="AD699" s="63" t="s">
        <v>2422</v>
      </c>
      <c r="AE699" s="247" t="s">
        <v>3506</v>
      </c>
    </row>
    <row r="700" spans="1:31" x14ac:dyDescent="0.25">
      <c r="A700" s="168" t="s">
        <v>3506</v>
      </c>
      <c r="B700" s="247"/>
      <c r="C700" s="168" t="s">
        <v>2495</v>
      </c>
      <c r="D700" s="168" t="s">
        <v>3788</v>
      </c>
      <c r="E700" s="168" t="s">
        <v>3908</v>
      </c>
      <c r="F700" s="247"/>
      <c r="G700" s="167" t="s">
        <v>2422</v>
      </c>
      <c r="H700" s="132">
        <v>2000</v>
      </c>
      <c r="I700" s="296"/>
      <c r="J700" s="132">
        <v>2000</v>
      </c>
      <c r="K700" s="132">
        <v>2000</v>
      </c>
      <c r="L700" s="320"/>
      <c r="M700" s="320"/>
      <c r="N700" s="220" t="s">
        <v>27</v>
      </c>
      <c r="O700" s="320"/>
      <c r="P700" s="320"/>
      <c r="Q700" s="220">
        <v>0</v>
      </c>
      <c r="R700" s="172">
        <v>2000</v>
      </c>
      <c r="S700" s="314"/>
      <c r="T700" s="314"/>
      <c r="U700" s="314"/>
      <c r="V700" s="172">
        <f t="shared" si="677"/>
        <v>2000</v>
      </c>
      <c r="W700" s="172">
        <f t="shared" si="678"/>
        <v>124</v>
      </c>
      <c r="X700" s="172">
        <f t="shared" si="679"/>
        <v>29</v>
      </c>
      <c r="Y700" s="172">
        <f t="shared" si="680"/>
        <v>300.39999999999998</v>
      </c>
      <c r="Z700" s="172">
        <f t="shared" si="681"/>
        <v>3.2</v>
      </c>
      <c r="AA700" s="172">
        <f t="shared" si="682"/>
        <v>1.4</v>
      </c>
      <c r="AB700" s="172" t="s">
        <v>2422</v>
      </c>
      <c r="AC700" s="172" t="s">
        <v>2422</v>
      </c>
      <c r="AD700" s="172" t="s">
        <v>2422</v>
      </c>
      <c r="AE700" s="247" t="s">
        <v>3506</v>
      </c>
    </row>
    <row r="701" spans="1:31" x14ac:dyDescent="0.25">
      <c r="A701" s="168" t="s">
        <v>3506</v>
      </c>
      <c r="B701" s="247"/>
      <c r="C701" s="247"/>
      <c r="D701" s="168" t="s">
        <v>3518</v>
      </c>
      <c r="E701" s="168" t="s">
        <v>3519</v>
      </c>
      <c r="F701" s="58">
        <v>42767</v>
      </c>
      <c r="G701" s="247"/>
      <c r="H701" s="223">
        <v>134160.08471999998</v>
      </c>
      <c r="I701" s="401"/>
      <c r="J701" s="223">
        <v>152314.08683799999</v>
      </c>
      <c r="K701" s="223">
        <f t="shared" ref="K701:AD701" si="686">SUM(K695:K700)</f>
        <v>152314.08683799999</v>
      </c>
      <c r="L701" s="223">
        <f t="shared" si="686"/>
        <v>72.266387902884617</v>
      </c>
      <c r="M701" s="223">
        <f t="shared" si="686"/>
        <v>5781.3110322307693</v>
      </c>
      <c r="N701" s="223">
        <f t="shared" si="686"/>
        <v>6571.0684931506839</v>
      </c>
      <c r="O701" s="223">
        <f t="shared" si="686"/>
        <v>0</v>
      </c>
      <c r="P701" s="223">
        <f t="shared" si="686"/>
        <v>0</v>
      </c>
      <c r="Q701" s="223">
        <f t="shared" si="686"/>
        <v>6571.0684931506839</v>
      </c>
      <c r="R701" s="223">
        <f t="shared" si="686"/>
        <v>158885.15533115069</v>
      </c>
      <c r="S701" s="223">
        <f t="shared" si="686"/>
        <v>9500</v>
      </c>
      <c r="T701" s="223">
        <f t="shared" si="686"/>
        <v>0</v>
      </c>
      <c r="U701" s="223">
        <f t="shared" si="686"/>
        <v>0</v>
      </c>
      <c r="V701" s="223">
        <f t="shared" si="686"/>
        <v>168385.15533115069</v>
      </c>
      <c r="W701" s="223">
        <f t="shared" si="686"/>
        <v>10439.879630531343</v>
      </c>
      <c r="X701" s="223">
        <f t="shared" si="686"/>
        <v>2441.5847523016851</v>
      </c>
      <c r="Y701" s="223">
        <f t="shared" si="686"/>
        <v>25291.450330738833</v>
      </c>
      <c r="Z701" s="223">
        <f t="shared" si="686"/>
        <v>269.41624852984108</v>
      </c>
      <c r="AA701" s="223">
        <f t="shared" si="686"/>
        <v>117.86960873180549</v>
      </c>
      <c r="AB701" s="223">
        <f t="shared" si="686"/>
        <v>1005</v>
      </c>
      <c r="AC701" s="223">
        <f t="shared" si="686"/>
        <v>31069.08</v>
      </c>
      <c r="AD701" s="223">
        <f t="shared" si="686"/>
        <v>320.74080000000004</v>
      </c>
      <c r="AE701" s="247" t="s">
        <v>3506</v>
      </c>
    </row>
    <row r="702" spans="1:31" x14ac:dyDescent="0.25">
      <c r="A702" s="247"/>
      <c r="B702" s="247"/>
      <c r="C702" s="247"/>
      <c r="D702" s="247"/>
      <c r="E702" s="247"/>
      <c r="F702" s="247"/>
      <c r="G702" s="247"/>
      <c r="H702" s="100">
        <v>90160.084719999999</v>
      </c>
      <c r="I702" s="169"/>
      <c r="J702" s="100">
        <v>129314.08683799999</v>
      </c>
      <c r="K702" s="69">
        <f>SUM(K696:K698)</f>
        <v>129314.08683799999</v>
      </c>
      <c r="L702" s="247"/>
      <c r="M702" s="247"/>
      <c r="N702" s="247"/>
      <c r="O702" s="247"/>
      <c r="P702" s="247"/>
      <c r="Q702" s="247"/>
      <c r="R702" s="65"/>
      <c r="S702" s="65"/>
      <c r="T702" s="65"/>
      <c r="U702" s="65"/>
      <c r="V702" s="65"/>
      <c r="W702" s="63">
        <f>W701+X701</f>
        <v>12881.464382833028</v>
      </c>
      <c r="X702" s="65"/>
      <c r="Y702" s="65"/>
      <c r="Z702" s="65"/>
      <c r="AA702" s="65"/>
      <c r="AB702" s="65"/>
      <c r="AC702" s="63">
        <f>SUM(AC701:AD701)</f>
        <v>31389.820800000001</v>
      </c>
      <c r="AD702" s="65"/>
      <c r="AE702" s="247"/>
    </row>
    <row r="703" spans="1:31" x14ac:dyDescent="0.25">
      <c r="A703" s="247"/>
      <c r="B703" s="247"/>
      <c r="C703" s="247"/>
      <c r="D703" s="247"/>
      <c r="E703" s="247"/>
      <c r="F703" s="247"/>
      <c r="G703" s="247"/>
      <c r="H703" s="247"/>
      <c r="I703" s="251"/>
      <c r="J703" s="247"/>
      <c r="K703" s="247"/>
      <c r="L703" s="247"/>
      <c r="M703" s="247"/>
      <c r="N703" s="247"/>
      <c r="O703" s="247"/>
      <c r="P703" s="247"/>
      <c r="Q703" s="247"/>
      <c r="R703" s="65"/>
      <c r="S703" s="65"/>
      <c r="T703" s="65"/>
      <c r="U703" s="65"/>
      <c r="V703" s="65"/>
      <c r="W703" s="65"/>
      <c r="X703" s="65"/>
      <c r="Y703" s="65"/>
      <c r="Z703" s="65"/>
      <c r="AA703" s="65"/>
      <c r="AB703" s="65"/>
      <c r="AC703" s="65"/>
      <c r="AD703" s="65"/>
      <c r="AE703" s="247"/>
    </row>
    <row r="704" spans="1:31" x14ac:dyDescent="0.25">
      <c r="A704" s="247"/>
      <c r="B704" s="247"/>
      <c r="C704" s="247"/>
      <c r="D704" s="247"/>
      <c r="E704" s="247"/>
      <c r="F704" s="247"/>
      <c r="G704" s="247"/>
      <c r="H704" s="320"/>
      <c r="I704" s="219"/>
      <c r="J704" s="320"/>
      <c r="K704" s="320"/>
      <c r="L704" s="320"/>
      <c r="M704" s="320"/>
      <c r="N704" s="320"/>
      <c r="O704" s="320"/>
      <c r="P704" s="320"/>
      <c r="Q704" s="320"/>
      <c r="R704" s="314"/>
      <c r="S704" s="314"/>
      <c r="T704" s="314"/>
      <c r="U704" s="314"/>
      <c r="V704" s="314"/>
      <c r="W704" s="314"/>
      <c r="X704" s="314"/>
      <c r="Y704" s="314"/>
      <c r="Z704" s="314"/>
      <c r="AA704" s="314"/>
      <c r="AB704" s="314"/>
      <c r="AC704" s="314"/>
      <c r="AD704" s="314"/>
      <c r="AE704" s="247"/>
    </row>
    <row r="705" spans="1:31" x14ac:dyDescent="0.25">
      <c r="A705" s="168" t="s">
        <v>3520</v>
      </c>
      <c r="B705" s="247"/>
      <c r="C705" s="168" t="s">
        <v>3521</v>
      </c>
      <c r="D705" s="168" t="s">
        <v>2505</v>
      </c>
      <c r="E705" s="168" t="s">
        <v>3522</v>
      </c>
      <c r="F705" s="247"/>
      <c r="G705" s="167" t="s">
        <v>2422</v>
      </c>
      <c r="H705" s="223">
        <v>25000</v>
      </c>
      <c r="I705" s="401"/>
      <c r="J705" s="223">
        <v>25000</v>
      </c>
      <c r="K705" s="223">
        <v>25000</v>
      </c>
      <c r="L705" s="275">
        <f>SUM(K705/$L$7)</f>
        <v>12.01923076923077</v>
      </c>
      <c r="M705" s="223">
        <f>SUM(K705/$M$7)</f>
        <v>961.53846153846155</v>
      </c>
      <c r="N705" s="223">
        <v>0</v>
      </c>
      <c r="O705" s="416"/>
      <c r="P705" s="416"/>
      <c r="Q705" s="223">
        <f>SUM(N705+P705)</f>
        <v>0</v>
      </c>
      <c r="R705" s="175">
        <f>SUM(K705+Q705)</f>
        <v>25000</v>
      </c>
      <c r="S705" s="175">
        <v>0</v>
      </c>
      <c r="T705" s="175">
        <v>0</v>
      </c>
      <c r="U705" s="175">
        <v>0</v>
      </c>
      <c r="V705" s="175">
        <f>SUM(R705:U705)</f>
        <v>25000</v>
      </c>
      <c r="W705" s="175">
        <f>SUM(V705*$W$7)</f>
        <v>1550</v>
      </c>
      <c r="X705" s="175">
        <f>SUM(V705*$X$7)</f>
        <v>362.5</v>
      </c>
      <c r="Y705" s="175">
        <f>SUM(V705*$Y$7)</f>
        <v>3755</v>
      </c>
      <c r="Z705" s="175">
        <f>SUM(V705*$Z$7)</f>
        <v>40</v>
      </c>
      <c r="AA705" s="175">
        <f>SUM(V705*$AA$7)</f>
        <v>17.5</v>
      </c>
      <c r="AB705" s="175">
        <v>0</v>
      </c>
      <c r="AC705" s="175">
        <v>0</v>
      </c>
      <c r="AD705" s="175">
        <v>0</v>
      </c>
      <c r="AE705" s="247" t="s">
        <v>3520</v>
      </c>
    </row>
    <row r="706" spans="1:31" x14ac:dyDescent="0.25">
      <c r="A706" s="247"/>
      <c r="B706" s="247"/>
      <c r="C706" s="247"/>
      <c r="D706" s="168" t="s">
        <v>3523</v>
      </c>
      <c r="E706" s="168" t="s">
        <v>3524</v>
      </c>
      <c r="F706" s="247"/>
      <c r="G706" s="247"/>
      <c r="H706" s="247"/>
      <c r="I706" s="251"/>
      <c r="J706" s="247"/>
      <c r="K706" s="247"/>
      <c r="L706" s="247"/>
      <c r="M706" s="247"/>
      <c r="N706" s="247"/>
      <c r="O706" s="247"/>
      <c r="P706" s="247"/>
      <c r="Q706" s="247"/>
      <c r="R706" s="65"/>
      <c r="S706" s="65"/>
      <c r="T706" s="65"/>
      <c r="U706" s="65"/>
      <c r="V706" s="65"/>
      <c r="W706" s="63">
        <f>W705+X705</f>
        <v>1912.5</v>
      </c>
      <c r="X706" s="65"/>
      <c r="Y706" s="65"/>
      <c r="Z706" s="65"/>
      <c r="AA706" s="65"/>
      <c r="AB706" s="65"/>
      <c r="AC706" s="65"/>
      <c r="AD706" s="65"/>
      <c r="AE706" s="247"/>
    </row>
    <row r="707" spans="1:31" x14ac:dyDescent="0.25">
      <c r="A707" s="247"/>
      <c r="B707" s="247"/>
      <c r="C707" s="247"/>
      <c r="D707" s="247" t="s">
        <v>3909</v>
      </c>
      <c r="E707" s="247" t="s">
        <v>2656</v>
      </c>
      <c r="F707" s="247"/>
      <c r="G707" s="247"/>
      <c r="H707" s="247"/>
      <c r="I707" s="138"/>
      <c r="J707" s="247"/>
      <c r="K707" s="247"/>
      <c r="L707" s="247"/>
      <c r="M707" s="247"/>
      <c r="N707" s="247"/>
      <c r="O707" s="247"/>
      <c r="P707" s="247"/>
      <c r="Q707" s="247"/>
      <c r="R707" s="65"/>
      <c r="S707" s="65"/>
      <c r="T707" s="65"/>
      <c r="U707" s="65"/>
      <c r="V707" s="65"/>
      <c r="W707" s="65"/>
      <c r="X707" s="65"/>
      <c r="Y707" s="65"/>
      <c r="Z707" s="65"/>
      <c r="AA707" s="65"/>
      <c r="AB707" s="65"/>
      <c r="AC707" s="65"/>
      <c r="AD707" s="65"/>
      <c r="AE707" s="247"/>
    </row>
    <row r="708" spans="1:31" x14ac:dyDescent="0.25">
      <c r="A708" s="247"/>
      <c r="B708" s="247"/>
      <c r="C708" s="247"/>
      <c r="D708" s="247" t="s">
        <v>3525</v>
      </c>
      <c r="E708" s="247" t="s">
        <v>3526</v>
      </c>
      <c r="F708" s="247"/>
      <c r="G708" s="167"/>
      <c r="H708" s="247"/>
      <c r="I708" s="138"/>
      <c r="J708" s="247"/>
      <c r="K708" s="247"/>
      <c r="L708" s="247"/>
      <c r="M708" s="247"/>
      <c r="N708" s="247"/>
      <c r="O708" s="247"/>
      <c r="P708" s="247"/>
      <c r="Q708" s="247"/>
      <c r="R708" s="65"/>
      <c r="S708" s="65"/>
      <c r="T708" s="65"/>
      <c r="U708" s="65"/>
      <c r="V708" s="65"/>
      <c r="W708" s="65"/>
      <c r="X708" s="65"/>
      <c r="Y708" s="65"/>
      <c r="Z708" s="65"/>
      <c r="AA708" s="65"/>
      <c r="AB708" s="65"/>
      <c r="AC708" s="65"/>
      <c r="AD708" s="65"/>
      <c r="AE708" s="247"/>
    </row>
    <row r="709" spans="1:31" x14ac:dyDescent="0.25">
      <c r="A709" s="247"/>
      <c r="B709" s="247"/>
      <c r="C709" s="247"/>
      <c r="D709" s="247" t="s">
        <v>3183</v>
      </c>
      <c r="E709" s="247" t="s">
        <v>3527</v>
      </c>
      <c r="F709" s="247"/>
      <c r="G709" s="167"/>
      <c r="H709" s="320"/>
      <c r="I709" s="219"/>
      <c r="J709" s="320"/>
      <c r="K709" s="320"/>
      <c r="L709" s="320"/>
      <c r="M709" s="320"/>
      <c r="N709" s="320"/>
      <c r="O709" s="320"/>
      <c r="P709" s="320"/>
      <c r="Q709" s="320"/>
      <c r="R709" s="314"/>
      <c r="S709" s="314"/>
      <c r="T709" s="314"/>
      <c r="U709" s="314"/>
      <c r="V709" s="314"/>
      <c r="W709" s="314"/>
      <c r="X709" s="314"/>
      <c r="Y709" s="314"/>
      <c r="Z709" s="314"/>
      <c r="AA709" s="314"/>
      <c r="AB709" s="314"/>
      <c r="AC709" s="314"/>
      <c r="AD709" s="314"/>
      <c r="AE709" s="247"/>
    </row>
    <row r="710" spans="1:31" x14ac:dyDescent="0.25">
      <c r="A710" s="247"/>
      <c r="B710" s="247"/>
      <c r="C710" s="168" t="s">
        <v>3528</v>
      </c>
      <c r="D710" s="247"/>
      <c r="E710" s="178">
        <f>COUNT(E10+E12+E13+E20+E21+E22+E23+E24+E25+E26+E27+E28+E29+E30+E31+E32+E33+E40+E41+E42+E43+E44+E51+E56+E57+E58+E65+E66+E67+E75+E82+E83+E91+E92+E93+E102+E103+E104+E111+E112+E113+E114+E115+E116+E117+E118+E119+E121+#REF!+E129+E131+E132+E138+E139+E140+E146+E148+E154+E156+E160+E162+E163+E172+E175+E176+E177+E178+E179+E180+E181+E182+E183+E184+E191+E192+E193+E203+E204+E205+E206+E207+E209+E210+E211+E212+E213+E214+#REF!+E216+E217+E218+E226+E227+E228+E229+E230+E231+E232+E233+E241+E242+E243+E244+E249+E250+#REF!+E259+E260+E261+E262+E263+E264+E265+#REF!+E267+E266+E269+E270+E271+E272+E280+E281+E282+E283+E284+E285+E286+E287+E288+E289+E301+E307+E313+E318+E324+E330+E331+E332+E333+E334+E335+E336+E337+E338+E339+E340+E341+E342+E343+#REF!+E345+E346+E347+E348+E349+E350+E351+E352+E353+E354+E355+E356+E357+E405+E219+E360+E361+E362+E363+E407+E365+E366+E367+E368+E369+E370+E371+E372+E373+E374+E375+E376+E377+E378+E379+E497+E381+E382+E383+E384+E385+E386+E387+E388+E389+E390+E391+E392+E393+E394+E395+E396+E397+E398+#REF!+#REF!+E406+E409+E410+E411+E412+E413+E414+E344+E416+E417+E418+E419+#REF!+E421+E422+E423+E424+E425+E426+E427+E428+E429+E430+E431+E432+E433+E434+E435+E436+E420+E438+E439+E440+E441+E442+E443+E444+E445+E446+E447+E448+E449+E450+E451+E452+E453+E454+E455+E456+E457+E458+E459+E460+E461+E462+E463+E464+E465+E466+E467+E468+E469+E470+E471+E472+E473+E415+E475+E476+#REF!+E215+E479+E480+E481+E482+E483+E477+E485+E486+E487+E488+E489+E490+E491+E492+E493+E494+E495+E496+#REF!+E498+E499+E500+E513+E514+E515+E516+E517+E518+E519+E524+E528+E529+E530+E531+E539+E540+E546+E550+E551+E552+E559+#REF!+E563)</f>
        <v>0</v>
      </c>
      <c r="F710" s="247"/>
      <c r="G710" s="121">
        <f>SUM(G9:G701)</f>
        <v>3003.7178082191772</v>
      </c>
      <c r="H710" s="308">
        <v>15750239.79262593</v>
      </c>
      <c r="I710" s="428"/>
      <c r="J710" s="308">
        <v>16200876.39889</v>
      </c>
      <c r="K710" s="308">
        <f t="shared" ref="K710:AD710" si="687">SUM(K16+K36+K47+K51+K60+K70+K76+K87+K96+K107+K125+K134+K142+K149+K157+K164+K168+K186+K195+K221+K237+K246+K253+K275+K292+K297+K303+K309+K315+K320+K326+K401+K504+K520+K525+K535+K542+K547+K555+K559+K568+K587+K604+K620+K637+K641+K654+K664+K692+K678+K681+K701+K705)</f>
        <v>16447420.473817997</v>
      </c>
      <c r="L710" s="308">
        <f t="shared" si="687"/>
        <v>7620.7425018355807</v>
      </c>
      <c r="M710" s="308">
        <f t="shared" si="687"/>
        <v>609511.20168530743</v>
      </c>
      <c r="N710" s="308">
        <f t="shared" si="687"/>
        <v>641558.33068493137</v>
      </c>
      <c r="O710" s="308">
        <f t="shared" si="687"/>
        <v>26076.11</v>
      </c>
      <c r="P710" s="308">
        <f t="shared" si="687"/>
        <v>9060.035013698629</v>
      </c>
      <c r="Q710" s="308">
        <f t="shared" si="687"/>
        <v>638953.66720547935</v>
      </c>
      <c r="R710" s="308">
        <f t="shared" si="687"/>
        <v>17077651.291023478</v>
      </c>
      <c r="S710" s="308">
        <f t="shared" si="687"/>
        <v>43820</v>
      </c>
      <c r="T710" s="308">
        <f t="shared" si="687"/>
        <v>86600</v>
      </c>
      <c r="U710" s="308">
        <f t="shared" si="687"/>
        <v>39500</v>
      </c>
      <c r="V710" s="308">
        <f t="shared" si="687"/>
        <v>17255971.291023478</v>
      </c>
      <c r="W710" s="308">
        <f t="shared" si="687"/>
        <v>1055777.4200434559</v>
      </c>
      <c r="X710" s="308">
        <f t="shared" si="687"/>
        <v>250089.78371984049</v>
      </c>
      <c r="Y710" s="308">
        <f t="shared" si="687"/>
        <v>2569745.6056235069</v>
      </c>
      <c r="Z710" s="308">
        <f t="shared" si="687"/>
        <v>27374.120965363585</v>
      </c>
      <c r="AA710" s="308">
        <f t="shared" si="687"/>
        <v>11239.186311748281</v>
      </c>
      <c r="AB710" s="308">
        <f t="shared" si="687"/>
        <v>124955</v>
      </c>
      <c r="AC710" s="308">
        <f t="shared" si="687"/>
        <v>3862922.2799999993</v>
      </c>
      <c r="AD710" s="308">
        <f t="shared" si="687"/>
        <v>39878.772799999977</v>
      </c>
      <c r="AE710" s="247"/>
    </row>
    <row r="711" spans="1:31" x14ac:dyDescent="0.25">
      <c r="A711" s="247"/>
      <c r="B711" s="247"/>
      <c r="C711" s="247"/>
      <c r="D711" s="247"/>
      <c r="E711" s="247"/>
      <c r="F711" s="247"/>
      <c r="G711" s="167"/>
      <c r="H711" s="65"/>
      <c r="I711" s="65"/>
      <c r="J711" s="65"/>
      <c r="K711" s="65">
        <f>SUM(J710-K710)</f>
        <v>-246544.07492799684</v>
      </c>
      <c r="L711" s="247"/>
      <c r="M711" s="247"/>
      <c r="N711" s="247"/>
      <c r="O711" s="247"/>
      <c r="P711" s="247"/>
      <c r="Q711" s="247"/>
      <c r="R711" s="247"/>
      <c r="S711" s="247"/>
      <c r="T711" s="247"/>
      <c r="U711" s="247"/>
      <c r="V711" s="247"/>
      <c r="W711" s="100"/>
      <c r="X711" s="178"/>
      <c r="Y711" s="178"/>
      <c r="Z711" s="178"/>
      <c r="AA711" s="178"/>
      <c r="AB711" s="69"/>
      <c r="AC711" s="69">
        <f>SUM(AC710:AD710)</f>
        <v>3902801.0527999992</v>
      </c>
      <c r="AD711" s="247"/>
      <c r="AE711" s="247"/>
    </row>
    <row r="712" spans="1:31" x14ac:dyDescent="0.25">
      <c r="A712" s="247"/>
      <c r="B712" s="247"/>
      <c r="C712" s="247"/>
      <c r="D712" s="247"/>
      <c r="E712" s="247"/>
      <c r="F712" s="247"/>
      <c r="G712" s="167"/>
      <c r="H712" s="247"/>
      <c r="I712" s="247"/>
      <c r="J712" s="247"/>
      <c r="K712" s="62"/>
      <c r="L712" s="247"/>
      <c r="M712" s="247"/>
      <c r="N712" s="247"/>
      <c r="O712" s="247"/>
      <c r="P712" s="247"/>
      <c r="Q712" s="247"/>
      <c r="R712" s="247"/>
      <c r="S712" s="247"/>
      <c r="T712" s="247"/>
      <c r="U712" s="247"/>
      <c r="V712" s="247"/>
      <c r="W712" s="61"/>
      <c r="X712" s="61"/>
      <c r="Y712" s="61"/>
      <c r="Z712" s="61"/>
      <c r="AA712" s="61"/>
      <c r="AB712" s="247"/>
      <c r="AC712" s="247"/>
      <c r="AD712" s="247"/>
      <c r="AE712" s="247"/>
    </row>
  </sheetData>
  <mergeCells count="4">
    <mergeCell ref="A4:K4"/>
    <mergeCell ref="W5:AD5"/>
    <mergeCell ref="B98:F98"/>
    <mergeCell ref="A571:C571"/>
  </mergeCell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7"/>
  <sheetViews>
    <sheetView workbookViewId="0"/>
  </sheetViews>
  <sheetFormatPr defaultColWidth="14.42578125" defaultRowHeight="15" customHeight="1" x14ac:dyDescent="0.25"/>
  <cols>
    <col min="1" max="1" width="120.42578125" customWidth="1"/>
  </cols>
  <sheetData>
    <row r="1" spans="1:7" x14ac:dyDescent="0.25">
      <c r="A1" s="31"/>
    </row>
    <row r="2" spans="1:7" x14ac:dyDescent="0.25">
      <c r="A2" s="31"/>
    </row>
    <row r="3" spans="1:7" x14ac:dyDescent="0.25">
      <c r="A3" s="9" t="s">
        <v>4278</v>
      </c>
      <c r="B3" s="247"/>
      <c r="C3" s="247"/>
      <c r="D3" s="247"/>
      <c r="E3" s="247"/>
      <c r="F3" s="247"/>
      <c r="G3" s="247"/>
    </row>
    <row r="4" spans="1:7" x14ac:dyDescent="0.25">
      <c r="A4" s="319" t="s">
        <v>4279</v>
      </c>
      <c r="B4" s="320"/>
      <c r="C4" s="320"/>
      <c r="D4" s="247"/>
      <c r="E4" s="247"/>
      <c r="F4" s="320"/>
      <c r="G4" s="320"/>
    </row>
    <row r="5" spans="1:7" x14ac:dyDescent="0.25">
      <c r="A5" s="31"/>
    </row>
    <row r="6" spans="1:7" x14ac:dyDescent="0.25">
      <c r="A6" s="31" t="s">
        <v>4280</v>
      </c>
    </row>
    <row r="7" spans="1:7" x14ac:dyDescent="0.25">
      <c r="A7" s="31" t="s">
        <v>4281</v>
      </c>
    </row>
    <row r="8" spans="1:7" x14ac:dyDescent="0.25">
      <c r="A8" s="31" t="s">
        <v>4282</v>
      </c>
    </row>
    <row r="10" spans="1:7" x14ac:dyDescent="0.25">
      <c r="A10" s="31" t="s">
        <v>4283</v>
      </c>
    </row>
    <row r="12" spans="1:7" x14ac:dyDescent="0.25">
      <c r="A12" s="31" t="s">
        <v>4284</v>
      </c>
    </row>
    <row r="14" spans="1:7" x14ac:dyDescent="0.25">
      <c r="A14" s="31" t="s">
        <v>4285</v>
      </c>
    </row>
    <row r="16" spans="1:7" x14ac:dyDescent="0.25">
      <c r="A16" s="31" t="s">
        <v>4286</v>
      </c>
    </row>
    <row r="18" spans="1:1" x14ac:dyDescent="0.25">
      <c r="A18" s="31" t="s">
        <v>4287</v>
      </c>
    </row>
    <row r="20" spans="1:1" x14ac:dyDescent="0.25">
      <c r="A20" s="31" t="s">
        <v>4288</v>
      </c>
    </row>
    <row r="21" spans="1:1" x14ac:dyDescent="0.25">
      <c r="A21" s="31" t="s">
        <v>4289</v>
      </c>
    </row>
    <row r="22" spans="1:1" x14ac:dyDescent="0.25">
      <c r="A22" s="31" t="s">
        <v>4290</v>
      </c>
    </row>
    <row r="23" spans="1:1" x14ac:dyDescent="0.25">
      <c r="A23" s="31" t="s">
        <v>4291</v>
      </c>
    </row>
    <row r="24" spans="1:1" x14ac:dyDescent="0.25">
      <c r="A24" s="31" t="s">
        <v>4292</v>
      </c>
    </row>
    <row r="26" spans="1:1" x14ac:dyDescent="0.25">
      <c r="A26" s="31" t="s">
        <v>4293</v>
      </c>
    </row>
    <row r="27" spans="1:1" x14ac:dyDescent="0.25">
      <c r="A27" s="31" t="s">
        <v>4294</v>
      </c>
    </row>
    <row r="28" spans="1:1" x14ac:dyDescent="0.25">
      <c r="A28" s="31" t="s">
        <v>4295</v>
      </c>
    </row>
    <row r="29" spans="1:1" x14ac:dyDescent="0.25">
      <c r="A29" s="31"/>
    </row>
    <row r="30" spans="1:1" x14ac:dyDescent="0.25">
      <c r="A30" s="31" t="s">
        <v>4296</v>
      </c>
    </row>
    <row r="31" spans="1:1" x14ac:dyDescent="0.25">
      <c r="A31" s="31"/>
    </row>
    <row r="32" spans="1:1" x14ac:dyDescent="0.25">
      <c r="A32" s="31" t="s">
        <v>4297</v>
      </c>
    </row>
    <row r="33" spans="1:1" x14ac:dyDescent="0.25">
      <c r="A33" s="31"/>
    </row>
    <row r="34" spans="1:1" x14ac:dyDescent="0.25">
      <c r="A34" s="31" t="s">
        <v>4298</v>
      </c>
    </row>
    <row r="35" spans="1:1" x14ac:dyDescent="0.25">
      <c r="A35" s="31"/>
    </row>
    <row r="36" spans="1:1" x14ac:dyDescent="0.25">
      <c r="A36" s="31"/>
    </row>
    <row r="37" spans="1:1" x14ac:dyDescent="0.25">
      <c r="A37" s="31"/>
    </row>
    <row r="38" spans="1:1" x14ac:dyDescent="0.25">
      <c r="A38" s="31"/>
    </row>
    <row r="39" spans="1:1" x14ac:dyDescent="0.25">
      <c r="A39" s="31"/>
    </row>
    <row r="40" spans="1:1" x14ac:dyDescent="0.25">
      <c r="A40" s="31"/>
    </row>
    <row r="41" spans="1:1" x14ac:dyDescent="0.25">
      <c r="A41" s="31" t="s">
        <v>4299</v>
      </c>
    </row>
    <row r="42" spans="1:1" ht="23.25" customHeight="1" x14ac:dyDescent="0.25">
      <c r="A42" s="31" t="s">
        <v>4300</v>
      </c>
    </row>
    <row r="43" spans="1:1" x14ac:dyDescent="0.25">
      <c r="A43" s="31" t="s">
        <v>4301</v>
      </c>
    </row>
    <row r="44" spans="1:1" x14ac:dyDescent="0.25">
      <c r="A44" s="31" t="s">
        <v>4302</v>
      </c>
    </row>
    <row r="45" spans="1:1" x14ac:dyDescent="0.25">
      <c r="A45" s="31" t="s">
        <v>4303</v>
      </c>
    </row>
    <row r="46" spans="1:1" x14ac:dyDescent="0.25">
      <c r="A46" s="31" t="s">
        <v>4304</v>
      </c>
    </row>
    <row r="47" spans="1:1" x14ac:dyDescent="0.25">
      <c r="A47" s="31" t="s">
        <v>4305</v>
      </c>
    </row>
    <row r="48" spans="1:1" x14ac:dyDescent="0.25">
      <c r="A48" s="31" t="s">
        <v>4306</v>
      </c>
    </row>
    <row r="49" spans="1:3" x14ac:dyDescent="0.25">
      <c r="A49" s="31"/>
    </row>
    <row r="50" spans="1:3" x14ac:dyDescent="0.25">
      <c r="A50" s="31" t="s">
        <v>4307</v>
      </c>
    </row>
    <row r="51" spans="1:3" x14ac:dyDescent="0.25">
      <c r="A51" s="31"/>
    </row>
    <row r="52" spans="1:3" x14ac:dyDescent="0.25">
      <c r="A52" s="31" t="s">
        <v>4308</v>
      </c>
    </row>
    <row r="53" spans="1:3" x14ac:dyDescent="0.25">
      <c r="A53" s="31"/>
    </row>
    <row r="54" spans="1:3" ht="44.25" customHeight="1" x14ac:dyDescent="0.25">
      <c r="A54" s="429" t="s">
        <v>4309</v>
      </c>
    </row>
    <row r="55" spans="1:3" x14ac:dyDescent="0.25">
      <c r="A55" s="31"/>
    </row>
    <row r="56" spans="1:3" x14ac:dyDescent="0.25">
      <c r="A56" s="31" t="s">
        <v>4310</v>
      </c>
    </row>
    <row r="57" spans="1:3" x14ac:dyDescent="0.25">
      <c r="A57" s="31"/>
    </row>
    <row r="58" spans="1:3" x14ac:dyDescent="0.25">
      <c r="A58" s="430"/>
      <c r="B58" s="431"/>
      <c r="C58" s="431"/>
    </row>
    <row r="59" spans="1:3" x14ac:dyDescent="0.25">
      <c r="A59" s="432" t="s">
        <v>4311</v>
      </c>
      <c r="B59" s="33"/>
      <c r="C59" s="33"/>
    </row>
    <row r="60" spans="1:3" x14ac:dyDescent="0.25">
      <c r="A60" s="9" t="s">
        <v>4312</v>
      </c>
    </row>
    <row r="61" spans="1:3" x14ac:dyDescent="0.25">
      <c r="A61" s="319" t="s">
        <v>4313</v>
      </c>
    </row>
    <row r="62" spans="1:3" x14ac:dyDescent="0.25">
      <c r="A62" s="9" t="s">
        <v>4314</v>
      </c>
    </row>
    <row r="63" spans="1:3" x14ac:dyDescent="0.25">
      <c r="A63" s="31"/>
    </row>
    <row r="64" spans="1:3" x14ac:dyDescent="0.25">
      <c r="A64" s="31" t="s">
        <v>4315</v>
      </c>
    </row>
    <row r="65" spans="1:26" x14ac:dyDescent="0.25">
      <c r="A65" s="31" t="s">
        <v>4316</v>
      </c>
    </row>
    <row r="67" spans="1:26" ht="45" customHeight="1" x14ac:dyDescent="0.25">
      <c r="A67" s="433" t="s">
        <v>4317</v>
      </c>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2022 BUDGET </vt:lpstr>
      <vt:lpstr>Position Budget</vt:lpstr>
      <vt:lpstr>TransfersContingency</vt:lpstr>
      <vt:lpstr>JUVCSCD</vt:lpstr>
      <vt:lpstr>RevExp Totals</vt:lpstr>
      <vt:lpstr>Position Bdgt 2020</vt:lpstr>
      <vt:lpstr>2021 Notes</vt:lpstr>
      <vt:lpstr>2020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McCawley</dc:creator>
  <cp:lastModifiedBy>Brandon Akins</cp:lastModifiedBy>
  <cp:lastPrinted>2021-12-23T17:35:44Z</cp:lastPrinted>
  <dcterms:created xsi:type="dcterms:W3CDTF">2021-12-21T22:42:39Z</dcterms:created>
  <dcterms:modified xsi:type="dcterms:W3CDTF">2021-12-23T19:47:17Z</dcterms:modified>
</cp:coreProperties>
</file>